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01\Documents\GitHub\mould\Mould_Numeriacl_Calculation\"/>
    </mc:Choice>
  </mc:AlternateContent>
  <xr:revisionPtr revIDLastSave="0" documentId="13_ncr:1_{9BE3A986-FAFC-427D-BD67-24CABC036C3C}" xr6:coauthVersionLast="47" xr6:coauthVersionMax="47" xr10:uidLastSave="{00000000-0000-0000-0000-000000000000}"/>
  <bookViews>
    <workbookView xWindow="810" yWindow="-120" windowWidth="28110" windowHeight="16440" tabRatio="638" activeTab="1" xr2:uid="{331D296A-DE97-4357-9338-22F5C8F49D08}"/>
  </bookViews>
  <sheets>
    <sheet name="position_1916" sheetId="17" r:id="rId1"/>
    <sheet name="position_2414" sheetId="21" r:id="rId2"/>
    <sheet name="e00937" sheetId="1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2" i="21" l="1"/>
  <c r="K43" i="21"/>
  <c r="K44" i="21"/>
  <c r="K39" i="21"/>
  <c r="K40" i="21"/>
  <c r="K41" i="21"/>
  <c r="C61" i="21"/>
  <c r="N9" i="21" s="1"/>
  <c r="K168" i="21"/>
  <c r="K167" i="21"/>
  <c r="K166" i="21"/>
  <c r="K165" i="21"/>
  <c r="K164" i="21"/>
  <c r="K163" i="21"/>
  <c r="K162" i="21"/>
  <c r="K161" i="21"/>
  <c r="K160" i="21"/>
  <c r="K159" i="21"/>
  <c r="K158" i="21"/>
  <c r="K157" i="21"/>
  <c r="K156" i="21"/>
  <c r="K155" i="21"/>
  <c r="K154" i="21"/>
  <c r="N153" i="21"/>
  <c r="M153" i="21"/>
  <c r="K153" i="21"/>
  <c r="N152" i="21"/>
  <c r="M152" i="21"/>
  <c r="K152" i="21"/>
  <c r="M151" i="21"/>
  <c r="K151" i="21"/>
  <c r="M150" i="21"/>
  <c r="K150" i="21"/>
  <c r="M149" i="21"/>
  <c r="K149" i="21"/>
  <c r="M148" i="21"/>
  <c r="K148" i="21"/>
  <c r="K147" i="21"/>
  <c r="K146" i="21"/>
  <c r="N145" i="21"/>
  <c r="M145" i="21"/>
  <c r="K145" i="21"/>
  <c r="N144" i="21"/>
  <c r="M144" i="21"/>
  <c r="K144" i="21"/>
  <c r="M143" i="21"/>
  <c r="K143" i="21"/>
  <c r="M142" i="21"/>
  <c r="K142" i="21"/>
  <c r="M141" i="21"/>
  <c r="K141" i="21"/>
  <c r="K140" i="21"/>
  <c r="K139" i="21"/>
  <c r="N138" i="21"/>
  <c r="M138" i="21"/>
  <c r="K138" i="21"/>
  <c r="N137" i="21"/>
  <c r="M137" i="21"/>
  <c r="K137" i="21"/>
  <c r="M136" i="21"/>
  <c r="K136" i="21"/>
  <c r="M135" i="21"/>
  <c r="K135" i="21"/>
  <c r="M134" i="21"/>
  <c r="K134" i="21"/>
  <c r="M133" i="21"/>
  <c r="K133" i="21"/>
  <c r="K132" i="21"/>
  <c r="K131" i="21"/>
  <c r="N130" i="21"/>
  <c r="M130" i="21"/>
  <c r="K130" i="21"/>
  <c r="N129" i="21"/>
  <c r="M129" i="21"/>
  <c r="K129" i="21"/>
  <c r="M128" i="21"/>
  <c r="K128" i="21"/>
  <c r="M127" i="21"/>
  <c r="K127" i="21"/>
  <c r="M126" i="21"/>
  <c r="K126" i="21"/>
  <c r="M125" i="21"/>
  <c r="K125" i="21"/>
  <c r="K124" i="21"/>
  <c r="K123" i="21"/>
  <c r="N122" i="21"/>
  <c r="K122" i="21"/>
  <c r="N121" i="21"/>
  <c r="K121" i="21"/>
  <c r="K120" i="21"/>
  <c r="K119" i="21"/>
  <c r="K118" i="21"/>
  <c r="K117" i="21"/>
  <c r="K116" i="21"/>
  <c r="K115" i="21"/>
  <c r="K114" i="21"/>
  <c r="K113" i="21"/>
  <c r="K112" i="21"/>
  <c r="K111" i="21"/>
  <c r="K110" i="21"/>
  <c r="K109" i="21"/>
  <c r="K108" i="21"/>
  <c r="K107" i="21"/>
  <c r="K106" i="21"/>
  <c r="K105" i="21"/>
  <c r="N104" i="21"/>
  <c r="M104" i="21"/>
  <c r="K104" i="21"/>
  <c r="N103" i="21"/>
  <c r="M103" i="21"/>
  <c r="K103" i="21"/>
  <c r="M102" i="21"/>
  <c r="K102" i="21"/>
  <c r="M101" i="21"/>
  <c r="K101" i="21"/>
  <c r="M100" i="21"/>
  <c r="K100" i="21"/>
  <c r="M99" i="21"/>
  <c r="K99" i="21"/>
  <c r="H98" i="21"/>
  <c r="I98" i="21" s="1"/>
  <c r="K98" i="21"/>
  <c r="K97" i="21"/>
  <c r="N96" i="21"/>
  <c r="M96" i="21"/>
  <c r="K96" i="21"/>
  <c r="N95" i="21"/>
  <c r="M95" i="21"/>
  <c r="K95" i="21"/>
  <c r="H94" i="21"/>
  <c r="F94" i="21"/>
  <c r="M94" i="21"/>
  <c r="K94" i="21"/>
  <c r="H93" i="21"/>
  <c r="F93" i="21"/>
  <c r="M93" i="21"/>
  <c r="K93" i="21"/>
  <c r="F92" i="21"/>
  <c r="M92" i="21"/>
  <c r="K92" i="21"/>
  <c r="F91" i="21"/>
  <c r="M91" i="21"/>
  <c r="K91" i="21"/>
  <c r="F90" i="21"/>
  <c r="K90" i="21"/>
  <c r="F89" i="21"/>
  <c r="K89" i="21"/>
  <c r="N88" i="21"/>
  <c r="M88" i="21"/>
  <c r="K88" i="21"/>
  <c r="N87" i="21"/>
  <c r="M87" i="21"/>
  <c r="K87" i="21"/>
  <c r="H86" i="21"/>
  <c r="F86" i="21"/>
  <c r="M86" i="21"/>
  <c r="K86" i="21"/>
  <c r="H85" i="21"/>
  <c r="F85" i="21"/>
  <c r="M85" i="21"/>
  <c r="K85" i="21"/>
  <c r="F84" i="21"/>
  <c r="M84" i="21"/>
  <c r="K84" i="21"/>
  <c r="F83" i="21"/>
  <c r="M83" i="21"/>
  <c r="K83" i="21"/>
  <c r="F82" i="21"/>
  <c r="K82" i="21"/>
  <c r="F81" i="21"/>
  <c r="K81" i="21"/>
  <c r="N80" i="21"/>
  <c r="M80" i="21"/>
  <c r="K80" i="21"/>
  <c r="N79" i="21"/>
  <c r="M79" i="21"/>
  <c r="K79" i="21"/>
  <c r="M78" i="21"/>
  <c r="K78" i="21"/>
  <c r="M77" i="21"/>
  <c r="K77" i="21"/>
  <c r="M76" i="21"/>
  <c r="K76" i="21"/>
  <c r="M75" i="21"/>
  <c r="K75" i="21"/>
  <c r="K74" i="21"/>
  <c r="K73" i="21"/>
  <c r="N72" i="21"/>
  <c r="M72" i="21"/>
  <c r="K72" i="21"/>
  <c r="F71" i="21"/>
  <c r="N71" i="21"/>
  <c r="M71" i="21"/>
  <c r="K71" i="21"/>
  <c r="M70" i="21"/>
  <c r="K70" i="21"/>
  <c r="M69" i="21"/>
  <c r="K69" i="21"/>
  <c r="M68" i="21"/>
  <c r="K68" i="21"/>
  <c r="I67" i="21"/>
  <c r="H67" i="21"/>
  <c r="F67" i="21"/>
  <c r="M67" i="21"/>
  <c r="K67" i="21"/>
  <c r="I66" i="21"/>
  <c r="H66" i="21"/>
  <c r="F66" i="21"/>
  <c r="K66" i="21"/>
  <c r="F65" i="21"/>
  <c r="K65" i="21"/>
  <c r="F64" i="21"/>
  <c r="N64" i="21" a="1"/>
  <c r="N64" i="21" s="1"/>
  <c r="M64" i="21"/>
  <c r="K64" i="21"/>
  <c r="F63" i="21"/>
  <c r="N63" i="21" a="1"/>
  <c r="N63" i="21" s="1"/>
  <c r="M63" i="21"/>
  <c r="K63" i="21"/>
  <c r="F62" i="21"/>
  <c r="M62" i="21"/>
  <c r="K62" i="21"/>
  <c r="M61" i="21"/>
  <c r="K61" i="21"/>
  <c r="M60" i="21"/>
  <c r="K60" i="21"/>
  <c r="H59" i="21"/>
  <c r="F59" i="21"/>
  <c r="M59" i="21"/>
  <c r="K59" i="21"/>
  <c r="H58" i="21"/>
  <c r="F58" i="21"/>
  <c r="K58" i="21"/>
  <c r="F57" i="21"/>
  <c r="K57" i="21"/>
  <c r="F56" i="21"/>
  <c r="N56" i="21"/>
  <c r="M56" i="21"/>
  <c r="K56" i="21"/>
  <c r="F55" i="21"/>
  <c r="N55" i="21"/>
  <c r="M55" i="21"/>
  <c r="K55" i="21"/>
  <c r="F54" i="21"/>
  <c r="M54" i="21"/>
  <c r="K54" i="21"/>
  <c r="M53" i="21"/>
  <c r="K53" i="21"/>
  <c r="H52" i="21"/>
  <c r="M52" i="21"/>
  <c r="K52" i="21"/>
  <c r="H51" i="21"/>
  <c r="M51" i="21"/>
  <c r="K51" i="21"/>
  <c r="H50" i="21"/>
  <c r="K50" i="21"/>
  <c r="H49" i="21"/>
  <c r="K49" i="21"/>
  <c r="H48" i="21"/>
  <c r="N48" i="21"/>
  <c r="M48" i="21"/>
  <c r="K48" i="21"/>
  <c r="N47" i="21"/>
  <c r="M47" i="21"/>
  <c r="K47" i="21"/>
  <c r="M46" i="21"/>
  <c r="K46" i="21"/>
  <c r="M45" i="21"/>
  <c r="K45" i="21"/>
  <c r="M44" i="21"/>
  <c r="N43" i="21"/>
  <c r="N46" i="21" s="1"/>
  <c r="N86" i="21" s="1"/>
  <c r="M43" i="21"/>
  <c r="C41" i="21"/>
  <c r="H23" i="21" s="1"/>
  <c r="N40" i="21"/>
  <c r="N41" i="21" s="1"/>
  <c r="K38" i="21"/>
  <c r="K37" i="21"/>
  <c r="K36" i="21"/>
  <c r="H36" i="21"/>
  <c r="K35" i="21"/>
  <c r="K34" i="21"/>
  <c r="K33" i="21"/>
  <c r="K32" i="21"/>
  <c r="K31" i="21"/>
  <c r="K30" i="21"/>
  <c r="K29" i="21"/>
  <c r="K28" i="21"/>
  <c r="N27" i="21"/>
  <c r="K27" i="21"/>
  <c r="K26" i="21"/>
  <c r="N25" i="21"/>
  <c r="N26" i="21" s="1"/>
  <c r="K25" i="21"/>
  <c r="K24" i="21"/>
  <c r="N23" i="21"/>
  <c r="N24" i="21" s="1"/>
  <c r="K23" i="21"/>
  <c r="Q22" i="21"/>
  <c r="K22" i="21"/>
  <c r="Q21" i="21"/>
  <c r="K21" i="21"/>
  <c r="K20" i="21"/>
  <c r="K19" i="21"/>
  <c r="H19" i="21"/>
  <c r="N18" i="21"/>
  <c r="K18" i="21"/>
  <c r="K17" i="21"/>
  <c r="Q16" i="21"/>
  <c r="K16" i="21"/>
  <c r="N15" i="21"/>
  <c r="K15" i="21"/>
  <c r="K14" i="21"/>
  <c r="K13" i="21"/>
  <c r="N12" i="21"/>
  <c r="K12" i="21"/>
  <c r="N11" i="21"/>
  <c r="K11" i="21"/>
  <c r="H11" i="21"/>
  <c r="N10" i="21"/>
  <c r="N20" i="21" s="1"/>
  <c r="K10" i="21"/>
  <c r="K9" i="21"/>
  <c r="K8" i="21"/>
  <c r="Q7" i="21"/>
  <c r="K7" i="21"/>
  <c r="K6" i="21"/>
  <c r="K5" i="21"/>
  <c r="K4" i="21"/>
  <c r="K3" i="21"/>
  <c r="K2" i="21"/>
  <c r="N27" i="17"/>
  <c r="K39" i="17"/>
  <c r="K38" i="17"/>
  <c r="K37" i="17"/>
  <c r="K36" i="17"/>
  <c r="K35" i="17"/>
  <c r="K34" i="17"/>
  <c r="K27" i="17"/>
  <c r="N25" i="17"/>
  <c r="N26" i="17" s="1"/>
  <c r="K25" i="17"/>
  <c r="K26" i="17"/>
  <c r="K31" i="17"/>
  <c r="K32" i="17"/>
  <c r="K33" i="17"/>
  <c r="H98" i="17"/>
  <c r="I98" i="17" s="1"/>
  <c r="H50" i="17"/>
  <c r="H94" i="17"/>
  <c r="H93" i="17"/>
  <c r="F94" i="17"/>
  <c r="F93" i="17"/>
  <c r="F92" i="17"/>
  <c r="F91" i="17"/>
  <c r="F90" i="17"/>
  <c r="F89" i="17"/>
  <c r="K112" i="17"/>
  <c r="K113" i="17"/>
  <c r="K114" i="17"/>
  <c r="K115" i="17"/>
  <c r="K110" i="17"/>
  <c r="K111" i="17"/>
  <c r="F86" i="17"/>
  <c r="F85" i="17"/>
  <c r="F84" i="17"/>
  <c r="F83" i="17"/>
  <c r="F82" i="17"/>
  <c r="F81" i="17"/>
  <c r="N12" i="17"/>
  <c r="K4" i="17"/>
  <c r="N23" i="17"/>
  <c r="N24" i="17" s="1"/>
  <c r="N40" i="17"/>
  <c r="N41" i="17" s="1"/>
  <c r="K154" i="17"/>
  <c r="K155" i="17"/>
  <c r="M152" i="17"/>
  <c r="M151" i="17"/>
  <c r="M150" i="17"/>
  <c r="M149" i="17"/>
  <c r="M148" i="17"/>
  <c r="M147" i="17"/>
  <c r="K148" i="17"/>
  <c r="K147" i="17"/>
  <c r="K146" i="17"/>
  <c r="M144" i="17"/>
  <c r="M143" i="17"/>
  <c r="M142" i="17"/>
  <c r="M141" i="17"/>
  <c r="M140" i="17"/>
  <c r="K145" i="17"/>
  <c r="K144" i="17"/>
  <c r="K143" i="17"/>
  <c r="K142" i="17"/>
  <c r="K141" i="17"/>
  <c r="K140" i="17"/>
  <c r="K151" i="17"/>
  <c r="K150" i="17"/>
  <c r="K149" i="17"/>
  <c r="H67" i="17"/>
  <c r="I67" i="17" s="1"/>
  <c r="F67" i="17"/>
  <c r="H66" i="17"/>
  <c r="I66" i="17" s="1"/>
  <c r="F66" i="17"/>
  <c r="F65" i="17"/>
  <c r="F64" i="17"/>
  <c r="F63" i="17"/>
  <c r="F62" i="17"/>
  <c r="M137" i="17"/>
  <c r="M136" i="17"/>
  <c r="M135" i="17"/>
  <c r="M134" i="17"/>
  <c r="M133" i="17"/>
  <c r="M132" i="17"/>
  <c r="M129" i="17"/>
  <c r="M128" i="17"/>
  <c r="M127" i="17"/>
  <c r="M126" i="17"/>
  <c r="M125" i="17"/>
  <c r="M124" i="17"/>
  <c r="K139" i="17"/>
  <c r="K138" i="17"/>
  <c r="K137" i="17"/>
  <c r="K136" i="17"/>
  <c r="K135" i="17"/>
  <c r="K134" i="17"/>
  <c r="K133" i="17"/>
  <c r="K132" i="17"/>
  <c r="K131" i="17"/>
  <c r="K130" i="17"/>
  <c r="K129" i="17"/>
  <c r="K128" i="17"/>
  <c r="K127" i="17"/>
  <c r="K126" i="17"/>
  <c r="K125" i="17"/>
  <c r="K124" i="17"/>
  <c r="N32" i="21" l="1"/>
  <c r="N42" i="21"/>
  <c r="N164" i="21"/>
  <c r="N19" i="21"/>
  <c r="N22" i="21" s="1"/>
  <c r="H45" i="21"/>
  <c r="N31" i="21"/>
  <c r="H57" i="21"/>
  <c r="N16" i="21"/>
  <c r="N29" i="21"/>
  <c r="N28" i="21"/>
  <c r="N30" i="21"/>
  <c r="N158" i="21"/>
  <c r="N159" i="21" s="1"/>
  <c r="N161" i="21" s="1"/>
  <c r="N17" i="21"/>
  <c r="N49" i="21"/>
  <c r="N89" i="21" s="1"/>
  <c r="H60" i="21" s="1"/>
  <c r="N8" i="21"/>
  <c r="N50" i="21"/>
  <c r="N90" i="21" s="1"/>
  <c r="H61" i="21" s="1"/>
  <c r="N44" i="21"/>
  <c r="N84" i="21" s="1"/>
  <c r="H55" i="21" s="1"/>
  <c r="N45" i="21"/>
  <c r="N85" i="21" s="1"/>
  <c r="H56" i="21" s="1"/>
  <c r="N83" i="21"/>
  <c r="H54" i="21" s="1"/>
  <c r="F71" i="17"/>
  <c r="H19" i="17"/>
  <c r="K152" i="17"/>
  <c r="K153" i="17"/>
  <c r="K156" i="17"/>
  <c r="K157" i="17"/>
  <c r="K158" i="17"/>
  <c r="K159" i="17"/>
  <c r="K160" i="17"/>
  <c r="K161" i="17"/>
  <c r="K162" i="17"/>
  <c r="K163" i="17"/>
  <c r="K164" i="17"/>
  <c r="K165" i="17"/>
  <c r="K166" i="17"/>
  <c r="K167" i="17"/>
  <c r="M103" i="17"/>
  <c r="M102" i="17"/>
  <c r="M101" i="17"/>
  <c r="M100" i="17"/>
  <c r="M99" i="17"/>
  <c r="M98" i="17"/>
  <c r="M95" i="17"/>
  <c r="M94" i="17"/>
  <c r="M93" i="17"/>
  <c r="M92" i="17"/>
  <c r="M91" i="17"/>
  <c r="M90" i="17"/>
  <c r="M87" i="17"/>
  <c r="M86" i="17"/>
  <c r="M85" i="17"/>
  <c r="M84" i="17"/>
  <c r="K3" i="17"/>
  <c r="K5" i="17"/>
  <c r="K6" i="17"/>
  <c r="K7" i="17"/>
  <c r="K8" i="17"/>
  <c r="K9" i="17"/>
  <c r="K10" i="17"/>
  <c r="K11" i="17"/>
  <c r="K12" i="17"/>
  <c r="K13" i="17"/>
  <c r="K14" i="17"/>
  <c r="K15" i="17"/>
  <c r="K16" i="17"/>
  <c r="K17" i="17"/>
  <c r="K18" i="17"/>
  <c r="K19" i="17"/>
  <c r="K20" i="17"/>
  <c r="K21" i="17"/>
  <c r="K22" i="17"/>
  <c r="K23" i="17"/>
  <c r="K24" i="17"/>
  <c r="K28" i="17"/>
  <c r="K29" i="17"/>
  <c r="K30" i="17"/>
  <c r="K40" i="17"/>
  <c r="K41" i="17"/>
  <c r="K42" i="17"/>
  <c r="K43" i="17"/>
  <c r="K44" i="17"/>
  <c r="K45" i="17"/>
  <c r="K46" i="17"/>
  <c r="K47" i="17"/>
  <c r="K48" i="17"/>
  <c r="K49" i="17"/>
  <c r="K50" i="17"/>
  <c r="K51" i="17"/>
  <c r="K52" i="17"/>
  <c r="K53" i="17"/>
  <c r="K54" i="17"/>
  <c r="K55" i="17"/>
  <c r="K56" i="17"/>
  <c r="K57" i="17"/>
  <c r="K58" i="17"/>
  <c r="K59" i="17"/>
  <c r="K60" i="17"/>
  <c r="K61" i="17"/>
  <c r="K62" i="17"/>
  <c r="K63" i="17"/>
  <c r="K64" i="17"/>
  <c r="K65" i="17"/>
  <c r="K66" i="17"/>
  <c r="K67" i="17"/>
  <c r="K68" i="17"/>
  <c r="K69" i="17"/>
  <c r="K70" i="17"/>
  <c r="K71" i="17"/>
  <c r="K72" i="17"/>
  <c r="K73" i="17"/>
  <c r="K74" i="17"/>
  <c r="K75" i="17"/>
  <c r="K76" i="17"/>
  <c r="K77" i="17"/>
  <c r="K78" i="17"/>
  <c r="K79" i="17"/>
  <c r="K80" i="17"/>
  <c r="K81" i="17"/>
  <c r="K82" i="17"/>
  <c r="K83" i="17"/>
  <c r="K84" i="17"/>
  <c r="K85" i="17"/>
  <c r="K86" i="17"/>
  <c r="K87" i="17"/>
  <c r="K88" i="17"/>
  <c r="K89" i="17"/>
  <c r="K90" i="17"/>
  <c r="K91" i="17"/>
  <c r="K92" i="17"/>
  <c r="K93" i="17"/>
  <c r="K94" i="17"/>
  <c r="K95" i="17"/>
  <c r="K96" i="17"/>
  <c r="K97" i="17"/>
  <c r="K98" i="17"/>
  <c r="K99" i="17"/>
  <c r="K100" i="17"/>
  <c r="K101" i="17"/>
  <c r="K102" i="17"/>
  <c r="K103" i="17"/>
  <c r="K104" i="17"/>
  <c r="K105" i="17"/>
  <c r="K106" i="17"/>
  <c r="K107" i="17"/>
  <c r="K108" i="17"/>
  <c r="K109" i="17"/>
  <c r="K116" i="17"/>
  <c r="K117" i="17"/>
  <c r="K118" i="17"/>
  <c r="K119" i="17"/>
  <c r="K121" i="17"/>
  <c r="K120" i="17"/>
  <c r="K122" i="17"/>
  <c r="K123" i="17"/>
  <c r="K2" i="17"/>
  <c r="M83" i="17"/>
  <c r="M82" i="17"/>
  <c r="F54" i="17"/>
  <c r="F55" i="17"/>
  <c r="F56" i="17"/>
  <c r="F57" i="17"/>
  <c r="F59" i="17"/>
  <c r="F58" i="17"/>
  <c r="M79" i="17"/>
  <c r="M78" i="17"/>
  <c r="M77" i="17"/>
  <c r="M76" i="17"/>
  <c r="M75" i="17"/>
  <c r="M74" i="17"/>
  <c r="M71" i="17"/>
  <c r="M70" i="17"/>
  <c r="M69" i="17"/>
  <c r="M68" i="17"/>
  <c r="M67" i="17"/>
  <c r="M66" i="17"/>
  <c r="H52" i="17"/>
  <c r="M63" i="17"/>
  <c r="M62" i="17"/>
  <c r="M61" i="17"/>
  <c r="M60" i="17"/>
  <c r="M55" i="17"/>
  <c r="M54" i="17"/>
  <c r="M53" i="17"/>
  <c r="M52" i="17"/>
  <c r="M59" i="17"/>
  <c r="M51" i="17"/>
  <c r="M58" i="17"/>
  <c r="M50" i="17"/>
  <c r="N42" i="17"/>
  <c r="N82" i="17" s="1"/>
  <c r="N46" i="17"/>
  <c r="N86" i="17" s="1"/>
  <c r="H58" i="17" s="1"/>
  <c r="N47" i="17"/>
  <c r="N87" i="17" s="1"/>
  <c r="H59" i="17" s="1"/>
  <c r="M42" i="17"/>
  <c r="M43" i="17"/>
  <c r="M44" i="17"/>
  <c r="M45" i="17"/>
  <c r="M46" i="17"/>
  <c r="M47" i="17"/>
  <c r="H51" i="17"/>
  <c r="N55" i="17"/>
  <c r="N54" i="17"/>
  <c r="N128" i="17" s="1"/>
  <c r="N94" i="17"/>
  <c r="N63" i="17" a="1"/>
  <c r="N62" i="17" a="1"/>
  <c r="N95" i="17"/>
  <c r="N129" i="17"/>
  <c r="H22" i="21"/>
  <c r="N51" i="21"/>
  <c r="N91" i="21" s="1"/>
  <c r="N56" i="17"/>
  <c r="N125" i="21"/>
  <c r="N59" i="21" a="1"/>
  <c r="N53" i="21"/>
  <c r="N127" i="21"/>
  <c r="N57" i="21"/>
  <c r="N65" i="21" a="1"/>
  <c r="N52" i="21"/>
  <c r="N93" i="21"/>
  <c r="N147" i="21"/>
  <c r="N54" i="21"/>
  <c r="N58" i="21"/>
  <c r="N66" i="21" s="1" a="1"/>
  <c r="H18" i="21" a="1"/>
  <c r="N126" i="21"/>
  <c r="N92" i="21"/>
  <c r="N60" i="21" a="1"/>
  <c r="N61" i="21" a="1"/>
  <c r="N128" i="21"/>
  <c r="N62" i="21" a="1"/>
  <c r="N94" i="21"/>
  <c r="N33" i="21" l="1"/>
  <c r="N35" i="21" s="1"/>
  <c r="N36" i="21" s="1"/>
  <c r="N66" i="21"/>
  <c r="N62" i="21"/>
  <c r="N59" i="21"/>
  <c r="N60" i="21"/>
  <c r="N65" i="21"/>
  <c r="N61" i="21"/>
  <c r="N74" i="21"/>
  <c r="N70" i="21"/>
  <c r="N67" i="21"/>
  <c r="N68" i="21"/>
  <c r="H70" i="21"/>
  <c r="N73" i="21"/>
  <c r="H18" i="21"/>
  <c r="N69" i="21"/>
  <c r="N21" i="21"/>
  <c r="N165" i="21"/>
  <c r="N162" i="21"/>
  <c r="N7" i="21"/>
  <c r="N163" i="21"/>
  <c r="N37" i="21"/>
  <c r="N160" i="21"/>
  <c r="H32" i="21"/>
  <c r="Q15" i="21"/>
  <c r="N71" i="17"/>
  <c r="N70" i="17"/>
  <c r="N72" i="17"/>
  <c r="N62" i="17"/>
  <c r="N63" i="17"/>
  <c r="M42" i="19"/>
  <c r="L42" i="19"/>
  <c r="K42" i="19"/>
  <c r="J42" i="19"/>
  <c r="I42" i="19"/>
  <c r="F42" i="19"/>
  <c r="E42" i="19"/>
  <c r="G42" i="19" s="1"/>
  <c r="D42" i="19"/>
  <c r="N42" i="19" s="1"/>
  <c r="M41" i="19"/>
  <c r="L41" i="19"/>
  <c r="K41" i="19"/>
  <c r="J41" i="19"/>
  <c r="I41" i="19"/>
  <c r="F41" i="19"/>
  <c r="E41" i="19"/>
  <c r="D41" i="19"/>
  <c r="N41" i="19" s="1"/>
  <c r="M40" i="19"/>
  <c r="L40" i="19"/>
  <c r="K40" i="19"/>
  <c r="J40" i="19"/>
  <c r="I40" i="19"/>
  <c r="F40" i="19"/>
  <c r="E40" i="19"/>
  <c r="G40" i="19" s="1"/>
  <c r="D40" i="19"/>
  <c r="N40" i="19" s="1"/>
  <c r="M39" i="19"/>
  <c r="L39" i="19"/>
  <c r="K39" i="19"/>
  <c r="J39" i="19"/>
  <c r="I39" i="19"/>
  <c r="F39" i="19"/>
  <c r="E39" i="19"/>
  <c r="D39" i="19"/>
  <c r="N39" i="19" s="1"/>
  <c r="M38" i="19"/>
  <c r="L38" i="19"/>
  <c r="K38" i="19"/>
  <c r="J38" i="19"/>
  <c r="I38" i="19"/>
  <c r="F38" i="19"/>
  <c r="E38" i="19"/>
  <c r="G38" i="19" s="1"/>
  <c r="D38" i="19"/>
  <c r="N38" i="19" s="1"/>
  <c r="M37" i="19"/>
  <c r="L37" i="19"/>
  <c r="K37" i="19"/>
  <c r="J37" i="19"/>
  <c r="I37" i="19"/>
  <c r="F37" i="19"/>
  <c r="E37" i="19"/>
  <c r="D37" i="19"/>
  <c r="N37" i="19" s="1"/>
  <c r="M36" i="19"/>
  <c r="L36" i="19"/>
  <c r="K36" i="19"/>
  <c r="J36" i="19"/>
  <c r="I36" i="19"/>
  <c r="F36" i="19"/>
  <c r="G36" i="19" s="1"/>
  <c r="E36" i="19"/>
  <c r="D36" i="19"/>
  <c r="N36" i="19" s="1"/>
  <c r="M35" i="19"/>
  <c r="L35" i="19"/>
  <c r="K35" i="19"/>
  <c r="J35" i="19"/>
  <c r="I35" i="19"/>
  <c r="F35" i="19"/>
  <c r="E35" i="19"/>
  <c r="D35" i="19"/>
  <c r="N35" i="19" s="1"/>
  <c r="N34" i="19"/>
  <c r="M34" i="19"/>
  <c r="L34" i="19"/>
  <c r="K34" i="19"/>
  <c r="J34" i="19"/>
  <c r="I34" i="19"/>
  <c r="F34" i="19"/>
  <c r="E34" i="19"/>
  <c r="D34" i="19"/>
  <c r="M33" i="19"/>
  <c r="L33" i="19"/>
  <c r="K33" i="19"/>
  <c r="J33" i="19"/>
  <c r="I33" i="19"/>
  <c r="F33" i="19"/>
  <c r="E33" i="19"/>
  <c r="G33" i="19" s="1"/>
  <c r="D33" i="19"/>
  <c r="N33" i="19" s="1"/>
  <c r="M32" i="19"/>
  <c r="L32" i="19"/>
  <c r="K32" i="19"/>
  <c r="J32" i="19"/>
  <c r="I32" i="19"/>
  <c r="F32" i="19"/>
  <c r="E32" i="19"/>
  <c r="D32" i="19"/>
  <c r="N32" i="19" s="1"/>
  <c r="M31" i="19"/>
  <c r="L31" i="19"/>
  <c r="K31" i="19"/>
  <c r="J31" i="19"/>
  <c r="I31" i="19"/>
  <c r="F31" i="19"/>
  <c r="E31" i="19"/>
  <c r="D31" i="19"/>
  <c r="N31" i="19" s="1"/>
  <c r="M30" i="19"/>
  <c r="L30" i="19"/>
  <c r="K30" i="19"/>
  <c r="J30" i="19"/>
  <c r="I30" i="19"/>
  <c r="F30" i="19"/>
  <c r="E30" i="19"/>
  <c r="G30" i="19" s="1"/>
  <c r="D30" i="19"/>
  <c r="N30" i="19" s="1"/>
  <c r="N29" i="19"/>
  <c r="M29" i="19"/>
  <c r="L29" i="19"/>
  <c r="K29" i="19"/>
  <c r="J29" i="19"/>
  <c r="I29" i="19"/>
  <c r="F29" i="19"/>
  <c r="E29" i="19"/>
  <c r="D29" i="19"/>
  <c r="M28" i="19"/>
  <c r="L28" i="19"/>
  <c r="K28" i="19"/>
  <c r="J28" i="19"/>
  <c r="I28" i="19"/>
  <c r="F28" i="19"/>
  <c r="E28" i="19"/>
  <c r="D28" i="19"/>
  <c r="N28" i="19" s="1"/>
  <c r="M27" i="19"/>
  <c r="L27" i="19"/>
  <c r="K27" i="19"/>
  <c r="J27" i="19"/>
  <c r="I27" i="19"/>
  <c r="F27" i="19"/>
  <c r="E27" i="19"/>
  <c r="G27" i="19" s="1"/>
  <c r="D27" i="19"/>
  <c r="N27" i="19" s="1"/>
  <c r="N26" i="19"/>
  <c r="M26" i="19"/>
  <c r="L26" i="19"/>
  <c r="K26" i="19"/>
  <c r="J26" i="19"/>
  <c r="I26" i="19"/>
  <c r="F26" i="19"/>
  <c r="E26" i="19"/>
  <c r="D26" i="19"/>
  <c r="M25" i="19"/>
  <c r="L25" i="19"/>
  <c r="K25" i="19"/>
  <c r="J25" i="19"/>
  <c r="I25" i="19"/>
  <c r="F25" i="19"/>
  <c r="E25" i="19"/>
  <c r="G25" i="19" s="1"/>
  <c r="D25" i="19"/>
  <c r="N25" i="19" s="1"/>
  <c r="M24" i="19"/>
  <c r="L24" i="19"/>
  <c r="K24" i="19"/>
  <c r="J24" i="19"/>
  <c r="I24" i="19"/>
  <c r="F24" i="19"/>
  <c r="E24" i="19"/>
  <c r="D24" i="19"/>
  <c r="N24" i="19" s="1"/>
  <c r="M23" i="19"/>
  <c r="L23" i="19"/>
  <c r="K23" i="19"/>
  <c r="J23" i="19"/>
  <c r="I23" i="19"/>
  <c r="F23" i="19"/>
  <c r="E23" i="19"/>
  <c r="D23" i="19"/>
  <c r="N23" i="19" s="1"/>
  <c r="M22" i="19"/>
  <c r="L22" i="19"/>
  <c r="K22" i="19"/>
  <c r="J22" i="19"/>
  <c r="I22" i="19"/>
  <c r="F22" i="19"/>
  <c r="E22" i="19"/>
  <c r="D22" i="19"/>
  <c r="N22" i="19" s="1"/>
  <c r="M21" i="19"/>
  <c r="L21" i="19"/>
  <c r="K21" i="19"/>
  <c r="J21" i="19"/>
  <c r="I21" i="19"/>
  <c r="F21" i="19"/>
  <c r="G21" i="19" s="1"/>
  <c r="E21" i="19"/>
  <c r="D21" i="19"/>
  <c r="N21" i="19" s="1"/>
  <c r="M20" i="19"/>
  <c r="L20" i="19"/>
  <c r="K20" i="19"/>
  <c r="J20" i="19"/>
  <c r="I20" i="19"/>
  <c r="F20" i="19"/>
  <c r="E20" i="19"/>
  <c r="D20" i="19"/>
  <c r="N20" i="19" s="1"/>
  <c r="M19" i="19"/>
  <c r="L19" i="19"/>
  <c r="K19" i="19"/>
  <c r="J19" i="19"/>
  <c r="I19" i="19"/>
  <c r="F19" i="19"/>
  <c r="E19" i="19"/>
  <c r="D19" i="19"/>
  <c r="N19" i="19" s="1"/>
  <c r="M18" i="19"/>
  <c r="L18" i="19"/>
  <c r="K18" i="19"/>
  <c r="J18" i="19"/>
  <c r="I18" i="19"/>
  <c r="G18" i="19"/>
  <c r="F18" i="19"/>
  <c r="E18" i="19"/>
  <c r="D18" i="19"/>
  <c r="N18" i="19" s="1"/>
  <c r="N17" i="19"/>
  <c r="M17" i="19"/>
  <c r="L17" i="19"/>
  <c r="K17" i="19"/>
  <c r="J17" i="19"/>
  <c r="I17" i="19"/>
  <c r="F17" i="19"/>
  <c r="E17" i="19"/>
  <c r="G17" i="19" s="1"/>
  <c r="D17" i="19"/>
  <c r="M16" i="19"/>
  <c r="L16" i="19"/>
  <c r="K16" i="19"/>
  <c r="J16" i="19"/>
  <c r="I16" i="19"/>
  <c r="F16" i="19"/>
  <c r="E16" i="19"/>
  <c r="D16" i="19"/>
  <c r="N16" i="19" s="1"/>
  <c r="N15" i="19"/>
  <c r="M15" i="19"/>
  <c r="L15" i="19"/>
  <c r="K15" i="19"/>
  <c r="J15" i="19"/>
  <c r="I15" i="19"/>
  <c r="F15" i="19"/>
  <c r="E15" i="19"/>
  <c r="D15" i="19"/>
  <c r="M14" i="19"/>
  <c r="L14" i="19"/>
  <c r="K14" i="19"/>
  <c r="J14" i="19"/>
  <c r="I14" i="19"/>
  <c r="F14" i="19"/>
  <c r="E14" i="19"/>
  <c r="D14" i="19"/>
  <c r="N14" i="19" s="1"/>
  <c r="M13" i="19"/>
  <c r="L13" i="19"/>
  <c r="K13" i="19"/>
  <c r="J13" i="19"/>
  <c r="I13" i="19"/>
  <c r="F13" i="19"/>
  <c r="E13" i="19"/>
  <c r="G13" i="19" s="1"/>
  <c r="D13" i="19"/>
  <c r="N13" i="19" s="1"/>
  <c r="N12" i="19"/>
  <c r="M12" i="19"/>
  <c r="L12" i="19"/>
  <c r="K12" i="19"/>
  <c r="J12" i="19"/>
  <c r="I12" i="19"/>
  <c r="F12" i="19"/>
  <c r="E12" i="19"/>
  <c r="D12" i="19"/>
  <c r="M11" i="19"/>
  <c r="L11" i="19"/>
  <c r="K11" i="19"/>
  <c r="J11" i="19"/>
  <c r="I11" i="19"/>
  <c r="F11" i="19"/>
  <c r="E11" i="19"/>
  <c r="G11" i="19" s="1"/>
  <c r="D11" i="19"/>
  <c r="N11" i="19" s="1"/>
  <c r="M10" i="19"/>
  <c r="L10" i="19"/>
  <c r="K10" i="19"/>
  <c r="J10" i="19"/>
  <c r="I10" i="19"/>
  <c r="F10" i="19"/>
  <c r="E10" i="19"/>
  <c r="G10" i="19" s="1"/>
  <c r="D10" i="19"/>
  <c r="N10" i="19" s="1"/>
  <c r="M9" i="19"/>
  <c r="L9" i="19"/>
  <c r="K9" i="19"/>
  <c r="J9" i="19"/>
  <c r="I9" i="19"/>
  <c r="F9" i="19"/>
  <c r="E9" i="19"/>
  <c r="D9" i="19"/>
  <c r="N9" i="19" s="1"/>
  <c r="M8" i="19"/>
  <c r="L8" i="19"/>
  <c r="K8" i="19"/>
  <c r="J8" i="19"/>
  <c r="I8" i="19"/>
  <c r="F8" i="19"/>
  <c r="E8" i="19"/>
  <c r="G8" i="19" s="1"/>
  <c r="D8" i="19"/>
  <c r="N8" i="19" s="1"/>
  <c r="M7" i="19"/>
  <c r="L7" i="19"/>
  <c r="K7" i="19"/>
  <c r="J7" i="19"/>
  <c r="I7" i="19"/>
  <c r="F7" i="19"/>
  <c r="E7" i="19"/>
  <c r="G7" i="19" s="1"/>
  <c r="D7" i="19"/>
  <c r="N7" i="19" s="1"/>
  <c r="M6" i="19"/>
  <c r="L6" i="19"/>
  <c r="K6" i="19"/>
  <c r="J6" i="19"/>
  <c r="I6" i="19"/>
  <c r="F6" i="19"/>
  <c r="E6" i="19"/>
  <c r="D6" i="19"/>
  <c r="N6" i="19" s="1"/>
  <c r="N5" i="19"/>
  <c r="M5" i="19"/>
  <c r="L5" i="19"/>
  <c r="K5" i="19"/>
  <c r="J5" i="19"/>
  <c r="I5" i="19"/>
  <c r="G5" i="19"/>
  <c r="F5" i="19"/>
  <c r="E5" i="19"/>
  <c r="D5" i="19"/>
  <c r="M4" i="19"/>
  <c r="L4" i="19"/>
  <c r="K4" i="19"/>
  <c r="J4" i="19"/>
  <c r="I4" i="19"/>
  <c r="F4" i="19"/>
  <c r="E4" i="19"/>
  <c r="D4" i="19"/>
  <c r="N4" i="19" s="1"/>
  <c r="M3" i="19"/>
  <c r="L3" i="19"/>
  <c r="K3" i="19"/>
  <c r="J3" i="19"/>
  <c r="I3" i="19"/>
  <c r="F3" i="19"/>
  <c r="E3" i="19"/>
  <c r="D3" i="19"/>
  <c r="N3" i="19" s="1"/>
  <c r="M2" i="19"/>
  <c r="L2" i="19"/>
  <c r="K2" i="19"/>
  <c r="J2" i="19"/>
  <c r="I2" i="19"/>
  <c r="D2" i="19"/>
  <c r="N2" i="19" s="1"/>
  <c r="N102" i="17"/>
  <c r="N103" i="17"/>
  <c r="N137" i="17"/>
  <c r="N136" i="17"/>
  <c r="H18" i="17" a="1"/>
  <c r="N146" i="17"/>
  <c r="N53" i="17"/>
  <c r="N51" i="17"/>
  <c r="N50" i="17"/>
  <c r="N64" i="17" a="1"/>
  <c r="N52" i="17"/>
  <c r="N130" i="17"/>
  <c r="N100" i="21"/>
  <c r="N102" i="21"/>
  <c r="N136" i="21"/>
  <c r="N101" i="21"/>
  <c r="N131" i="21"/>
  <c r="N97" i="21"/>
  <c r="N96" i="17"/>
  <c r="N134" i="21"/>
  <c r="N99" i="21"/>
  <c r="N133" i="21"/>
  <c r="N132" i="21"/>
  <c r="N135" i="21"/>
  <c r="N57" i="17"/>
  <c r="N98" i="21"/>
  <c r="H22" i="17"/>
  <c r="N34" i="21" l="1"/>
  <c r="N38" i="21" s="1"/>
  <c r="N39" i="21" s="1"/>
  <c r="Q6" i="21"/>
  <c r="N77" i="21"/>
  <c r="N142" i="21" s="1"/>
  <c r="N124" i="21"/>
  <c r="N123" i="21"/>
  <c r="N107" i="21"/>
  <c r="N110" i="21" s="1"/>
  <c r="N13" i="21"/>
  <c r="N167" i="21"/>
  <c r="Q2" i="21" s="1"/>
  <c r="N166" i="21"/>
  <c r="N168" i="21" s="1"/>
  <c r="N75" i="21"/>
  <c r="H71" i="21" s="1"/>
  <c r="N78" i="21"/>
  <c r="N143" i="21" s="1"/>
  <c r="Q23" i="21"/>
  <c r="N81" i="21"/>
  <c r="N76" i="21"/>
  <c r="N141" i="21" s="1"/>
  <c r="N82" i="21"/>
  <c r="H18" i="17"/>
  <c r="N67" i="17"/>
  <c r="N69" i="17"/>
  <c r="N73" i="17"/>
  <c r="N66" i="17"/>
  <c r="H70" i="17"/>
  <c r="N106" i="17" s="1"/>
  <c r="N109" i="17" s="1"/>
  <c r="N68" i="17"/>
  <c r="G4" i="19"/>
  <c r="G35" i="19"/>
  <c r="G41" i="19"/>
  <c r="G16" i="19"/>
  <c r="G39" i="19"/>
  <c r="G19" i="19"/>
  <c r="G22" i="19"/>
  <c r="G15" i="19"/>
  <c r="G31" i="19"/>
  <c r="G3" i="19"/>
  <c r="G37" i="19"/>
  <c r="G6" i="19"/>
  <c r="G23" i="19"/>
  <c r="G9" i="19"/>
  <c r="G29" i="19"/>
  <c r="G32" i="19"/>
  <c r="N79" i="17"/>
  <c r="N144" i="17" s="1"/>
  <c r="N64" i="17"/>
  <c r="N80" i="17" s="1"/>
  <c r="N78" i="17"/>
  <c r="N151" i="17" s="1"/>
  <c r="G24" i="19"/>
  <c r="G14" i="19"/>
  <c r="G12" i="19"/>
  <c r="G20" i="19"/>
  <c r="G28" i="19"/>
  <c r="G26" i="19"/>
  <c r="G34" i="19"/>
  <c r="N18" i="17"/>
  <c r="H45" i="17" s="1"/>
  <c r="N15" i="17"/>
  <c r="N11" i="17"/>
  <c r="N10" i="17"/>
  <c r="N9" i="17"/>
  <c r="N120" i="17"/>
  <c r="N121" i="17"/>
  <c r="N58" i="17" a="1"/>
  <c r="N124" i="17"/>
  <c r="N91" i="17"/>
  <c r="N92" i="17"/>
  <c r="N97" i="17"/>
  <c r="N90" i="17"/>
  <c r="N127" i="17"/>
  <c r="N131" i="17"/>
  <c r="N139" i="21"/>
  <c r="N140" i="21"/>
  <c r="N105" i="21"/>
  <c r="N93" i="17"/>
  <c r="N59" i="17" a="1"/>
  <c r="N61" i="17" a="1"/>
  <c r="N125" i="17"/>
  <c r="N65" i="17" a="1"/>
  <c r="N106" i="21"/>
  <c r="N126" i="17"/>
  <c r="N60" i="17" a="1"/>
  <c r="H77" i="21" l="1"/>
  <c r="Q19" i="21"/>
  <c r="R19" i="21" s="1"/>
  <c r="N148" i="21"/>
  <c r="H78" i="21"/>
  <c r="N58" i="17"/>
  <c r="N146" i="21"/>
  <c r="H79" i="21"/>
  <c r="N154" i="21"/>
  <c r="H72" i="21"/>
  <c r="N116" i="21" s="1"/>
  <c r="N117" i="21" s="1"/>
  <c r="N151" i="21"/>
  <c r="N149" i="21"/>
  <c r="N14" i="21"/>
  <c r="N3" i="21" s="1"/>
  <c r="N4" i="21" s="1"/>
  <c r="H35" i="21"/>
  <c r="I35" i="21" s="1"/>
  <c r="N150" i="21"/>
  <c r="N115" i="21"/>
  <c r="N118" i="21" s="1"/>
  <c r="N108" i="21"/>
  <c r="N109" i="21" s="1"/>
  <c r="N111" i="21" s="1"/>
  <c r="N112" i="21" s="1"/>
  <c r="H73" i="21" s="1"/>
  <c r="Q9" i="21"/>
  <c r="Q11" i="21"/>
  <c r="R11" i="21" s="1"/>
  <c r="Q10" i="21"/>
  <c r="R10" i="21" s="1"/>
  <c r="Q12" i="21"/>
  <c r="Q14" i="21"/>
  <c r="R14" i="21" s="1"/>
  <c r="Q17" i="21"/>
  <c r="R17" i="21" s="1"/>
  <c r="Q8" i="21"/>
  <c r="R8" i="21" s="1"/>
  <c r="Q4" i="21"/>
  <c r="Q3" i="21"/>
  <c r="R2" i="21"/>
  <c r="N59" i="17"/>
  <c r="N32" i="17"/>
  <c r="N31" i="17"/>
  <c r="N33" i="17" s="1"/>
  <c r="N35" i="17" s="1"/>
  <c r="N36" i="17" s="1"/>
  <c r="N29" i="17"/>
  <c r="N65" i="17"/>
  <c r="N81" i="17" s="1"/>
  <c r="N60" i="17"/>
  <c r="N61" i="17"/>
  <c r="N152" i="17"/>
  <c r="N143" i="17"/>
  <c r="H54" i="17"/>
  <c r="N19" i="17"/>
  <c r="N20" i="17"/>
  <c r="N16" i="17"/>
  <c r="N17" i="17"/>
  <c r="N8" i="17"/>
  <c r="N7" i="17" s="1"/>
  <c r="N13" i="17" s="1"/>
  <c r="N98" i="17"/>
  <c r="N132" i="17"/>
  <c r="N101" i="17"/>
  <c r="N100" i="17"/>
  <c r="N99" i="17"/>
  <c r="N133" i="17"/>
  <c r="N104" i="17"/>
  <c r="N134" i="17"/>
  <c r="N138" i="17"/>
  <c r="N135" i="17"/>
  <c r="N74" i="17" l="1"/>
  <c r="H78" i="17" s="1"/>
  <c r="Q25" i="21"/>
  <c r="R9" i="21"/>
  <c r="Q24" i="21"/>
  <c r="H8" i="21"/>
  <c r="I8" i="21" s="1"/>
  <c r="H7" i="21"/>
  <c r="Q18" i="21"/>
  <c r="R18" i="21" s="1"/>
  <c r="R12" i="21"/>
  <c r="Q13" i="21"/>
  <c r="R13" i="21" s="1"/>
  <c r="N114" i="21"/>
  <c r="N113" i="21"/>
  <c r="N119" i="21"/>
  <c r="N120" i="21" s="1"/>
  <c r="H75" i="21" s="1"/>
  <c r="Q20" i="21"/>
  <c r="R20" i="21" s="1"/>
  <c r="Q5" i="21"/>
  <c r="R3" i="21"/>
  <c r="N75" i="17"/>
  <c r="N148" i="17" s="1"/>
  <c r="N37" i="17"/>
  <c r="N76" i="17"/>
  <c r="N141" i="17" s="1"/>
  <c r="N77" i="17"/>
  <c r="N150" i="17" s="1"/>
  <c r="N145" i="17"/>
  <c r="N153" i="17"/>
  <c r="N22" i="17"/>
  <c r="N21" i="17"/>
  <c r="H49" i="17"/>
  <c r="H48" i="17"/>
  <c r="Q22" i="17"/>
  <c r="Q21" i="17"/>
  <c r="H11" i="17"/>
  <c r="C41" i="17"/>
  <c r="H23" i="17" s="1"/>
  <c r="Q7" i="17"/>
  <c r="Q16" i="17"/>
  <c r="N139" i="17"/>
  <c r="N105" i="17"/>
  <c r="H71" i="17" l="1"/>
  <c r="N147" i="17"/>
  <c r="H92" i="21"/>
  <c r="H90" i="21"/>
  <c r="H95" i="21"/>
  <c r="H89" i="21"/>
  <c r="H91" i="21"/>
  <c r="H96" i="21"/>
  <c r="H84" i="21"/>
  <c r="H82" i="21"/>
  <c r="H87" i="21"/>
  <c r="H81" i="21"/>
  <c r="H83" i="21"/>
  <c r="H88" i="21"/>
  <c r="H76" i="21"/>
  <c r="I76" i="21" s="1"/>
  <c r="H74" i="21"/>
  <c r="I74" i="21" s="1"/>
  <c r="N2" i="21"/>
  <c r="I7" i="21"/>
  <c r="H79" i="17"/>
  <c r="H72" i="17"/>
  <c r="N115" i="17" s="1"/>
  <c r="N140" i="17"/>
  <c r="N149" i="17"/>
  <c r="N142" i="17"/>
  <c r="N28" i="17"/>
  <c r="Q15" i="17" s="1"/>
  <c r="N30" i="17"/>
  <c r="N161" i="17"/>
  <c r="N162" i="17"/>
  <c r="N157" i="17"/>
  <c r="N163" i="17"/>
  <c r="N114" i="17" l="1"/>
  <c r="N117" i="17" s="1"/>
  <c r="N107" i="17"/>
  <c r="N108" i="17" s="1"/>
  <c r="N110" i="17" s="1"/>
  <c r="N111" i="17" s="1"/>
  <c r="H73" i="17" s="1"/>
  <c r="N113" i="17" s="1"/>
  <c r="N5" i="21"/>
  <c r="H3" i="21" s="1"/>
  <c r="N6" i="21"/>
  <c r="N34" i="17"/>
  <c r="N38" i="17" s="1"/>
  <c r="N39" i="17"/>
  <c r="H32" i="17"/>
  <c r="Q6" i="17"/>
  <c r="Q23" i="17"/>
  <c r="H36" i="17"/>
  <c r="N164" i="17"/>
  <c r="N158" i="17"/>
  <c r="H15" i="21" l="1"/>
  <c r="I15" i="21" s="1"/>
  <c r="H13" i="21"/>
  <c r="H20" i="21" s="1"/>
  <c r="H24" i="21"/>
  <c r="H33" i="21"/>
  <c r="I33" i="21" s="1"/>
  <c r="H14" i="21"/>
  <c r="I14" i="21" s="1"/>
  <c r="H12" i="21"/>
  <c r="I12" i="21" s="1"/>
  <c r="H40" i="21"/>
  <c r="I40" i="21" s="1"/>
  <c r="H69" i="21"/>
  <c r="I69" i="21" s="1"/>
  <c r="H99" i="21"/>
  <c r="H62" i="21"/>
  <c r="I62" i="21" s="1"/>
  <c r="H25" i="21"/>
  <c r="I25" i="21" s="1"/>
  <c r="H5" i="21"/>
  <c r="H65" i="21"/>
  <c r="I65" i="21" s="1"/>
  <c r="H31" i="21"/>
  <c r="I31" i="21" s="1"/>
  <c r="H64" i="21"/>
  <c r="I64" i="21" s="1"/>
  <c r="H68" i="21"/>
  <c r="I68" i="21" s="1"/>
  <c r="H29" i="21"/>
  <c r="I3" i="21"/>
  <c r="H41" i="21"/>
  <c r="I41" i="21" s="1"/>
  <c r="H4" i="21"/>
  <c r="H63" i="21"/>
  <c r="I63" i="21" s="1"/>
  <c r="N112" i="17"/>
  <c r="H86" i="17"/>
  <c r="H85" i="17"/>
  <c r="H35" i="17"/>
  <c r="I35" i="17" s="1"/>
  <c r="N14" i="17"/>
  <c r="N160" i="17"/>
  <c r="N166" i="17" s="1"/>
  <c r="N159" i="17"/>
  <c r="N165" i="17" s="1"/>
  <c r="H6" i="21" l="1"/>
  <c r="I4" i="21"/>
  <c r="H42" i="21"/>
  <c r="I42" i="21" s="1"/>
  <c r="H43" i="21"/>
  <c r="I43" i="21" s="1"/>
  <c r="H26" i="21"/>
  <c r="I26" i="21" s="1"/>
  <c r="I99" i="21"/>
  <c r="H101" i="21"/>
  <c r="H100" i="21"/>
  <c r="I13" i="21"/>
  <c r="I29" i="21"/>
  <c r="H30" i="21"/>
  <c r="I30" i="21" s="1"/>
  <c r="I24" i="21"/>
  <c r="H37" i="21"/>
  <c r="I37" i="21" s="1"/>
  <c r="H89" i="17"/>
  <c r="H81" i="17"/>
  <c r="N3" i="17"/>
  <c r="N4" i="17" s="1"/>
  <c r="Q17" i="17"/>
  <c r="N167" i="17"/>
  <c r="Q2" i="17"/>
  <c r="Q9" i="17"/>
  <c r="Q11" i="17"/>
  <c r="R11" i="17" s="1"/>
  <c r="Q10" i="17"/>
  <c r="Q8" i="17"/>
  <c r="I20" i="21" l="1"/>
  <c r="H21" i="21"/>
  <c r="H103" i="21"/>
  <c r="I101" i="21"/>
  <c r="I100" i="21"/>
  <c r="H102" i="21"/>
  <c r="H8" i="17"/>
  <c r="I8" i="17" s="1"/>
  <c r="H7" i="17"/>
  <c r="Q19" i="17"/>
  <c r="R19" i="17" s="1"/>
  <c r="R9" i="17"/>
  <c r="R8" i="17"/>
  <c r="R17" i="17"/>
  <c r="Q3" i="17"/>
  <c r="R2" i="17"/>
  <c r="R10" i="17"/>
  <c r="Q4" i="17"/>
  <c r="H34" i="21" l="1"/>
  <c r="I34" i="21" s="1"/>
  <c r="I21" i="21"/>
  <c r="I7" i="17"/>
  <c r="N2" i="17"/>
  <c r="Q20" i="17"/>
  <c r="R20" i="17" s="1"/>
  <c r="R3" i="17"/>
  <c r="Q5" i="17"/>
  <c r="N5" i="17" l="1"/>
  <c r="H3" i="17" s="1"/>
  <c r="N6" i="17"/>
  <c r="H14" i="17" s="1"/>
  <c r="Q12" i="17"/>
  <c r="R12" i="17" s="1"/>
  <c r="Q14" i="17"/>
  <c r="R14" i="17" s="1"/>
  <c r="H99" i="17" l="1"/>
  <c r="H101" i="17" s="1"/>
  <c r="H24" i="17"/>
  <c r="H37" i="17" s="1"/>
  <c r="I37" i="17" s="1"/>
  <c r="H33" i="17"/>
  <c r="I33" i="17" s="1"/>
  <c r="H13" i="17"/>
  <c r="H15" i="17"/>
  <c r="I15" i="17" s="1"/>
  <c r="H12" i="17"/>
  <c r="I12" i="17" s="1"/>
  <c r="I14" i="17"/>
  <c r="H4" i="17"/>
  <c r="H62" i="17"/>
  <c r="I62" i="17" s="1"/>
  <c r="H69" i="17"/>
  <c r="I69" i="17" s="1"/>
  <c r="H64" i="17"/>
  <c r="I64" i="17" s="1"/>
  <c r="H65" i="17"/>
  <c r="I65" i="17" s="1"/>
  <c r="H31" i="17"/>
  <c r="I31" i="17" s="1"/>
  <c r="H41" i="17"/>
  <c r="I41" i="17" s="1"/>
  <c r="H68" i="17"/>
  <c r="I68" i="17" s="1"/>
  <c r="H40" i="17"/>
  <c r="I40" i="17" s="1"/>
  <c r="H25" i="17"/>
  <c r="I25" i="17" s="1"/>
  <c r="H63" i="17"/>
  <c r="I63" i="17" s="1"/>
  <c r="H5" i="17"/>
  <c r="H29" i="17"/>
  <c r="I3" i="17"/>
  <c r="Q13" i="17"/>
  <c r="R13" i="17" s="1"/>
  <c r="Q18" i="17"/>
  <c r="R18" i="17" s="1"/>
  <c r="I99" i="17" l="1"/>
  <c r="H100" i="17"/>
  <c r="H102" i="17" s="1"/>
  <c r="I101" i="17"/>
  <c r="H103" i="17"/>
  <c r="I24" i="17"/>
  <c r="H26" i="17"/>
  <c r="I26" i="17" s="1"/>
  <c r="H42" i="17"/>
  <c r="I42" i="17" s="1"/>
  <c r="H43" i="17"/>
  <c r="I43" i="17" s="1"/>
  <c r="I4" i="17"/>
  <c r="H6" i="17"/>
  <c r="H20" i="17"/>
  <c r="I13" i="17"/>
  <c r="H30" i="17"/>
  <c r="I30" i="17" s="1"/>
  <c r="I29" i="17"/>
  <c r="Q24" i="17"/>
  <c r="Q25" i="17"/>
  <c r="N48" i="17"/>
  <c r="N88" i="17" s="1"/>
  <c r="N43" i="17"/>
  <c r="N83" i="17" s="1"/>
  <c r="N49" i="17"/>
  <c r="N44" i="17"/>
  <c r="N84" i="17" s="1"/>
  <c r="N45" i="17"/>
  <c r="N85" i="17" s="1"/>
  <c r="I100" i="17" l="1"/>
  <c r="H74" i="17"/>
  <c r="I74" i="17" s="1"/>
  <c r="H56" i="17"/>
  <c r="H91" i="17" s="1"/>
  <c r="H55" i="17"/>
  <c r="H90" i="17" s="1"/>
  <c r="H60" i="17"/>
  <c r="H95" i="17" s="1"/>
  <c r="H57" i="17"/>
  <c r="H92" i="17" s="1"/>
  <c r="H21" i="17"/>
  <c r="I20" i="17"/>
  <c r="N89" i="17"/>
  <c r="N116" i="17"/>
  <c r="N118" i="17" s="1"/>
  <c r="N119" i="17" s="1"/>
  <c r="H84" i="17" l="1"/>
  <c r="H82" i="17"/>
  <c r="N122" i="17"/>
  <c r="H87" i="17"/>
  <c r="H83" i="17"/>
  <c r="H61" i="17"/>
  <c r="H34" i="17"/>
  <c r="I34" i="17" s="1"/>
  <c r="I21" i="17"/>
  <c r="H75" i="17"/>
  <c r="H76" i="17" s="1"/>
  <c r="I76" i="17" s="1"/>
  <c r="H88" i="17" l="1"/>
  <c r="H96" i="17"/>
  <c r="N123" i="17"/>
  <c r="H77" i="1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<sst xmlns="http://schemas.openxmlformats.org/spreadsheetml/2006/main" count="1098" uniqueCount="450">
  <si>
    <t>受板の長さ</t>
    <rPh sb="0" eb="1">
      <t>ウケ</t>
    </rPh>
    <rPh sb="1" eb="2">
      <t>イタ</t>
    </rPh>
    <rPh sb="3" eb="4">
      <t>ナガ</t>
    </rPh>
    <phoneticPr fontId="1"/>
  </si>
  <si>
    <t>l</t>
    <phoneticPr fontId="1"/>
  </si>
  <si>
    <t>σ</t>
    <phoneticPr fontId="1"/>
  </si>
  <si>
    <t>ρ</t>
    <phoneticPr fontId="1"/>
  </si>
  <si>
    <t>受板の半径</t>
    <rPh sb="0" eb="1">
      <t>ウケ</t>
    </rPh>
    <rPh sb="1" eb="2">
      <t>イタ</t>
    </rPh>
    <rPh sb="3" eb="4">
      <t>ハン</t>
    </rPh>
    <rPh sb="4" eb="5">
      <t>ケイ</t>
    </rPh>
    <phoneticPr fontId="1"/>
  </si>
  <si>
    <t>中心湾曲</t>
    <rPh sb="0" eb="2">
      <t>チュウシン</t>
    </rPh>
    <rPh sb="2" eb="4">
      <t>ワン</t>
    </rPh>
    <phoneticPr fontId="1"/>
  </si>
  <si>
    <t>外径</t>
    <rPh sb="0" eb="2">
      <t>ガイケイ</t>
    </rPh>
    <phoneticPr fontId="1"/>
  </si>
  <si>
    <t>トップ振分長</t>
    <rPh sb="3" eb="5">
      <t>フリワ</t>
    </rPh>
    <rPh sb="5" eb="6">
      <t>チョウ</t>
    </rPh>
    <phoneticPr fontId="1"/>
  </si>
  <si>
    <t>ボトム振分長</t>
    <rPh sb="3" eb="5">
      <t>フリ</t>
    </rPh>
    <rPh sb="5" eb="6">
      <t>チョウ</t>
    </rPh>
    <phoneticPr fontId="1"/>
  </si>
  <si>
    <t>外面C側湾曲</t>
    <rPh sb="0" eb="2">
      <t>ガイメン</t>
    </rPh>
    <rPh sb="3" eb="4">
      <t>ガワ</t>
    </rPh>
    <rPh sb="4" eb="6">
      <t>ワンキョク</t>
    </rPh>
    <phoneticPr fontId="1"/>
  </si>
  <si>
    <t>Δ</t>
    <phoneticPr fontId="1"/>
  </si>
  <si>
    <t>BD外径</t>
    <rPh sb="2" eb="4">
      <t>ガイケイ</t>
    </rPh>
    <phoneticPr fontId="1"/>
  </si>
  <si>
    <t>bar l=l-σ/2</t>
    <phoneticPr fontId="1"/>
  </si>
  <si>
    <t>使用スペーサ</t>
    <rPh sb="0" eb="2">
      <t>シヨウ</t>
    </rPh>
    <phoneticPr fontId="1"/>
  </si>
  <si>
    <t>要入力</t>
    <rPh sb="0" eb="3">
      <t>ヨウニュウリョク</t>
    </rPh>
    <phoneticPr fontId="1"/>
  </si>
  <si>
    <t>テーブル・受板中心間距離</t>
    <rPh sb="5" eb="6">
      <t>ウケ</t>
    </rPh>
    <rPh sb="6" eb="7">
      <t>イタ</t>
    </rPh>
    <rPh sb="7" eb="9">
      <t>チュウシン</t>
    </rPh>
    <rPh sb="9" eb="10">
      <t>カン</t>
    </rPh>
    <rPh sb="10" eb="12">
      <t>キョリ</t>
    </rPh>
    <phoneticPr fontId="1"/>
  </si>
  <si>
    <t>湾曲中心トップ端</t>
    <rPh sb="0" eb="2">
      <t>ワンキョク</t>
    </rPh>
    <rPh sb="2" eb="4">
      <t>チュウシン</t>
    </rPh>
    <rPh sb="7" eb="8">
      <t>ハシ</t>
    </rPh>
    <phoneticPr fontId="1"/>
  </si>
  <si>
    <t>外面A側湾曲</t>
    <rPh sb="0" eb="2">
      <t>ガイメン</t>
    </rPh>
    <rPh sb="3" eb="4">
      <t>ガワ</t>
    </rPh>
    <rPh sb="4" eb="6">
      <t>ワンキョク</t>
    </rPh>
    <phoneticPr fontId="1"/>
  </si>
  <si>
    <t>湾曲・受板中心間</t>
    <rPh sb="0" eb="2">
      <t>ワンキョク</t>
    </rPh>
    <rPh sb="3" eb="4">
      <t>ウケ</t>
    </rPh>
    <rPh sb="4" eb="5">
      <t>イタ</t>
    </rPh>
    <rPh sb="5" eb="7">
      <t>チュウシン</t>
    </rPh>
    <rPh sb="7" eb="8">
      <t>カン</t>
    </rPh>
    <phoneticPr fontId="1"/>
  </si>
  <si>
    <t>湾曲中心ボトム端</t>
    <rPh sb="0" eb="2">
      <t>ワンキョク</t>
    </rPh>
    <rPh sb="2" eb="4">
      <t>チュウシン</t>
    </rPh>
    <rPh sb="7" eb="8">
      <t>ハシ</t>
    </rPh>
    <phoneticPr fontId="1"/>
  </si>
  <si>
    <t>内面めっき膜厚</t>
    <rPh sb="0" eb="2">
      <t>ナイメン</t>
    </rPh>
    <rPh sb="5" eb="6">
      <t>マク</t>
    </rPh>
    <rPh sb="6" eb="7">
      <t>アツ</t>
    </rPh>
    <phoneticPr fontId="1"/>
  </si>
  <si>
    <t>ボトム外削A側面肉厚</t>
    <rPh sb="3" eb="5">
      <t>ガイサク</t>
    </rPh>
    <rPh sb="6" eb="7">
      <t>ガワ</t>
    </rPh>
    <rPh sb="7" eb="8">
      <t>メン</t>
    </rPh>
    <rPh sb="8" eb="10">
      <t>ニクアツ</t>
    </rPh>
    <phoneticPr fontId="1"/>
  </si>
  <si>
    <t>通り芯</t>
    <rPh sb="0" eb="1">
      <t>トオ</t>
    </rPh>
    <rPh sb="2" eb="3">
      <t>シン</t>
    </rPh>
    <phoneticPr fontId="1"/>
  </si>
  <si>
    <t>テーブル回転中心X</t>
    <rPh sb="4" eb="8">
      <t>カイテン</t>
    </rPh>
    <phoneticPr fontId="1"/>
  </si>
  <si>
    <t>テーブル回転中心Z</t>
    <rPh sb="4" eb="8">
      <t>カイテン</t>
    </rPh>
    <phoneticPr fontId="1"/>
  </si>
  <si>
    <t>トップ外削A側面肉厚</t>
    <rPh sb="3" eb="5">
      <t>ガイサク</t>
    </rPh>
    <rPh sb="6" eb="7">
      <t>ガワ</t>
    </rPh>
    <rPh sb="7" eb="8">
      <t>メン</t>
    </rPh>
    <rPh sb="8" eb="10">
      <t>ニクアツ</t>
    </rPh>
    <phoneticPr fontId="1"/>
  </si>
  <si>
    <t>モールド移動距離水平</t>
    <rPh sb="4" eb="8">
      <t>イドウ</t>
    </rPh>
    <rPh sb="8" eb="10">
      <t>スイヘイ</t>
    </rPh>
    <phoneticPr fontId="1"/>
  </si>
  <si>
    <t>モールド移動距離鉛直</t>
    <rPh sb="4" eb="8">
      <t>イドウ</t>
    </rPh>
    <rPh sb="8" eb="10">
      <t>エンチョク</t>
    </rPh>
    <phoneticPr fontId="1"/>
  </si>
  <si>
    <t>均等振分スペーサ</t>
    <rPh sb="0" eb="2">
      <t>キントウ</t>
    </rPh>
    <rPh sb="2" eb="4">
      <t>フリワケ</t>
    </rPh>
    <phoneticPr fontId="1"/>
  </si>
  <si>
    <t>両受板中心間（後）</t>
    <rPh sb="0" eb="1">
      <t>リョウ</t>
    </rPh>
    <rPh sb="1" eb="2">
      <t>ウケ</t>
    </rPh>
    <rPh sb="2" eb="3">
      <t>イタ</t>
    </rPh>
    <rPh sb="3" eb="5">
      <t>チュウシン</t>
    </rPh>
    <rPh sb="5" eb="6">
      <t>カン</t>
    </rPh>
    <rPh sb="7" eb="8">
      <t>アト</t>
    </rPh>
    <phoneticPr fontId="1"/>
  </si>
  <si>
    <t>cos</t>
    <phoneticPr fontId="1"/>
  </si>
  <si>
    <t>sin</t>
    <phoneticPr fontId="1"/>
  </si>
  <si>
    <t>トップ端湾曲中心水平距離</t>
    <rPh sb="3" eb="4">
      <t>タン</t>
    </rPh>
    <rPh sb="4" eb="6">
      <t>ワンキョク</t>
    </rPh>
    <rPh sb="6" eb="8">
      <t>チュウシン</t>
    </rPh>
    <rPh sb="8" eb="10">
      <t>スイヘイ</t>
    </rPh>
    <rPh sb="10" eb="12">
      <t>キョリ</t>
    </rPh>
    <phoneticPr fontId="1"/>
  </si>
  <si>
    <t>外面A側トップ端水平距離</t>
    <rPh sb="0" eb="2">
      <t>ガイメン</t>
    </rPh>
    <rPh sb="3" eb="4">
      <t>ガワ</t>
    </rPh>
    <rPh sb="7" eb="8">
      <t>タン</t>
    </rPh>
    <rPh sb="8" eb="10">
      <t>スイヘイ</t>
    </rPh>
    <rPh sb="10" eb="12">
      <t>キョリ</t>
    </rPh>
    <phoneticPr fontId="1"/>
  </si>
  <si>
    <t>外面C側トップ端水平距離</t>
    <rPh sb="0" eb="2">
      <t>ガイメン</t>
    </rPh>
    <rPh sb="3" eb="4">
      <t>ガワ</t>
    </rPh>
    <rPh sb="7" eb="8">
      <t>タン</t>
    </rPh>
    <rPh sb="8" eb="10">
      <t>スイヘイ</t>
    </rPh>
    <rPh sb="10" eb="12">
      <t>キョリ</t>
    </rPh>
    <phoneticPr fontId="1"/>
  </si>
  <si>
    <t>ボトム端湾曲中心水平距離</t>
    <rPh sb="3" eb="4">
      <t>タン</t>
    </rPh>
    <rPh sb="4" eb="6">
      <t>ワンキョク</t>
    </rPh>
    <rPh sb="6" eb="8">
      <t>チュウシン</t>
    </rPh>
    <rPh sb="8" eb="10">
      <t>スイヘイ</t>
    </rPh>
    <rPh sb="10" eb="12">
      <t>キョリ</t>
    </rPh>
    <phoneticPr fontId="1"/>
  </si>
  <si>
    <t>外面A側ボトム端水平距離</t>
    <rPh sb="0" eb="2">
      <t>ガイメン</t>
    </rPh>
    <rPh sb="3" eb="4">
      <t>ガワ</t>
    </rPh>
    <rPh sb="7" eb="8">
      <t>タン</t>
    </rPh>
    <rPh sb="8" eb="10">
      <t>スイヘイ</t>
    </rPh>
    <rPh sb="10" eb="12">
      <t>キョリ</t>
    </rPh>
    <phoneticPr fontId="1"/>
  </si>
  <si>
    <t>外面C側ボトム端水平距離</t>
    <rPh sb="0" eb="2">
      <t>ガイメン</t>
    </rPh>
    <rPh sb="3" eb="4">
      <t>ガワ</t>
    </rPh>
    <rPh sb="7" eb="8">
      <t>タン</t>
    </rPh>
    <rPh sb="8" eb="10">
      <t>スイヘイ</t>
    </rPh>
    <rPh sb="10" eb="12">
      <t>キョリ</t>
    </rPh>
    <phoneticPr fontId="1"/>
  </si>
  <si>
    <t>溝位置</t>
    <rPh sb="0" eb="1">
      <t>ミゾ</t>
    </rPh>
    <rPh sb="1" eb="3">
      <t>イチ</t>
    </rPh>
    <phoneticPr fontId="1"/>
  </si>
  <si>
    <t>溝幅</t>
    <rPh sb="0" eb="1">
      <t>ミゾ</t>
    </rPh>
    <rPh sb="1" eb="2">
      <t>ハバ</t>
    </rPh>
    <phoneticPr fontId="1"/>
  </si>
  <si>
    <t>A側溝深さ（指定時）</t>
    <rPh sb="1" eb="2">
      <t>ガワ</t>
    </rPh>
    <rPh sb="2" eb="3">
      <t>ミゾ</t>
    </rPh>
    <rPh sb="3" eb="4">
      <t>フカ</t>
    </rPh>
    <rPh sb="6" eb="8">
      <t>シテイ</t>
    </rPh>
    <rPh sb="8" eb="9">
      <t>ジ</t>
    </rPh>
    <phoneticPr fontId="1"/>
  </si>
  <si>
    <t>溝AC径</t>
    <rPh sb="0" eb="1">
      <t>ミゾ</t>
    </rPh>
    <rPh sb="3" eb="4">
      <t>ケイ</t>
    </rPh>
    <phoneticPr fontId="1"/>
  </si>
  <si>
    <t>δ/2+I6-I22</t>
    <phoneticPr fontId="1"/>
  </si>
  <si>
    <t>振分中心-溝中央間距離</t>
    <rPh sb="0" eb="2">
      <t>フリワケ</t>
    </rPh>
    <rPh sb="2" eb="4">
      <t>チュウシン</t>
    </rPh>
    <rPh sb="5" eb="6">
      <t>ミゾ</t>
    </rPh>
    <rPh sb="6" eb="8">
      <t>チュウオウ</t>
    </rPh>
    <rPh sb="8" eb="9">
      <t>カン</t>
    </rPh>
    <rPh sb="9" eb="11">
      <t>キョリ</t>
    </rPh>
    <phoneticPr fontId="1"/>
  </si>
  <si>
    <t>湾曲中心-溝中心間距離X</t>
    <rPh sb="0" eb="2">
      <t>ワンキョク</t>
    </rPh>
    <rPh sb="2" eb="4">
      <t>チュウシン</t>
    </rPh>
    <rPh sb="5" eb="6">
      <t>ミゾ</t>
    </rPh>
    <rPh sb="6" eb="8">
      <t>チュウシン</t>
    </rPh>
    <rPh sb="8" eb="9">
      <t>アイダ</t>
    </rPh>
    <rPh sb="9" eb="11">
      <t>キョリ</t>
    </rPh>
    <phoneticPr fontId="1"/>
  </si>
  <si>
    <t>溝中心AC（A側溝深さ基準）</t>
    <rPh sb="0" eb="1">
      <t>ミゾ</t>
    </rPh>
    <rPh sb="1" eb="3">
      <t>チュウシン</t>
    </rPh>
    <rPh sb="7" eb="8">
      <t>ガワ</t>
    </rPh>
    <rPh sb="8" eb="9">
      <t>ミゾ</t>
    </rPh>
    <rPh sb="9" eb="10">
      <t>フカ</t>
    </rPh>
    <rPh sb="11" eb="13">
      <t>キジュン</t>
    </rPh>
    <phoneticPr fontId="1"/>
  </si>
  <si>
    <t>溝中心AC（ボトム外削基準）</t>
    <rPh sb="0" eb="1">
      <t>ミゾ</t>
    </rPh>
    <rPh sb="1" eb="3">
      <t>チュウシン</t>
    </rPh>
    <rPh sb="9" eb="11">
      <t>ガイサク</t>
    </rPh>
    <rPh sb="11" eb="13">
      <t>キジュン</t>
    </rPh>
    <phoneticPr fontId="1"/>
  </si>
  <si>
    <t>溝中心tb</t>
    <rPh sb="0" eb="1">
      <t>ミゾ</t>
    </rPh>
    <rPh sb="1" eb="3">
      <t>チュウシン</t>
    </rPh>
    <phoneticPr fontId="1"/>
  </si>
  <si>
    <t>溝-トップ端 湾曲中心間距離水平</t>
    <rPh sb="0" eb="1">
      <t>ミゾ</t>
    </rPh>
    <rPh sb="5" eb="6">
      <t>タン</t>
    </rPh>
    <rPh sb="7" eb="9">
      <t>ワンキョク</t>
    </rPh>
    <rPh sb="9" eb="11">
      <t>チュウシン</t>
    </rPh>
    <rPh sb="11" eb="12">
      <t>カン</t>
    </rPh>
    <rPh sb="12" eb="14">
      <t>キョリ</t>
    </rPh>
    <rPh sb="14" eb="16">
      <t>スイヘイ</t>
    </rPh>
    <phoneticPr fontId="1"/>
  </si>
  <si>
    <t>溝-トップ端 湾曲中心間距離鉛直</t>
    <rPh sb="0" eb="1">
      <t>ミゾ</t>
    </rPh>
    <rPh sb="5" eb="6">
      <t>タン</t>
    </rPh>
    <rPh sb="7" eb="9">
      <t>ワンキョク</t>
    </rPh>
    <rPh sb="9" eb="11">
      <t>チュウシン</t>
    </rPh>
    <rPh sb="11" eb="12">
      <t>カン</t>
    </rPh>
    <rPh sb="12" eb="14">
      <t>キョリ</t>
    </rPh>
    <rPh sb="14" eb="16">
      <t>エ</t>
    </rPh>
    <phoneticPr fontId="1"/>
  </si>
  <si>
    <t>テーブル回転中心B</t>
    <rPh sb="4" eb="6">
      <t>カイテン</t>
    </rPh>
    <rPh sb="6" eb="8">
      <t>チュウシン</t>
    </rPh>
    <phoneticPr fontId="1"/>
  </si>
  <si>
    <t>溝中心AC（湾曲中心基準）</t>
    <rPh sb="0" eb="1">
      <t>ミゾ</t>
    </rPh>
    <rPh sb="1" eb="3">
      <t>チュウシン</t>
    </rPh>
    <rPh sb="6" eb="8">
      <t>ワンキョク</t>
    </rPh>
    <rPh sb="8" eb="10">
      <t>チュウシン</t>
    </rPh>
    <rPh sb="10" eb="12">
      <t>キジュン</t>
    </rPh>
    <phoneticPr fontId="1"/>
  </si>
  <si>
    <t>トップ端-内面溝１列目間距離</t>
    <rPh sb="3" eb="4">
      <t>タン</t>
    </rPh>
    <rPh sb="5" eb="8">
      <t>ナイメン</t>
    </rPh>
    <rPh sb="9" eb="10">
      <t>レツ</t>
    </rPh>
    <rPh sb="10" eb="11">
      <t>メ</t>
    </rPh>
    <rPh sb="11" eb="12">
      <t>カン</t>
    </rPh>
    <rPh sb="12" eb="14">
      <t>キョリ</t>
    </rPh>
    <phoneticPr fontId="1"/>
  </si>
  <si>
    <t>内面溝ピッチ鉛直</t>
    <rPh sb="0" eb="2">
      <t>ナイメン</t>
    </rPh>
    <rPh sb="2" eb="3">
      <t>ミゾ</t>
    </rPh>
    <rPh sb="6" eb="8">
      <t>エンチョク</t>
    </rPh>
    <phoneticPr fontId="1"/>
  </si>
  <si>
    <t>内面溝ピッチ水平</t>
    <rPh sb="0" eb="2">
      <t>ナイメン</t>
    </rPh>
    <rPh sb="2" eb="3">
      <t>ミゾ</t>
    </rPh>
    <rPh sb="6" eb="8">
      <t>スイヘイ</t>
    </rPh>
    <phoneticPr fontId="1"/>
  </si>
  <si>
    <t>内面溝列数</t>
    <rPh sb="0" eb="3">
      <t>ナイメ</t>
    </rPh>
    <rPh sb="3" eb="4">
      <t>レツ</t>
    </rPh>
    <rPh sb="4" eb="5">
      <t>スウ</t>
    </rPh>
    <phoneticPr fontId="1"/>
  </si>
  <si>
    <t>内面溝１列目個数</t>
    <rPh sb="0" eb="2">
      <t>ナイメン</t>
    </rPh>
    <rPh sb="2" eb="3">
      <t>ミゾ</t>
    </rPh>
    <rPh sb="4" eb="6">
      <t>レツメ</t>
    </rPh>
    <rPh sb="6" eb="8">
      <t>コスウ</t>
    </rPh>
    <phoneticPr fontId="1"/>
  </si>
  <si>
    <t>内面溝２列目個数</t>
    <rPh sb="0" eb="2">
      <t>ナイメン</t>
    </rPh>
    <rPh sb="2" eb="3">
      <t>ミゾ</t>
    </rPh>
    <rPh sb="4" eb="6">
      <t>レツメ</t>
    </rPh>
    <rPh sb="6" eb="8">
      <t>コスウ</t>
    </rPh>
    <phoneticPr fontId="1"/>
  </si>
  <si>
    <t>再振分長トップ</t>
    <rPh sb="0" eb="1">
      <t>サイ</t>
    </rPh>
    <rPh sb="1" eb="3">
      <t>フリワケ</t>
    </rPh>
    <rPh sb="3" eb="4">
      <t>チョウ</t>
    </rPh>
    <phoneticPr fontId="1"/>
  </si>
  <si>
    <t>再振分長ボトム</t>
    <rPh sb="0" eb="1">
      <t>サイ</t>
    </rPh>
    <rPh sb="1" eb="3">
      <t>フリワケ</t>
    </rPh>
    <rPh sb="3" eb="4">
      <t>チョウ</t>
    </rPh>
    <phoneticPr fontId="1"/>
  </si>
  <si>
    <t>再張出長トップ</t>
    <rPh sb="0" eb="1">
      <t>サイ</t>
    </rPh>
    <rPh sb="1" eb="3">
      <t>ハリダシ</t>
    </rPh>
    <rPh sb="3" eb="4">
      <t>チョウ</t>
    </rPh>
    <phoneticPr fontId="1"/>
  </si>
  <si>
    <t>再張出長ボトム</t>
    <rPh sb="0" eb="1">
      <t>サイ</t>
    </rPh>
    <rPh sb="1" eb="3">
      <t>ハリダシ</t>
    </rPh>
    <rPh sb="3" eb="4">
      <t>チョウ</t>
    </rPh>
    <phoneticPr fontId="1"/>
  </si>
  <si>
    <t>外面中心トップ端</t>
    <rPh sb="0" eb="2">
      <t>ガイメン</t>
    </rPh>
    <rPh sb="2" eb="4">
      <t>チュウシン</t>
    </rPh>
    <rPh sb="7" eb="8">
      <t>タン</t>
    </rPh>
    <phoneticPr fontId="1"/>
  </si>
  <si>
    <t>外面中心ボトム端</t>
    <rPh sb="0" eb="2">
      <t>ガイメン</t>
    </rPh>
    <rPh sb="2" eb="4">
      <t>チュウシン</t>
    </rPh>
    <rPh sb="7" eb="8">
      <t>タン</t>
    </rPh>
    <phoneticPr fontId="1"/>
  </si>
  <si>
    <t>2bar l/I8</t>
    <phoneticPr fontId="1"/>
  </si>
  <si>
    <t>δ/I8</t>
    <phoneticPr fontId="1"/>
  </si>
  <si>
    <t>外削中心トップ（ボトム基準）</t>
    <rPh sb="0" eb="2">
      <t>ガイサク</t>
    </rPh>
    <rPh sb="2" eb="4">
      <t>チュウシン</t>
    </rPh>
    <rPh sb="11" eb="13">
      <t>キジュン</t>
    </rPh>
    <phoneticPr fontId="1"/>
  </si>
  <si>
    <t>外削中心トップ（トップ基準）</t>
    <rPh sb="0" eb="2">
      <t>ガイサク</t>
    </rPh>
    <rPh sb="2" eb="4">
      <t>チュウシン</t>
    </rPh>
    <rPh sb="11" eb="13">
      <t>キジュン</t>
    </rPh>
    <phoneticPr fontId="1"/>
  </si>
  <si>
    <t>内面溝加工用傾き角（度）</t>
    <rPh sb="0" eb="3">
      <t>ナイ</t>
    </rPh>
    <rPh sb="3" eb="6">
      <t>カコウヨウ</t>
    </rPh>
    <rPh sb="6" eb="7">
      <t>カタム</t>
    </rPh>
    <rPh sb="8" eb="9">
      <t>カク</t>
    </rPh>
    <rPh sb="10" eb="11">
      <t>ド</t>
    </rPh>
    <phoneticPr fontId="1"/>
  </si>
  <si>
    <t>傾き後湾曲中心トップ端X</t>
    <rPh sb="0" eb="1">
      <t>カタム</t>
    </rPh>
    <rPh sb="2" eb="3">
      <t>ゴ</t>
    </rPh>
    <rPh sb="3" eb="7">
      <t>ワン</t>
    </rPh>
    <rPh sb="10" eb="11">
      <t>タン</t>
    </rPh>
    <phoneticPr fontId="1"/>
  </si>
  <si>
    <t>傾き後湾曲中心トップ端Z</t>
    <rPh sb="0" eb="1">
      <t>カタム</t>
    </rPh>
    <rPh sb="2" eb="3">
      <t>ゴ</t>
    </rPh>
    <rPh sb="3" eb="7">
      <t>ワン</t>
    </rPh>
    <rPh sb="10" eb="11">
      <t>タン</t>
    </rPh>
    <phoneticPr fontId="1"/>
  </si>
  <si>
    <t>外削中心ボトム（概算）</t>
    <rPh sb="0" eb="2">
      <t>ガイサク</t>
    </rPh>
    <rPh sb="2" eb="4">
      <t>チュウシン</t>
    </rPh>
    <rPh sb="8" eb="10">
      <t>ガイサン</t>
    </rPh>
    <phoneticPr fontId="1"/>
  </si>
  <si>
    <t>ジグの底Y</t>
    <rPh sb="3" eb="4">
      <t>ソコ</t>
    </rPh>
    <phoneticPr fontId="1"/>
  </si>
  <si>
    <t>中心Y</t>
    <rPh sb="0" eb="2">
      <t>チ</t>
    </rPh>
    <phoneticPr fontId="1"/>
  </si>
  <si>
    <t>AC外径</t>
    <rPh sb="2" eb="4">
      <t>ガイケイ</t>
    </rPh>
    <phoneticPr fontId="1"/>
  </si>
  <si>
    <t>I21*I9</t>
    <phoneticPr fontId="1"/>
  </si>
  <si>
    <t>I21*I10</t>
    <phoneticPr fontId="1"/>
  </si>
  <si>
    <t>両受板中心間（δ=0）</t>
    <rPh sb="0" eb="1">
      <t>リョウ</t>
    </rPh>
    <rPh sb="1" eb="2">
      <t>ウケ</t>
    </rPh>
    <rPh sb="2" eb="3">
      <t>イタ</t>
    </rPh>
    <rPh sb="3" eb="5">
      <t>チュウシン</t>
    </rPh>
    <rPh sb="5" eb="6">
      <t>カン</t>
    </rPh>
    <phoneticPr fontId="1"/>
  </si>
  <si>
    <t>Δ'</t>
    <phoneticPr fontId="1"/>
  </si>
  <si>
    <t>θ</t>
    <phoneticPr fontId="1"/>
  </si>
  <si>
    <t>振分用回転角(rad)</t>
    <rPh sb="0" eb="3">
      <t>フリ</t>
    </rPh>
    <rPh sb="3" eb="5">
      <t>カイテン</t>
    </rPh>
    <rPh sb="5" eb="6">
      <t>カク</t>
    </rPh>
    <phoneticPr fontId="1"/>
  </si>
  <si>
    <t>均等振分角度(rad)</t>
    <rPh sb="0" eb="2">
      <t>キントウ</t>
    </rPh>
    <rPh sb="2" eb="4">
      <t>フリワケ</t>
    </rPh>
    <rPh sb="4" eb="6">
      <t>カクド</t>
    </rPh>
    <phoneticPr fontId="1"/>
  </si>
  <si>
    <t>sinθ</t>
    <phoneticPr fontId="1"/>
  </si>
  <si>
    <t>sinθ'</t>
    <phoneticPr fontId="1"/>
  </si>
  <si>
    <t>cosθ</t>
    <phoneticPr fontId="1"/>
  </si>
  <si>
    <t>トップ端 内中心-A側内面 間距離</t>
    <rPh sb="3" eb="4">
      <t>タン</t>
    </rPh>
    <rPh sb="5" eb="6">
      <t>ウチ</t>
    </rPh>
    <rPh sb="6" eb="8">
      <t>チュウシン</t>
    </rPh>
    <rPh sb="10" eb="11">
      <t>ガワ</t>
    </rPh>
    <rPh sb="11" eb="13">
      <t>ナイメン</t>
    </rPh>
    <rPh sb="14" eb="15">
      <t>カン</t>
    </rPh>
    <rPh sb="15" eb="17">
      <t>キョリ</t>
    </rPh>
    <phoneticPr fontId="1"/>
  </si>
  <si>
    <t>溝幅中央-トップ端 間距離</t>
    <rPh sb="0" eb="1">
      <t>ミゾ</t>
    </rPh>
    <rPh sb="1" eb="2">
      <t>ハバ</t>
    </rPh>
    <rPh sb="2" eb="4">
      <t>チュウ</t>
    </rPh>
    <rPh sb="8" eb="9">
      <t>タン</t>
    </rPh>
    <rPh sb="10" eb="11">
      <t>カン</t>
    </rPh>
    <rPh sb="11" eb="13">
      <t>キョリ</t>
    </rPh>
    <phoneticPr fontId="1"/>
  </si>
  <si>
    <t>溝幅中央-トップ端 湾曲中心 間水平距離</t>
    <rPh sb="0" eb="1">
      <t>ミゾ</t>
    </rPh>
    <rPh sb="1" eb="2">
      <t>ハバ</t>
    </rPh>
    <rPh sb="2" eb="4">
      <t>チュウオウ</t>
    </rPh>
    <rPh sb="8" eb="9">
      <t>タン</t>
    </rPh>
    <rPh sb="10" eb="12">
      <t>ワンキョク</t>
    </rPh>
    <rPh sb="12" eb="14">
      <t>チュウシン</t>
    </rPh>
    <rPh sb="15" eb="16">
      <t>カン</t>
    </rPh>
    <rPh sb="16" eb="18">
      <t>スイヘイ</t>
    </rPh>
    <rPh sb="18" eb="20">
      <t>キョリ</t>
    </rPh>
    <phoneticPr fontId="1"/>
  </si>
  <si>
    <t>トップ端-溝中央 間距離</t>
    <rPh sb="3" eb="4">
      <t>タン</t>
    </rPh>
    <rPh sb="5" eb="6">
      <t>ミゾ</t>
    </rPh>
    <rPh sb="6" eb="8">
      <t>チュウオウ</t>
    </rPh>
    <rPh sb="9" eb="10">
      <t>カン</t>
    </rPh>
    <rPh sb="10" eb="12">
      <t>ky</t>
    </rPh>
    <phoneticPr fontId="1"/>
  </si>
  <si>
    <t>ボトム外径中心-O 間水平距離</t>
    <rPh sb="3" eb="5">
      <t>ガイケイ</t>
    </rPh>
    <rPh sb="5" eb="7">
      <t>チュウシン</t>
    </rPh>
    <rPh sb="10" eb="11">
      <t>カン</t>
    </rPh>
    <rPh sb="11" eb="13">
      <t>スイヘイ</t>
    </rPh>
    <rPh sb="13" eb="15">
      <t>キョリ</t>
    </rPh>
    <phoneticPr fontId="1"/>
  </si>
  <si>
    <t>トップ外径中心-O 間水平距離</t>
    <rPh sb="3" eb="5">
      <t>ガイケイ</t>
    </rPh>
    <rPh sb="5" eb="7">
      <t>チュウシン</t>
    </rPh>
    <rPh sb="10" eb="11">
      <t>カン</t>
    </rPh>
    <rPh sb="11" eb="13">
      <t>スイヘイ</t>
    </rPh>
    <rPh sb="13" eb="15">
      <t>キョリ</t>
    </rPh>
    <phoneticPr fontId="1"/>
  </si>
  <si>
    <t>溝中心AC（トップ外削基準）</t>
    <rPh sb="0" eb="1">
      <t>ミゾ</t>
    </rPh>
    <rPh sb="1" eb="3">
      <t>チュウシン</t>
    </rPh>
    <rPh sb="9" eb="11">
      <t>ガイサク</t>
    </rPh>
    <rPh sb="11" eb="13">
      <t>キジュン</t>
    </rPh>
    <phoneticPr fontId="1"/>
  </si>
  <si>
    <t>溝中央A側</t>
    <rPh sb="0" eb="1">
      <t>ミゾ</t>
    </rPh>
    <rPh sb="1" eb="3">
      <t>チュウオウ</t>
    </rPh>
    <phoneticPr fontId="1"/>
  </si>
  <si>
    <t>溝中央C側</t>
    <rPh sb="0" eb="1">
      <t>ミゾ</t>
    </rPh>
    <rPh sb="1" eb="3">
      <t>チュウオウ</t>
    </rPh>
    <phoneticPr fontId="1"/>
  </si>
  <si>
    <t>湾曲・テーブル両中心間距離</t>
    <rPh sb="0" eb="2">
      <t>ワンキョク</t>
    </rPh>
    <rPh sb="7" eb="8">
      <t>リョウ</t>
    </rPh>
    <rPh sb="8" eb="10">
      <t>チュウシン</t>
    </rPh>
    <rPh sb="10" eb="11">
      <t>カン</t>
    </rPh>
    <rPh sb="11" eb="13">
      <t>キョリ</t>
    </rPh>
    <phoneticPr fontId="1"/>
  </si>
  <si>
    <t>ボトム端 内中心-A側内面 間（負）距離</t>
    <rPh sb="3" eb="4">
      <t>タン</t>
    </rPh>
    <rPh sb="5" eb="6">
      <t>ウチ</t>
    </rPh>
    <rPh sb="6" eb="8">
      <t>チュウシン</t>
    </rPh>
    <rPh sb="10" eb="11">
      <t>ガワ</t>
    </rPh>
    <rPh sb="11" eb="13">
      <t>ナイメン</t>
    </rPh>
    <rPh sb="14" eb="15">
      <t>カン</t>
    </rPh>
    <rPh sb="16" eb="17">
      <t>フ</t>
    </rPh>
    <rPh sb="18" eb="20">
      <t>キョリ</t>
    </rPh>
    <phoneticPr fontId="1"/>
  </si>
  <si>
    <t>トップ外削深さ</t>
    <rPh sb="3" eb="5">
      <t>ガイサク</t>
    </rPh>
    <rPh sb="5" eb="6">
      <t>フカ</t>
    </rPh>
    <phoneticPr fontId="1"/>
  </si>
  <si>
    <t>ボトム外削深さ</t>
    <rPh sb="3" eb="5">
      <t>ガイサク</t>
    </rPh>
    <rPh sb="5" eb="6">
      <t>フカ</t>
    </rPh>
    <phoneticPr fontId="1"/>
  </si>
  <si>
    <t>機械座標</t>
    <rPh sb="0" eb="2">
      <t>キカイ</t>
    </rPh>
    <rPh sb="2" eb="4">
      <t>ザヒョウ</t>
    </rPh>
    <phoneticPr fontId="1"/>
  </si>
  <si>
    <t>[溝位置+溝幅]-トップ端距離</t>
    <rPh sb="1" eb="2">
      <t>ミゾ</t>
    </rPh>
    <rPh sb="2" eb="4">
      <t>イチ</t>
    </rPh>
    <rPh sb="5" eb="7">
      <t>ミゾハバ</t>
    </rPh>
    <rPh sb="12" eb="13">
      <t>タン</t>
    </rPh>
    <rPh sb="13" eb="15">
      <t>キョリ</t>
    </rPh>
    <phoneticPr fontId="1"/>
  </si>
  <si>
    <t>面取C トップ 内 深さ</t>
    <rPh sb="0" eb="2">
      <t>メントリ</t>
    </rPh>
    <rPh sb="8" eb="9">
      <t>ウチ</t>
    </rPh>
    <rPh sb="10" eb="11">
      <t>フカ</t>
    </rPh>
    <phoneticPr fontId="1"/>
  </si>
  <si>
    <t>面取C トップ 外 深さ</t>
    <rPh sb="0" eb="2">
      <t>メントリ</t>
    </rPh>
    <rPh sb="8" eb="9">
      <t>ソト</t>
    </rPh>
    <rPh sb="10" eb="11">
      <t>フカ</t>
    </rPh>
    <phoneticPr fontId="1"/>
  </si>
  <si>
    <t>面取C ボトム 外 深さ</t>
    <rPh sb="0" eb="2">
      <t>メントリ</t>
    </rPh>
    <rPh sb="8" eb="9">
      <t>ソト</t>
    </rPh>
    <rPh sb="10" eb="11">
      <t>フカ</t>
    </rPh>
    <phoneticPr fontId="1"/>
  </si>
  <si>
    <t>面取C ボトム 内 深さ</t>
    <rPh sb="0" eb="2">
      <t>メントリ</t>
    </rPh>
    <rPh sb="8" eb="9">
      <t>ウチ</t>
    </rPh>
    <rPh sb="10" eb="11">
      <t>フカ</t>
    </rPh>
    <phoneticPr fontId="1"/>
  </si>
  <si>
    <t>中心 外削 ボトム（概算）</t>
    <rPh sb="10" eb="12">
      <t>ガイサン</t>
    </rPh>
    <phoneticPr fontId="1"/>
  </si>
  <si>
    <t>中心 外削 トップ（ボトム基準）</t>
    <rPh sb="13" eb="15">
      <t>キジュン</t>
    </rPh>
    <phoneticPr fontId="1"/>
  </si>
  <si>
    <t>中心 外削 トップ（トップ基準）</t>
    <rPh sb="13" eb="15">
      <t>キジュン</t>
    </rPh>
    <phoneticPr fontId="1"/>
  </si>
  <si>
    <t>外削 トップ 先端</t>
    <rPh sb="7" eb="9">
      <t>センタン</t>
    </rPh>
    <phoneticPr fontId="1"/>
  </si>
  <si>
    <t>外削 ボトム 先端</t>
    <rPh sb="7" eb="9">
      <t>センタン</t>
    </rPh>
    <phoneticPr fontId="1"/>
  </si>
  <si>
    <t>ボトム端-面取先端 湾曲中心間水平距離</t>
    <rPh sb="3" eb="4">
      <t>タン</t>
    </rPh>
    <rPh sb="7" eb="9">
      <t>センタン</t>
    </rPh>
    <rPh sb="10" eb="12">
      <t>ワンキョク</t>
    </rPh>
    <rPh sb="12" eb="14">
      <t>チュウシン</t>
    </rPh>
    <rPh sb="14" eb="15">
      <t>カン</t>
    </rPh>
    <rPh sb="15" eb="19">
      <t>スイヘイ</t>
    </rPh>
    <phoneticPr fontId="1"/>
  </si>
  <si>
    <t>振分</t>
    <rPh sb="0" eb="2">
      <t>フリワ</t>
    </rPh>
    <phoneticPr fontId="1"/>
  </si>
  <si>
    <t>溝</t>
    <rPh sb="0" eb="1">
      <t>ミゾ</t>
    </rPh>
    <phoneticPr fontId="1"/>
  </si>
  <si>
    <t>内面溝</t>
    <rPh sb="0" eb="2">
      <t>ナイメン</t>
    </rPh>
    <rPh sb="2" eb="3">
      <t>ミゾ</t>
    </rPh>
    <phoneticPr fontId="1"/>
  </si>
  <si>
    <t>外削</t>
    <rPh sb="0" eb="2">
      <t>ガイサク</t>
    </rPh>
    <phoneticPr fontId="1"/>
  </si>
  <si>
    <t>両外削</t>
    <rPh sb="0" eb="1">
      <t>リョウ</t>
    </rPh>
    <rPh sb="1" eb="2">
      <t>ガイ</t>
    </rPh>
    <rPh sb="2" eb="3">
      <t>サク</t>
    </rPh>
    <phoneticPr fontId="1"/>
  </si>
  <si>
    <t>振分けテーブル回転の場合</t>
    <rPh sb="0" eb="3">
      <t>h</t>
    </rPh>
    <rPh sb="7" eb="9">
      <t>カイテン</t>
    </rPh>
    <rPh sb="10" eb="12">
      <t>バアイ</t>
    </rPh>
    <phoneticPr fontId="1"/>
  </si>
  <si>
    <t>振分けスペーサの場合</t>
    <rPh sb="0" eb="3">
      <t>フリ</t>
    </rPh>
    <rPh sb="8" eb="10">
      <t>バアイ</t>
    </rPh>
    <phoneticPr fontId="1"/>
  </si>
  <si>
    <t>-</t>
    <phoneticPr fontId="1"/>
  </si>
  <si>
    <t>Y中心</t>
    <rPh sb="1" eb="3">
      <t>チ</t>
    </rPh>
    <phoneticPr fontId="1"/>
  </si>
  <si>
    <t>X中心 外 トップ端</t>
    <rPh sb="1" eb="3">
      <t>チュウシン</t>
    </rPh>
    <rPh sb="4" eb="5">
      <t>ソト</t>
    </rPh>
    <phoneticPr fontId="1"/>
  </si>
  <si>
    <t xml:space="preserve">X湾曲中心 トップ端 </t>
    <rPh sb="9" eb="10">
      <t>タン</t>
    </rPh>
    <phoneticPr fontId="1"/>
  </si>
  <si>
    <t>X中心 外 ボトム端</t>
    <rPh sb="9" eb="10">
      <t>タン</t>
    </rPh>
    <phoneticPr fontId="1"/>
  </si>
  <si>
    <t>X湾曲中心 ボトム端</t>
    <phoneticPr fontId="1"/>
  </si>
  <si>
    <t>Z</t>
    <phoneticPr fontId="1"/>
  </si>
  <si>
    <t>B</t>
    <phoneticPr fontId="1"/>
  </si>
  <si>
    <t>Y</t>
    <phoneticPr fontId="1"/>
  </si>
  <si>
    <t>X</t>
    <phoneticPr fontId="1"/>
  </si>
  <si>
    <t>C面取</t>
    <rPh sb="1" eb="3">
      <t>メントリ</t>
    </rPh>
    <phoneticPr fontId="1"/>
  </si>
  <si>
    <t>外径・湾曲中心</t>
    <rPh sb="0" eb="2">
      <t>ガイケイ</t>
    </rPh>
    <rPh sb="3" eb="5">
      <t>ワン</t>
    </rPh>
    <rPh sb="5" eb="7">
      <t>チュウシン</t>
    </rPh>
    <phoneticPr fontId="1"/>
  </si>
  <si>
    <t>溝中心AC（A溝深さ基準）</t>
    <rPh sb="0" eb="1">
      <t>ミゾ</t>
    </rPh>
    <rPh sb="1" eb="3">
      <t>チュウシン</t>
    </rPh>
    <rPh sb="7" eb="8">
      <t>ミゾ</t>
    </rPh>
    <rPh sb="8" eb="9">
      <t>フカ</t>
    </rPh>
    <rPh sb="10" eb="12">
      <t>キジュン</t>
    </rPh>
    <phoneticPr fontId="1"/>
  </si>
  <si>
    <t>溝中心AC（A溝深さ基準）-A側外面距離</t>
    <rPh sb="0" eb="1">
      <t>ミゾ</t>
    </rPh>
    <rPh sb="1" eb="3">
      <t>チュウシン</t>
    </rPh>
    <rPh sb="7" eb="8">
      <t>ミゾ</t>
    </rPh>
    <rPh sb="8" eb="9">
      <t>フカ</t>
    </rPh>
    <rPh sb="10" eb="12">
      <t>キジュン</t>
    </rPh>
    <rPh sb="15" eb="16">
      <t>ガワ</t>
    </rPh>
    <rPh sb="16" eb="18">
      <t>ガイメン</t>
    </rPh>
    <rPh sb="18" eb="20">
      <t>キョ</t>
    </rPh>
    <phoneticPr fontId="1"/>
  </si>
  <si>
    <t>ジグ・テーブル寸法, その他</t>
    <rPh sb="7" eb="9">
      <t>スンポウ</t>
    </rPh>
    <rPh sb="13" eb="14">
      <t>タ</t>
    </rPh>
    <phoneticPr fontId="1"/>
  </si>
  <si>
    <t>トップ 内面取 角度(deg)</t>
    <rPh sb="4" eb="5">
      <t>ウチ</t>
    </rPh>
    <rPh sb="5" eb="7">
      <t>メントリ</t>
    </rPh>
    <rPh sb="8" eb="10">
      <t>カクド</t>
    </rPh>
    <phoneticPr fontId="1"/>
  </si>
  <si>
    <t>ボトム 外面取 深さ</t>
    <rPh sb="4" eb="5">
      <t>ソト</t>
    </rPh>
    <rPh sb="5" eb="7">
      <t>メントリ</t>
    </rPh>
    <rPh sb="8" eb="9">
      <t>フカ</t>
    </rPh>
    <phoneticPr fontId="1"/>
  </si>
  <si>
    <t>ボトム 外面取 角度(deg)</t>
    <rPh sb="4" eb="5">
      <t>ソト</t>
    </rPh>
    <rPh sb="5" eb="7">
      <t>メントリ</t>
    </rPh>
    <rPh sb="8" eb="10">
      <t>カクド</t>
    </rPh>
    <phoneticPr fontId="1"/>
  </si>
  <si>
    <t>ボトム 内面取 深さ</t>
    <rPh sb="4" eb="5">
      <t>ウチ</t>
    </rPh>
    <rPh sb="5" eb="7">
      <t>メントリ</t>
    </rPh>
    <rPh sb="8" eb="9">
      <t>フカ</t>
    </rPh>
    <phoneticPr fontId="1"/>
  </si>
  <si>
    <t>ボトム 内面取 角度(deg)</t>
    <rPh sb="4" eb="5">
      <t>ウチ</t>
    </rPh>
    <rPh sb="5" eb="7">
      <t>メントリ</t>
    </rPh>
    <rPh sb="8" eb="10">
      <t>カクド</t>
    </rPh>
    <phoneticPr fontId="1"/>
  </si>
  <si>
    <t>トップ 外面取 深さ</t>
    <rPh sb="4" eb="5">
      <t>ソト</t>
    </rPh>
    <rPh sb="6" eb="7">
      <t>トリ</t>
    </rPh>
    <rPh sb="8" eb="9">
      <t>フカ</t>
    </rPh>
    <phoneticPr fontId="1"/>
  </si>
  <si>
    <t>トップ 外面取 角度(deg)</t>
    <rPh sb="4" eb="5">
      <t>ソト</t>
    </rPh>
    <rPh sb="5" eb="7">
      <t>メントリ</t>
    </rPh>
    <rPh sb="8" eb="10">
      <t>カクド</t>
    </rPh>
    <phoneticPr fontId="1"/>
  </si>
  <si>
    <t>トップ 内面取 深さ</t>
    <rPh sb="4" eb="5">
      <t>ウチ</t>
    </rPh>
    <rPh sb="5" eb="7">
      <t>メントリ</t>
    </rPh>
    <rPh sb="8" eb="9">
      <t>フカ</t>
    </rPh>
    <phoneticPr fontId="1"/>
  </si>
  <si>
    <t>内面溝列（全明細中）最大数</t>
    <rPh sb="0" eb="2">
      <t>ナイメン</t>
    </rPh>
    <rPh sb="2" eb="3">
      <t>ミゾ</t>
    </rPh>
    <rPh sb="3" eb="4">
      <t>レツ</t>
    </rPh>
    <rPh sb="5" eb="6">
      <t>ゼン</t>
    </rPh>
    <rPh sb="6" eb="8">
      <t>メイサイ</t>
    </rPh>
    <rPh sb="8" eb="9">
      <t>チュウ</t>
    </rPh>
    <rPh sb="10" eb="13">
      <t>サイダイスウ</t>
    </rPh>
    <phoneticPr fontId="1"/>
  </si>
  <si>
    <t>トップ端 AC内径</t>
    <rPh sb="3" eb="4">
      <t>タン</t>
    </rPh>
    <rPh sb="7" eb="9">
      <t>ナイケイ</t>
    </rPh>
    <phoneticPr fontId="1"/>
  </si>
  <si>
    <t>q</t>
    <phoneticPr fontId="1"/>
  </si>
  <si>
    <t>ボトム端 AC内径</t>
    <rPh sb="3" eb="4">
      <t>タン</t>
    </rPh>
    <rPh sb="7" eb="9">
      <t>ナイケイ</t>
    </rPh>
    <phoneticPr fontId="1"/>
  </si>
  <si>
    <t>qのC側内面R</t>
    <rPh sb="3" eb="4">
      <t>ガワ</t>
    </rPh>
    <rPh sb="4" eb="6">
      <t>ナイメン</t>
    </rPh>
    <phoneticPr fontId="1"/>
  </si>
  <si>
    <t>m列目のC側内面R</t>
    <rPh sb="1" eb="2">
      <t>レツ</t>
    </rPh>
    <rPh sb="2" eb="3">
      <t>メ</t>
    </rPh>
    <rPh sb="5" eb="6">
      <t>ガワ</t>
    </rPh>
    <rPh sb="6" eb="8">
      <t>ナイメン</t>
    </rPh>
    <phoneticPr fontId="1"/>
  </si>
  <si>
    <t>m</t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</si>
  <si>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λ</t>
    </r>
    <r>
      <rPr>
        <vertAlign val="subscript"/>
        <sz val="8"/>
        <color theme="1"/>
        <rFont val="メイリオ"/>
        <family val="3"/>
        <charset val="128"/>
      </rPr>
      <t>j+1</t>
    </r>
    <phoneticPr fontId="1"/>
  </si>
  <si>
    <r>
      <t>q-λ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</si>
  <si>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</t>
    </r>
    <phoneticPr fontId="1"/>
  </si>
  <si>
    <r>
      <t>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</si>
  <si>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Φ</t>
    </r>
    <r>
      <rPr>
        <vertAlign val="subscript"/>
        <sz val="8"/>
        <color theme="1"/>
        <rFont val="メイリオ"/>
        <family val="3"/>
        <charset val="128"/>
      </rPr>
      <t>A</t>
    </r>
    <r>
      <rPr>
        <sz val="8"/>
        <color theme="1"/>
        <rFont val="メイリオ"/>
        <family val="3"/>
        <charset val="128"/>
      </rPr>
      <t xml:space="preserve"> (rad)</t>
    </r>
    <phoneticPr fontId="1"/>
  </si>
  <si>
    <r>
      <t>Φ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 xml:space="preserve"> (rad)</t>
    </r>
    <phoneticPr fontId="1"/>
  </si>
  <si>
    <t>振分中心-内面溝m列目間距離</t>
    <rPh sb="0" eb="2">
      <t>フリワケ</t>
    </rPh>
    <rPh sb="2" eb="4">
      <t>チュウシン</t>
    </rPh>
    <rPh sb="5" eb="8">
      <t>ナイメン</t>
    </rPh>
    <rPh sb="9" eb="10">
      <t>レツ</t>
    </rPh>
    <rPh sb="10" eb="11">
      <t>メ</t>
    </rPh>
    <rPh sb="11" eb="12">
      <t>カン</t>
    </rPh>
    <rPh sb="12" eb="14">
      <t>キョリ</t>
    </rPh>
    <phoneticPr fontId="1"/>
  </si>
  <si>
    <t>振分中心-内面溝m-1列目間距離</t>
    <rPh sb="0" eb="2">
      <t>フリワケ</t>
    </rPh>
    <rPh sb="2" eb="4">
      <t>チュウシン</t>
    </rPh>
    <rPh sb="5" eb="8">
      <t>ナイメン</t>
    </rPh>
    <rPh sb="11" eb="12">
      <t>レツ</t>
    </rPh>
    <rPh sb="12" eb="13">
      <t>メ</t>
    </rPh>
    <rPh sb="13" eb="14">
      <t>カン</t>
    </rPh>
    <rPh sb="14" eb="16">
      <t>キョリ</t>
    </rPh>
    <phoneticPr fontId="1"/>
  </si>
  <si>
    <t>内面溝m列目の長さ</t>
    <rPh sb="0" eb="3">
      <t>ナイメ</t>
    </rPh>
    <rPh sb="4" eb="5">
      <t>レツ</t>
    </rPh>
    <rPh sb="5" eb="6">
      <t>メ</t>
    </rPh>
    <rPh sb="7" eb="8">
      <t>ナガ</t>
    </rPh>
    <phoneticPr fontId="1"/>
  </si>
  <si>
    <t>内面溝m-1列目の長さ</t>
    <rPh sb="0" eb="3">
      <t>ナイメ</t>
    </rPh>
    <rPh sb="6" eb="7">
      <t>レツ</t>
    </rPh>
    <rPh sb="7" eb="8">
      <t>メ</t>
    </rPh>
    <rPh sb="9" eb="10">
      <t>ナガ</t>
    </rPh>
    <phoneticPr fontId="1"/>
  </si>
  <si>
    <t>湾曲・振分</t>
    <rPh sb="0" eb="2">
      <t>ワンキョク</t>
    </rPh>
    <rPh sb="3" eb="5">
      <t>フリワ</t>
    </rPh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</si>
  <si>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c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</si>
  <si>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</si>
  <si>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b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</si>
  <si>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sz val="8"/>
        <color theme="1"/>
        <rFont val="メイリオ"/>
        <family val="3"/>
        <charset val="128"/>
      </rPr>
      <t>'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-bar l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</si>
  <si>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i</t>
    </r>
    <r>
      <rPr>
        <sz val="8"/>
        <color theme="1"/>
        <rFont val="メイリオ"/>
        <family val="3"/>
        <charset val="128"/>
      </rPr>
      <t>'=R</t>
    </r>
    <r>
      <rPr>
        <vertAlign val="subscript"/>
        <sz val="8"/>
        <color theme="1"/>
        <rFont val="メイリオ"/>
        <family val="3"/>
        <charset val="128"/>
      </rPr>
      <t>i</t>
    </r>
    <r>
      <rPr>
        <sz val="8"/>
        <color theme="1"/>
        <rFont val="メイリオ"/>
        <family val="3"/>
        <charset val="128"/>
      </rPr>
      <t>-ρ</t>
    </r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</si>
  <si>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i</t>
    </r>
    <r>
      <rPr>
        <sz val="8"/>
        <color theme="1"/>
        <rFont val="メイリオ"/>
        <family val="3"/>
        <charset val="128"/>
      </rPr>
      <t>=R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-w/2</t>
    </r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</si>
  <si>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o</t>
    </r>
    <r>
      <rPr>
        <sz val="8"/>
        <color theme="1"/>
        <rFont val="メイリオ"/>
        <family val="3"/>
        <charset val="128"/>
      </rPr>
      <t>=R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+w/2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</si>
  <si>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d</t>
    </r>
    <r>
      <rPr>
        <sz val="8"/>
        <color theme="1"/>
        <rFont val="メイリオ"/>
        <family val="3"/>
        <charset val="128"/>
      </rPr>
      <t>=(f</t>
    </r>
    <r>
      <rPr>
        <vertAlign val="subscript"/>
        <sz val="8"/>
        <color theme="1"/>
        <rFont val="メイリオ"/>
        <family val="3"/>
        <charset val="128"/>
      </rPr>
      <t>b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)/2</t>
    </r>
    <phoneticPr fontId="1"/>
  </si>
  <si>
    <r>
      <t>f'</t>
    </r>
    <r>
      <rPr>
        <vertAlign val="subscript"/>
        <sz val="8"/>
        <color theme="1"/>
        <rFont val="メイリオ"/>
        <family val="3"/>
        <charset val="128"/>
      </rPr>
      <t>d</t>
    </r>
    <r>
      <rPr>
        <sz val="8"/>
        <color theme="1"/>
        <rFont val="メイリオ"/>
        <family val="3"/>
        <charset val="128"/>
      </rPr>
      <t>/Δ'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</si>
  <si>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t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</si>
  <si>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t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</si>
  <si>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t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</si>
  <si>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b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</si>
  <si>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b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</si>
  <si>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b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</si>
  <si>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+κ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/2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</si>
  <si>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/2</t>
    </r>
    <phoneticPr fontId="1"/>
  </si>
  <si>
    <r>
      <t>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</si>
  <si>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p</t>
    </r>
    <r>
      <rPr>
        <vertAlign val="subscript"/>
        <sz val="8"/>
        <color theme="1"/>
        <rFont val="メイリオ"/>
        <family val="3"/>
        <charset val="128"/>
      </rPr>
      <t>x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</si>
  <si>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</si>
  <si>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(q)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</si>
  <si>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(q)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</si>
  <si>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-q-(m-1)p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</si>
  <si>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-q-(m-2)p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</si>
  <si>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-q-(m-1)p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</si>
  <si>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tanΦ</t>
    </r>
    <r>
      <rPr>
        <vertAlign val="subscript"/>
        <sz val="8"/>
        <color theme="1"/>
        <rFont val="メイリオ"/>
        <family val="3"/>
        <charset val="128"/>
      </rPr>
      <t>A</t>
    </r>
    <phoneticPr fontId="1"/>
  </si>
  <si>
    <r>
      <t>Φ</t>
    </r>
    <r>
      <rPr>
        <vertAlign val="subscript"/>
        <sz val="8"/>
        <color theme="1"/>
        <rFont val="メイリオ"/>
        <family val="3"/>
        <charset val="128"/>
      </rPr>
      <t>A</t>
    </r>
    <phoneticPr fontId="1"/>
  </si>
  <si>
    <r>
      <t>tanΦ</t>
    </r>
    <r>
      <rPr>
        <vertAlign val="subscript"/>
        <sz val="8"/>
        <color theme="1"/>
        <rFont val="メイリオ"/>
        <family val="3"/>
        <charset val="128"/>
      </rPr>
      <t>C</t>
    </r>
    <phoneticPr fontId="1"/>
  </si>
  <si>
    <r>
      <t>Φ</t>
    </r>
    <r>
      <rPr>
        <vertAlign val="subscript"/>
        <sz val="8"/>
        <color theme="1"/>
        <rFont val="メイリオ"/>
        <family val="3"/>
        <charset val="128"/>
      </rPr>
      <t>C</t>
    </r>
    <phoneticPr fontId="1"/>
  </si>
  <si>
    <r>
      <t>d</t>
    </r>
    <r>
      <rPr>
        <vertAlign val="subscript"/>
        <sz val="8"/>
        <color theme="1"/>
        <rFont val="メイリオ"/>
        <family val="3"/>
        <charset val="128"/>
      </rPr>
      <t>m</t>
    </r>
    <phoneticPr fontId="1"/>
  </si>
  <si>
    <r>
      <t>d</t>
    </r>
    <r>
      <rPr>
        <vertAlign val="subscript"/>
        <sz val="8"/>
        <color theme="1"/>
        <rFont val="メイリオ"/>
        <family val="3"/>
        <charset val="128"/>
      </rPr>
      <t>m-1</t>
    </r>
    <phoneticPr fontId="1"/>
  </si>
  <si>
    <r>
      <t>δ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+(2bar l)</t>
    </r>
    <r>
      <rPr>
        <vertAlign val="superscript"/>
        <sz val="8"/>
        <color theme="1"/>
        <rFont val="メイリオ"/>
        <family val="3"/>
        <charset val="128"/>
      </rPr>
      <t>2</t>
    </r>
    <phoneticPr fontId="1"/>
  </si>
  <si>
    <r>
      <t>sqrt(δ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+(2bar l)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</si>
  <si>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sz val="8"/>
        <color theme="1"/>
        <rFont val="メイリオ"/>
        <family val="3"/>
        <charset val="128"/>
      </rPr>
      <t>'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-(bar l-f</t>
    </r>
    <r>
      <rPr>
        <vertAlign val="subscript"/>
        <sz val="8"/>
        <color theme="1"/>
        <rFont val="メイリオ"/>
        <family val="3"/>
        <charset val="128"/>
      </rPr>
      <t>d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</si>
  <si>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sz val="8"/>
        <color theme="1"/>
        <rFont val="メイリオ"/>
        <family val="3"/>
        <charset val="128"/>
      </rPr>
      <t>'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-(bar l+f</t>
    </r>
    <r>
      <rPr>
        <vertAlign val="subscript"/>
        <sz val="8"/>
        <color theme="1"/>
        <rFont val="メイリオ"/>
        <family val="3"/>
        <charset val="128"/>
      </rPr>
      <t>d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</si>
  <si>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d</t>
    </r>
    <r>
      <rPr>
        <sz val="8"/>
        <color theme="1"/>
        <rFont val="メイリオ"/>
        <family val="3"/>
        <charset val="128"/>
      </rPr>
      <t>*bar l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</si>
  <si>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sz val="8"/>
        <color theme="1"/>
        <rFont val="メイリオ"/>
        <family val="3"/>
        <charset val="128"/>
      </rPr>
      <t>'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-I7/4)</t>
    </r>
    <phoneticPr fontId="1"/>
  </si>
  <si>
    <t>A内面溝 トップ端-1列目間用</t>
    <rPh sb="1" eb="3">
      <t>ナイメン</t>
    </rPh>
    <rPh sb="3" eb="4">
      <t>ミゾ</t>
    </rPh>
    <rPh sb="8" eb="9">
      <t>タン</t>
    </rPh>
    <rPh sb="11" eb="13">
      <t>レツメ</t>
    </rPh>
    <rPh sb="13" eb="14">
      <t>カン</t>
    </rPh>
    <rPh sb="14" eb="15">
      <t>ヨウ</t>
    </rPh>
    <phoneticPr fontId="1"/>
  </si>
  <si>
    <t>C内面溝 1列目-m列目間用</t>
    <rPh sb="1" eb="3">
      <t>ナイメン</t>
    </rPh>
    <rPh sb="3" eb="4">
      <t>ミゾ</t>
    </rPh>
    <rPh sb="6" eb="8">
      <t>レツメ</t>
    </rPh>
    <rPh sb="10" eb="12">
      <t>レツメ</t>
    </rPh>
    <rPh sb="12" eb="13">
      <t>カン</t>
    </rPh>
    <rPh sb="13" eb="14">
      <t>ヨウ</t>
    </rPh>
    <phoneticPr fontId="1"/>
  </si>
  <si>
    <t>A内面トップ端-内面溝間 最近X距離</t>
    <rPh sb="1" eb="3">
      <t>ナイメン</t>
    </rPh>
    <rPh sb="6" eb="7">
      <t>タン</t>
    </rPh>
    <rPh sb="8" eb="10">
      <t>ナイメン</t>
    </rPh>
    <rPh sb="10" eb="11">
      <t>ミゾ</t>
    </rPh>
    <rPh sb="11" eb="12">
      <t>カン</t>
    </rPh>
    <rPh sb="13" eb="15">
      <t>サイキン</t>
    </rPh>
    <rPh sb="16" eb="18">
      <t>キョリ</t>
    </rPh>
    <phoneticPr fontId="1"/>
  </si>
  <si>
    <t>A内面 トップ端-(m-1, 1)間 X距離</t>
    <rPh sb="1" eb="3">
      <t>ナイメン</t>
    </rPh>
    <rPh sb="7" eb="8">
      <t>タン</t>
    </rPh>
    <rPh sb="17" eb="18">
      <t>カン</t>
    </rPh>
    <rPh sb="20" eb="22">
      <t>キョリ</t>
    </rPh>
    <phoneticPr fontId="1"/>
  </si>
  <si>
    <t>A内面 トップ端-(m, 1)間 X距離</t>
    <rPh sb="1" eb="3">
      <t>ナイメン</t>
    </rPh>
    <rPh sb="7" eb="8">
      <t>タン</t>
    </rPh>
    <rPh sb="15" eb="16">
      <t>カン</t>
    </rPh>
    <rPh sb="18" eb="20">
      <t>キョリ</t>
    </rPh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</si>
  <si>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A0</t>
    </r>
    <phoneticPr fontId="1"/>
  </si>
  <si>
    <t>溝BC径</t>
    <rPh sb="0" eb="1">
      <t>ミゾ</t>
    </rPh>
    <rPh sb="3" eb="4">
      <t>ケイ</t>
    </rPh>
    <phoneticPr fontId="1"/>
  </si>
  <si>
    <t>ボトム外削AC外径</t>
    <rPh sb="3" eb="5">
      <t>ガイサク</t>
    </rPh>
    <rPh sb="7" eb="9">
      <t>ガイケイ</t>
    </rPh>
    <phoneticPr fontId="1"/>
  </si>
  <si>
    <t>ボトム外削BD外径</t>
    <rPh sb="3" eb="5">
      <t>ガイサク</t>
    </rPh>
    <rPh sb="7" eb="9">
      <t>ガイケイ</t>
    </rPh>
    <phoneticPr fontId="1"/>
  </si>
  <si>
    <t>pos</t>
    <phoneticPr fontId="1"/>
  </si>
  <si>
    <t>AC_len</t>
    <phoneticPr fontId="1"/>
  </si>
  <si>
    <t>BD_len</t>
    <phoneticPr fontId="1"/>
  </si>
  <si>
    <t>CR</t>
    <phoneticPr fontId="1"/>
  </si>
  <si>
    <t>ratioAC</t>
    <phoneticPr fontId="1"/>
  </si>
  <si>
    <t>ratioBD</t>
    <phoneticPr fontId="1"/>
  </si>
  <si>
    <t>ratioAve</t>
    <phoneticPr fontId="1"/>
  </si>
  <si>
    <t>mekki</t>
    <phoneticPr fontId="1"/>
  </si>
  <si>
    <t>pAC</t>
    <phoneticPr fontId="1"/>
  </si>
  <si>
    <t>pBD</t>
    <phoneticPr fontId="1"/>
  </si>
  <si>
    <t>pCR</t>
    <phoneticPr fontId="1"/>
  </si>
  <si>
    <t>mAC_len</t>
    <phoneticPr fontId="1"/>
  </si>
  <si>
    <t>mCR</t>
    <phoneticPr fontId="1"/>
  </si>
  <si>
    <t>テーブル中心</t>
    <rPh sb="4" eb="6">
      <t>チュウシン</t>
    </rPh>
    <phoneticPr fontId="1"/>
  </si>
  <si>
    <t>工具-A側内面溝 余裕代</t>
    <rPh sb="0" eb="2">
      <t>コウグ</t>
    </rPh>
    <rPh sb="4" eb="5">
      <t>ガワ</t>
    </rPh>
    <rPh sb="5" eb="7">
      <t>ナイメン</t>
    </rPh>
    <rPh sb="7" eb="8">
      <t>ミゾ</t>
    </rPh>
    <rPh sb="9" eb="11">
      <t>ヨユウ</t>
    </rPh>
    <rPh sb="11" eb="12">
      <t>ダイ</t>
    </rPh>
    <phoneticPr fontId="1"/>
  </si>
  <si>
    <t>内径・内面</t>
    <rPh sb="0" eb="2">
      <t>ナイケイ</t>
    </rPh>
    <rPh sb="3" eb="5">
      <t>ナイメン</t>
    </rPh>
    <phoneticPr fontId="1"/>
  </si>
  <si>
    <t>μ</t>
    <phoneticPr fontId="1"/>
  </si>
  <si>
    <t>内面テーパ#</t>
    <rPh sb="0" eb="2">
      <t>ナイメン</t>
    </rPh>
    <phoneticPr fontId="1"/>
  </si>
  <si>
    <t>e937</t>
    <phoneticPr fontId="1"/>
  </si>
  <si>
    <t>トップ端のA側内面R（近似）</t>
    <rPh sb="3" eb="4">
      <t>タン</t>
    </rPh>
    <rPh sb="6" eb="7">
      <t>ガワ</t>
    </rPh>
    <rPh sb="7" eb="9">
      <t>ナイメン</t>
    </rPh>
    <rPh sb="11" eb="13">
      <t>キンジ</t>
    </rPh>
    <phoneticPr fontId="1"/>
  </si>
  <si>
    <t>qのA側内面R（近似）</t>
    <rPh sb="3" eb="4">
      <t>ガワ</t>
    </rPh>
    <rPh sb="4" eb="6">
      <t>ナイメン</t>
    </rPh>
    <rPh sb="8" eb="10">
      <t>キンジ</t>
    </rPh>
    <phoneticPr fontId="1"/>
  </si>
  <si>
    <t>内面溝加工用傾き角A（deg, 相対）</t>
    <rPh sb="0" eb="3">
      <t>ナイ</t>
    </rPh>
    <rPh sb="3" eb="6">
      <t>カコウヨウ</t>
    </rPh>
    <rPh sb="6" eb="7">
      <t>カタム</t>
    </rPh>
    <rPh sb="8" eb="9">
      <t>カク</t>
    </rPh>
    <rPh sb="16" eb="18">
      <t>ソウタイ</t>
    </rPh>
    <phoneticPr fontId="1"/>
  </si>
  <si>
    <t>内面溝加工用傾き角A（deg, 絶対）</t>
    <rPh sb="0" eb="3">
      <t>ナイ</t>
    </rPh>
    <rPh sb="3" eb="6">
      <t>カコウヨウ</t>
    </rPh>
    <rPh sb="6" eb="7">
      <t>カタム</t>
    </rPh>
    <rPh sb="8" eb="9">
      <t>カク</t>
    </rPh>
    <rPh sb="16" eb="18">
      <t>ゼッタイ</t>
    </rPh>
    <phoneticPr fontId="1"/>
  </si>
  <si>
    <t>内面溝 奇数列の数</t>
    <rPh sb="0" eb="2">
      <t>ナイメン</t>
    </rPh>
    <rPh sb="2" eb="3">
      <t>ミゾ</t>
    </rPh>
    <rPh sb="4" eb="6">
      <t>キスウ</t>
    </rPh>
    <rPh sb="6" eb="7">
      <t>レツ</t>
    </rPh>
    <rPh sb="8" eb="9">
      <t>カズ</t>
    </rPh>
    <phoneticPr fontId="1"/>
  </si>
  <si>
    <t>内面溝 偶数列の数</t>
    <rPh sb="0" eb="2">
      <t>ナイメン</t>
    </rPh>
    <rPh sb="2" eb="3">
      <t>ミゾ</t>
    </rPh>
    <rPh sb="4" eb="6">
      <t>グウスウ</t>
    </rPh>
    <rPh sb="6" eb="7">
      <t>レツ</t>
    </rPh>
    <rPh sb="7" eb="8">
      <t>スウレツ</t>
    </rPh>
    <rPh sb="8" eb="9">
      <t>カズ</t>
    </rPh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</si>
  <si>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'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</si>
  <si>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b</t>
    </r>
    <r>
      <rPr>
        <sz val="8"/>
        <color theme="1"/>
        <rFont val="メイリオ"/>
        <family val="3"/>
        <charset val="128"/>
      </rPr>
      <t>'</t>
    </r>
    <phoneticPr fontId="1"/>
  </si>
  <si>
    <t>均等振分角度(deg)</t>
    <rPh sb="0" eb="2">
      <t>キントウ</t>
    </rPh>
    <rPh sb="2" eb="4">
      <t>フリワケ</t>
    </rPh>
    <rPh sb="4" eb="6">
      <t>カクド</t>
    </rPh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</si>
  <si>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</si>
  <si>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-q-2p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</si>
  <si>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-q-3p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</si>
  <si>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-q-5p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</si>
  <si>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-q-4p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</si>
  <si>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(q+p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</si>
  <si>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(q+p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</si>
  <si>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(q+2p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</si>
  <si>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(q+2p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</si>
  <si>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(q+3p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</si>
  <si>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(q+4p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</si>
  <si>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(q+5p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</si>
  <si>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{q+(m-1)p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</si>
  <si>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{q+(m-2)p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</si>
  <si>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λ</t>
    </r>
    <r>
      <rPr>
        <b/>
        <vertAlign val="subscript"/>
        <sz val="8"/>
        <color theme="1"/>
        <rFont val="メイリオ"/>
        <family val="3"/>
        <charset val="128"/>
      </rPr>
      <t>j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</si>
  <si>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λ</t>
    </r>
    <r>
      <rPr>
        <b/>
        <vertAlign val="subscript"/>
        <sz val="8"/>
        <color theme="1"/>
        <rFont val="メイリオ"/>
        <family val="3"/>
        <charset val="128"/>
      </rPr>
      <t>j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</si>
  <si>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(q+3p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</si>
  <si>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(q+4pz)</t>
    </r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</si>
  <si>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(q+5pz)</t>
    </r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</si>
  <si>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{q+(m-2)p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</si>
  <si>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{q+(m-1)p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</si>
  <si>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λ</t>
    </r>
    <r>
      <rPr>
        <vertAlign val="subscript"/>
        <sz val="8"/>
        <color theme="1"/>
        <rFont val="メイリオ"/>
        <family val="3"/>
        <charset val="128"/>
      </rPr>
      <t>j+1</t>
    </r>
    <phoneticPr fontId="1"/>
  </si>
  <si>
    <r>
      <t>n</t>
    </r>
    <r>
      <rPr>
        <vertAlign val="subscript"/>
        <sz val="8"/>
        <color theme="1"/>
        <rFont val="メイリオ"/>
        <family val="3"/>
        <charset val="128"/>
      </rPr>
      <t>o</t>
    </r>
    <phoneticPr fontId="1"/>
  </si>
  <si>
    <r>
      <t>n</t>
    </r>
    <r>
      <rPr>
        <vertAlign val="subscript"/>
        <sz val="8"/>
        <color theme="1"/>
        <rFont val="メイリオ"/>
        <family val="3"/>
        <charset val="128"/>
      </rPr>
      <t>e</t>
    </r>
    <phoneticPr fontId="1"/>
  </si>
  <si>
    <r>
      <t>q+p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</si>
  <si>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q+2p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</si>
  <si>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q+3p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</si>
  <si>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q+4p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</si>
  <si>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q+5p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</si>
  <si>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</si>
  <si>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-q-p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</si>
  <si>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-q-2p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</si>
  <si>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-q-3p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</si>
  <si>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-q-4p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</si>
  <si>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-q-5p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</si>
  <si>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-q-(m-2)p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</si>
  <si>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t>内面溝m列目-トップ端 湾曲中心間X距離</t>
    <rPh sb="0" eb="2">
      <t>ナイメン</t>
    </rPh>
    <rPh sb="4" eb="6">
      <t>レツメ</t>
    </rPh>
    <rPh sb="10" eb="11">
      <t>タン</t>
    </rPh>
    <rPh sb="12" eb="14">
      <t>ワンキョク</t>
    </rPh>
    <rPh sb="14" eb="16">
      <t>チュウシン</t>
    </rPh>
    <rPh sb="16" eb="17">
      <t>カン</t>
    </rPh>
    <rPh sb="18" eb="20">
      <t>キョリ</t>
    </rPh>
    <phoneticPr fontId="1"/>
  </si>
  <si>
    <t>内面溝m-1列目-トップ端 湾曲中心間X距離</t>
    <rPh sb="0" eb="2">
      <t>ナイメン</t>
    </rPh>
    <rPh sb="6" eb="8">
      <t>レツメ</t>
    </rPh>
    <rPh sb="12" eb="13">
      <t>タン</t>
    </rPh>
    <rPh sb="14" eb="16">
      <t>ワンキョク</t>
    </rPh>
    <rPh sb="16" eb="18">
      <t>チュウシン</t>
    </rPh>
    <rPh sb="18" eb="19">
      <t>カン</t>
    </rPh>
    <rPh sb="20" eb="22">
      <t>キョリ</t>
    </rPh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</si>
  <si>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</si>
  <si>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</si>
  <si>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</si>
  <si>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</si>
  <si>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-q-4p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</si>
  <si>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-q-5p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</si>
  <si>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sqrt[R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-{f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]</t>
    </r>
    <phoneticPr fontId="1"/>
  </si>
  <si>
    <r>
      <t>sqrt[R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-{f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]</t>
    </r>
    <phoneticPr fontId="1"/>
  </si>
  <si>
    <t>m-2列目湾曲中心X</t>
    <phoneticPr fontId="1"/>
  </si>
  <si>
    <t>m-1列目湾曲中心X</t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</si>
  <si>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(q)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</si>
  <si>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(q+p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</si>
  <si>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(q+2p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</si>
  <si>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(q+3p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</si>
  <si>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(q+4p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</si>
  <si>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(q+5p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</si>
  <si>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{q+(m-2)p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</si>
  <si>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{q+(m-1)p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</si>
  <si>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b/>
        <vertAlign val="subscript"/>
        <sz val="8"/>
        <color theme="1"/>
        <rFont val="メイリオ"/>
        <family val="3"/>
        <charset val="128"/>
      </rPr>
      <t>Aj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</si>
  <si>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b/>
        <vertAlign val="subscript"/>
        <sz val="8"/>
        <color theme="1"/>
        <rFont val="メイリオ"/>
        <family val="3"/>
        <charset val="128"/>
      </rPr>
      <t>Aj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</si>
  <si>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(q)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</si>
  <si>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(q+p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</si>
  <si>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(q+2p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</si>
  <si>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(q+3p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</si>
  <si>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(q+4p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</si>
  <si>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(q+5p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</si>
  <si>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{q+(m-2)p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</si>
  <si>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{q+(m-1)p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</si>
  <si>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vertAlign val="subscript"/>
        <sz val="8"/>
        <color theme="1"/>
        <rFont val="メイリオ"/>
        <family val="3"/>
        <charset val="128"/>
      </rPr>
      <t>Aj+1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</si>
  <si>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vertAlign val="subscript"/>
        <sz val="8"/>
        <color theme="1"/>
        <rFont val="メイリオ"/>
        <family val="3"/>
        <charset val="128"/>
      </rPr>
      <t>Aj+1</t>
    </r>
    <phoneticPr fontId="1"/>
  </si>
  <si>
    <r>
      <rPr>
        <i/>
        <sz val="8"/>
        <color theme="1"/>
        <rFont val="メイリオ"/>
        <family val="3"/>
        <charset val="128"/>
      </rPr>
      <t>L</t>
    </r>
    <r>
      <rPr>
        <vertAlign val="subscript"/>
        <sz val="8"/>
        <color theme="1"/>
        <rFont val="メイリオ"/>
        <family val="3"/>
        <charset val="128"/>
      </rPr>
      <t>1</t>
    </r>
    <phoneticPr fontId="1"/>
  </si>
  <si>
    <r>
      <rPr>
        <i/>
        <sz val="8"/>
        <color theme="1"/>
        <rFont val="メイリオ"/>
        <family val="3"/>
        <charset val="128"/>
      </rPr>
      <t>L</t>
    </r>
    <r>
      <rPr>
        <vertAlign val="subscript"/>
        <sz val="8"/>
        <color theme="1"/>
        <rFont val="メイリオ"/>
        <family val="3"/>
        <charset val="128"/>
      </rPr>
      <t>2</t>
    </r>
    <r>
      <rPr>
        <sz val="10"/>
        <color theme="1"/>
        <rFont val="メイリオ"/>
        <family val="2"/>
        <charset val="128"/>
      </rPr>
      <t/>
    </r>
  </si>
  <si>
    <r>
      <rPr>
        <i/>
        <sz val="8"/>
        <color theme="1"/>
        <rFont val="メイリオ"/>
        <family val="3"/>
        <charset val="128"/>
      </rPr>
      <t>L</t>
    </r>
    <r>
      <rPr>
        <vertAlign val="subscript"/>
        <sz val="8"/>
        <color theme="1"/>
        <rFont val="メイリオ"/>
        <family val="3"/>
        <charset val="128"/>
      </rPr>
      <t>m</t>
    </r>
    <phoneticPr fontId="1"/>
  </si>
  <si>
    <r>
      <t>d</t>
    </r>
    <r>
      <rPr>
        <vertAlign val="subscript"/>
        <sz val="8"/>
        <color theme="1"/>
        <rFont val="メイリオ"/>
        <family val="3"/>
        <charset val="128"/>
      </rPr>
      <t>1</t>
    </r>
    <phoneticPr fontId="1"/>
  </si>
  <si>
    <r>
      <t>d</t>
    </r>
    <r>
      <rPr>
        <vertAlign val="subscript"/>
        <sz val="8"/>
        <color theme="1"/>
        <rFont val="メイリオ"/>
        <family val="3"/>
        <charset val="128"/>
      </rPr>
      <t>2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</si>
  <si>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A0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</si>
  <si>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B0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</si>
  <si>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Aq</t>
    </r>
    <phoneticPr fontId="1"/>
  </si>
  <si>
    <t>トップ端 AC内径（水平・めっき含・概算）</t>
    <rPh sb="3" eb="4">
      <t>タン</t>
    </rPh>
    <rPh sb="7" eb="9">
      <t>ナイケイ</t>
    </rPh>
    <rPh sb="10" eb="12">
      <t>スイヘイ</t>
    </rPh>
    <rPh sb="16" eb="17">
      <t>フク</t>
    </rPh>
    <rPh sb="18" eb="20">
      <t>ガイサン</t>
    </rPh>
    <phoneticPr fontId="1"/>
  </si>
  <si>
    <t>m列目 AC内径（水平・めっき含・概算）</t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</si>
  <si>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+w'</t>
    </r>
    <r>
      <rPr>
        <vertAlign val="subscript"/>
        <sz val="8"/>
        <color theme="1"/>
        <rFont val="メイリオ"/>
        <family val="3"/>
        <charset val="128"/>
      </rPr>
      <t>A0</t>
    </r>
    <r>
      <rPr>
        <sz val="8"/>
        <color theme="1"/>
        <rFont val="メイリオ"/>
        <family val="3"/>
        <charset val="128"/>
      </rPr>
      <t>/2</t>
    </r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</si>
  <si>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+w'</t>
    </r>
    <r>
      <rPr>
        <vertAlign val="subscript"/>
        <sz val="8"/>
        <color theme="1"/>
        <rFont val="メイリオ"/>
        <family val="3"/>
        <charset val="128"/>
      </rPr>
      <t>Aq</t>
    </r>
    <r>
      <rPr>
        <sz val="8"/>
        <color theme="1"/>
        <rFont val="メイリオ"/>
        <family val="3"/>
        <charset val="128"/>
      </rPr>
      <t>/2</t>
    </r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</si>
  <si>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-w'</t>
    </r>
    <r>
      <rPr>
        <vertAlign val="subscript"/>
        <sz val="8"/>
        <color theme="1"/>
        <rFont val="メイリオ"/>
        <family val="3"/>
        <charset val="128"/>
      </rPr>
      <t>Aq</t>
    </r>
    <r>
      <rPr>
        <sz val="8"/>
        <color theme="1"/>
        <rFont val="メイリオ"/>
        <family val="3"/>
        <charset val="128"/>
      </rPr>
      <t>/2</t>
    </r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</si>
  <si>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-w'</t>
    </r>
    <r>
      <rPr>
        <vertAlign val="subscript"/>
        <sz val="8"/>
        <color theme="1"/>
        <rFont val="メイリオ"/>
        <family val="3"/>
        <charset val="128"/>
      </rPr>
      <t>Aq+(m-1)pz</t>
    </r>
    <r>
      <rPr>
        <sz val="8"/>
        <color theme="1"/>
        <rFont val="メイリオ"/>
        <family val="3"/>
        <charset val="128"/>
      </rPr>
      <t>/2</t>
    </r>
    <phoneticPr fontId="1"/>
  </si>
  <si>
    <r>
      <t>sqrt{(R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+w'</t>
    </r>
    <r>
      <rPr>
        <vertAlign val="subscript"/>
        <sz val="8"/>
        <color theme="1"/>
        <rFont val="メイリオ"/>
        <family val="3"/>
        <charset val="128"/>
      </rPr>
      <t>Aq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</si>
  <si>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sqrt{(R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+w'</t>
    </r>
    <r>
      <rPr>
        <vertAlign val="subscript"/>
        <sz val="8"/>
        <color theme="1"/>
        <rFont val="メイリオ"/>
        <family val="3"/>
        <charset val="128"/>
      </rPr>
      <t>A0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t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</si>
  <si>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sqrt[(R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-w'</t>
    </r>
    <r>
      <rPr>
        <vertAlign val="subscript"/>
        <sz val="8"/>
        <color theme="1"/>
        <rFont val="メイリオ"/>
        <family val="3"/>
        <charset val="128"/>
      </rPr>
      <t>Aq+(m-1)pz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-{f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-q-(m-1)pz}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]</t>
    </r>
    <phoneticPr fontId="1"/>
  </si>
  <si>
    <r>
      <t>sqrt{(R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-w'</t>
    </r>
    <r>
      <rPr>
        <vertAlign val="subscript"/>
        <sz val="8"/>
        <color theme="1"/>
        <rFont val="メイリオ"/>
        <family val="3"/>
        <charset val="128"/>
      </rPr>
      <t>Aq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</si>
  <si>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t>内面溝加工用傾き角C（deg, 絶対）</t>
    <rPh sb="0" eb="3">
      <t>ナイ</t>
    </rPh>
    <rPh sb="3" eb="6">
      <t>カコウヨウ</t>
    </rPh>
    <rPh sb="6" eb="7">
      <t>カタム</t>
    </rPh>
    <rPh sb="8" eb="9">
      <t>カク</t>
    </rPh>
    <rPh sb="16" eb="18">
      <t>ゼッタイ</t>
    </rPh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</si>
  <si>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A0</t>
    </r>
    <r>
      <rPr>
        <sz val="8"/>
        <color theme="1"/>
        <rFont val="メイリオ"/>
        <family val="3"/>
        <charset val="128"/>
      </rPr>
      <t>-</t>
    </r>
    <r>
      <rPr>
        <i/>
        <sz val="8"/>
        <color theme="1"/>
        <rFont val="メイリオ"/>
        <family val="3"/>
        <charset val="128"/>
      </rPr>
      <t>L</t>
    </r>
    <r>
      <rPr>
        <vertAlign val="subscript"/>
        <sz val="8"/>
        <color theme="1"/>
        <rFont val="メイリオ"/>
        <family val="3"/>
        <charset val="128"/>
      </rPr>
      <t>m-1</t>
    </r>
    <r>
      <rPr>
        <sz val="8"/>
        <color theme="1"/>
        <rFont val="メイリオ"/>
        <family val="3"/>
        <charset val="128"/>
      </rPr>
      <t>-d</t>
    </r>
    <r>
      <rPr>
        <vertAlign val="subscript"/>
        <sz val="8"/>
        <color theme="1"/>
        <rFont val="メイリオ"/>
        <family val="3"/>
        <charset val="128"/>
      </rPr>
      <t>m-1</t>
    </r>
    <r>
      <rPr>
        <sz val="8"/>
        <color theme="1"/>
        <rFont val="メイリオ"/>
        <family val="3"/>
        <charset val="128"/>
      </rPr>
      <t>/2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</si>
  <si>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A0</t>
    </r>
    <r>
      <rPr>
        <sz val="8"/>
        <color theme="1"/>
        <rFont val="メイリオ"/>
        <family val="3"/>
        <charset val="128"/>
      </rPr>
      <t>-</t>
    </r>
    <r>
      <rPr>
        <i/>
        <sz val="8"/>
        <color theme="1"/>
        <rFont val="メイリオ"/>
        <family val="3"/>
        <charset val="128"/>
      </rPr>
      <t>L</t>
    </r>
    <r>
      <rPr>
        <vertAlign val="subscript"/>
        <sz val="8"/>
        <color theme="1"/>
        <rFont val="メイリオ"/>
        <family val="3"/>
        <charset val="128"/>
      </rPr>
      <t>m</t>
    </r>
    <r>
      <rPr>
        <sz val="8"/>
        <color theme="1"/>
        <rFont val="メイリオ"/>
        <family val="3"/>
        <charset val="128"/>
      </rPr>
      <t>-d</t>
    </r>
    <r>
      <rPr>
        <vertAlign val="subscript"/>
        <sz val="8"/>
        <color theme="1"/>
        <rFont val="メイリオ"/>
        <family val="3"/>
        <charset val="128"/>
      </rPr>
      <t>m</t>
    </r>
    <r>
      <rPr>
        <sz val="8"/>
        <color theme="1"/>
        <rFont val="メイリオ"/>
        <family val="3"/>
        <charset val="128"/>
      </rPr>
      <t>/2</t>
    </r>
    <phoneticPr fontId="1"/>
  </si>
  <si>
    <t>内面溝加工用傾き角C（deg, 相対）</t>
    <rPh sb="0" eb="3">
      <t>ナイ</t>
    </rPh>
    <rPh sb="3" eb="6">
      <t>カコウヨウ</t>
    </rPh>
    <rPh sb="6" eb="7">
      <t>カタム</t>
    </rPh>
    <rPh sb="8" eb="9">
      <t>カク</t>
    </rPh>
    <rPh sb="16" eb="18">
      <t>ソウタイ</t>
    </rPh>
    <phoneticPr fontId="1"/>
  </si>
  <si>
    <t>Φ</t>
    <phoneticPr fontId="1"/>
  </si>
  <si>
    <r>
      <t>Φ</t>
    </r>
    <r>
      <rPr>
        <vertAlign val="subscript"/>
        <sz val="8"/>
        <color theme="1"/>
        <rFont val="メイリオ"/>
        <family val="3"/>
        <charset val="128"/>
      </rPr>
      <t>c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</si>
  <si>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(q)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</si>
  <si>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(q+p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</si>
  <si>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(q+2p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</si>
  <si>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(q+3p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</si>
  <si>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(q+4p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</si>
  <si>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(q+5p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</si>
  <si>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{q+(m-2)p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</si>
  <si>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{q+(m-1)p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</si>
  <si>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(q)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</si>
  <si>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(q+p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</si>
  <si>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(q+2p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</si>
  <si>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(q+3p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</si>
  <si>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(q+4p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</si>
  <si>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(q+5p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</si>
  <si>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{q+(m-2)p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</si>
  <si>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{q+(m-1)p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</si>
  <si>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b/>
        <vertAlign val="subscript"/>
        <sz val="8"/>
        <color theme="1"/>
        <rFont val="メイリオ"/>
        <family val="3"/>
        <charset val="128"/>
      </rPr>
      <t>Bj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</si>
  <si>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b/>
        <vertAlign val="subscript"/>
        <sz val="8"/>
        <color theme="1"/>
        <rFont val="メイリオ"/>
        <family val="3"/>
        <charset val="128"/>
      </rPr>
      <t>Bj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</si>
  <si>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vertAlign val="subscript"/>
        <sz val="8"/>
        <color theme="1"/>
        <rFont val="メイリオ"/>
        <family val="3"/>
        <charset val="128"/>
      </rPr>
      <t>Bj+1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</si>
  <si>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vertAlign val="subscript"/>
        <sz val="8"/>
        <color theme="1"/>
        <rFont val="メイリオ"/>
        <family val="3"/>
        <charset val="128"/>
      </rPr>
      <t>Bj+1</t>
    </r>
    <phoneticPr fontId="1"/>
  </si>
  <si>
    <r>
      <rPr>
        <i/>
        <sz val="8"/>
        <color theme="1"/>
        <rFont val="メイリオ"/>
        <family val="3"/>
        <charset val="128"/>
      </rPr>
      <t>D</t>
    </r>
    <r>
      <rPr>
        <vertAlign val="subscript"/>
        <sz val="8"/>
        <color theme="1"/>
        <rFont val="メイリオ"/>
        <family val="3"/>
        <charset val="128"/>
      </rPr>
      <t>z2</t>
    </r>
    <phoneticPr fontId="1"/>
  </si>
  <si>
    <r>
      <rPr>
        <i/>
        <sz val="8"/>
        <color theme="1"/>
        <rFont val="メイリオ"/>
        <family val="3"/>
        <charset val="128"/>
      </rPr>
      <t>D</t>
    </r>
    <r>
      <rPr>
        <vertAlign val="subscript"/>
        <sz val="8"/>
        <color theme="1"/>
        <rFont val="メイリオ"/>
        <family val="3"/>
        <charset val="128"/>
      </rPr>
      <t>z1</t>
    </r>
    <phoneticPr fontId="1"/>
  </si>
  <si>
    <t>（傾き前）m-1列目Z座標</t>
    <phoneticPr fontId="1"/>
  </si>
  <si>
    <t>（傾き前）m列目Z座標</t>
    <phoneticPr fontId="1"/>
  </si>
  <si>
    <r>
      <rPr>
        <i/>
        <sz val="8"/>
        <color theme="1"/>
        <rFont val="メイリオ"/>
        <family val="3"/>
        <charset val="128"/>
      </rPr>
      <t>D</t>
    </r>
    <r>
      <rPr>
        <vertAlign val="subscript"/>
        <sz val="8"/>
        <color theme="1"/>
        <rFont val="メイリオ"/>
        <family val="3"/>
        <charset val="128"/>
      </rPr>
      <t>zm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</si>
  <si>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Bq</t>
    </r>
    <phoneticPr fontId="1"/>
  </si>
  <si>
    <t>m-1列目AC内径（水平・めっき含・概算）</t>
    <phoneticPr fontId="1"/>
  </si>
  <si>
    <t>m列目 BD内径（めっき含・概算）</t>
    <phoneticPr fontId="1"/>
  </si>
  <si>
    <t>トップ端 BD内径（めっき含・概算）</t>
    <rPh sb="3" eb="4">
      <t>タン</t>
    </rPh>
    <rPh sb="7" eb="9">
      <t>ナイケイ</t>
    </rPh>
    <rPh sb="13" eb="14">
      <t>ガン</t>
    </rPh>
    <rPh sb="15" eb="17">
      <t>ガイサン</t>
    </rPh>
    <phoneticPr fontId="1"/>
  </si>
  <si>
    <t>m-1列目 BD内径（めっき含・概算）</t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</si>
  <si>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Bq+pz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</si>
  <si>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Bq+2pz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</si>
  <si>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Bq+3pz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</si>
  <si>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Bq+4pz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</si>
  <si>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Bq+5pz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</si>
  <si>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Bq+(m-1)pz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</si>
  <si>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Aq+pz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</si>
  <si>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Aq+2pz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</si>
  <si>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Aq+3pz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</si>
  <si>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Aq+4pz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</si>
  <si>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Aq+5pz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</si>
  <si>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Aq+(m-1)pz</t>
    </r>
    <phoneticPr fontId="1"/>
  </si>
  <si>
    <r>
      <t>{sqrt(R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t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)+sqrt(R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t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)}/2</t>
    </r>
    <phoneticPr fontId="1"/>
  </si>
  <si>
    <r>
      <t>{sqrt(R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b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)+sqrt(R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b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)}/2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</si>
  <si>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</si>
  <si>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</si>
  <si>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i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</si>
  <si>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t>トップ端-面取先端 湾曲中心間水平距離</t>
    <rPh sb="3" eb="4">
      <t>タン</t>
    </rPh>
    <rPh sb="7" eb="9">
      <t>センタン</t>
    </rPh>
    <rPh sb="10" eb="12">
      <t>ワンキョク</t>
    </rPh>
    <rPh sb="12" eb="14">
      <t>チュウシン</t>
    </rPh>
    <rPh sb="14" eb="15">
      <t>カン</t>
    </rPh>
    <rPh sb="15" eb="19">
      <t>スイヘイ</t>
    </rPh>
    <phoneticPr fontId="1"/>
  </si>
  <si>
    <t>θ[rad]</t>
    <phoneticPr fontId="1"/>
  </si>
  <si>
    <t>θ'[rad]</t>
    <phoneticPr fontId="1"/>
  </si>
  <si>
    <t>θ'[deg]</t>
    <phoneticPr fontId="1"/>
  </si>
  <si>
    <t>再振分用角度(deg, 0.001度単位)</t>
    <rPh sb="0" eb="1">
      <t>サイ</t>
    </rPh>
    <rPh sb="1" eb="3">
      <t>フリワケ</t>
    </rPh>
    <rPh sb="3" eb="4">
      <t>ヨウ</t>
    </rPh>
    <rPh sb="4" eb="6">
      <t>カクド</t>
    </rPh>
    <rPh sb="5" eb="6">
      <t>フリカド</t>
    </rPh>
    <rPh sb="17" eb="18">
      <t>ド</t>
    </rPh>
    <rPh sb="18" eb="20">
      <t>タンイ</t>
    </rPh>
    <phoneticPr fontId="1"/>
  </si>
  <si>
    <t>再振分用角度(deg, 1度単位)</t>
    <rPh sb="0" eb="1">
      <t>サイ</t>
    </rPh>
    <rPh sb="1" eb="3">
      <t>フリワケ</t>
    </rPh>
    <rPh sb="3" eb="4">
      <t>ヨウ</t>
    </rPh>
    <rPh sb="4" eb="6">
      <t>カクド</t>
    </rPh>
    <rPh sb="5" eb="6">
      <t>フリカド</t>
    </rPh>
    <rPh sb="13" eb="14">
      <t>ド</t>
    </rPh>
    <rPh sb="14" eb="16">
      <t>タンイ</t>
    </rPh>
    <phoneticPr fontId="1"/>
  </si>
  <si>
    <t>再振分長トップ（θ:0.001度単位）</t>
    <rPh sb="0" eb="1">
      <t>サイ</t>
    </rPh>
    <rPh sb="1" eb="3">
      <t>フリワケ</t>
    </rPh>
    <rPh sb="3" eb="4">
      <t>チョウ</t>
    </rPh>
    <rPh sb="15" eb="16">
      <t>ド</t>
    </rPh>
    <rPh sb="16" eb="18">
      <t>タンイ</t>
    </rPh>
    <phoneticPr fontId="1"/>
  </si>
  <si>
    <t>再振分長ボトム（θ:0.001度単位）</t>
    <rPh sb="0" eb="1">
      <t>サイ</t>
    </rPh>
    <rPh sb="1" eb="3">
      <t>フリワケ</t>
    </rPh>
    <rPh sb="3" eb="4">
      <t>チョウ</t>
    </rPh>
    <rPh sb="15" eb="16">
      <t>ド</t>
    </rPh>
    <rPh sb="16" eb="18">
      <t>タンイ</t>
    </rPh>
    <phoneticPr fontId="1"/>
  </si>
  <si>
    <t>再張出長トップ（θ:0.001度単位）</t>
    <rPh sb="0" eb="1">
      <t>サイ</t>
    </rPh>
    <rPh sb="1" eb="3">
      <t>ハリダシ</t>
    </rPh>
    <rPh sb="3" eb="4">
      <t>チョウ</t>
    </rPh>
    <phoneticPr fontId="1"/>
  </si>
  <si>
    <t>再張出長ボトム（θ:0.001度単位）</t>
    <rPh sb="0" eb="1">
      <t>サイ</t>
    </rPh>
    <rPh sb="1" eb="3">
      <t>ハリダシ</t>
    </rPh>
    <rPh sb="3" eb="4">
      <t>チョウ</t>
    </rPh>
    <phoneticPr fontId="1"/>
  </si>
  <si>
    <t>均等振分 鉛直移動距離</t>
    <rPh sb="0" eb="2">
      <t>キントウ</t>
    </rPh>
    <rPh sb="2" eb="4">
      <t>フリワケ</t>
    </rPh>
    <rPh sb="5" eb="7">
      <t>エンチョク</t>
    </rPh>
    <rPh sb="7" eb="9">
      <t>イドウ</t>
    </rPh>
    <rPh sb="9" eb="11">
      <t>キョリ</t>
    </rPh>
    <phoneticPr fontId="1"/>
  </si>
  <si>
    <t>トップ外削外径AC</t>
    <rPh sb="3" eb="5">
      <t>ガイサク</t>
    </rPh>
    <rPh sb="5" eb="7">
      <t>ガイケイ</t>
    </rPh>
    <phoneticPr fontId="1"/>
  </si>
  <si>
    <t>ボトム端面C面取</t>
    <rPh sb="3" eb="5">
      <t>タンメン</t>
    </rPh>
    <rPh sb="6" eb="8">
      <t>メント</t>
    </rPh>
    <phoneticPr fontId="1"/>
  </si>
  <si>
    <t>トップ端面C面取</t>
    <rPh sb="3" eb="5">
      <t>タンメン</t>
    </rPh>
    <rPh sb="6" eb="8">
      <t>メント</t>
    </rPh>
    <phoneticPr fontId="1"/>
  </si>
  <si>
    <t>ボトム 内面取先端位置</t>
    <rPh sb="4" eb="5">
      <t>ナイ</t>
    </rPh>
    <rPh sb="5" eb="7">
      <t>メントリ</t>
    </rPh>
    <rPh sb="7" eb="9">
      <t>センタン</t>
    </rPh>
    <rPh sb="9" eb="11">
      <t>イチ</t>
    </rPh>
    <phoneticPr fontId="1"/>
  </si>
  <si>
    <t>ボトム 内面取先端 湾曲中心-O間 水平距離</t>
    <rPh sb="4" eb="5">
      <t>ウチ</t>
    </rPh>
    <rPh sb="5" eb="7">
      <t>メントリ</t>
    </rPh>
    <rPh sb="7" eb="9">
      <t>センタン</t>
    </rPh>
    <rPh sb="10" eb="12">
      <t>ワンキョク</t>
    </rPh>
    <rPh sb="12" eb="14">
      <t>チュウシン</t>
    </rPh>
    <rPh sb="16" eb="17">
      <t>カン</t>
    </rPh>
    <rPh sb="18" eb="22">
      <t>スイヘイ</t>
    </rPh>
    <phoneticPr fontId="1"/>
  </si>
  <si>
    <t>内面溝（傾き後）</t>
    <rPh sb="0" eb="2">
      <t>ナイメン</t>
    </rPh>
    <rPh sb="2" eb="3">
      <t>ミゾ</t>
    </rPh>
    <rPh sb="4" eb="5">
      <t>カタム</t>
    </rPh>
    <rPh sb="6" eb="7">
      <t>ゴ</t>
    </rPh>
    <phoneticPr fontId="1"/>
  </si>
  <si>
    <t>内面溝（傾き前）</t>
    <rPh sb="0" eb="2">
      <t>ナイメン</t>
    </rPh>
    <rPh sb="2" eb="3">
      <t>ミゾ</t>
    </rPh>
    <rPh sb="4" eb="5">
      <t>カタム</t>
    </rPh>
    <rPh sb="6" eb="7">
      <t>マエ</t>
    </rPh>
    <phoneticPr fontId="1"/>
  </si>
  <si>
    <t>内面溝１列目（奇数列）長さ</t>
    <rPh sb="0" eb="2">
      <t>ナイメン</t>
    </rPh>
    <rPh sb="2" eb="3">
      <t>ミゾ</t>
    </rPh>
    <rPh sb="4" eb="6">
      <t>レツメ</t>
    </rPh>
    <rPh sb="7" eb="9">
      <t>キスウ</t>
    </rPh>
    <rPh sb="9" eb="10">
      <t>レツ</t>
    </rPh>
    <rPh sb="11" eb="12">
      <t>ナガ</t>
    </rPh>
    <phoneticPr fontId="1"/>
  </si>
  <si>
    <t>内面溝２列目（偶数列）長さ</t>
    <rPh sb="0" eb="2">
      <t>ナイメン</t>
    </rPh>
    <rPh sb="2" eb="3">
      <t>ミゾ</t>
    </rPh>
    <rPh sb="4" eb="6">
      <t>レツメ</t>
    </rPh>
    <rPh sb="7" eb="9">
      <t>グウスウ</t>
    </rPh>
    <rPh sb="9" eb="10">
      <t>レツ</t>
    </rPh>
    <rPh sb="11" eb="12">
      <t>ナガ</t>
    </rPh>
    <phoneticPr fontId="1"/>
  </si>
  <si>
    <r>
      <t>cosΦ</t>
    </r>
    <r>
      <rPr>
        <vertAlign val="subscript"/>
        <sz val="8"/>
        <color theme="1"/>
        <rFont val="メイリオ"/>
        <family val="3"/>
        <charset val="128"/>
      </rPr>
      <t>A</t>
    </r>
    <phoneticPr fontId="1"/>
  </si>
  <si>
    <r>
      <t>sinΦ</t>
    </r>
    <r>
      <rPr>
        <vertAlign val="subscript"/>
        <sz val="8"/>
        <color theme="1"/>
        <rFont val="メイリオ"/>
        <family val="3"/>
        <charset val="128"/>
      </rPr>
      <t>A</t>
    </r>
    <phoneticPr fontId="1"/>
  </si>
  <si>
    <t>内面溝m-1列目-トップ端 湾曲中心間Z距離</t>
    <rPh sb="0" eb="2">
      <t>ナイメン</t>
    </rPh>
    <rPh sb="6" eb="8">
      <t>レツメ</t>
    </rPh>
    <rPh sb="12" eb="13">
      <t>タン</t>
    </rPh>
    <rPh sb="14" eb="16">
      <t>ワンキョク</t>
    </rPh>
    <rPh sb="16" eb="18">
      <t>チュウシン</t>
    </rPh>
    <rPh sb="18" eb="19">
      <t>カン</t>
    </rPh>
    <rPh sb="20" eb="22">
      <t>キョリ</t>
    </rPh>
    <phoneticPr fontId="1"/>
  </si>
  <si>
    <t>内面溝m列目-トップ端 湾曲中心間Z距離</t>
    <rPh sb="0" eb="2">
      <t>ナイメン</t>
    </rPh>
    <rPh sb="4" eb="6">
      <t>レツメ</t>
    </rPh>
    <rPh sb="10" eb="11">
      <t>タン</t>
    </rPh>
    <rPh sb="12" eb="14">
      <t>ワンキョク</t>
    </rPh>
    <rPh sb="14" eb="16">
      <t>チュウシン</t>
    </rPh>
    <rPh sb="16" eb="17">
      <t>カン</t>
    </rPh>
    <rPh sb="18" eb="20">
      <t>キョリ</t>
    </rPh>
    <phoneticPr fontId="1"/>
  </si>
  <si>
    <t>工具（刃）直径</t>
    <rPh sb="0" eb="2">
      <t>コウグ</t>
    </rPh>
    <rPh sb="3" eb="4">
      <t>ハ</t>
    </rPh>
    <rPh sb="5" eb="7">
      <t>チョッケイ</t>
    </rPh>
    <phoneticPr fontId="1"/>
  </si>
  <si>
    <t>工具（シャンク）直径</t>
    <rPh sb="0" eb="2">
      <t>コウグ</t>
    </rPh>
    <rPh sb="8" eb="10">
      <t>チョッケイ</t>
    </rPh>
    <phoneticPr fontId="1"/>
  </si>
  <si>
    <t>G57X</t>
    <phoneticPr fontId="1"/>
  </si>
  <si>
    <t>G57Y</t>
    <phoneticPr fontId="1"/>
  </si>
  <si>
    <r>
      <t>g</t>
    </r>
    <r>
      <rPr>
        <vertAlign val="subscript"/>
        <sz val="8"/>
        <color theme="1"/>
        <rFont val="メイリオ"/>
        <family val="3"/>
        <charset val="128"/>
      </rPr>
      <t>tx</t>
    </r>
    <phoneticPr fontId="1"/>
  </si>
  <si>
    <r>
      <t>g</t>
    </r>
    <r>
      <rPr>
        <vertAlign val="subscript"/>
        <sz val="8"/>
        <color theme="1"/>
        <rFont val="メイリオ"/>
        <family val="3"/>
        <charset val="128"/>
      </rPr>
      <t>tz</t>
    </r>
    <phoneticPr fontId="1"/>
  </si>
  <si>
    <r>
      <t>g'</t>
    </r>
    <r>
      <rPr>
        <vertAlign val="subscript"/>
        <sz val="8"/>
        <color theme="1"/>
        <rFont val="メイリオ"/>
        <family val="3"/>
        <charset val="128"/>
      </rPr>
      <t>tx</t>
    </r>
    <phoneticPr fontId="1"/>
  </si>
  <si>
    <r>
      <t>g'</t>
    </r>
    <r>
      <rPr>
        <vertAlign val="subscript"/>
        <sz val="8"/>
        <color theme="1"/>
        <rFont val="メイリオ"/>
        <family val="3"/>
        <charset val="128"/>
      </rPr>
      <t>tz</t>
    </r>
    <phoneticPr fontId="1"/>
  </si>
  <si>
    <r>
      <t>傾け前後g</t>
    </r>
    <r>
      <rPr>
        <vertAlign val="subscript"/>
        <sz val="8"/>
        <color theme="1"/>
        <rFont val="メイリオ"/>
        <family val="3"/>
        <charset val="128"/>
      </rPr>
      <t>tx</t>
    </r>
    <r>
      <rPr>
        <sz val="8"/>
        <color theme="1"/>
        <rFont val="メイリオ"/>
        <family val="3"/>
        <charset val="128"/>
      </rPr>
      <t>移動距離</t>
    </r>
    <rPh sb="0" eb="1">
      <t>カタム</t>
    </rPh>
    <rPh sb="2" eb="4">
      <t>ゼンゴ</t>
    </rPh>
    <rPh sb="7" eb="11">
      <t>イドウキョ</t>
    </rPh>
    <phoneticPr fontId="1"/>
  </si>
  <si>
    <t>G57X（傾け前）fromテーブル中心</t>
    <rPh sb="5" eb="6">
      <t>カタム</t>
    </rPh>
    <rPh sb="7" eb="8">
      <t>マエ</t>
    </rPh>
    <rPh sb="17" eb="19">
      <t>チュウシン</t>
    </rPh>
    <phoneticPr fontId="1"/>
  </si>
  <si>
    <t>G57Z（傾け前）fromテーブル中心</t>
    <rPh sb="5" eb="6">
      <t>カタム</t>
    </rPh>
    <rPh sb="7" eb="8">
      <t>マエ</t>
    </rPh>
    <rPh sb="17" eb="19">
      <t>チュウシン</t>
    </rPh>
    <phoneticPr fontId="1"/>
  </si>
  <si>
    <t>G57X（傾け後）fromテーブル中心</t>
    <rPh sb="5" eb="6">
      <t>カタム</t>
    </rPh>
    <rPh sb="7" eb="8">
      <t>ゴ</t>
    </rPh>
    <rPh sb="17" eb="19">
      <t>チュウシン</t>
    </rPh>
    <phoneticPr fontId="1"/>
  </si>
  <si>
    <t>G57Z（傾け後）fromテーブル中心</t>
    <rPh sb="5" eb="6">
      <t>カタム</t>
    </rPh>
    <rPh sb="7" eb="8">
      <t>ゴ</t>
    </rPh>
    <rPh sb="17" eb="19">
      <t>チュウシン</t>
    </rPh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</si>
  <si>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b</t>
    </r>
    <r>
      <rPr>
        <sz val="8"/>
        <color theme="1"/>
        <rFont val="メイリオ"/>
        <family val="3"/>
        <charset val="128"/>
      </rPr>
      <t>-C49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</si>
  <si>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b</t>
    </r>
    <r>
      <rPr>
        <sz val="8"/>
        <color theme="1"/>
        <rFont val="メイリオ"/>
        <family val="3"/>
        <charset val="128"/>
      </rPr>
      <t>-C49)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</si>
  <si>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t>1列目 BD内径（めっき含・概算）</t>
    <phoneticPr fontId="1"/>
  </si>
  <si>
    <t>内面溝（その他）</t>
    <rPh sb="0" eb="2">
      <t>ナイメン</t>
    </rPh>
    <rPh sb="2" eb="3">
      <t>ミゾ</t>
    </rPh>
    <rPh sb="6" eb="7">
      <t>タ</t>
    </rPh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</si>
  <si>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</si>
  <si>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t>溝ボトム側A面</t>
    <rPh sb="0" eb="1">
      <t>ミゾ</t>
    </rPh>
    <rPh sb="4" eb="5">
      <t>ガワ</t>
    </rPh>
    <rPh sb="6" eb="7">
      <t>メン</t>
    </rPh>
    <phoneticPr fontId="1"/>
  </si>
  <si>
    <r>
      <t>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+κ</t>
    </r>
    <r>
      <rPr>
        <vertAlign val="subscript"/>
        <sz val="8"/>
        <color theme="1"/>
        <rFont val="メイリオ"/>
        <family val="3"/>
        <charset val="128"/>
      </rPr>
      <t>w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</si>
  <si>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w</t>
    </r>
    <phoneticPr fontId="1"/>
  </si>
  <si>
    <t>溝位置+溝幅</t>
    <rPh sb="0" eb="1">
      <t>ミゾ</t>
    </rPh>
    <rPh sb="1" eb="3">
      <t>イチ</t>
    </rPh>
    <rPh sb="4" eb="6">
      <t>ミゾハバ</t>
    </rPh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</si>
  <si>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</si>
  <si>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phoneticPr fontId="1"/>
  </si>
  <si>
    <t>振分中心-溝位置-溝幅</t>
    <rPh sb="0" eb="2">
      <t>フリワケ</t>
    </rPh>
    <rPh sb="2" eb="4">
      <t>チュウシン</t>
    </rPh>
    <rPh sb="5" eb="6">
      <t>ミゾ</t>
    </rPh>
    <rPh sb="6" eb="8">
      <t>イチ</t>
    </rPh>
    <rPh sb="9" eb="10">
      <t>ミゾ</t>
    </rPh>
    <rPh sb="10" eb="11">
      <t>ハバ</t>
    </rPh>
    <phoneticPr fontId="1"/>
  </si>
  <si>
    <t>振分中心-溝位置</t>
    <rPh sb="0" eb="2">
      <t>フリワケ</t>
    </rPh>
    <rPh sb="2" eb="4">
      <t>チュウシン</t>
    </rPh>
    <rPh sb="5" eb="6">
      <t>ミゾ</t>
    </rPh>
    <rPh sb="6" eb="8">
      <t>イチ</t>
    </rPh>
    <phoneticPr fontId="1"/>
  </si>
  <si>
    <r>
      <t>κ</t>
    </r>
    <r>
      <rPr>
        <vertAlign val="subscript"/>
        <sz val="8"/>
        <color theme="1"/>
        <rFont val="メイリオ"/>
        <family val="3"/>
        <charset val="128"/>
      </rPr>
      <t>p</t>
    </r>
    <phoneticPr fontId="1"/>
  </si>
  <si>
    <r>
      <t>κ</t>
    </r>
    <r>
      <rPr>
        <vertAlign val="subscript"/>
        <sz val="8"/>
        <color theme="1"/>
        <rFont val="メイリオ"/>
        <family val="3"/>
        <charset val="128"/>
      </rPr>
      <t>w</t>
    </r>
    <phoneticPr fontId="1"/>
  </si>
  <si>
    <t>tanζ</t>
    <phoneticPr fontId="1"/>
  </si>
  <si>
    <t>sinζ</t>
    <phoneticPr fontId="1"/>
  </si>
  <si>
    <t>溝深さ測定角tan</t>
    <rPh sb="0" eb="1">
      <t>ミゾ</t>
    </rPh>
    <rPh sb="1" eb="2">
      <t>フカ</t>
    </rPh>
    <rPh sb="3" eb="5">
      <t>ソクテイ</t>
    </rPh>
    <rPh sb="5" eb="6">
      <t>カド</t>
    </rPh>
    <phoneticPr fontId="1"/>
  </si>
  <si>
    <t>溝深さ測定角sin</t>
    <rPh sb="0" eb="1">
      <t>ミゾ</t>
    </rPh>
    <rPh sb="1" eb="2">
      <t>フカ</t>
    </rPh>
    <rPh sb="3" eb="5">
      <t>ソクテイ</t>
    </rPh>
    <rPh sb="5" eb="6">
      <t>カド</t>
    </rPh>
    <phoneticPr fontId="1"/>
  </si>
  <si>
    <t>cosζ</t>
    <phoneticPr fontId="1"/>
  </si>
  <si>
    <t>溝深さ測定角cos</t>
    <rPh sb="0" eb="1">
      <t>ミゾ</t>
    </rPh>
    <rPh sb="1" eb="2">
      <t>フカ</t>
    </rPh>
    <rPh sb="3" eb="5">
      <t>ソクテイ</t>
    </rPh>
    <rPh sb="5" eb="6">
      <t>カド</t>
    </rPh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</si>
  <si>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}-sqrt{R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</si>
  <si>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(κ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sinζ)/2</t>
    </r>
    <phoneticPr fontId="1"/>
  </si>
  <si>
    <r>
      <t>κ</t>
    </r>
    <r>
      <rPr>
        <vertAlign val="subscript"/>
        <sz val="8"/>
        <color theme="1"/>
        <rFont val="メイリオ"/>
        <family val="3"/>
        <charset val="128"/>
      </rPr>
      <t>d</t>
    </r>
    <phoneticPr fontId="1"/>
  </si>
  <si>
    <r>
      <t>κ</t>
    </r>
    <r>
      <rPr>
        <vertAlign val="subscript"/>
        <sz val="8"/>
        <color theme="1"/>
        <rFont val="メイリオ"/>
        <family val="3"/>
        <charset val="128"/>
      </rPr>
      <t>d</t>
    </r>
    <r>
      <rPr>
        <sz val="8"/>
        <color theme="1"/>
        <rFont val="メイリオ"/>
        <family val="3"/>
        <charset val="128"/>
      </rPr>
      <t>'</t>
    </r>
    <phoneticPr fontId="1"/>
  </si>
  <si>
    <t>測定上の溝深さを正とした図面上の溝深さ</t>
    <rPh sb="0" eb="2">
      <t>ソクテイ</t>
    </rPh>
    <rPh sb="2" eb="3">
      <t>ジョウ</t>
    </rPh>
    <rPh sb="4" eb="5">
      <t>ミゾ</t>
    </rPh>
    <rPh sb="5" eb="6">
      <t>フカ</t>
    </rPh>
    <rPh sb="8" eb="9">
      <t>セイ</t>
    </rPh>
    <rPh sb="12" eb="15">
      <t>ズメンジョウ</t>
    </rPh>
    <rPh sb="16" eb="17">
      <t>ミゾ</t>
    </rPh>
    <rPh sb="17" eb="18">
      <t>フカ</t>
    </rPh>
    <phoneticPr fontId="1"/>
  </si>
  <si>
    <r>
      <t>2cosζ/(1+cos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ζ)</t>
    </r>
    <phoneticPr fontId="1"/>
  </si>
  <si>
    <t>溝トップ側A面</t>
    <rPh sb="0" eb="1">
      <t>ミゾ</t>
    </rPh>
    <rPh sb="4" eb="5">
      <t>ガワ</t>
    </rPh>
    <rPh sb="6" eb="7">
      <t>メン</t>
    </rPh>
    <phoneticPr fontId="1"/>
  </si>
  <si>
    <t>溝中央A面とトップ側A面の差</t>
    <rPh sb="0" eb="1">
      <t>ミゾ</t>
    </rPh>
    <rPh sb="1" eb="3">
      <t>チュウオウ</t>
    </rPh>
    <rPh sb="4" eb="5">
      <t>メン</t>
    </rPh>
    <rPh sb="9" eb="10">
      <t>ガワ</t>
    </rPh>
    <rPh sb="11" eb="12">
      <t>メン</t>
    </rPh>
    <rPh sb="13" eb="14">
      <t>サ</t>
    </rPh>
    <phoneticPr fontId="1"/>
  </si>
  <si>
    <t>ボトム外削</t>
    <rPh sb="3" eb="5">
      <t>ガイサク</t>
    </rPh>
    <phoneticPr fontId="1"/>
  </si>
  <si>
    <t>トップ外削</t>
    <rPh sb="3" eb="5">
      <t>ガイサク</t>
    </rPh>
    <phoneticPr fontId="1"/>
  </si>
  <si>
    <t>ジグ外幅の半分(G53B0Z方向)</t>
    <rPh sb="2" eb="3">
      <t>ガイ</t>
    </rPh>
    <rPh sb="3" eb="4">
      <t>ハバ</t>
    </rPh>
    <rPh sb="5" eb="7">
      <t>ハンブン</t>
    </rPh>
    <rPh sb="14" eb="16">
      <t>ホウコウ</t>
    </rPh>
    <phoneticPr fontId="1"/>
  </si>
  <si>
    <t>ジグ内幅(ボルト締口までG53B0Y方向)</t>
    <rPh sb="2" eb="3">
      <t>ウチ</t>
    </rPh>
    <rPh sb="3" eb="4">
      <t>ハバ</t>
    </rPh>
    <rPh sb="11" eb="13">
      <t>ホウコウ</t>
    </rPh>
    <phoneticPr fontId="1"/>
  </si>
  <si>
    <t>ジグ内幅(ボルト締口までG53B0X方向)</t>
    <rPh sb="2" eb="3">
      <t>ウチ</t>
    </rPh>
    <rPh sb="3" eb="4">
      <t>ハバ</t>
    </rPh>
    <rPh sb="18" eb="20">
      <t>ホウコウ</t>
    </rPh>
    <phoneticPr fontId="1"/>
  </si>
  <si>
    <t>その他</t>
    <rPh sb="2" eb="3">
      <t>タ</t>
    </rPh>
    <phoneticPr fontId="1"/>
  </si>
  <si>
    <t>固定用ボルト長X</t>
    <rPh sb="0" eb="3">
      <t>コテイヨウ</t>
    </rPh>
    <rPh sb="6" eb="7">
      <t>チョウ</t>
    </rPh>
    <phoneticPr fontId="1"/>
  </si>
  <si>
    <t>固定用ボルト長Y</t>
    <rPh sb="0" eb="3">
      <t>コテイヨウ</t>
    </rPh>
    <rPh sb="6" eb="7">
      <t>チョウ</t>
    </rPh>
    <phoneticPr fontId="1"/>
  </si>
  <si>
    <t>ジグ外幅の半分(G53B0Z方向TOP)</t>
    <rPh sb="2" eb="3">
      <t>ガイ</t>
    </rPh>
    <rPh sb="3" eb="4">
      <t>ハバ</t>
    </rPh>
    <rPh sb="5" eb="7">
      <t>ハンブン</t>
    </rPh>
    <rPh sb="14" eb="16">
      <t>ホウコウ</t>
    </rPh>
    <phoneticPr fontId="1"/>
  </si>
  <si>
    <t>ジグ外幅の半分(G53B0Z方向BOT)</t>
    <rPh sb="2" eb="3">
      <t>ガイ</t>
    </rPh>
    <rPh sb="3" eb="4">
      <t>ハバ</t>
    </rPh>
    <rPh sb="5" eb="7">
      <t>ハンブン</t>
    </rPh>
    <rPh sb="14" eb="16">
      <t>ホウコウ</t>
    </rPh>
    <phoneticPr fontId="1"/>
  </si>
  <si>
    <t>ボトム 内面取 長さ</t>
    <rPh sb="4" eb="5">
      <t>ウチ</t>
    </rPh>
    <rPh sb="5" eb="7">
      <t>メントリ</t>
    </rPh>
    <rPh sb="8" eb="9">
      <t>ナガ</t>
    </rPh>
    <phoneticPr fontId="1"/>
  </si>
  <si>
    <t>ボトム 外面取 長さ</t>
    <rPh sb="4" eb="5">
      <t>ソト</t>
    </rPh>
    <rPh sb="5" eb="7">
      <t>メントリ</t>
    </rPh>
    <rPh sb="8" eb="9">
      <t>ナガ</t>
    </rPh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</si>
  <si>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b</t>
    </r>
    <r>
      <rPr>
        <sz val="8"/>
        <color theme="1"/>
        <rFont val="メイリオ"/>
        <family val="3"/>
        <charset val="128"/>
      </rPr>
      <t>-C49)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}-sqrt(R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b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</si>
</sst>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_ "/>
    <numFmt numFmtId="177" formatCode="0.000_ "/>
    <numFmt numFmtId="178" formatCode="0.0_ "/>
    <numFmt numFmtId="179" formatCode="0_ "/>
    <numFmt numFmtId="180" formatCode="0.000"/>
  </numFmts>
  <fonts count="10" x14ac:knownFonts="1">
    <font>
      <sz val="10"/>
      <color theme="1"/>
      <name val="メイリオ"/>
      <family val="2"/>
      <charset val="128"/>
    </font>
    <font>
      <sz val="6"/>
      <name val="メイリオ"/>
      <family val="2"/>
      <charset val="128"/>
    </font>
    <font>
      <sz val="8"/>
      <color theme="1"/>
      <name val="メイリオ"/>
      <family val="3"/>
      <charset val="128"/>
    </font>
    <font>
      <vertAlign val="subscript"/>
      <sz val="8"/>
      <color theme="1"/>
      <name val="メイリオ"/>
      <family val="3"/>
      <charset val="128"/>
    </font>
    <font>
      <b/>
      <sz val="8"/>
      <color theme="1"/>
      <name val="メイリオ"/>
      <family val="3"/>
      <charset val="128"/>
    </font>
    <font>
      <vertAlign val="superscript"/>
      <sz val="8"/>
      <color theme="1"/>
      <name val="メイリオ"/>
      <family val="3"/>
      <charset val="128"/>
    </font>
    <font>
      <sz val="9"/>
      <color theme="1"/>
      <name val="メイリオ"/>
      <family val="2"/>
      <charset val="128"/>
    </font>
    <font>
      <sz val="9"/>
      <color theme="1"/>
      <name val="メイリオ"/>
      <family val="3"/>
      <charset val="128"/>
    </font>
    <font>
      <b/>
      <vertAlign val="subscript"/>
      <sz val="8"/>
      <color theme="1"/>
      <name val="メイリオ"/>
      <family val="3"/>
      <charset val="128"/>
    </font>
    <font>
      <i/>
      <sz val="8"/>
      <color theme="1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 diagonalDown="1"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 style="thin">
        <color indexed="64"/>
      </diagonal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2" fillId="0" borderId="0" xfId="0" applyFont="1">
      <alignment vertical="center"/>
    </xf>
    <xf numFmtId="177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177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8" xfId="0" applyFont="1" applyBorder="1">
      <alignment vertical="center"/>
    </xf>
    <xf numFmtId="177" fontId="2" fillId="0" borderId="7" xfId="0" applyNumberFormat="1" applyFont="1" applyBorder="1" applyAlignment="1">
      <alignment horizontal="center" vertical="center"/>
    </xf>
    <xf numFmtId="0" fontId="2" fillId="2" borderId="6" xfId="0" applyFont="1" applyFill="1" applyBorder="1">
      <alignment vertical="center"/>
    </xf>
    <xf numFmtId="177" fontId="2" fillId="2" borderId="6" xfId="0" applyNumberFormat="1" applyFont="1" applyFill="1" applyBorder="1">
      <alignment vertical="center"/>
    </xf>
    <xf numFmtId="0" fontId="2" fillId="0" borderId="4" xfId="0" applyFont="1" applyBorder="1">
      <alignment vertical="center"/>
    </xf>
    <xf numFmtId="177" fontId="2" fillId="3" borderId="5" xfId="0" applyNumberFormat="1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3" xfId="0" applyFont="1" applyBorder="1">
      <alignment vertical="center"/>
    </xf>
    <xf numFmtId="177" fontId="2" fillId="3" borderId="2" xfId="0" applyNumberFormat="1" applyFont="1" applyFill="1" applyBorder="1" applyAlignment="1">
      <alignment horizontal="center" vertical="center"/>
    </xf>
    <xf numFmtId="176" fontId="2" fillId="0" borderId="0" xfId="0" applyNumberFormat="1" applyFont="1">
      <alignment vertical="center"/>
    </xf>
    <xf numFmtId="0" fontId="2" fillId="2" borderId="10" xfId="0" applyFont="1" applyFill="1" applyBorder="1">
      <alignment vertical="center"/>
    </xf>
    <xf numFmtId="177" fontId="2" fillId="2" borderId="10" xfId="0" applyNumberFormat="1" applyFont="1" applyFill="1" applyBorder="1">
      <alignment vertical="center"/>
    </xf>
    <xf numFmtId="177" fontId="2" fillId="4" borderId="2" xfId="0" applyNumberFormat="1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0" borderId="11" xfId="0" applyFont="1" applyBorder="1">
      <alignment vertical="center"/>
    </xf>
    <xf numFmtId="177" fontId="2" fillId="0" borderId="11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77" fontId="2" fillId="0" borderId="11" xfId="0" applyNumberFormat="1" applyFont="1" applyBorder="1">
      <alignment vertical="center"/>
    </xf>
    <xf numFmtId="0" fontId="4" fillId="0" borderId="12" xfId="0" applyFont="1" applyBorder="1">
      <alignment vertical="center"/>
    </xf>
    <xf numFmtId="179" fontId="2" fillId="0" borderId="12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177" fontId="2" fillId="0" borderId="12" xfId="0" applyNumberFormat="1" applyFont="1" applyBorder="1" applyAlignment="1">
      <alignment horizontal="center" vertical="center"/>
    </xf>
    <xf numFmtId="178" fontId="2" fillId="2" borderId="6" xfId="0" applyNumberFormat="1" applyFont="1" applyFill="1" applyBorder="1">
      <alignment vertical="center"/>
    </xf>
    <xf numFmtId="177" fontId="2" fillId="2" borderId="6" xfId="0" applyNumberFormat="1" applyFont="1" applyFill="1" applyBorder="1" applyAlignment="1">
      <alignment horizontal="center" vertical="center"/>
    </xf>
    <xf numFmtId="178" fontId="2" fillId="3" borderId="2" xfId="0" applyNumberFormat="1" applyFont="1" applyFill="1" applyBorder="1" applyAlignment="1">
      <alignment horizontal="center" vertical="center"/>
    </xf>
    <xf numFmtId="177" fontId="4" fillId="0" borderId="0" xfId="0" applyNumberFormat="1" applyFont="1">
      <alignment vertical="center"/>
    </xf>
    <xf numFmtId="177" fontId="2" fillId="3" borderId="9" xfId="0" applyNumberFormat="1" applyFont="1" applyFill="1" applyBorder="1" applyAlignment="1">
      <alignment horizontal="center" vertical="center"/>
    </xf>
    <xf numFmtId="177" fontId="4" fillId="0" borderId="12" xfId="0" applyNumberFormat="1" applyFont="1" applyBorder="1">
      <alignment vertical="center"/>
    </xf>
    <xf numFmtId="177" fontId="2" fillId="2" borderId="1" xfId="0" applyNumberFormat="1" applyFont="1" applyFill="1" applyBorder="1">
      <alignment vertical="center"/>
    </xf>
    <xf numFmtId="177" fontId="2" fillId="2" borderId="1" xfId="0" applyNumberFormat="1" applyFont="1" applyFill="1" applyBorder="1" applyAlignment="1">
      <alignment horizontal="center" vertical="center"/>
    </xf>
    <xf numFmtId="177" fontId="2" fillId="4" borderId="9" xfId="0" applyNumberFormat="1" applyFont="1" applyFill="1" applyBorder="1" applyAlignment="1">
      <alignment horizontal="center" vertical="center"/>
    </xf>
    <xf numFmtId="178" fontId="2" fillId="4" borderId="2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176" fontId="7" fillId="0" borderId="0" xfId="0" applyNumberFormat="1" applyFont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177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 vertical="center" shrinkToFit="1"/>
    </xf>
    <xf numFmtId="180" fontId="2" fillId="0" borderId="0" xfId="0" applyNumberFormat="1" applyFont="1" applyAlignment="1">
      <alignment horizontal="right" vertical="center"/>
    </xf>
    <xf numFmtId="180" fontId="2" fillId="0" borderId="0" xfId="0" applyNumberFormat="1" applyFont="1">
      <alignment vertical="center"/>
    </xf>
    <xf numFmtId="178" fontId="2" fillId="2" borderId="1" xfId="0" applyNumberFormat="1" applyFont="1" applyFill="1" applyBorder="1" applyAlignment="1">
      <alignment horizontal="center" vertical="center"/>
    </xf>
    <xf numFmtId="178" fontId="2" fillId="2" borderId="6" xfId="0" applyNumberFormat="1" applyFont="1" applyFill="1" applyBorder="1" applyAlignment="1">
      <alignment horizontal="center" vertical="center"/>
    </xf>
    <xf numFmtId="177" fontId="2" fillId="2" borderId="10" xfId="0" applyNumberFormat="1" applyFont="1" applyFill="1" applyBorder="1" applyAlignment="1">
      <alignment horizontal="center" vertical="center"/>
    </xf>
    <xf numFmtId="177" fontId="2" fillId="0" borderId="15" xfId="0" applyNumberFormat="1" applyFont="1" applyBorder="1" applyAlignment="1">
      <alignment horizontal="center" vertical="center"/>
    </xf>
    <xf numFmtId="177" fontId="2" fillId="0" borderId="13" xfId="0" applyNumberFormat="1" applyFont="1" applyBorder="1" applyAlignment="1">
      <alignment horizontal="center" vertical="center"/>
    </xf>
    <xf numFmtId="177" fontId="2" fillId="0" borderId="14" xfId="0" applyNumberFormat="1" applyFont="1" applyBorder="1" applyAlignment="1">
      <alignment horizontal="center" vertical="center"/>
    </xf>
    <xf numFmtId="0" fontId="2" fillId="0" borderId="0" xfId="0" applyFont="1" applyAlignment="1">
      <alignment vertical="center" shrinkToFit="1"/>
    </xf>
    <xf numFmtId="177" fontId="2" fillId="0" borderId="0" xfId="0" applyNumberFormat="1" applyFont="1" applyAlignment="1">
      <alignment vertical="center" shrinkToFit="1"/>
    </xf>
    <xf numFmtId="177" fontId="2" fillId="0" borderId="6" xfId="0" applyNumberFormat="1" applyFont="1" applyBorder="1" applyAlignment="1">
      <alignment horizontal="center" vertical="center"/>
    </xf>
    <xf numFmtId="0" fontId="2" fillId="0" borderId="10" xfId="0" applyFont="1" applyBorder="1">
      <alignment vertical="center"/>
    </xf>
    <xf numFmtId="0" fontId="2" fillId="0" borderId="10" xfId="0" applyFont="1" applyBorder="1" applyAlignment="1">
      <alignment horizontal="center" vertical="center"/>
    </xf>
    <xf numFmtId="177" fontId="2" fillId="0" borderId="6" xfId="0" applyNumberFormat="1" applyFont="1" applyBorder="1">
      <alignment vertical="center"/>
    </xf>
    <xf numFmtId="180" fontId="2" fillId="2" borderId="6" xfId="0" applyNumberFormat="1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標準" xfId="0" builtinId="0"/>
  </cellStyles>
  <dxfs count="80">
    <dxf>
      <fill>
        <patternFill>
          <bgColor theme="8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2FC29-DC21-4B73-8FB9-EE84D8C0B11F}">
  <sheetPr codeName="Sheet16"/>
  <dimension ref="A1:R182"/>
  <sheetViews>
    <sheetView workbookViewId="0"/>
  </sheetViews>
  <sheetFormatPr defaultRowHeight="14.25" x14ac:dyDescent="0.4"/>
  <cols>
    <col min="1" max="1" width="3.75" style="3" bestFit="1" customWidth="1"/>
    <col min="2" max="2" width="27.75" style="1" bestFit="1" customWidth="1"/>
    <col min="3" max="3" width="9.25" style="5" bestFit="1" customWidth="1"/>
    <col min="4" max="4" width="1.625" style="1" customWidth="1"/>
    <col min="5" max="5" width="4.125" style="3" bestFit="1" customWidth="1"/>
    <col min="6" max="6" width="30.375" style="1" bestFit="1" customWidth="1"/>
    <col min="7" max="7" width="2.375" style="3" bestFit="1" customWidth="1"/>
    <col min="8" max="8" width="10.125" style="3" bestFit="1" customWidth="1"/>
    <col min="9" max="9" width="9.25" style="3" bestFit="1" customWidth="1"/>
    <col min="10" max="10" width="1.625" style="1" customWidth="1"/>
    <col min="11" max="11" width="4.125" style="3" bestFit="1" customWidth="1"/>
    <col min="12" max="12" width="30.625" style="45" customWidth="1"/>
    <col min="13" max="13" width="27.625" style="54" customWidth="1"/>
    <col min="14" max="14" width="10.375" style="2" customWidth="1"/>
    <col min="15" max="15" width="1.625" style="1" hidden="1" customWidth="1"/>
    <col min="16" max="16" width="23.125" style="1" hidden="1" customWidth="1"/>
    <col min="17" max="17" width="11.375" style="1" hidden="1" customWidth="1"/>
    <col min="18" max="18" width="8.375" style="1" hidden="1" customWidth="1"/>
    <col min="19" max="16384" width="9" style="1"/>
  </cols>
  <sheetData>
    <row r="1" spans="1:18" x14ac:dyDescent="0.4">
      <c r="B1" s="4" t="s">
        <v>157</v>
      </c>
      <c r="F1" s="4" t="s">
        <v>115</v>
      </c>
      <c r="G1" s="6"/>
      <c r="P1" s="4" t="s">
        <v>116</v>
      </c>
      <c r="Q1" s="3"/>
      <c r="R1" s="3"/>
    </row>
    <row r="2" spans="1:18" ht="15" thickBot="1" x14ac:dyDescent="0.45">
      <c r="B2" s="7"/>
      <c r="C2" s="8" t="s">
        <v>14</v>
      </c>
      <c r="F2" s="4" t="s">
        <v>110</v>
      </c>
      <c r="G2" s="6"/>
      <c r="H2" s="45" t="s">
        <v>217</v>
      </c>
      <c r="I2" s="3" t="s">
        <v>98</v>
      </c>
      <c r="K2" s="3">
        <f>ROW(K2)</f>
        <v>2</v>
      </c>
      <c r="L2" s="45" t="s">
        <v>372</v>
      </c>
      <c r="M2" s="54" t="s">
        <v>80</v>
      </c>
      <c r="N2" s="2">
        <f>RADIANS($H$7)</f>
        <v>1.1205013797803596E-2</v>
      </c>
      <c r="P2" s="9" t="s">
        <v>58</v>
      </c>
      <c r="Q2" s="10">
        <f>C4+N166</f>
        <v>500.00000001278181</v>
      </c>
      <c r="R2" s="10">
        <f>C67+Q2</f>
        <v>-649.97399998721812</v>
      </c>
    </row>
    <row r="3" spans="1:18" ht="15" thickTop="1" x14ac:dyDescent="0.4">
      <c r="A3" s="3" t="s">
        <v>158</v>
      </c>
      <c r="B3" s="11" t="s">
        <v>5</v>
      </c>
      <c r="C3" s="12">
        <v>8922.7000000000007</v>
      </c>
      <c r="E3" s="3" t="s">
        <v>229</v>
      </c>
      <c r="F3" s="9" t="s">
        <v>377</v>
      </c>
      <c r="G3" s="13" t="s">
        <v>123</v>
      </c>
      <c r="H3" s="30">
        <f>$C$4+$N$13*$N$5</f>
        <v>500.01603829462465</v>
      </c>
      <c r="I3" s="30">
        <f>$C$67+H3</f>
        <v>-649.95796170537528</v>
      </c>
      <c r="K3" s="3">
        <f t="shared" ref="K3:K75" si="0">ROW(K3)</f>
        <v>3</v>
      </c>
      <c r="L3" s="45" t="s">
        <v>373</v>
      </c>
      <c r="M3" s="54" t="s">
        <v>81</v>
      </c>
      <c r="N3" s="2">
        <f>ASIN($N$14)</f>
        <v>1.1203216917671469E-2</v>
      </c>
      <c r="P3" s="9" t="s">
        <v>59</v>
      </c>
      <c r="Q3" s="10">
        <f>C4+C5-Q2</f>
        <v>499.99999998721819</v>
      </c>
      <c r="R3" s="10">
        <f>C67+Q3</f>
        <v>-649.97400001278174</v>
      </c>
    </row>
    <row r="4" spans="1:18" x14ac:dyDescent="0.4">
      <c r="A4" s="3" t="s">
        <v>159</v>
      </c>
      <c r="B4" s="14" t="s">
        <v>7</v>
      </c>
      <c r="C4" s="15">
        <v>400</v>
      </c>
      <c r="E4" s="3" t="s">
        <v>230</v>
      </c>
      <c r="F4" s="9" t="s">
        <v>378</v>
      </c>
      <c r="G4" s="13" t="s">
        <v>123</v>
      </c>
      <c r="H4" s="30">
        <f>$C$4+$C$5-$H$3</f>
        <v>499.98396170537535</v>
      </c>
      <c r="I4" s="30">
        <f>$C$67+H4</f>
        <v>-649.99003829462458</v>
      </c>
      <c r="K4" s="3">
        <f t="shared" si="0"/>
        <v>4</v>
      </c>
      <c r="L4" s="45" t="s">
        <v>374</v>
      </c>
      <c r="M4" s="54" t="s">
        <v>231</v>
      </c>
      <c r="N4" s="2">
        <f>DEGREES($N$3)</f>
        <v>0.64189704635213818</v>
      </c>
      <c r="P4" s="9" t="s">
        <v>60</v>
      </c>
      <c r="Q4" s="10">
        <f>Q2-C61</f>
        <v>170.00000001278181</v>
      </c>
    </row>
    <row r="5" spans="1:18" x14ac:dyDescent="0.4">
      <c r="A5" s="3" t="s">
        <v>160</v>
      </c>
      <c r="B5" s="14" t="s">
        <v>8</v>
      </c>
      <c r="C5" s="15">
        <v>600</v>
      </c>
      <c r="D5" s="2"/>
      <c r="F5" s="9" t="s">
        <v>379</v>
      </c>
      <c r="G5" s="13" t="s">
        <v>123</v>
      </c>
      <c r="H5" s="30">
        <f>$H$3-$C$61</f>
        <v>170.01603829462465</v>
      </c>
      <c r="K5" s="3">
        <f t="shared" si="0"/>
        <v>5</v>
      </c>
      <c r="L5" s="45" t="s">
        <v>82</v>
      </c>
      <c r="N5" s="2">
        <f>SIN($N$2)</f>
        <v>1.120477933000264E-2</v>
      </c>
      <c r="P5" s="9" t="s">
        <v>61</v>
      </c>
      <c r="Q5" s="10">
        <f>Q3-C61</f>
        <v>169.99999998721819</v>
      </c>
    </row>
    <row r="6" spans="1:18" x14ac:dyDescent="0.4">
      <c r="B6" s="14" t="s">
        <v>13</v>
      </c>
      <c r="C6" s="19">
        <v>7.1067335251979431</v>
      </c>
      <c r="D6" s="16"/>
      <c r="F6" s="9" t="s">
        <v>380</v>
      </c>
      <c r="G6" s="13" t="s">
        <v>123</v>
      </c>
      <c r="H6" s="50">
        <f>$H$4-$C$61</f>
        <v>169.98396170537535</v>
      </c>
      <c r="K6" s="3">
        <f t="shared" si="0"/>
        <v>6</v>
      </c>
      <c r="L6" s="45" t="s">
        <v>84</v>
      </c>
      <c r="N6" s="2">
        <f>COS($N$2)</f>
        <v>0.99993722448970057</v>
      </c>
      <c r="P6" s="17" t="s">
        <v>28</v>
      </c>
      <c r="Q6" s="18">
        <f>N161-N162</f>
        <v>7.1067335242896661</v>
      </c>
    </row>
    <row r="7" spans="1:18" x14ac:dyDescent="0.4">
      <c r="B7" s="21"/>
      <c r="C7" s="22"/>
      <c r="E7" s="3" t="s">
        <v>79</v>
      </c>
      <c r="F7" s="17" t="s">
        <v>375</v>
      </c>
      <c r="G7" s="20" t="s">
        <v>124</v>
      </c>
      <c r="H7" s="30">
        <f>ROUND($N$4,3)</f>
        <v>0.64200000000000002</v>
      </c>
      <c r="I7" s="30">
        <f>-$C$68+$H$7</f>
        <v>0.56900000000000006</v>
      </c>
      <c r="K7" s="3">
        <f t="shared" si="0"/>
        <v>7</v>
      </c>
      <c r="L7" s="45" t="s">
        <v>161</v>
      </c>
      <c r="N7" s="2">
        <f>SQRT($N$8^2-$N$9^2)</f>
        <v>8724.6943808938086</v>
      </c>
      <c r="P7" s="17" t="s">
        <v>73</v>
      </c>
      <c r="Q7" s="18">
        <f>C65+C10/2</f>
        <v>-648.5</v>
      </c>
    </row>
    <row r="8" spans="1:18" x14ac:dyDescent="0.4">
      <c r="B8" s="25" t="s">
        <v>6</v>
      </c>
      <c r="C8" s="26"/>
      <c r="E8" s="3" t="s">
        <v>79</v>
      </c>
      <c r="F8" s="57" t="s">
        <v>376</v>
      </c>
      <c r="G8" s="58" t="s">
        <v>124</v>
      </c>
      <c r="H8" s="56">
        <f>ROUND($N$4,0)</f>
        <v>1</v>
      </c>
      <c r="I8" s="56">
        <f>-$C$68+$H$8</f>
        <v>0.92700000000000005</v>
      </c>
      <c r="K8" s="3">
        <f t="shared" si="0"/>
        <v>8</v>
      </c>
      <c r="L8" s="45" t="s">
        <v>162</v>
      </c>
      <c r="M8" s="54" t="s">
        <v>18</v>
      </c>
      <c r="N8" s="2">
        <f>$N$10-$C$63</f>
        <v>8730.2000000000007</v>
      </c>
      <c r="P8" s="9" t="s">
        <v>62</v>
      </c>
      <c r="Q8" s="10">
        <f>-C64+(N16+N17)/2+C6/2-N165</f>
        <v>-8.3385574269177596</v>
      </c>
      <c r="R8" s="10">
        <f t="shared" ref="R8:R14" si="1">$C$66+Q8</f>
        <v>-558.35755742691777</v>
      </c>
    </row>
    <row r="9" spans="1:18" x14ac:dyDescent="0.4">
      <c r="B9" s="14" t="s">
        <v>74</v>
      </c>
      <c r="C9" s="15">
        <v>185</v>
      </c>
      <c r="F9" s="21"/>
      <c r="G9" s="23"/>
      <c r="H9" s="5"/>
      <c r="K9" s="3">
        <f t="shared" si="0"/>
        <v>9</v>
      </c>
      <c r="L9" s="45" t="s">
        <v>12</v>
      </c>
      <c r="M9" s="54" t="s">
        <v>77</v>
      </c>
      <c r="N9" s="2">
        <f>$C$61-$C$62/2</f>
        <v>310</v>
      </c>
      <c r="P9" s="9" t="s">
        <v>16</v>
      </c>
      <c r="Q9" s="10">
        <f>-C64+N15+C6/2-N165</f>
        <v>-8.337590837638345</v>
      </c>
      <c r="R9" s="10">
        <f t="shared" si="1"/>
        <v>-558.35659083763835</v>
      </c>
    </row>
    <row r="10" spans="1:18" x14ac:dyDescent="0.4">
      <c r="B10" s="14" t="s">
        <v>11</v>
      </c>
      <c r="C10" s="15">
        <v>183</v>
      </c>
      <c r="F10" s="25" t="s">
        <v>128</v>
      </c>
      <c r="G10" s="27"/>
      <c r="H10" s="28"/>
      <c r="K10" s="3">
        <f t="shared" si="0"/>
        <v>10</v>
      </c>
      <c r="L10" s="45" t="s">
        <v>163</v>
      </c>
      <c r="M10" s="54" t="s">
        <v>9</v>
      </c>
      <c r="N10" s="2">
        <f>$C$3-$C$9/2</f>
        <v>8830.2000000000007</v>
      </c>
      <c r="P10" s="9" t="s">
        <v>63</v>
      </c>
      <c r="Q10" s="10">
        <f>C64-(N19+N20)/2-C6/2+N165</f>
        <v>19.565491184843268</v>
      </c>
      <c r="R10" s="10">
        <f t="shared" si="1"/>
        <v>-530.45350881515674</v>
      </c>
    </row>
    <row r="11" spans="1:18" x14ac:dyDescent="0.4">
      <c r="B11" s="21"/>
      <c r="C11" s="22"/>
      <c r="F11" s="9" t="s">
        <v>118</v>
      </c>
      <c r="G11" s="13" t="s">
        <v>125</v>
      </c>
      <c r="H11" s="30">
        <f>$C$65+C10/2</f>
        <v>-648.5</v>
      </c>
      <c r="K11" s="3">
        <f t="shared" si="0"/>
        <v>11</v>
      </c>
      <c r="L11" s="45" t="s">
        <v>164</v>
      </c>
      <c r="M11" s="54" t="s">
        <v>17</v>
      </c>
      <c r="N11" s="2">
        <f>$C$3+$C$9/2</f>
        <v>9015.2000000000007</v>
      </c>
      <c r="P11" s="9" t="s">
        <v>19</v>
      </c>
      <c r="Q11" s="10">
        <f>C64-N18-C6/2+N165</f>
        <v>19.56330812012493</v>
      </c>
      <c r="R11" s="10">
        <f t="shared" si="1"/>
        <v>-530.45569187987508</v>
      </c>
    </row>
    <row r="12" spans="1:18" x14ac:dyDescent="0.4">
      <c r="B12" s="25" t="s">
        <v>111</v>
      </c>
      <c r="C12" s="26">
        <v>1</v>
      </c>
      <c r="F12" s="9" t="s">
        <v>119</v>
      </c>
      <c r="G12" s="13" t="s">
        <v>126</v>
      </c>
      <c r="H12" s="30">
        <f>$N$21-$N$13*$N$6</f>
        <v>-11.905406231671805</v>
      </c>
      <c r="I12" s="30">
        <f>$C$66+H12</f>
        <v>-561.92440623167181</v>
      </c>
      <c r="K12" s="3">
        <f t="shared" si="0"/>
        <v>12</v>
      </c>
      <c r="L12" s="45" t="s">
        <v>165</v>
      </c>
      <c r="M12" s="54" t="s">
        <v>381</v>
      </c>
      <c r="N12" s="2">
        <f>($C$5-$C$4)/2</f>
        <v>100</v>
      </c>
      <c r="P12" s="9" t="s">
        <v>71</v>
      </c>
      <c r="Q12" s="10" t="e">
        <f>C64-(N19+N20)/2-C6/2+N165-#REF!/2-C35+C36/2</f>
        <v>#REF!</v>
      </c>
      <c r="R12" s="10" t="e">
        <f t="shared" si="1"/>
        <v>#REF!</v>
      </c>
    </row>
    <row r="13" spans="1:18" x14ac:dyDescent="0.4">
      <c r="B13" s="14" t="s">
        <v>41</v>
      </c>
      <c r="C13" s="15">
        <v>172.9</v>
      </c>
      <c r="F13" s="9" t="s">
        <v>121</v>
      </c>
      <c r="G13" s="13" t="s">
        <v>126</v>
      </c>
      <c r="H13" s="30">
        <f>$N$13*$N$6-$N$22</f>
        <v>23.132339989597313</v>
      </c>
      <c r="I13" s="30">
        <f>$C$66+H13</f>
        <v>-526.88666001040269</v>
      </c>
      <c r="K13" s="3">
        <f t="shared" si="0"/>
        <v>13</v>
      </c>
      <c r="L13" s="45" t="s">
        <v>78</v>
      </c>
      <c r="M13" s="54" t="s">
        <v>94</v>
      </c>
      <c r="N13" s="2">
        <f>$C$64+$N$7</f>
        <v>8926.1943808938086</v>
      </c>
      <c r="P13" s="9" t="s">
        <v>66</v>
      </c>
      <c r="Q13" s="10" t="e">
        <f>-Q12+C46</f>
        <v>#REF!</v>
      </c>
      <c r="R13" s="10" t="e">
        <f t="shared" si="1"/>
        <v>#REF!</v>
      </c>
    </row>
    <row r="14" spans="1:18" x14ac:dyDescent="0.4">
      <c r="B14" s="14" t="s">
        <v>201</v>
      </c>
      <c r="C14" s="15">
        <v>172.9</v>
      </c>
      <c r="F14" s="9" t="s">
        <v>120</v>
      </c>
      <c r="G14" s="13" t="s">
        <v>126</v>
      </c>
      <c r="H14" s="30">
        <f>$N$15-$N$13*$N$6</f>
        <v>-11.90443964239239</v>
      </c>
      <c r="I14" s="30">
        <f>$C$66+H14</f>
        <v>-561.9234396423924</v>
      </c>
      <c r="K14" s="3">
        <f t="shared" si="0"/>
        <v>14</v>
      </c>
      <c r="L14" s="45" t="s">
        <v>166</v>
      </c>
      <c r="M14" s="54" t="s">
        <v>83</v>
      </c>
      <c r="N14" s="2">
        <f>$N$12/$N$13</f>
        <v>1.1202982562652493E-2</v>
      </c>
      <c r="P14" s="9" t="s">
        <v>67</v>
      </c>
      <c r="Q14" s="10" t="e">
        <f>-C64+(N16+N17)/2+C6/2-N165+#REF!/2+C41-C42/2</f>
        <v>#REF!</v>
      </c>
      <c r="R14" s="10" t="e">
        <f t="shared" si="1"/>
        <v>#REF!</v>
      </c>
    </row>
    <row r="15" spans="1:18" x14ac:dyDescent="0.4">
      <c r="A15" s="3" t="s">
        <v>421</v>
      </c>
      <c r="B15" s="14" t="s">
        <v>38</v>
      </c>
      <c r="C15" s="15">
        <v>12.05</v>
      </c>
      <c r="D15" s="16"/>
      <c r="F15" s="9" t="s">
        <v>122</v>
      </c>
      <c r="G15" s="13" t="s">
        <v>126</v>
      </c>
      <c r="H15" s="30">
        <f>$N$13*$N$6-$N$18</f>
        <v>23.130156924878975</v>
      </c>
      <c r="I15" s="30">
        <f>$C$66+H15</f>
        <v>-526.88884307512103</v>
      </c>
      <c r="K15" s="3">
        <f t="shared" si="0"/>
        <v>15</v>
      </c>
      <c r="L15" s="45" t="s">
        <v>167</v>
      </c>
      <c r="M15" s="54" t="s">
        <v>32</v>
      </c>
      <c r="N15" s="2">
        <f>SQRT($C$3^2-$C$4^2)</f>
        <v>8913.7295948441242</v>
      </c>
      <c r="P15" s="10" t="s">
        <v>48</v>
      </c>
      <c r="Q15" s="10">
        <f>N28-N15</f>
        <v>0.70683627001562854</v>
      </c>
    </row>
    <row r="16" spans="1:18" x14ac:dyDescent="0.4">
      <c r="A16" s="3" t="s">
        <v>422</v>
      </c>
      <c r="B16" s="14" t="s">
        <v>39</v>
      </c>
      <c r="C16" s="15">
        <v>8.0500000000000007</v>
      </c>
      <c r="D16" s="16"/>
      <c r="H16" s="5"/>
      <c r="I16" s="5"/>
      <c r="K16" s="3">
        <f t="shared" si="0"/>
        <v>16</v>
      </c>
      <c r="L16" s="45" t="s">
        <v>168</v>
      </c>
      <c r="M16" s="54" t="s">
        <v>33</v>
      </c>
      <c r="N16" s="2">
        <f>SQRT($N$11^2-$C$4^2)</f>
        <v>9006.321726431941</v>
      </c>
      <c r="P16" s="10" t="s">
        <v>49</v>
      </c>
      <c r="Q16" s="18">
        <f>C15+C16/2</f>
        <v>16.075000000000003</v>
      </c>
    </row>
    <row r="17" spans="1:18" x14ac:dyDescent="0.4">
      <c r="A17" s="3" t="s">
        <v>432</v>
      </c>
      <c r="B17" s="14" t="s">
        <v>40</v>
      </c>
      <c r="C17" s="15">
        <v>6.1360000000000001</v>
      </c>
      <c r="F17" s="25" t="s">
        <v>113</v>
      </c>
      <c r="G17" s="27"/>
      <c r="H17" s="28"/>
      <c r="I17" s="5"/>
      <c r="K17" s="3">
        <f t="shared" si="0"/>
        <v>17</v>
      </c>
      <c r="L17" s="45" t="s">
        <v>169</v>
      </c>
      <c r="M17" s="54" t="s">
        <v>34</v>
      </c>
      <c r="N17" s="2">
        <f>SQRT($N$10^2-$C$4^2)</f>
        <v>8821.1355300777468</v>
      </c>
      <c r="P17" s="10" t="s">
        <v>51</v>
      </c>
      <c r="Q17" s="10">
        <f>N28-C64+C6/2-N165</f>
        <v>-7.6307545676227164</v>
      </c>
      <c r="R17" s="10">
        <f>$C$66+Q17</f>
        <v>-557.64975456762272</v>
      </c>
    </row>
    <row r="18" spans="1:18" x14ac:dyDescent="0.4">
      <c r="B18" s="21"/>
      <c r="C18" s="22"/>
      <c r="D18" s="2"/>
      <c r="F18" s="9" t="s">
        <v>143</v>
      </c>
      <c r="G18" s="13" t="s">
        <v>126</v>
      </c>
      <c r="H18" s="30" cm="1">
        <f t="array" aca="1" ref="H18" ca="1">INDEX(INDIRECT($H$52&amp;"!B:B"), MATCH(LOOKUP(2,1/(INDIRECT($H$52&amp;"!A:A")&lt;&gt;""), INDIRECT($H$52&amp;"!A:A")), INDIRECT($H$52&amp;"!A:A"), 0))</f>
        <v>155</v>
      </c>
      <c r="I18" s="51"/>
      <c r="K18" s="3">
        <f t="shared" si="0"/>
        <v>18</v>
      </c>
      <c r="L18" s="45" t="s">
        <v>170</v>
      </c>
      <c r="M18" s="54" t="s">
        <v>35</v>
      </c>
      <c r="N18" s="2">
        <f>SQRT($C$3^2-$C$5^2)</f>
        <v>8902.5038775616376</v>
      </c>
      <c r="P18" s="10" t="s">
        <v>46</v>
      </c>
      <c r="Q18" s="10" t="e">
        <f>-Q12+C46</f>
        <v>#REF!</v>
      </c>
      <c r="R18" s="10" t="e">
        <f>$C$66+Q18</f>
        <v>#REF!</v>
      </c>
    </row>
    <row r="19" spans="1:18" x14ac:dyDescent="0.4">
      <c r="B19" s="25" t="s">
        <v>112</v>
      </c>
      <c r="C19" s="28"/>
      <c r="D19" s="2"/>
      <c r="F19" s="9" t="s">
        <v>95</v>
      </c>
      <c r="G19" s="13" t="s">
        <v>126</v>
      </c>
      <c r="H19" s="30">
        <f>-$C$36/2+$C$35-$C$31</f>
        <v>-76.724999999999994</v>
      </c>
      <c r="I19" s="52"/>
      <c r="K19" s="3">
        <f t="shared" si="0"/>
        <v>19</v>
      </c>
      <c r="L19" s="45" t="s">
        <v>171</v>
      </c>
      <c r="M19" s="54" t="s">
        <v>36</v>
      </c>
      <c r="N19" s="2">
        <f>SQRT($N$11^2-$C$5^2)</f>
        <v>8995.2115617143772</v>
      </c>
      <c r="P19" s="10" t="s">
        <v>45</v>
      </c>
      <c r="Q19" s="10">
        <f>N29-C17-C13/2+N167-N13</f>
        <v>-7.6318892500185029</v>
      </c>
      <c r="R19" s="10">
        <f>$C$66+Q19</f>
        <v>-557.65088925001851</v>
      </c>
    </row>
    <row r="20" spans="1:18" x14ac:dyDescent="0.4">
      <c r="A20" s="3" t="s">
        <v>142</v>
      </c>
      <c r="B20" s="14" t="s">
        <v>52</v>
      </c>
      <c r="C20" s="15">
        <v>90</v>
      </c>
      <c r="D20" s="2"/>
      <c r="F20" s="9" t="s">
        <v>104</v>
      </c>
      <c r="G20" s="13" t="s">
        <v>126</v>
      </c>
      <c r="H20" s="30">
        <f ca="1">$H$13-$H$18/2-$C$35+$C$42/2</f>
        <v>22.287339989597314</v>
      </c>
      <c r="I20" s="30">
        <f ca="1">$C$66+H20</f>
        <v>-527.73166001040272</v>
      </c>
      <c r="K20" s="3">
        <f t="shared" si="0"/>
        <v>20</v>
      </c>
      <c r="L20" s="45" t="s">
        <v>172</v>
      </c>
      <c r="M20" s="54" t="s">
        <v>37</v>
      </c>
      <c r="N20" s="2">
        <f>SQRT($N$10^2-$C$5^2)</f>
        <v>8809.7918272794614</v>
      </c>
      <c r="P20" s="10" t="s">
        <v>47</v>
      </c>
      <c r="Q20" s="10">
        <f>Q3-Q16</f>
        <v>483.9249999872182</v>
      </c>
      <c r="R20" s="10">
        <f>C67+Q20</f>
        <v>-666.04900001278179</v>
      </c>
    </row>
    <row r="21" spans="1:18" x14ac:dyDescent="0.4">
      <c r="A21" s="3" t="s">
        <v>175</v>
      </c>
      <c r="B21" s="14" t="s">
        <v>53</v>
      </c>
      <c r="C21" s="15">
        <v>20</v>
      </c>
      <c r="D21" s="2"/>
      <c r="F21" s="9" t="s">
        <v>105</v>
      </c>
      <c r="G21" s="13" t="s">
        <v>126</v>
      </c>
      <c r="H21" s="30">
        <f ca="1">-$H$20+$C$46</f>
        <v>-11.287339989597314</v>
      </c>
      <c r="I21" s="30">
        <f ca="1">$C$66+H21</f>
        <v>-561.30633998959729</v>
      </c>
      <c r="K21" s="3">
        <f t="shared" si="0"/>
        <v>21</v>
      </c>
      <c r="L21" s="45" t="s">
        <v>366</v>
      </c>
      <c r="M21" s="54" t="s">
        <v>90</v>
      </c>
      <c r="N21" s="2">
        <f>($N$16+$N$17)/2</f>
        <v>8913.7286282548448</v>
      </c>
      <c r="P21" s="10" t="s">
        <v>56</v>
      </c>
      <c r="Q21" s="29">
        <f>$C$23/$C$22+1</f>
        <v>7</v>
      </c>
    </row>
    <row r="22" spans="1:18" x14ac:dyDescent="0.4">
      <c r="A22" s="3" t="s">
        <v>176</v>
      </c>
      <c r="B22" s="14" t="s">
        <v>54</v>
      </c>
      <c r="C22" s="15">
        <v>17</v>
      </c>
      <c r="E22" s="3" t="s">
        <v>200</v>
      </c>
      <c r="F22" s="9" t="s">
        <v>141</v>
      </c>
      <c r="G22" s="13" t="s">
        <v>126</v>
      </c>
      <c r="H22" s="30">
        <f ca="1">INDEX(INDIRECT($H$52&amp;"!B:B"), MATCH(0, INDIRECT($H$52&amp;"!A:A"), 0))</f>
        <v>156.863</v>
      </c>
      <c r="I22" s="53"/>
      <c r="K22" s="3">
        <f t="shared" si="0"/>
        <v>22</v>
      </c>
      <c r="L22" s="45" t="s">
        <v>367</v>
      </c>
      <c r="M22" s="54" t="s">
        <v>89</v>
      </c>
      <c r="N22" s="2">
        <f>($N$19+$N$20)/2</f>
        <v>8902.5016944969193</v>
      </c>
      <c r="P22" s="10" t="s">
        <v>57</v>
      </c>
      <c r="Q22" s="29">
        <f>$C$24/$C$22+1</f>
        <v>6</v>
      </c>
    </row>
    <row r="23" spans="1:18" x14ac:dyDescent="0.4">
      <c r="A23" s="3" t="s">
        <v>303</v>
      </c>
      <c r="B23" s="14" t="s">
        <v>389</v>
      </c>
      <c r="C23" s="15">
        <v>102</v>
      </c>
      <c r="F23" s="9" t="s">
        <v>85</v>
      </c>
      <c r="G23" s="13" t="s">
        <v>126</v>
      </c>
      <c r="H23" s="30">
        <f>$C$42/2-$C$41+$C$31</f>
        <v>77.799999999999983</v>
      </c>
      <c r="I23" s="52"/>
      <c r="K23" s="3">
        <f t="shared" si="0"/>
        <v>23</v>
      </c>
      <c r="L23" s="45" t="s">
        <v>173</v>
      </c>
      <c r="M23" s="54" t="s">
        <v>88</v>
      </c>
      <c r="N23" s="2">
        <f>$C$15+$C$16/2</f>
        <v>16.075000000000003</v>
      </c>
      <c r="P23" s="10" t="s">
        <v>68</v>
      </c>
      <c r="Q23" s="10">
        <f ca="1">DEGREES($N$66)</f>
        <v>859.43669269623479</v>
      </c>
    </row>
    <row r="24" spans="1:18" x14ac:dyDescent="0.4">
      <c r="A24" s="3" t="s">
        <v>304</v>
      </c>
      <c r="B24" s="14" t="s">
        <v>390</v>
      </c>
      <c r="C24" s="15">
        <v>85</v>
      </c>
      <c r="F24" s="9" t="s">
        <v>106</v>
      </c>
      <c r="G24" s="13" t="s">
        <v>126</v>
      </c>
      <c r="H24" s="30">
        <f ca="1">-$N$13*$N$6+$N$21+$H$22/2+$C$41-$C$42/2</f>
        <v>-11.203906231671795</v>
      </c>
      <c r="I24" s="30">
        <f ca="1">$C$66+H24</f>
        <v>-561.2229062316718</v>
      </c>
      <c r="K24" s="3">
        <f t="shared" si="0"/>
        <v>24</v>
      </c>
      <c r="L24" s="45" t="s">
        <v>174</v>
      </c>
      <c r="M24" s="54" t="s">
        <v>43</v>
      </c>
      <c r="N24" s="2">
        <f>$C$4-$N$23</f>
        <v>383.92500000000001</v>
      </c>
      <c r="P24" s="10" t="s">
        <v>69</v>
      </c>
      <c r="Q24" s="10">
        <f ca="1">Q9*$N$107+Q2*$N$74</f>
        <v>-70046.624280368822</v>
      </c>
    </row>
    <row r="25" spans="1:18" x14ac:dyDescent="0.4">
      <c r="A25" s="3" t="s">
        <v>146</v>
      </c>
      <c r="B25" s="14" t="s">
        <v>55</v>
      </c>
      <c r="C25" s="31">
        <v>6</v>
      </c>
      <c r="F25" s="9" t="s">
        <v>107</v>
      </c>
      <c r="G25" s="13" t="s">
        <v>123</v>
      </c>
      <c r="H25" s="30">
        <f>$H$3-$C$43</f>
        <v>468.01603829462465</v>
      </c>
      <c r="I25" s="30">
        <f>$C$67+H25</f>
        <v>-681.95796170537528</v>
      </c>
      <c r="K25" s="3">
        <f t="shared" si="0"/>
        <v>25</v>
      </c>
      <c r="L25" s="45" t="s">
        <v>414</v>
      </c>
      <c r="M25" s="54" t="s">
        <v>416</v>
      </c>
      <c r="N25" s="2">
        <f>$C$15+$C$16</f>
        <v>20.100000000000001</v>
      </c>
      <c r="P25" s="10" t="s">
        <v>70</v>
      </c>
      <c r="Q25" s="10">
        <f ca="1">-Q$9*$N$74+Q$2*$N$107</f>
        <v>4500581.5260234261</v>
      </c>
    </row>
    <row r="26" spans="1:18" x14ac:dyDescent="0.4">
      <c r="B26" s="14" t="s">
        <v>395</v>
      </c>
      <c r="C26" s="19">
        <v>40</v>
      </c>
      <c r="F26" s="9" t="s">
        <v>108</v>
      </c>
      <c r="G26" s="13" t="s">
        <v>123</v>
      </c>
      <c r="H26" s="30">
        <f>$H$4-$C$38</f>
        <v>474.98396170537535</v>
      </c>
      <c r="I26" s="30">
        <f>$C$67+H26</f>
        <v>-674.99003829462458</v>
      </c>
      <c r="K26" s="3">
        <f t="shared" si="0"/>
        <v>26</v>
      </c>
      <c r="L26" s="45" t="s">
        <v>415</v>
      </c>
      <c r="M26" s="54" t="s">
        <v>419</v>
      </c>
      <c r="N26" s="2">
        <f>$C$4-$N$25</f>
        <v>379.9</v>
      </c>
    </row>
    <row r="27" spans="1:18" x14ac:dyDescent="0.4">
      <c r="B27" s="14" t="s">
        <v>396</v>
      </c>
      <c r="C27" s="19">
        <v>32</v>
      </c>
      <c r="H27" s="5"/>
      <c r="I27" s="5"/>
      <c r="K27" s="3">
        <f t="shared" si="0"/>
        <v>27</v>
      </c>
      <c r="L27" s="45" t="s">
        <v>418</v>
      </c>
      <c r="M27" s="54" t="s">
        <v>420</v>
      </c>
      <c r="N27" s="2">
        <f>$C$4-$C$15</f>
        <v>387.95</v>
      </c>
      <c r="P27" s="2"/>
    </row>
    <row r="28" spans="1:18" x14ac:dyDescent="0.4">
      <c r="B28" s="14" t="s">
        <v>218</v>
      </c>
      <c r="C28" s="19">
        <v>3</v>
      </c>
      <c r="F28" s="25" t="s">
        <v>111</v>
      </c>
      <c r="G28" s="27"/>
      <c r="H28" s="28"/>
      <c r="I28" s="28"/>
      <c r="K28" s="3">
        <f t="shared" si="0"/>
        <v>28</v>
      </c>
      <c r="L28" s="45" t="s">
        <v>368</v>
      </c>
      <c r="M28" s="54" t="s">
        <v>44</v>
      </c>
      <c r="N28" s="2">
        <f>SQRT($C$3^2-$N$24^2)</f>
        <v>8914.4364311141399</v>
      </c>
      <c r="P28" s="2"/>
    </row>
    <row r="29" spans="1:18" x14ac:dyDescent="0.4">
      <c r="B29" s="21"/>
      <c r="C29" s="22"/>
      <c r="F29" s="9" t="s">
        <v>38</v>
      </c>
      <c r="G29" s="13" t="s">
        <v>123</v>
      </c>
      <c r="H29" s="30">
        <f>$H$3-$C$15</f>
        <v>487.96603829462464</v>
      </c>
      <c r="I29" s="30">
        <f>$C$67+H29</f>
        <v>-662.00796170537524</v>
      </c>
      <c r="K29" s="3">
        <f t="shared" si="0"/>
        <v>29</v>
      </c>
      <c r="L29" s="45" t="s">
        <v>369</v>
      </c>
      <c r="M29" s="54" t="s">
        <v>92</v>
      </c>
      <c r="N29" s="2">
        <f>SQRT($N$11^2-$N$24^2)</f>
        <v>9007.0212964317452</v>
      </c>
    </row>
    <row r="30" spans="1:18" x14ac:dyDescent="0.4">
      <c r="B30" s="25" t="s">
        <v>219</v>
      </c>
      <c r="C30" s="28"/>
      <c r="F30" s="9" t="s">
        <v>99</v>
      </c>
      <c r="G30" s="13" t="s">
        <v>123</v>
      </c>
      <c r="H30" s="30">
        <f>$H$29-$C$16</f>
        <v>479.91603829462463</v>
      </c>
      <c r="I30" s="30">
        <f>$C$67+H30</f>
        <v>-670.05796170537531</v>
      </c>
      <c r="K30" s="3">
        <f t="shared" si="0"/>
        <v>30</v>
      </c>
      <c r="L30" s="45" t="s">
        <v>370</v>
      </c>
      <c r="M30" s="54" t="s">
        <v>93</v>
      </c>
      <c r="N30" s="2">
        <f>SQRT($N$10^2-$N$24^2)</f>
        <v>8821.8497852987166</v>
      </c>
    </row>
    <row r="31" spans="1:18" x14ac:dyDescent="0.4">
      <c r="A31" s="3" t="s">
        <v>220</v>
      </c>
      <c r="B31" s="14" t="s">
        <v>20</v>
      </c>
      <c r="C31" s="15">
        <v>7.0000000000000007E-2</v>
      </c>
      <c r="F31" s="9" t="s">
        <v>86</v>
      </c>
      <c r="G31" s="13" t="s">
        <v>123</v>
      </c>
      <c r="H31" s="30">
        <f>$H$3-$N$23</f>
        <v>483.94103829462466</v>
      </c>
      <c r="I31" s="30">
        <f>$C$67+H31</f>
        <v>-666.03296170537533</v>
      </c>
      <c r="K31" s="3">
        <f t="shared" si="0"/>
        <v>31</v>
      </c>
      <c r="L31" s="45" t="s">
        <v>412</v>
      </c>
      <c r="M31" s="54" t="s">
        <v>413</v>
      </c>
      <c r="N31" s="2">
        <f>SQRT($N$11^2-$N$26^2)</f>
        <v>9007.1919614272683</v>
      </c>
    </row>
    <row r="32" spans="1:18" x14ac:dyDescent="0.4">
      <c r="B32" s="14" t="s">
        <v>221</v>
      </c>
      <c r="C32" s="39" t="s">
        <v>222</v>
      </c>
      <c r="F32" s="10" t="s">
        <v>87</v>
      </c>
      <c r="G32" s="30" t="s">
        <v>126</v>
      </c>
      <c r="H32" s="30">
        <f>$N$28-$N$15</f>
        <v>0.70683627001562854</v>
      </c>
      <c r="K32" s="3">
        <f t="shared" si="0"/>
        <v>32</v>
      </c>
      <c r="L32" s="45" t="s">
        <v>417</v>
      </c>
      <c r="M32" s="54" t="s">
        <v>435</v>
      </c>
      <c r="N32" s="2">
        <f>SQRT($N$11^2-$N$27^2)</f>
        <v>9006.8488295019142</v>
      </c>
    </row>
    <row r="33" spans="2:16" x14ac:dyDescent="0.4">
      <c r="F33" s="10" t="s">
        <v>51</v>
      </c>
      <c r="G33" s="30" t="s">
        <v>126</v>
      </c>
      <c r="H33" s="30">
        <f>$N$28-$N$13*$N$6</f>
        <v>-11.197603372376761</v>
      </c>
      <c r="I33" s="30">
        <f>$C$66+H33</f>
        <v>-561.21660337237677</v>
      </c>
      <c r="K33" s="3">
        <f t="shared" si="0"/>
        <v>33</v>
      </c>
      <c r="L33" s="45" t="s">
        <v>423</v>
      </c>
      <c r="M33" s="54" t="s">
        <v>425</v>
      </c>
      <c r="N33" s="2">
        <f>($N$31-$N$32)/$C$16</f>
        <v>4.262508389491932E-2</v>
      </c>
    </row>
    <row r="34" spans="2:16" x14ac:dyDescent="0.4">
      <c r="B34" s="4" t="s">
        <v>437</v>
      </c>
      <c r="F34" s="10" t="s">
        <v>46</v>
      </c>
      <c r="G34" s="30" t="s">
        <v>126</v>
      </c>
      <c r="H34" s="30">
        <f ca="1">$H$21</f>
        <v>-11.287339989597314</v>
      </c>
      <c r="I34" s="30">
        <f ca="1">$C$66+H34</f>
        <v>-561.30633998959729</v>
      </c>
      <c r="K34" s="3">
        <f t="shared" si="0"/>
        <v>34</v>
      </c>
      <c r="L34" s="45" t="s">
        <v>424</v>
      </c>
      <c r="M34" s="54" t="s">
        <v>426</v>
      </c>
      <c r="N34" s="2">
        <f>SIN(ATAN($N$33))</f>
        <v>4.2586413871470295E-2</v>
      </c>
    </row>
    <row r="35" spans="2:16" x14ac:dyDescent="0.4">
      <c r="B35" s="14" t="s">
        <v>21</v>
      </c>
      <c r="C35" s="33">
        <v>13.82</v>
      </c>
      <c r="F35" s="10" t="s">
        <v>129</v>
      </c>
      <c r="G35" s="30" t="s">
        <v>126</v>
      </c>
      <c r="H35" s="30">
        <f>$N$29-$C$17-$C$13/2-$N$13</f>
        <v>-11.759084462064493</v>
      </c>
      <c r="I35" s="30">
        <f>$C$66+H35</f>
        <v>-561.7780844620645</v>
      </c>
      <c r="K35" s="3">
        <f t="shared" si="0"/>
        <v>35</v>
      </c>
      <c r="L35" s="45" t="s">
        <v>427</v>
      </c>
      <c r="M35" s="54" t="s">
        <v>428</v>
      </c>
      <c r="N35" s="2">
        <f>COS(ATAN($N$33))</f>
        <v>0.99909278715921468</v>
      </c>
    </row>
    <row r="36" spans="2:16" x14ac:dyDescent="0.4">
      <c r="B36" s="14" t="s">
        <v>202</v>
      </c>
      <c r="C36" s="33">
        <v>180.95</v>
      </c>
      <c r="F36" s="10" t="s">
        <v>130</v>
      </c>
      <c r="G36" s="30" t="s">
        <v>126</v>
      </c>
      <c r="H36" s="30">
        <f>$C$17+$C$13/2</f>
        <v>92.585999999999999</v>
      </c>
      <c r="K36" s="3">
        <f t="shared" si="0"/>
        <v>36</v>
      </c>
      <c r="L36" s="45" t="s">
        <v>434</v>
      </c>
      <c r="N36" s="2">
        <f>2*$N$35/(1+$N$35^2)</f>
        <v>0.99999958810892742</v>
      </c>
    </row>
    <row r="37" spans="2:16" x14ac:dyDescent="0.4">
      <c r="B37" s="14" t="s">
        <v>203</v>
      </c>
      <c r="C37" s="33">
        <v>180.95</v>
      </c>
      <c r="F37" s="10" t="s">
        <v>91</v>
      </c>
      <c r="G37" s="30" t="s">
        <v>126</v>
      </c>
      <c r="H37" s="30">
        <f ca="1">$H$24</f>
        <v>-11.203906231671795</v>
      </c>
      <c r="I37" s="30">
        <f ca="1">$C$66+H37</f>
        <v>-561.2229062316718</v>
      </c>
      <c r="K37" s="3">
        <f>ROW(K37)</f>
        <v>37</v>
      </c>
      <c r="L37" s="45" t="s">
        <v>429</v>
      </c>
      <c r="M37" s="54" t="s">
        <v>436</v>
      </c>
      <c r="N37" s="2">
        <f>$N$29-$N$32</f>
        <v>0.1724669298309891</v>
      </c>
    </row>
    <row r="38" spans="2:16" x14ac:dyDescent="0.4">
      <c r="B38" s="14" t="s">
        <v>97</v>
      </c>
      <c r="C38" s="33">
        <v>25</v>
      </c>
      <c r="F38" s="2"/>
      <c r="G38" s="5"/>
      <c r="H38" s="5"/>
      <c r="I38" s="5"/>
      <c r="K38" s="3">
        <f t="shared" si="0"/>
        <v>38</v>
      </c>
      <c r="L38" s="45" t="s">
        <v>430</v>
      </c>
      <c r="N38" s="2">
        <f>$C$16*$N$34/2</f>
        <v>0.17141031583266794</v>
      </c>
    </row>
    <row r="39" spans="2:16" x14ac:dyDescent="0.4">
      <c r="B39" s="21"/>
      <c r="C39" s="21"/>
      <c r="F39" s="32" t="s">
        <v>127</v>
      </c>
      <c r="G39" s="5"/>
      <c r="H39" s="5"/>
      <c r="I39" s="5"/>
      <c r="K39" s="3">
        <f t="shared" si="0"/>
        <v>39</v>
      </c>
      <c r="L39" s="45" t="s">
        <v>431</v>
      </c>
      <c r="M39" s="54" t="s">
        <v>433</v>
      </c>
      <c r="N39" s="2">
        <f>$N$36*($C$17-$N$38)+$N$37</f>
        <v>6.1370541572370785</v>
      </c>
    </row>
    <row r="40" spans="2:16" x14ac:dyDescent="0.4">
      <c r="B40" s="25" t="s">
        <v>438</v>
      </c>
      <c r="C40" s="28"/>
      <c r="F40" s="10" t="s">
        <v>101</v>
      </c>
      <c r="G40" s="30" t="s">
        <v>123</v>
      </c>
      <c r="H40" s="30">
        <f>$H$3-$C$55</f>
        <v>499.01603829462465</v>
      </c>
      <c r="I40" s="30">
        <f>$C$67+H40</f>
        <v>-650.95796170537528</v>
      </c>
      <c r="K40" s="3">
        <f t="shared" si="0"/>
        <v>40</v>
      </c>
      <c r="L40" s="45" t="s">
        <v>408</v>
      </c>
      <c r="M40" s="54" t="s">
        <v>385</v>
      </c>
      <c r="N40" s="2">
        <f>$C$5-$C$51</f>
        <v>590</v>
      </c>
      <c r="P40" s="2"/>
    </row>
    <row r="41" spans="2:16" x14ac:dyDescent="0.4">
      <c r="B41" s="14" t="s">
        <v>25</v>
      </c>
      <c r="C41" s="33">
        <f>12.745</f>
        <v>12.744999999999999</v>
      </c>
      <c r="F41" s="10" t="s">
        <v>100</v>
      </c>
      <c r="G41" s="30" t="s">
        <v>123</v>
      </c>
      <c r="H41" s="30">
        <f>$H$3-$C$57</f>
        <v>499.51603829462465</v>
      </c>
      <c r="I41" s="30">
        <f>$C$67+H41</f>
        <v>-650.45796170537528</v>
      </c>
      <c r="K41" s="3">
        <f t="shared" si="0"/>
        <v>41</v>
      </c>
      <c r="L41" s="45" t="s">
        <v>409</v>
      </c>
      <c r="M41" s="54" t="s">
        <v>386</v>
      </c>
      <c r="N41" s="2">
        <f>SQRT($C$3^2-$N$40^2)</f>
        <v>8903.1722037709678</v>
      </c>
    </row>
    <row r="42" spans="2:16" x14ac:dyDescent="0.4">
      <c r="B42" s="14" t="s">
        <v>382</v>
      </c>
      <c r="C42" s="33">
        <v>180.95</v>
      </c>
      <c r="F42" s="10" t="s">
        <v>102</v>
      </c>
      <c r="G42" s="30" t="s">
        <v>123</v>
      </c>
      <c r="H42" s="30">
        <f>$H$4-$C$49</f>
        <v>495.98396170537535</v>
      </c>
      <c r="I42" s="30">
        <f>$C$67+H42</f>
        <v>-653.99003829462458</v>
      </c>
      <c r="K42" s="3">
        <f t="shared" si="0"/>
        <v>42</v>
      </c>
      <c r="L42" s="45" t="s">
        <v>177</v>
      </c>
      <c r="M42" s="54" t="str">
        <f>IF($C$25&gt;=3, "振分中心-内面溝1列目間距離", "-")</f>
        <v>振分中心-内面溝1列目間距離</v>
      </c>
      <c r="N42" s="44">
        <f>$C$4-$C$20</f>
        <v>310</v>
      </c>
    </row>
    <row r="43" spans="2:16" x14ac:dyDescent="0.4">
      <c r="B43" s="14" t="s">
        <v>96</v>
      </c>
      <c r="C43" s="33">
        <v>32</v>
      </c>
      <c r="F43" s="10" t="s">
        <v>103</v>
      </c>
      <c r="G43" s="30" t="s">
        <v>123</v>
      </c>
      <c r="H43" s="30">
        <f>$H$4-$C$51</f>
        <v>489.98396170537535</v>
      </c>
      <c r="I43" s="30">
        <f>$C$67+H43</f>
        <v>-659.99003829462458</v>
      </c>
      <c r="K43" s="3">
        <f t="shared" si="0"/>
        <v>43</v>
      </c>
      <c r="L43" s="45" t="s">
        <v>232</v>
      </c>
      <c r="M43" s="54" t="str">
        <f>IF($C$25&gt;=4, "振分中心-内面溝2列目間距離", "-")</f>
        <v>振分中心-内面溝2列目間距離</v>
      </c>
      <c r="N43" s="44">
        <f>IF($C$25&gt;=4,$N$42-1*$C$21, "-")</f>
        <v>290</v>
      </c>
    </row>
    <row r="44" spans="2:16" x14ac:dyDescent="0.4">
      <c r="F44" s="10" t="s">
        <v>371</v>
      </c>
      <c r="G44" s="30" t="s">
        <v>126</v>
      </c>
      <c r="H44" s="30"/>
      <c r="I44" s="53"/>
      <c r="K44" s="3">
        <f t="shared" si="0"/>
        <v>44</v>
      </c>
      <c r="L44" s="45" t="s">
        <v>233</v>
      </c>
      <c r="M44" s="54" t="str">
        <f>IF($C$25&gt;=5, "振分中心-内面溝3列目間距離", "-")</f>
        <v>振分中心-内面溝3列目間距離</v>
      </c>
      <c r="N44" s="44">
        <f>IF($C$25&gt;=5,$N$42-2*$C$21, "-")</f>
        <v>270</v>
      </c>
    </row>
    <row r="45" spans="2:16" x14ac:dyDescent="0.4">
      <c r="B45" s="4" t="s">
        <v>114</v>
      </c>
      <c r="F45" s="10" t="s">
        <v>109</v>
      </c>
      <c r="G45" s="30" t="s">
        <v>126</v>
      </c>
      <c r="H45" s="30">
        <f>$N$41-$N$18</f>
        <v>0.66832620933018916</v>
      </c>
      <c r="I45" s="51"/>
      <c r="K45" s="3">
        <f t="shared" si="0"/>
        <v>45</v>
      </c>
      <c r="L45" s="45" t="s">
        <v>234</v>
      </c>
      <c r="M45" s="54" t="str">
        <f>IF($C$25&gt;=6, "振分中心-内面溝4列目間距離", "-")</f>
        <v>振分中心-内面溝4列目間距離</v>
      </c>
      <c r="N45" s="44">
        <f>IF($C$25&gt;=6,$N$42-3*$C$21, "-")</f>
        <v>250</v>
      </c>
    </row>
    <row r="46" spans="2:16" x14ac:dyDescent="0.4">
      <c r="B46" s="14" t="s">
        <v>22</v>
      </c>
      <c r="C46" s="33">
        <v>11</v>
      </c>
      <c r="F46" s="24"/>
      <c r="G46" s="22"/>
      <c r="H46" s="22"/>
      <c r="I46" s="5"/>
      <c r="K46" s="3">
        <f t="shared" si="0"/>
        <v>46</v>
      </c>
      <c r="L46" s="45" t="s">
        <v>236</v>
      </c>
      <c r="M46" s="54" t="str">
        <f>IF($C$25&gt;=7, "振分中心-内面溝5列目間距離", "-")</f>
        <v>-</v>
      </c>
      <c r="N46" s="44" t="str">
        <f>IF($C$25&gt;=7,$N$42-4*$C$21, "-")</f>
        <v>-</v>
      </c>
    </row>
    <row r="47" spans="2:16" x14ac:dyDescent="0.4">
      <c r="F47" s="34" t="s">
        <v>112</v>
      </c>
      <c r="G47" s="28"/>
      <c r="H47" s="28"/>
      <c r="K47" s="3">
        <f t="shared" si="0"/>
        <v>47</v>
      </c>
      <c r="L47" s="45" t="s">
        <v>235</v>
      </c>
      <c r="M47" s="54" t="str">
        <f>IF($C$25&gt;=8, "振分中心-内面溝6列目間距離", "-")</f>
        <v>-</v>
      </c>
      <c r="N47" s="44" t="str">
        <f>IF($C$25&gt;=8,$N$42-5*$C$21, "-")</f>
        <v>-</v>
      </c>
    </row>
    <row r="48" spans="2:16" x14ac:dyDescent="0.4">
      <c r="B48" s="4" t="s">
        <v>383</v>
      </c>
      <c r="E48" s="3" t="s">
        <v>254</v>
      </c>
      <c r="F48" s="35" t="s">
        <v>56</v>
      </c>
      <c r="G48" s="36" t="s">
        <v>117</v>
      </c>
      <c r="H48" s="48">
        <f>$C$23/$C$22+1</f>
        <v>7</v>
      </c>
      <c r="K48" s="3">
        <f t="shared" si="0"/>
        <v>48</v>
      </c>
      <c r="L48" s="45" t="s">
        <v>181</v>
      </c>
      <c r="M48" s="54" t="s">
        <v>154</v>
      </c>
      <c r="N48" s="44">
        <f>$N$42-($C$25-2)*$C$21</f>
        <v>230</v>
      </c>
    </row>
    <row r="49" spans="1:14" x14ac:dyDescent="0.4">
      <c r="B49" s="14" t="s">
        <v>133</v>
      </c>
      <c r="C49" s="15">
        <v>4</v>
      </c>
      <c r="E49" s="3" t="s">
        <v>255</v>
      </c>
      <c r="F49" s="10" t="s">
        <v>57</v>
      </c>
      <c r="G49" s="30" t="s">
        <v>117</v>
      </c>
      <c r="H49" s="49">
        <f>$C$24/$C$22+1</f>
        <v>6</v>
      </c>
      <c r="K49" s="3">
        <f t="shared" si="0"/>
        <v>49</v>
      </c>
      <c r="L49" s="45" t="s">
        <v>180</v>
      </c>
      <c r="M49" s="54" t="s">
        <v>153</v>
      </c>
      <c r="N49" s="44">
        <f>$N$42-($C$25-1)*$C$21</f>
        <v>210</v>
      </c>
    </row>
    <row r="50" spans="1:14" x14ac:dyDescent="0.4">
      <c r="B50" s="14" t="s">
        <v>134</v>
      </c>
      <c r="C50" s="15">
        <v>15</v>
      </c>
      <c r="F50" s="10" t="s">
        <v>227</v>
      </c>
      <c r="G50" s="30" t="s">
        <v>117</v>
      </c>
      <c r="H50" s="49">
        <f>_xlfn.CEILING.MATH($C$25/2)</f>
        <v>3</v>
      </c>
      <c r="K50" s="3">
        <f t="shared" si="0"/>
        <v>50</v>
      </c>
      <c r="L50" s="45" t="s">
        <v>178</v>
      </c>
      <c r="M50" s="54" t="str">
        <f>IF($C$25&gt;=3,"λj ≦ q &lt; λj+1 の λj", "-")</f>
        <v>λj ≦ q &lt; λj+1 の λj</v>
      </c>
      <c r="N50" s="44">
        <f ca="1">IF($C$25&gt;=3,LOOKUP($C$20,INDIRECT($H$52&amp;"!$A:$A")),"-")</f>
        <v>75</v>
      </c>
    </row>
    <row r="51" spans="1:14" x14ac:dyDescent="0.4">
      <c r="B51" s="14" t="s">
        <v>135</v>
      </c>
      <c r="C51" s="15">
        <v>10</v>
      </c>
      <c r="F51" s="10" t="s">
        <v>228</v>
      </c>
      <c r="G51" s="30" t="s">
        <v>117</v>
      </c>
      <c r="H51" s="49">
        <f>QUOTIENT($C$25,2)</f>
        <v>3</v>
      </c>
      <c r="K51" s="3">
        <f t="shared" si="0"/>
        <v>51</v>
      </c>
      <c r="L51" s="45" t="s">
        <v>237</v>
      </c>
      <c r="M51" s="54" t="str">
        <f>IF($C$25&gt;=4,"λj ≦ q+pz &lt; λj+1 の λj", "-")</f>
        <v>λj ≦ q+pz &lt; λj+1 の λj</v>
      </c>
      <c r="N51" s="44">
        <f ca="1">IF($C$25&gt;=4,LOOKUP($C$20+$C$21, INDIRECT($H$52&amp;"!$A:$A")),"-")</f>
        <v>100</v>
      </c>
    </row>
    <row r="52" spans="1:14" x14ac:dyDescent="0.4">
      <c r="B52" s="14" t="s">
        <v>136</v>
      </c>
      <c r="C52" s="15">
        <v>15</v>
      </c>
      <c r="F52" s="10" t="s">
        <v>221</v>
      </c>
      <c r="G52" s="30" t="s">
        <v>117</v>
      </c>
      <c r="H52" s="30" t="str">
        <f>IF(ISNUMBER(VALUE(LEFT($C$32, 1))), TEXT($C$32, "00000"), LEFT($C$32, 1) &amp; TEXT(MID($C$32, 2, LEN($C$32) - 1), "00000"))</f>
        <v>e00937</v>
      </c>
      <c r="K52" s="3">
        <f t="shared" si="0"/>
        <v>52</v>
      </c>
      <c r="L52" s="45" t="s">
        <v>239</v>
      </c>
      <c r="M52" s="54" t="str">
        <f>IF($C$25&gt;=5,"λj ≦ q+2pz &lt; λj+1 の λj", "-")</f>
        <v>λj ≦ q+2pz &lt; λj+1 の λj</v>
      </c>
      <c r="N52" s="44">
        <f ca="1">IF($C$25&gt;=5,LOOKUP($C$20+2*$C$21, INDIRECT($H$52&amp;"!$A:$A")),"-")</f>
        <v>125</v>
      </c>
    </row>
    <row r="53" spans="1:14" x14ac:dyDescent="0.4">
      <c r="F53" s="32" t="s">
        <v>388</v>
      </c>
      <c r="K53" s="3">
        <f t="shared" si="0"/>
        <v>53</v>
      </c>
      <c r="L53" s="45" t="s">
        <v>241</v>
      </c>
      <c r="M53" s="54" t="str">
        <f>IF($C$25&gt;=6,"λj ≦ q+3pz &lt; λj+1 の λj", "-")</f>
        <v>λj ≦ q+3pz &lt; λj+1 の λj</v>
      </c>
      <c r="N53" s="44">
        <f ca="1">IF($C$25&gt;=6,LOOKUP($C$20+3*$C$21, INDIRECT($H$52&amp;"!$A:$A")),"-")</f>
        <v>150</v>
      </c>
    </row>
    <row r="54" spans="1:14" x14ac:dyDescent="0.4">
      <c r="B54" s="4" t="s">
        <v>384</v>
      </c>
      <c r="E54" s="3" t="s">
        <v>300</v>
      </c>
      <c r="F54" s="10" t="str">
        <f>IF($C$25&gt;=3,"内面溝1列目-トップ端 湾曲中心間X距離", "-")</f>
        <v>内面溝1列目-トップ端 湾曲中心間X距離</v>
      </c>
      <c r="G54" s="13" t="s">
        <v>126</v>
      </c>
      <c r="H54" s="30">
        <f>IF($C$25&gt;=$C$71-5,$N$82-$N$15, "-")</f>
        <v>3.5836378510248323</v>
      </c>
      <c r="K54" s="3">
        <f t="shared" si="0"/>
        <v>54</v>
      </c>
      <c r="L54" s="45" t="s">
        <v>242</v>
      </c>
      <c r="M54" s="54" t="str">
        <f>IF($C$25&gt;=7,"λj ≦ q+4pz &lt; λj+1 の λj", "-")</f>
        <v>-</v>
      </c>
      <c r="N54" s="44" t="str">
        <f ca="1">IF($C$25&gt;=7,LOOKUP($C$20+4*$C$21, INDIRECT($H$52&amp;"!$A:$A")),"-")</f>
        <v>-</v>
      </c>
    </row>
    <row r="55" spans="1:14" ht="16.5" x14ac:dyDescent="0.4">
      <c r="B55" s="14" t="s">
        <v>137</v>
      </c>
      <c r="C55" s="15">
        <v>1</v>
      </c>
      <c r="E55" s="3" t="s">
        <v>301</v>
      </c>
      <c r="F55" s="10" t="str">
        <f>IF($C$25&gt;=4,"内面溝2列目-トップ端 湾曲中心間X距離", "-")</f>
        <v>内面溝2列目-トップ端 湾曲中心間X距離</v>
      </c>
      <c r="G55" s="13" t="s">
        <v>126</v>
      </c>
      <c r="H55" s="30">
        <f>IF($C$25&gt;=$C71-4,$N$83-$N$15, "-")</f>
        <v>4.2564608749580657</v>
      </c>
      <c r="K55" s="3">
        <f t="shared" si="0"/>
        <v>55</v>
      </c>
      <c r="L55" s="45" t="s">
        <v>243</v>
      </c>
      <c r="M55" s="54" t="str">
        <f>IF($C$25&gt;=8,"λj ≦ q+5pz &lt; λj+1 の λj", "-")</f>
        <v>-</v>
      </c>
      <c r="N55" s="44" t="str">
        <f ca="1">IF($C$25&gt;=8,LOOKUP($C$20+5*$C$21, INDIRECT($H$52&amp;"!$A:$A")),"-")</f>
        <v>-</v>
      </c>
    </row>
    <row r="56" spans="1:14" x14ac:dyDescent="0.4">
      <c r="B56" s="14" t="s">
        <v>138</v>
      </c>
      <c r="C56" s="15">
        <v>45</v>
      </c>
      <c r="F56" s="10" t="str">
        <f>IF($C$25&gt;=5,"内面溝3列目-トップ端 湾曲中心間X距離", "-")</f>
        <v>内面溝3列目-トップ端 湾曲中心間X距離</v>
      </c>
      <c r="G56" s="13" t="s">
        <v>126</v>
      </c>
      <c r="H56" s="30">
        <f>IF($C$25&gt;=$C$71-3,$N$84-$N$15, "-")</f>
        <v>4.8843832356542407</v>
      </c>
      <c r="K56" s="3">
        <f t="shared" si="0"/>
        <v>56</v>
      </c>
      <c r="L56" s="45" t="s">
        <v>245</v>
      </c>
      <c r="M56" s="54" t="s">
        <v>247</v>
      </c>
      <c r="N56" s="2">
        <f ca="1">LOOKUP($C$20+($C$25-2)*$C$21, INDIRECT($H$52&amp;"!$A:$A"))</f>
        <v>150</v>
      </c>
    </row>
    <row r="57" spans="1:14" x14ac:dyDescent="0.4">
      <c r="B57" s="14" t="s">
        <v>139</v>
      </c>
      <c r="C57" s="15">
        <v>0.5</v>
      </c>
      <c r="F57" s="10" t="str">
        <f>IF($C$25&gt;=6,"内面溝4列目-トップ端 湾曲中心間X距離", "-")</f>
        <v>内面溝4列目-トップ端 湾曲中心間X距離</v>
      </c>
      <c r="G57" s="13" t="s">
        <v>126</v>
      </c>
      <c r="H57" s="30">
        <f>IF($C$25&gt;=$C$71-2,$N$85-$N$15, "-")</f>
        <v>5.4674144162945595</v>
      </c>
      <c r="K57" s="3">
        <f t="shared" si="0"/>
        <v>57</v>
      </c>
      <c r="L57" s="45" t="s">
        <v>244</v>
      </c>
      <c r="M57" s="54" t="s">
        <v>246</v>
      </c>
      <c r="N57" s="2">
        <f ca="1">LOOKUP($C$20+($C$25-1)*$C$21, INDIRECT($H$52&amp;"!$A:$A"))</f>
        <v>175</v>
      </c>
    </row>
    <row r="58" spans="1:14" x14ac:dyDescent="0.4">
      <c r="B58" s="14" t="s">
        <v>132</v>
      </c>
      <c r="C58" s="15">
        <v>45</v>
      </c>
      <c r="F58" s="10" t="str">
        <f>IF($C$25&gt;=7,"内面溝5列目-トップ端 湾曲中心間X距離", "-")</f>
        <v>-</v>
      </c>
      <c r="G58" s="13" t="s">
        <v>126</v>
      </c>
      <c r="H58" s="30" t="str">
        <f>IF($C$25&gt;=$C71-1,$N$86-$N$15, "-")</f>
        <v>-</v>
      </c>
      <c r="K58" s="3">
        <f t="shared" si="0"/>
        <v>58</v>
      </c>
      <c r="L58" s="45" t="s">
        <v>179</v>
      </c>
      <c r="M58" s="54" t="str">
        <f>IF($C$25&gt;=3,"λj ≦ q &lt; λj+1 の λj+1", "-")</f>
        <v>λj ≦ q &lt; λj+1 の λj+1</v>
      </c>
      <c r="N58" s="2" cm="1">
        <f t="array" aca="1" ref="N58" ca="1">IF($C$25&gt;=3, INDEX(INDIRECT($H$52&amp;"!$A:$A"), MATCH($N50, INDIRECT($H$52&amp;"!$A:$A"), 0) +1),"-")</f>
        <v>100</v>
      </c>
    </row>
    <row r="59" spans="1:14" x14ac:dyDescent="0.4">
      <c r="F59" s="10" t="str">
        <f>IF($C$25&gt;=8,"内面溝6列目-トップ端 湾曲中心間X距離", "-")</f>
        <v>-</v>
      </c>
      <c r="G59" s="13" t="s">
        <v>126</v>
      </c>
      <c r="H59" s="30" t="str">
        <f>IF($C$25&gt;=$C71,$N$87-$N$15, "-")</f>
        <v>-</v>
      </c>
      <c r="K59" s="3">
        <f t="shared" si="0"/>
        <v>59</v>
      </c>
      <c r="L59" s="45" t="s">
        <v>238</v>
      </c>
      <c r="M59" s="54" t="str">
        <f>IF($C$25&gt;=4,"λj ≦ q+pz &lt; λj+1 の λj+1", "-")</f>
        <v>λj ≦ q+pz &lt; λj+1 の λj+1</v>
      </c>
      <c r="N59" s="44" cm="1">
        <f t="array" aca="1" ref="N59" ca="1">IF($C$25&gt;=4, INDEX(INDIRECT($H$52&amp;"!$A:$A"), MATCH($N51, INDIRECT($H$52&amp;"!$A:$A"), 0) +1),"-")</f>
        <v>125</v>
      </c>
    </row>
    <row r="60" spans="1:14" x14ac:dyDescent="0.4">
      <c r="B60" s="25" t="s">
        <v>131</v>
      </c>
      <c r="C60" s="28"/>
      <c r="F60" s="10" t="s">
        <v>269</v>
      </c>
      <c r="G60" s="13" t="s">
        <v>126</v>
      </c>
      <c r="H60" s="30">
        <f>$N$88-$N$15</f>
        <v>6.0055632197072555</v>
      </c>
      <c r="K60" s="3">
        <f t="shared" si="0"/>
        <v>60</v>
      </c>
      <c r="L60" s="45" t="s">
        <v>240</v>
      </c>
      <c r="M60" s="54" t="str">
        <f>IF($C$25&gt;=5,"λj ≦ q+2pz &lt; λj+1 の λj+1", "-")</f>
        <v>λj ≦ q+2pz &lt; λj+1 の λj+1</v>
      </c>
      <c r="N60" s="44" cm="1">
        <f t="array" aca="1" ref="N60" ca="1">IF($C$25&gt;=5, INDEX(INDIRECT($H$52&amp;"!$A:$A"), MATCH($N52, INDIRECT($H$52&amp;"!$A:$A"), 0) +1),"-")</f>
        <v>150</v>
      </c>
    </row>
    <row r="61" spans="1:14" x14ac:dyDescent="0.4">
      <c r="A61" s="3" t="s">
        <v>1</v>
      </c>
      <c r="B61" s="14" t="s">
        <v>439</v>
      </c>
      <c r="C61" s="19">
        <v>330</v>
      </c>
      <c r="E61" s="3" t="s">
        <v>302</v>
      </c>
      <c r="F61" s="10" t="s">
        <v>268</v>
      </c>
      <c r="G61" s="13" t="s">
        <v>126</v>
      </c>
      <c r="H61" s="30">
        <f>$N$89-$N$15</f>
        <v>6.4988377690224297</v>
      </c>
      <c r="K61" s="3">
        <f t="shared" si="0"/>
        <v>61</v>
      </c>
      <c r="L61" s="45" t="s">
        <v>248</v>
      </c>
      <c r="M61" s="54" t="str">
        <f>IF($C$25&gt;=6,"λj ≦ q+3pz &lt; λj+1 の λj+1", "-")</f>
        <v>λj ≦ q+3pz &lt; λj+1 の λj+1</v>
      </c>
      <c r="N61" s="44" cm="1">
        <f t="array" aca="1" ref="N61" ca="1">IF($C$25&gt;=6, INDEX(INDIRECT($H$52&amp;"!$A:$A"), MATCH($N53, INDIRECT($H$52&amp;"!$A:$A"), 0) +1),"-")</f>
        <v>175</v>
      </c>
    </row>
    <row r="62" spans="1:14" x14ac:dyDescent="0.4">
      <c r="A62" s="3" t="s">
        <v>2</v>
      </c>
      <c r="B62" s="14" t="s">
        <v>0</v>
      </c>
      <c r="C62" s="19">
        <v>40</v>
      </c>
      <c r="E62" s="3" t="s">
        <v>345</v>
      </c>
      <c r="F62" s="9" t="str">
        <f>IF($C$25&gt;=3,"（傾き前）1列目Z座標","-")</f>
        <v>（傾き前）1列目Z座標</v>
      </c>
      <c r="G62" s="13" t="s">
        <v>123</v>
      </c>
      <c r="H62" s="60">
        <f>IF($C$25&gt;=3,$H$3-$C$20,"-")</f>
        <v>410.01603829462465</v>
      </c>
      <c r="I62" s="30">
        <f>IF($C$25&gt;=3,$C$67+H62,"-")</f>
        <v>-739.95796170537528</v>
      </c>
      <c r="K62" s="3">
        <f t="shared" si="0"/>
        <v>62</v>
      </c>
      <c r="L62" s="45" t="s">
        <v>249</v>
      </c>
      <c r="M62" s="54" t="str">
        <f>IF($C$25&gt;=7,"λj ≦ q+4pz &lt; λj+1 の λj+1", "-")</f>
        <v>-</v>
      </c>
      <c r="N62" s="44" t="str" cm="1">
        <f t="array" aca="1" ref="N62" ca="1">IF($C$25&gt;=7, INDEX(INDIRECT($H$52&amp;"!$A:$A"), MATCH($N54, INDIRECT($H$52&amp;"!$A:$A"), 0) +1),"-")</f>
        <v>-</v>
      </c>
    </row>
    <row r="63" spans="1:14" x14ac:dyDescent="0.4">
      <c r="A63" s="3" t="s">
        <v>3</v>
      </c>
      <c r="B63" s="14" t="s">
        <v>4</v>
      </c>
      <c r="C63" s="19">
        <v>100</v>
      </c>
      <c r="E63" s="3" t="s">
        <v>344</v>
      </c>
      <c r="F63" s="9" t="str">
        <f>IF($C$25&gt;=4,"（傾き前）2列目Z座標","-")</f>
        <v>（傾き前）2列目Z座標</v>
      </c>
      <c r="G63" s="13" t="s">
        <v>123</v>
      </c>
      <c r="H63" s="60">
        <f>IF($C$25&gt;=4,$H$3-$C$20-$C$21,"-")</f>
        <v>390.01603829462465</v>
      </c>
      <c r="I63" s="30">
        <f>IF($C$25&gt;=4,$C$67+H63,"-")</f>
        <v>-759.95796170537528</v>
      </c>
      <c r="K63" s="3">
        <f t="shared" si="0"/>
        <v>63</v>
      </c>
      <c r="L63" s="45" t="s">
        <v>250</v>
      </c>
      <c r="M63" s="54" t="str">
        <f>IF($C$25&gt;=8,"λj ≦ q+5pz &lt; λj+1 の λj+1", "-")</f>
        <v>-</v>
      </c>
      <c r="N63" s="44" t="str" cm="1">
        <f t="array" aca="1" ref="N63" ca="1">IF($C$25&gt;=8, INDEX(INDIRECT($H$52&amp;"!$A:$A"), MATCH($N55, INDIRECT($H$52&amp;"!$A:$A"), 0) +1),"-")</f>
        <v>-</v>
      </c>
    </row>
    <row r="64" spans="1:14" x14ac:dyDescent="0.4">
      <c r="A64" s="3" t="s">
        <v>10</v>
      </c>
      <c r="B64" s="14" t="s">
        <v>15</v>
      </c>
      <c r="C64" s="37">
        <v>201.5</v>
      </c>
      <c r="F64" s="9" t="str">
        <f>IF($C$25&gt;=5,"（傾き前）3列目Z座標","-")</f>
        <v>（傾き前）3列目Z座標</v>
      </c>
      <c r="G64" s="13" t="s">
        <v>123</v>
      </c>
      <c r="H64" s="60">
        <f>IF($C$25&gt;=5,$H$3-$C$20-2*$C$21,"-")</f>
        <v>370.01603829462465</v>
      </c>
      <c r="I64" s="30">
        <f>IF($C$25&gt;=5,$C$67+H64,"-")</f>
        <v>-779.95796170537528</v>
      </c>
      <c r="K64" s="3">
        <f t="shared" si="0"/>
        <v>64</v>
      </c>
      <c r="L64" s="45" t="s">
        <v>251</v>
      </c>
      <c r="M64" s="54" t="s">
        <v>253</v>
      </c>
      <c r="N64" s="44" cm="1">
        <f t="array" aca="1" ref="N64" ca="1">INDEX(INDIRECT($H$52&amp;"!$A:$A"), MATCH($N56, INDIRECT($H$52&amp;"!$A:$A"), 0) +1)</f>
        <v>175</v>
      </c>
    </row>
    <row r="65" spans="2:14" x14ac:dyDescent="0.4">
      <c r="B65" s="14" t="s">
        <v>72</v>
      </c>
      <c r="C65" s="37">
        <v>-740</v>
      </c>
      <c r="F65" s="9" t="str">
        <f>IF($C$25&gt;=6,"（傾き前）4列目Z座標","-")</f>
        <v>（傾き前）4列目Z座標</v>
      </c>
      <c r="G65" s="13" t="s">
        <v>123</v>
      </c>
      <c r="H65" s="60">
        <f>IF($C$25&gt;=6,$H$3-$C$20-3*$C$21,"-")</f>
        <v>350.01603829462465</v>
      </c>
      <c r="I65" s="30">
        <f>IF($C$25&gt;=6,$C$67+H65,"-")</f>
        <v>-799.95796170537528</v>
      </c>
      <c r="K65" s="3">
        <f t="shared" si="0"/>
        <v>65</v>
      </c>
      <c r="L65" s="45" t="s">
        <v>252</v>
      </c>
      <c r="M65" s="54" t="s">
        <v>147</v>
      </c>
      <c r="N65" s="44" cm="1">
        <f t="array" aca="1" ref="N65" ca="1">INDEX(INDIRECT($H$52&amp;"!$A:$A"), MATCH($N57, INDIRECT($H$52&amp;"!$A:$A"), 0) +1)</f>
        <v>200</v>
      </c>
    </row>
    <row r="66" spans="2:14" x14ac:dyDescent="0.4">
      <c r="B66" s="14" t="s">
        <v>23</v>
      </c>
      <c r="C66" s="37">
        <v>-550.01900000000001</v>
      </c>
      <c r="F66" s="9" t="str">
        <f>IF($C$25&gt;=7,"（傾き前）5列目Z座標","-")</f>
        <v>-</v>
      </c>
      <c r="G66" s="13" t="s">
        <v>123</v>
      </c>
      <c r="H66" s="60" t="str">
        <f>IF($C$25&gt;=7,$H$3-$C$20-4*$C$21,"-")</f>
        <v>-</v>
      </c>
      <c r="I66" s="30" t="str">
        <f>IF($C$25&gt;=7,$C$67+H66,"-")</f>
        <v>-</v>
      </c>
      <c r="K66" s="3">
        <f t="shared" si="0"/>
        <v>66</v>
      </c>
      <c r="L66" s="45" t="s">
        <v>148</v>
      </c>
      <c r="M66" s="54" t="str">
        <f>IF($C$25&gt;=3,"q-λj","")</f>
        <v>q-λj</v>
      </c>
      <c r="N66" s="44">
        <f ca="1">IF($C$25&gt;=3,$C$20-$N$50, "-")</f>
        <v>15</v>
      </c>
    </row>
    <row r="67" spans="2:14" x14ac:dyDescent="0.4">
      <c r="B67" s="14" t="s">
        <v>24</v>
      </c>
      <c r="C67" s="37">
        <v>-1149.9739999999999</v>
      </c>
      <c r="F67" s="9" t="str">
        <f>IF($C$25&gt;=8,"（傾き前）6列目Z座標","-")</f>
        <v>-</v>
      </c>
      <c r="G67" s="13" t="s">
        <v>123</v>
      </c>
      <c r="H67" s="60" t="str">
        <f>IF($C$25&gt;=8,$H$3-$C$20-5*$C$21,"-")</f>
        <v>-</v>
      </c>
      <c r="I67" s="30" t="str">
        <f>IF($C$25&gt;=8,$C$67+H67,"-")</f>
        <v>-</v>
      </c>
      <c r="J67" s="3"/>
      <c r="K67" s="3">
        <f t="shared" si="0"/>
        <v>67</v>
      </c>
      <c r="L67" s="45" t="s">
        <v>256</v>
      </c>
      <c r="M67" s="54" t="str">
        <f>IF($C$25&gt;=4,"q+pz-λj","")</f>
        <v>q+pz-λj</v>
      </c>
      <c r="N67" s="44">
        <f ca="1">IF($C$25&gt;=4,$C$20+$C$21-$N$51, "-")</f>
        <v>10</v>
      </c>
    </row>
    <row r="68" spans="2:14" x14ac:dyDescent="0.4">
      <c r="B68" s="14" t="s">
        <v>50</v>
      </c>
      <c r="C68" s="37">
        <v>7.2999999999999995E-2</v>
      </c>
      <c r="F68" s="9" t="s">
        <v>346</v>
      </c>
      <c r="G68" s="13" t="s">
        <v>123</v>
      </c>
      <c r="H68" s="60">
        <f>$H$3-$C$20-($C$25-2)*$C$21</f>
        <v>330.01603829462465</v>
      </c>
      <c r="I68" s="30">
        <f>$C$67+H68</f>
        <v>-819.95796170537528</v>
      </c>
      <c r="K68" s="3">
        <f t="shared" si="0"/>
        <v>68</v>
      </c>
      <c r="L68" s="45" t="s">
        <v>257</v>
      </c>
      <c r="M68" s="54" t="str">
        <f>IF($C$25&gt;=5,"q+2pz-λj","")</f>
        <v>q+2pz-λj</v>
      </c>
      <c r="N68" s="44">
        <f ca="1">IF($C$25&gt;=5,$C$20+2*$C$21-$N$52, "-")</f>
        <v>5</v>
      </c>
    </row>
    <row r="69" spans="2:14" x14ac:dyDescent="0.4">
      <c r="B69" s="14" t="s">
        <v>440</v>
      </c>
      <c r="C69" s="19">
        <v>251.90899999999999</v>
      </c>
      <c r="E69" s="3" t="s">
        <v>348</v>
      </c>
      <c r="F69" s="9" t="s">
        <v>347</v>
      </c>
      <c r="G69" s="13" t="s">
        <v>123</v>
      </c>
      <c r="H69" s="60">
        <f>$H$3-$C$20-($C$25-1)*$C$21</f>
        <v>310.01603829462465</v>
      </c>
      <c r="I69" s="30">
        <f>$C$67+H69</f>
        <v>-839.95796170537528</v>
      </c>
      <c r="K69" s="3">
        <f t="shared" si="0"/>
        <v>69</v>
      </c>
      <c r="L69" s="45" t="s">
        <v>258</v>
      </c>
      <c r="M69" s="54" t="str">
        <f>IF($C$25&gt;=6,"q+3pz-λj","")</f>
        <v>q+3pz-λj</v>
      </c>
      <c r="N69" s="44">
        <f ca="1">IF($C$25&gt;=6,$C$20+3*$C$21-$N$53, "-")</f>
        <v>0</v>
      </c>
    </row>
    <row r="70" spans="2:14" x14ac:dyDescent="0.4">
      <c r="B70" s="14" t="s">
        <v>441</v>
      </c>
      <c r="C70" s="19">
        <v>244.4</v>
      </c>
      <c r="E70" s="3" t="s">
        <v>305</v>
      </c>
      <c r="F70" s="10" t="s">
        <v>308</v>
      </c>
      <c r="G70" s="13" t="s">
        <v>126</v>
      </c>
      <c r="H70" s="30">
        <f ca="1">$H$22+$C$31*2</f>
        <v>157.00299999999999</v>
      </c>
      <c r="K70" s="3">
        <f t="shared" si="0"/>
        <v>70</v>
      </c>
      <c r="L70" s="45" t="s">
        <v>259</v>
      </c>
      <c r="M70" s="54" t="str">
        <f>IF($C$25&gt;=7,"q+4pz-λj","-")</f>
        <v>-</v>
      </c>
      <c r="N70" s="44" t="str">
        <f>IF($C$25&gt;=7,$C$20+4*$C$21-$N$54, "-")</f>
        <v>-</v>
      </c>
    </row>
    <row r="71" spans="2:14" x14ac:dyDescent="0.4">
      <c r="B71" s="14" t="s">
        <v>140</v>
      </c>
      <c r="C71" s="38">
        <v>8</v>
      </c>
      <c r="E71" s="3" t="s">
        <v>307</v>
      </c>
      <c r="F71" s="10" t="str">
        <f>IF($C$25&gt;=3,"1列目 AC内径（水平・めっき含・概算）","-")</f>
        <v>1列目 AC内径（水平・めっき含・概算）</v>
      </c>
      <c r="G71" s="13" t="s">
        <v>126</v>
      </c>
      <c r="H71" s="30">
        <f ca="1">IF($C$25&gt;=3,($N$66*$N$98+$N$74*$N$90)/($N$58-$N$50)+$C$31*2,"-")</f>
        <v>156.59259999999998</v>
      </c>
      <c r="K71" s="3">
        <f t="shared" si="0"/>
        <v>71</v>
      </c>
      <c r="L71" s="45" t="s">
        <v>260</v>
      </c>
      <c r="M71" s="54" t="str">
        <f>IF($C$25&gt;=8,"q+5pz-λj","-")</f>
        <v>-</v>
      </c>
      <c r="N71" s="44" t="str">
        <f>IF($C$25&gt;=8,$C$20+5*$C$21-$N$55, "-")</f>
        <v>-</v>
      </c>
    </row>
    <row r="72" spans="2:14" x14ac:dyDescent="0.4">
      <c r="F72" s="10" t="s">
        <v>309</v>
      </c>
      <c r="G72" s="13" t="s">
        <v>126</v>
      </c>
      <c r="H72" s="30">
        <f ca="1">($N$73*$N$105+$N$81*$N$97)/($N$65-$N$57)+$C$31*2</f>
        <v>156.16120000000001</v>
      </c>
      <c r="K72" s="3">
        <f t="shared" si="0"/>
        <v>72</v>
      </c>
      <c r="L72" s="45" t="s">
        <v>261</v>
      </c>
      <c r="M72" s="54" t="s">
        <v>261</v>
      </c>
      <c r="N72" s="44">
        <f ca="1">$C$20+($C$25-2)*$C$21-$N$56</f>
        <v>20</v>
      </c>
    </row>
    <row r="73" spans="2:14" x14ac:dyDescent="0.4">
      <c r="B73" s="1" t="s">
        <v>397</v>
      </c>
      <c r="C73" s="5">
        <v>-561.11400000000003</v>
      </c>
      <c r="E73" s="3" t="s">
        <v>322</v>
      </c>
      <c r="F73" s="10" t="s">
        <v>225</v>
      </c>
      <c r="G73" s="30" t="s">
        <v>124</v>
      </c>
      <c r="H73" s="30">
        <f ca="1">ROUND(DEGREES($N$111),3)</f>
        <v>2.13</v>
      </c>
      <c r="I73" s="5"/>
      <c r="K73" s="3">
        <f t="shared" si="0"/>
        <v>73</v>
      </c>
      <c r="L73" s="45" t="s">
        <v>150</v>
      </c>
      <c r="M73" s="54" t="s">
        <v>150</v>
      </c>
      <c r="N73" s="44">
        <f ca="1">$C$20+($C$25-1)*$C$21-$N$57</f>
        <v>15</v>
      </c>
    </row>
    <row r="74" spans="2:14" x14ac:dyDescent="0.4">
      <c r="B74" s="1" t="s">
        <v>398</v>
      </c>
      <c r="C74" s="5">
        <v>-648.33199999999999</v>
      </c>
      <c r="E74" s="3" t="s">
        <v>322</v>
      </c>
      <c r="F74" s="10" t="s">
        <v>226</v>
      </c>
      <c r="G74" s="30" t="s">
        <v>124</v>
      </c>
      <c r="H74" s="30">
        <f ca="1">$H$7+$H$73</f>
        <v>2.7719999999999998</v>
      </c>
      <c r="I74" s="30">
        <f ca="1">-$C$68+$H$74</f>
        <v>2.6989999999999998</v>
      </c>
      <c r="K74" s="3">
        <f t="shared" si="0"/>
        <v>74</v>
      </c>
      <c r="L74" s="45" t="s">
        <v>149</v>
      </c>
      <c r="M74" s="54" t="str">
        <f>IF($C$25&gt;=3, "λj+1-q", "-")</f>
        <v>λj+1-q</v>
      </c>
      <c r="N74" s="44">
        <f ca="1">IF($C$25&gt;=3,$N$58-$C$20, "-")</f>
        <v>10</v>
      </c>
    </row>
    <row r="75" spans="2:14" x14ac:dyDescent="0.4">
      <c r="E75" s="3" t="s">
        <v>323</v>
      </c>
      <c r="F75" s="59" t="s">
        <v>321</v>
      </c>
      <c r="G75" s="56" t="s">
        <v>124</v>
      </c>
      <c r="H75" s="56">
        <f ca="1">DEGREES($N$119)</f>
        <v>1.8081075579837422</v>
      </c>
      <c r="K75" s="3">
        <f t="shared" si="0"/>
        <v>75</v>
      </c>
      <c r="L75" s="45" t="s">
        <v>262</v>
      </c>
      <c r="M75" s="54" t="str">
        <f>IF($C$25&gt;=4, "λj+1-q-pz", "-")</f>
        <v>λj+1-q-pz</v>
      </c>
      <c r="N75" s="44">
        <f ca="1">IF($C$25&gt;=4,$N$59-$C$20-$C$21, "-")</f>
        <v>15</v>
      </c>
    </row>
    <row r="76" spans="2:14" x14ac:dyDescent="0.4">
      <c r="E76" s="3" t="s">
        <v>323</v>
      </c>
      <c r="F76" s="59" t="s">
        <v>318</v>
      </c>
      <c r="G76" s="56" t="s">
        <v>124</v>
      </c>
      <c r="H76" s="56">
        <f ca="1">$H$7+$H$75</f>
        <v>2.4501075579837424</v>
      </c>
      <c r="I76" s="56">
        <f ca="1">-$C$68+$H$76</f>
        <v>2.3771075579837424</v>
      </c>
      <c r="K76" s="3">
        <f t="shared" ref="K76:K166" si="2">ROW(K76)</f>
        <v>76</v>
      </c>
      <c r="L76" s="45" t="s">
        <v>263</v>
      </c>
      <c r="M76" s="54" t="str">
        <f>IF($C$25&gt;=5, "λj+1-q-2pz", "-")</f>
        <v>λj+1-q-2pz</v>
      </c>
      <c r="N76" s="44">
        <f ca="1">IF($C$25&gt;=5,$N$60-$C$20-2*$C$21, "-")</f>
        <v>20</v>
      </c>
    </row>
    <row r="77" spans="2:14" x14ac:dyDescent="0.4">
      <c r="F77" s="10" t="s">
        <v>197</v>
      </c>
      <c r="G77" s="30" t="s">
        <v>126</v>
      </c>
      <c r="H77" s="30">
        <f ca="1">MIN($N$122, $N$123)</f>
        <v>21.495936780292737</v>
      </c>
      <c r="K77" s="3">
        <f t="shared" si="2"/>
        <v>77</v>
      </c>
      <c r="L77" s="45" t="s">
        <v>264</v>
      </c>
      <c r="M77" s="54" t="str">
        <f>IF($C$25&gt;=6, "λj+1-q-3pz", "-")</f>
        <v>λj+1-q-3pz</v>
      </c>
      <c r="N77" s="44">
        <f ca="1">IF($C$25&gt;=6,$N$61-$C$20-3*$C$21, "-")</f>
        <v>25</v>
      </c>
    </row>
    <row r="78" spans="2:14" x14ac:dyDescent="0.4">
      <c r="E78" s="3" t="s">
        <v>349</v>
      </c>
      <c r="F78" s="10" t="s">
        <v>410</v>
      </c>
      <c r="G78" s="13" t="s">
        <v>125</v>
      </c>
      <c r="H78" s="30">
        <f ca="1">($N$66*$N$132+$N$74*$N$124)/($N$58-$N$50)+$C$31*2</f>
        <v>154.57380000000001</v>
      </c>
      <c r="K78" s="3">
        <f t="shared" si="2"/>
        <v>78</v>
      </c>
      <c r="L78" s="45" t="s">
        <v>265</v>
      </c>
      <c r="M78" s="54" t="str">
        <f>IF($C$25&gt;=7, "λj+1-q-4pz", "-")</f>
        <v>-</v>
      </c>
      <c r="N78" s="44" t="str">
        <f>IF($C$25&gt;=7,$N$62-$C$20-4*$C$21, "-")</f>
        <v>-</v>
      </c>
    </row>
    <row r="79" spans="2:14" x14ac:dyDescent="0.4">
      <c r="F79" s="10" t="s">
        <v>351</v>
      </c>
      <c r="G79" s="13" t="s">
        <v>125</v>
      </c>
      <c r="H79" s="30">
        <f ca="1">($N$73*$N$139+$N$81*$N$131)/($N$65-$N$57)+$C$31*2</f>
        <v>154.14839999999998</v>
      </c>
      <c r="K79" s="3">
        <f t="shared" si="2"/>
        <v>79</v>
      </c>
      <c r="L79" s="45" t="s">
        <v>266</v>
      </c>
      <c r="M79" s="54" t="str">
        <f>IF($C$25&gt;=8, "λj+1-q-5pz", "-")</f>
        <v>-</v>
      </c>
      <c r="N79" s="44" t="str">
        <f>IF($C$25&gt;=8,$N$63-$C$20-5*$C$21, "-")</f>
        <v>-</v>
      </c>
    </row>
    <row r="80" spans="2:14" x14ac:dyDescent="0.4">
      <c r="F80" s="32" t="s">
        <v>387</v>
      </c>
      <c r="K80" s="3">
        <f t="shared" si="2"/>
        <v>80</v>
      </c>
      <c r="L80" s="45" t="s">
        <v>267</v>
      </c>
      <c r="M80" s="54" t="s">
        <v>267</v>
      </c>
      <c r="N80" s="2">
        <f ca="1">$N$64-$C$20-($C$25-2)*$C$21</f>
        <v>5</v>
      </c>
    </row>
    <row r="81" spans="6:14" x14ac:dyDescent="0.4">
      <c r="F81" s="10" t="str">
        <f>IF($C$25&gt;=3,"内面溝1列目-トップ端 湾曲中心間X距離", "-")</f>
        <v>内面溝1列目-トップ端 湾曲中心間X距離</v>
      </c>
      <c r="G81" s="13" t="s">
        <v>126</v>
      </c>
      <c r="H81" s="30">
        <f ca="1">IF($C$25&gt;=$C$71-5,$H$54*$N$113-$C$20*$N$112, "-")</f>
        <v>0.23613623834420849</v>
      </c>
      <c r="K81" s="3">
        <f t="shared" si="2"/>
        <v>81</v>
      </c>
      <c r="L81" s="45" t="s">
        <v>182</v>
      </c>
      <c r="M81" s="54" t="s">
        <v>182</v>
      </c>
      <c r="N81" s="2">
        <f ca="1">$N$65-$C$20-($C$25-1)*$C$21</f>
        <v>10</v>
      </c>
    </row>
    <row r="82" spans="6:14" x14ac:dyDescent="0.4">
      <c r="F82" s="10" t="str">
        <f>IF($C$25&gt;=4,"内面溝2列目-トップ端 湾曲中心間X距離", "-")</f>
        <v>内面溝2列目-トップ端 湾曲中心間X距離</v>
      </c>
      <c r="G82" s="13" t="s">
        <v>126</v>
      </c>
      <c r="H82" s="30">
        <f ca="1">IF($C$25&gt;=$C$71-4,$H$55*$N$113-($C$20+$C21)*$N$112, "-")</f>
        <v>0.16515537313498907</v>
      </c>
      <c r="K82" s="3">
        <f t="shared" si="2"/>
        <v>82</v>
      </c>
      <c r="L82" s="45" t="s">
        <v>270</v>
      </c>
      <c r="M82" s="54" t="str">
        <f>IF($C$25&gt;=3,"1列目湾曲中心X","-")</f>
        <v>1列目湾曲中心X</v>
      </c>
      <c r="N82" s="46">
        <f>IF($C$25&gt;=3,SQRT($C$3^2-$N$42^2),"-")</f>
        <v>8917.3132326951491</v>
      </c>
    </row>
    <row r="83" spans="6:14" x14ac:dyDescent="0.4">
      <c r="F83" s="10" t="str">
        <f>IF($C$25&gt;=5,"内面溝3列目-トップ端 湾曲中心間X距離", "-")</f>
        <v>内面溝3列目-トップ端 湾曲中心間X距離</v>
      </c>
      <c r="G83" s="13" t="s">
        <v>126</v>
      </c>
      <c r="H83" s="30">
        <f ca="1">IF($C$25&gt;=$C$71-3,$H$56*$N$113-($C$20+2*$C$21)*$N$112, "-")</f>
        <v>4.930486789530697E-2</v>
      </c>
      <c r="K83" s="3">
        <f t="shared" si="2"/>
        <v>83</v>
      </c>
      <c r="L83" s="45" t="s">
        <v>271</v>
      </c>
      <c r="M83" s="54" t="str">
        <f>IF($C$25&gt;=4,"2列目湾曲中心X","-")</f>
        <v>2列目湾曲中心X</v>
      </c>
      <c r="N83" s="46">
        <f>IF($C$25&gt;=4,SQRT($C$3^2-$N$43^2),"-")</f>
        <v>8917.9860557190823</v>
      </c>
    </row>
    <row r="84" spans="6:14" x14ac:dyDescent="0.4">
      <c r="F84" s="10" t="str">
        <f>IF($C$25&gt;=6,"内面溝4列目-トップ端 湾曲中心間X距離", "-")</f>
        <v>内面溝4列目-トップ端 湾曲中心間X距離</v>
      </c>
      <c r="G84" s="13" t="s">
        <v>126</v>
      </c>
      <c r="H84" s="30">
        <f ca="1">IF($C$25&gt;=$C$71-2,$H$57*$N$113-($C$20+3*$C$21)*$N$112, "-")</f>
        <v>-0.11140580074584783</v>
      </c>
      <c r="K84" s="3">
        <f t="shared" si="2"/>
        <v>84</v>
      </c>
      <c r="L84" s="45" t="s">
        <v>272</v>
      </c>
      <c r="M84" s="54" t="str">
        <f>IF($C$25&gt;=5,"3列目湾曲中心X","-")</f>
        <v>3列目湾曲中心X</v>
      </c>
      <c r="N84" s="46">
        <f>IF($C$25&gt;=5,SQRT($C$3^2-$N$44^2),"-")</f>
        <v>8918.6139780797785</v>
      </c>
    </row>
    <row r="85" spans="6:14" x14ac:dyDescent="0.4">
      <c r="F85" s="10" t="str">
        <f>IF($C$25&gt;=7,"内面溝5列目-トップ端 湾曲中心間X距離", "-")</f>
        <v>-</v>
      </c>
      <c r="G85" s="13" t="s">
        <v>126</v>
      </c>
      <c r="H85" s="30" t="str">
        <f>IF($C$25&gt;=$C$71-1,$H$58*$N$113-($C$20+4*$C$21)*$N$112, "-")</f>
        <v>-</v>
      </c>
      <c r="K85" s="3">
        <f t="shared" si="2"/>
        <v>85</v>
      </c>
      <c r="L85" s="45" t="s">
        <v>273</v>
      </c>
      <c r="M85" s="54" t="str">
        <f>IF($C$25&gt;=6,"4列目湾曲中心X","-")</f>
        <v>4列目湾曲中心X</v>
      </c>
      <c r="N85" s="46">
        <f>IF($C$25&gt;=6,SQRT($C$3^2-$N$45^2),"-")</f>
        <v>8919.1970092604188</v>
      </c>
    </row>
    <row r="86" spans="6:14" x14ac:dyDescent="0.4">
      <c r="F86" s="10" t="str">
        <f>IF($C$25&gt;=8,"内面溝6列目-トップ端 湾曲中心間X距離", "-")</f>
        <v>-</v>
      </c>
      <c r="G86" s="13" t="s">
        <v>126</v>
      </c>
      <c r="H86" s="30" t="str">
        <f>IF($C$25&gt;=$C$71,$H$59*$N$113-($C$20+5*$C$21)*$N$112, "-")</f>
        <v>-</v>
      </c>
      <c r="K86" s="3">
        <f t="shared" si="2"/>
        <v>86</v>
      </c>
      <c r="L86" s="45" t="s">
        <v>274</v>
      </c>
      <c r="M86" s="54" t="str">
        <f>IF($C$25&gt;=7,"5列目湾曲中心X","-")</f>
        <v>-</v>
      </c>
      <c r="N86" s="46" t="str">
        <f>IF($C$25&gt;=7,SQRT($C$3^2-$N$46^2),"-")</f>
        <v>-</v>
      </c>
    </row>
    <row r="87" spans="6:14" x14ac:dyDescent="0.4">
      <c r="F87" s="10" t="s">
        <v>269</v>
      </c>
      <c r="G87" s="13" t="s">
        <v>126</v>
      </c>
      <c r="H87" s="30">
        <f ca="1">$H$60*$N$113-($C$20+($C$25-2)*$C$21)*$N$112</f>
        <v>-0.31696783604237844</v>
      </c>
      <c r="K87" s="3">
        <f t="shared" si="2"/>
        <v>87</v>
      </c>
      <c r="L87" s="45" t="s">
        <v>275</v>
      </c>
      <c r="M87" s="54" t="str">
        <f>IF($C$25&gt;=8,"6列目湾曲中心X","-")</f>
        <v>-</v>
      </c>
      <c r="N87" s="46" t="str">
        <f>IF($C$25&gt;=8,SQRT($C$3^2-$N$47^2),"-")</f>
        <v>-</v>
      </c>
    </row>
    <row r="88" spans="6:14" x14ac:dyDescent="0.4">
      <c r="F88" s="10" t="s">
        <v>268</v>
      </c>
      <c r="G88" s="13" t="s">
        <v>126</v>
      </c>
      <c r="H88" s="30">
        <f ca="1">$H$61*$N$113-($C$20+($C$25-1)*$C$21)*$N$112</f>
        <v>-0.56737312047669697</v>
      </c>
      <c r="K88" s="3">
        <f t="shared" si="2"/>
        <v>88</v>
      </c>
      <c r="L88" s="45" t="s">
        <v>276</v>
      </c>
      <c r="M88" s="54" t="s">
        <v>278</v>
      </c>
      <c r="N88" s="47">
        <f>SQRT($C$3^2-$N$48^2)</f>
        <v>8919.7351580638315</v>
      </c>
    </row>
    <row r="89" spans="6:14" x14ac:dyDescent="0.4">
      <c r="F89" s="10" t="str">
        <f>IF($C$25&gt;=3,"内面溝1列目-トップ端 湾曲中心間Z距離", "-")</f>
        <v>内面溝1列目-トップ端 湾曲中心間Z距離</v>
      </c>
      <c r="G89" s="13" t="s">
        <v>123</v>
      </c>
      <c r="H89" s="30">
        <f ca="1">IF($C$25&gt;=$C$71-5,$H$54*$N$112+$C$20*$N$113, "-")</f>
        <v>90.071009208980442</v>
      </c>
      <c r="K89" s="3">
        <f t="shared" si="2"/>
        <v>89</v>
      </c>
      <c r="L89" s="45" t="s">
        <v>277</v>
      </c>
      <c r="M89" s="54" t="s">
        <v>279</v>
      </c>
      <c r="N89" s="47">
        <f>SQRT($C$3^2-$N$49^2)</f>
        <v>8920.2284326131467</v>
      </c>
    </row>
    <row r="90" spans="6:14" x14ac:dyDescent="0.4">
      <c r="F90" s="10" t="str">
        <f>IF($C$25&gt;=4,"内面溝2列目-トップ端 湾曲中心間Z距離", "-")</f>
        <v>内面溝2列目-トップ端 湾曲中心間Z距離</v>
      </c>
      <c r="G90" s="13" t="s">
        <v>123</v>
      </c>
      <c r="H90" s="30">
        <f ca="1">IF($C$25&gt;=$C$71-4,$H$55*$N$112+($C$20+$C$21)*$N$113, "-")</f>
        <v>110.08219739305159</v>
      </c>
      <c r="K90" s="3">
        <f t="shared" si="2"/>
        <v>90</v>
      </c>
      <c r="L90" s="45" t="s">
        <v>280</v>
      </c>
      <c r="M90" s="54" t="str">
        <f>IF($C$25&gt;=3,"λj ≦ q &lt; λj+1 の wAj", "-")</f>
        <v>λj ≦ q &lt; λj+1 の wAj</v>
      </c>
      <c r="N90" s="44">
        <f ca="1">IF($C$25&gt;=3, INDEX(INDIRECT($H$52&amp;"!B:B"), MATCH($N$50, INDIRECT($H$52&amp;"!A:A"), 0)),"-")</f>
        <v>156.52099999999999</v>
      </c>
    </row>
    <row r="91" spans="6:14" x14ac:dyDescent="0.4">
      <c r="F91" s="10" t="str">
        <f>IF($C$25&gt;=5,"内面溝3列目-トップ端 湾曲中心間Z距離", "-")</f>
        <v>内面溝3列目-トップ端 湾曲中心間Z距離</v>
      </c>
      <c r="G91" s="13" t="s">
        <v>123</v>
      </c>
      <c r="H91" s="30">
        <f ca="1">IF($C$25&gt;=$C$71-3,$H$56*$N$112+($C$20+2*$C$21)*$N$113, "-")</f>
        <v>130.09171675638208</v>
      </c>
      <c r="K91" s="3">
        <f t="shared" si="2"/>
        <v>91</v>
      </c>
      <c r="L91" s="45" t="s">
        <v>281</v>
      </c>
      <c r="M91" s="54" t="str">
        <f>IF($C$25&gt;=4,"λj ≦ q+pz &lt; λj+1 の wAj", "-")</f>
        <v>λj ≦ q+pz &lt; λj+1 の wAj</v>
      </c>
      <c r="N91" s="44">
        <f ca="1">IF($C$25&gt;=4, INDEX(INDIRECT($H$52&amp;"!B:B"), MATCH($N$51, INDIRECT($H$52&amp;"!A:A"), 0)),"-")</f>
        <v>156.40700000000001</v>
      </c>
    </row>
    <row r="92" spans="6:14" x14ac:dyDescent="0.4">
      <c r="F92" s="10" t="str">
        <f>IF($C$25&gt;=6,"内面溝4列目-トップ端 湾曲中心間Z距離", "-")</f>
        <v>内面溝4列目-トップ端 湾曲中心間Z距離</v>
      </c>
      <c r="G92" s="13" t="s">
        <v>123</v>
      </c>
      <c r="H92" s="30">
        <f ca="1">IF($C$25&gt;=$C$71-2,$H$57*$N$112+($C$20+3*$C$21)*$N$113, "-")</f>
        <v>150.09956765143286</v>
      </c>
      <c r="K92" s="3">
        <f t="shared" si="2"/>
        <v>92</v>
      </c>
      <c r="L92" s="45" t="s">
        <v>282</v>
      </c>
      <c r="M92" s="54" t="str">
        <f>IF($C$25&gt;=5,"λj ≦ q+2pz &lt; λj+1 の wAj", "-")</f>
        <v>λj ≦ q+2pz &lt; λj+1 の wAj</v>
      </c>
      <c r="N92" s="44">
        <f ca="1">IF($C$25&gt;=5, INDEX(INDIRECT($H$52&amp;"!B:B"), MATCH($N$52, INDIRECT($H$52&amp;"!A:A"), 0)),"-")</f>
        <v>156.29300000000001</v>
      </c>
    </row>
    <row r="93" spans="6:14" x14ac:dyDescent="0.4">
      <c r="F93" s="10" t="str">
        <f>IF($C$25&gt;=7,"内面溝5列目-トップ端 湾曲中心間Z距離", "-")</f>
        <v>-</v>
      </c>
      <c r="G93" s="13" t="s">
        <v>123</v>
      </c>
      <c r="H93" s="30" t="str">
        <f>IF($C$25&gt;=$C$71-1,$H$58*$N$112+($C$20+4*$C$21)*$N$113, "-")</f>
        <v>-</v>
      </c>
      <c r="K93" s="3">
        <f t="shared" si="2"/>
        <v>93</v>
      </c>
      <c r="L93" s="45" t="s">
        <v>283</v>
      </c>
      <c r="M93" s="54" t="str">
        <f>IF($C$25&gt;=6,"λj ≦ q+3pz &lt; λj+1 の wAj", "-")</f>
        <v>λj ≦ q+3pz &lt; λj+1 の wAj</v>
      </c>
      <c r="N93" s="44">
        <f ca="1">IF($C$25&gt;=6, INDEX(INDIRECT($H$52&amp;"!B:B"), MATCH($N$53, INDIRECT($H$52&amp;"!A:A"), 0)),"-")</f>
        <v>156.179</v>
      </c>
    </row>
    <row r="94" spans="6:14" x14ac:dyDescent="0.4">
      <c r="F94" s="10" t="str">
        <f>IF($C$25&gt;=8,"内面溝6列目-トップ端 湾曲中心間Z距離", "-")</f>
        <v>-</v>
      </c>
      <c r="G94" s="13" t="s">
        <v>123</v>
      </c>
      <c r="H94" s="30" t="str">
        <f>IF($C$25&gt;=$C$71-0,$H$59*$N$112+($C$20+5*$C$21)*$N$113, "-")</f>
        <v>-</v>
      </c>
      <c r="K94" s="3">
        <f t="shared" si="2"/>
        <v>94</v>
      </c>
      <c r="L94" s="45" t="s">
        <v>284</v>
      </c>
      <c r="M94" s="54" t="str">
        <f>IF($C$25&gt;=7,"λj ≦ q+4pz &lt; λj+1 の wAj", "-")</f>
        <v>-</v>
      </c>
      <c r="N94" s="44" t="str">
        <f ca="1">IF($C$25&gt;=7, INDEX(INDIRECT($H$52&amp;"!B:B"), MATCH($N$54, INDIRECT($H$52&amp;"!A:A"), 0)),"-")</f>
        <v>-</v>
      </c>
    </row>
    <row r="95" spans="6:14" x14ac:dyDescent="0.4">
      <c r="F95" s="10" t="s">
        <v>393</v>
      </c>
      <c r="G95" s="13" t="s">
        <v>123</v>
      </c>
      <c r="H95" s="30">
        <f ca="1">$H$60*$N$112+($C$20+($C$25-2)*$C$21)*$N$113</f>
        <v>170.10575040537816</v>
      </c>
      <c r="K95" s="3">
        <f t="shared" si="2"/>
        <v>95</v>
      </c>
      <c r="L95" s="45" t="s">
        <v>285</v>
      </c>
      <c r="M95" s="54" t="str">
        <f>IF($C$25&gt;=8,"λj ≦ q+5pz &lt; λj+1 の wAj", "-")</f>
        <v>-</v>
      </c>
      <c r="N95" s="44" t="str">
        <f ca="1">IF($C$25&gt;=8, INDEX(INDIRECT($H$52&amp;"!B:B"), MATCH($N$55, INDIRECT($H$52&amp;"!A:A"), 0)),"-")</f>
        <v>-</v>
      </c>
    </row>
    <row r="96" spans="6:14" x14ac:dyDescent="0.4">
      <c r="F96" s="10" t="s">
        <v>394</v>
      </c>
      <c r="G96" s="13" t="s">
        <v>123</v>
      </c>
      <c r="H96" s="30">
        <f ca="1">$H$61*$N$112+($C$20+($C$25-1)*$C$21)*$N$113</f>
        <v>190.11026532013003</v>
      </c>
      <c r="K96" s="3">
        <f t="shared" si="2"/>
        <v>96</v>
      </c>
      <c r="L96" s="45" t="s">
        <v>286</v>
      </c>
      <c r="M96" s="54" t="s">
        <v>288</v>
      </c>
      <c r="N96" s="44">
        <f ca="1">INDEX(INDIRECT($H$52&amp;"!B:B"), MATCH($N$56, INDIRECT($H$52&amp;"!A:A"), 0))</f>
        <v>156.179</v>
      </c>
    </row>
    <row r="97" spans="5:14" x14ac:dyDescent="0.4">
      <c r="F97" s="32" t="s">
        <v>411</v>
      </c>
      <c r="K97" s="3">
        <f t="shared" si="2"/>
        <v>97</v>
      </c>
      <c r="L97" s="45" t="s">
        <v>287</v>
      </c>
      <c r="M97" s="54" t="s">
        <v>289</v>
      </c>
      <c r="N97" s="44">
        <f ca="1">INDEX(INDIRECT($H$52&amp;"!B:B"), MATCH($N$57, INDIRECT($H$52&amp;"!A:A"), 0))</f>
        <v>156.077</v>
      </c>
    </row>
    <row r="98" spans="5:14" x14ac:dyDescent="0.4">
      <c r="E98" s="3" t="s">
        <v>399</v>
      </c>
      <c r="F98" s="9" t="s">
        <v>404</v>
      </c>
      <c r="G98" s="13" t="s">
        <v>126</v>
      </c>
      <c r="H98" s="30">
        <f>$C$73-$C66</f>
        <v>-11.095000000000027</v>
      </c>
      <c r="I98" s="30">
        <f>$C$66+H98</f>
        <v>-561.11400000000003</v>
      </c>
      <c r="K98" s="3">
        <f t="shared" si="2"/>
        <v>98</v>
      </c>
      <c r="L98" s="45" t="s">
        <v>290</v>
      </c>
      <c r="M98" s="54" t="str">
        <f>IF($C$25&gt;=3,"λj ≦ q &lt; λj+1 の wAj+1", "-")</f>
        <v>λj ≦ q &lt; λj+1 の wAj+1</v>
      </c>
      <c r="N98" s="44">
        <f ca="1">IF($C$25&gt;=3, INDEX(INDIRECT($H$52&amp;"!B:B"), MATCH($N$58, INDIRECT($H$52&amp;"!A:A"), 0)),"-")</f>
        <v>156.40700000000001</v>
      </c>
    </row>
    <row r="99" spans="5:14" x14ac:dyDescent="0.4">
      <c r="E99" s="3" t="s">
        <v>400</v>
      </c>
      <c r="F99" s="9" t="s">
        <v>405</v>
      </c>
      <c r="G99" s="13" t="s">
        <v>123</v>
      </c>
      <c r="H99" s="30">
        <f>$H$3</f>
        <v>500.01603829462465</v>
      </c>
      <c r="I99" s="30">
        <f>$C$67+H99</f>
        <v>-649.95796170537528</v>
      </c>
      <c r="K99" s="3">
        <f t="shared" si="2"/>
        <v>99</v>
      </c>
      <c r="L99" s="45" t="s">
        <v>291</v>
      </c>
      <c r="M99" s="54" t="str">
        <f>IF($C$25&gt;=4,"λj ≦ q+pz &lt; λj+1 の wAj+1", "-")</f>
        <v>λj ≦ q+pz &lt; λj+1 の wAj+1</v>
      </c>
      <c r="N99" s="44">
        <f ca="1">IF($C$25&gt;=4, INDEX(INDIRECT($H$52&amp;"!B:B"), MATCH($N$59, INDIRECT($H$52&amp;"!A:A"), 0)),"-")</f>
        <v>156.29300000000001</v>
      </c>
    </row>
    <row r="100" spans="5:14" x14ac:dyDescent="0.4">
      <c r="E100" s="3" t="s">
        <v>401</v>
      </c>
      <c r="F100" s="9" t="s">
        <v>406</v>
      </c>
      <c r="G100" s="13" t="s">
        <v>126</v>
      </c>
      <c r="H100" s="30">
        <f ca="1">$H$98*$N$113+$H$99*$N$112</f>
        <v>7.4967373522236862</v>
      </c>
      <c r="I100" s="30">
        <f ca="1">$C$66+H100</f>
        <v>-542.5222626477763</v>
      </c>
      <c r="K100" s="3">
        <f t="shared" si="2"/>
        <v>100</v>
      </c>
      <c r="L100" s="45" t="s">
        <v>292</v>
      </c>
      <c r="M100" s="54" t="str">
        <f>IF($C$25&gt;=5,"λj ≦ q+2pz &lt; λj+1 の wAj+1", "-")</f>
        <v>λj ≦ q+2pz &lt; λj+1 の wAj+1</v>
      </c>
      <c r="N100" s="44">
        <f ca="1">IF($C$25&gt;=5, INDEX(INDIRECT($H$52&amp;"!B:B"), MATCH($N$60, INDIRECT($H$52&amp;"!A:A"), 0)),"-")</f>
        <v>156.179</v>
      </c>
    </row>
    <row r="101" spans="5:14" x14ac:dyDescent="0.4">
      <c r="E101" s="3" t="s">
        <v>402</v>
      </c>
      <c r="F101" s="9" t="s">
        <v>407</v>
      </c>
      <c r="G101" s="13" t="s">
        <v>123</v>
      </c>
      <c r="H101" s="30">
        <f ca="1">-$H$98*$N$112+$H$99*$N$113</f>
        <v>500.08292962860008</v>
      </c>
      <c r="I101" s="30">
        <f ca="1">$C$67+H101</f>
        <v>-649.89107037139979</v>
      </c>
      <c r="K101" s="3">
        <f t="shared" si="2"/>
        <v>101</v>
      </c>
      <c r="L101" s="45" t="s">
        <v>293</v>
      </c>
      <c r="M101" s="54" t="str">
        <f>IF($C$25&gt;=6,"λj ≦ q+3pz &lt; λj+1 の wAj+1", "-")</f>
        <v>λj ≦ q+3pz &lt; λj+1 の wAj+1</v>
      </c>
      <c r="N101" s="44">
        <f ca="1">IF($C$25&gt;=6, INDEX(INDIRECT($H$52&amp;"!B:B"), MATCH($N$61, INDIRECT($H$52&amp;"!A:A"), 0)),"-")</f>
        <v>156.077</v>
      </c>
    </row>
    <row r="102" spans="5:14" x14ac:dyDescent="0.4">
      <c r="F102" s="9" t="s">
        <v>403</v>
      </c>
      <c r="G102" s="13" t="s">
        <v>126</v>
      </c>
      <c r="H102" s="30">
        <f ca="1">$H$100-$H$98</f>
        <v>18.591737352223713</v>
      </c>
      <c r="K102" s="3">
        <f t="shared" si="2"/>
        <v>102</v>
      </c>
      <c r="L102" s="45" t="s">
        <v>294</v>
      </c>
      <c r="M102" s="54" t="str">
        <f>IF($C$25&gt;=7,"λj ≦ q+4pz &lt; λj+1 の wAj+1", "-")</f>
        <v>-</v>
      </c>
      <c r="N102" s="44" t="str">
        <f ca="1">IF($C$25&gt;=7, INDEX(INDIRECT($H$52&amp;"!B:B"), MATCH($N$62, INDIRECT($H$52&amp;"!A:A"), 0)),"-")</f>
        <v>-</v>
      </c>
    </row>
    <row r="103" spans="5:14" x14ac:dyDescent="0.4">
      <c r="F103" s="9" t="s">
        <v>403</v>
      </c>
      <c r="G103" s="13" t="s">
        <v>123</v>
      </c>
      <c r="H103" s="30">
        <f ca="1">$H$101-$H$99</f>
        <v>6.6891333975434009E-2</v>
      </c>
      <c r="K103" s="3">
        <f t="shared" si="2"/>
        <v>103</v>
      </c>
      <c r="L103" s="45" t="s">
        <v>295</v>
      </c>
      <c r="M103" s="54" t="str">
        <f>IF($C$25&gt;=8,"λj ≦ q+5pz &lt; λj+1 の wAj+1", "-")</f>
        <v>-</v>
      </c>
      <c r="N103" s="44" t="str">
        <f ca="1">IF($C$25&gt;=8, INDEX(INDIRECT($H$52&amp;"!B:B"), MATCH($N$63, INDIRECT($H$52&amp;"!A:A"), 0)),"-")</f>
        <v>-</v>
      </c>
    </row>
    <row r="104" spans="5:14" x14ac:dyDescent="0.4">
      <c r="K104" s="3">
        <f t="shared" si="2"/>
        <v>104</v>
      </c>
      <c r="L104" s="45" t="s">
        <v>296</v>
      </c>
      <c r="M104" s="54" t="s">
        <v>298</v>
      </c>
      <c r="N104" s="44">
        <f ca="1">INDEX(INDIRECT($H$52&amp;"!B:B"), MATCH($N$64, INDIRECT($H$52&amp;"!A:A"), 0))</f>
        <v>156.077</v>
      </c>
    </row>
    <row r="105" spans="5:14" x14ac:dyDescent="0.4">
      <c r="F105" s="34" t="s">
        <v>442</v>
      </c>
      <c r="G105" s="28"/>
      <c r="H105" s="28"/>
      <c r="K105" s="3">
        <f t="shared" si="2"/>
        <v>105</v>
      </c>
      <c r="L105" s="45" t="s">
        <v>297</v>
      </c>
      <c r="M105" s="54" t="s">
        <v>299</v>
      </c>
      <c r="N105" s="44">
        <f ca="1">INDEX(INDIRECT($H$52&amp;"!B:B"), MATCH($N$65, INDIRECT($H$52&amp;"!A:A"), 0))</f>
        <v>155.98400000000001</v>
      </c>
    </row>
    <row r="106" spans="5:14" x14ac:dyDescent="0.4">
      <c r="F106" s="9" t="s">
        <v>444</v>
      </c>
      <c r="G106" s="61"/>
      <c r="H106" s="13"/>
      <c r="K106" s="3">
        <f t="shared" si="2"/>
        <v>106</v>
      </c>
      <c r="L106" s="45" t="s">
        <v>310</v>
      </c>
      <c r="M106" s="54" t="s">
        <v>223</v>
      </c>
      <c r="N106" s="2">
        <f ca="1">$C$3+$H$70/2</f>
        <v>9001.201500000001</v>
      </c>
    </row>
    <row r="107" spans="5:14" x14ac:dyDescent="0.4">
      <c r="F107" s="9" t="s">
        <v>443</v>
      </c>
      <c r="G107" s="61"/>
      <c r="H107" s="13"/>
      <c r="K107" s="3">
        <f t="shared" si="2"/>
        <v>107</v>
      </c>
      <c r="L107" s="45" t="s">
        <v>311</v>
      </c>
      <c r="M107" s="54" t="s">
        <v>224</v>
      </c>
      <c r="N107" s="2">
        <f ca="1">$C$3+$H$71/2</f>
        <v>9000.9963000000007</v>
      </c>
    </row>
    <row r="108" spans="5:14" x14ac:dyDescent="0.4">
      <c r="K108" s="3">
        <f t="shared" ref="K108:K115" si="3">ROW(K108)</f>
        <v>108</v>
      </c>
      <c r="L108" s="45" t="s">
        <v>314</v>
      </c>
      <c r="M108" s="54" t="s">
        <v>195</v>
      </c>
      <c r="N108" s="2">
        <f ca="1">SQRT($N$107^2-$N$42^2)</f>
        <v>8995.6564181061131</v>
      </c>
    </row>
    <row r="109" spans="5:14" x14ac:dyDescent="0.4">
      <c r="K109" s="3">
        <f t="shared" si="3"/>
        <v>109</v>
      </c>
      <c r="L109" s="45" t="s">
        <v>315</v>
      </c>
      <c r="M109" s="54" t="s">
        <v>195</v>
      </c>
      <c r="N109" s="2">
        <f ca="1">SQRT($N$106^2-$C$4^2)</f>
        <v>8992.3094054643298</v>
      </c>
    </row>
    <row r="110" spans="5:14" x14ac:dyDescent="0.4">
      <c r="K110" s="3">
        <f t="shared" si="3"/>
        <v>110</v>
      </c>
      <c r="L110" s="45" t="s">
        <v>183</v>
      </c>
      <c r="M110" s="54" t="s">
        <v>183</v>
      </c>
      <c r="N110" s="2">
        <f ca="1">IF($N$108&gt;$N$109, ($N$108-$N$109)/$C$20, 0)</f>
        <v>3.7189029353147718E-2</v>
      </c>
    </row>
    <row r="111" spans="5:14" x14ac:dyDescent="0.4">
      <c r="K111" s="3">
        <f t="shared" si="3"/>
        <v>111</v>
      </c>
      <c r="L111" s="45" t="s">
        <v>184</v>
      </c>
      <c r="M111" s="54" t="s">
        <v>151</v>
      </c>
      <c r="N111" s="2">
        <f ca="1">ATAN($N$110)</f>
        <v>3.7171899126953054E-2</v>
      </c>
    </row>
    <row r="112" spans="5:14" x14ac:dyDescent="0.4">
      <c r="K112" s="3">
        <f t="shared" si="3"/>
        <v>112</v>
      </c>
      <c r="L112" s="45" t="s">
        <v>392</v>
      </c>
      <c r="M112" s="54" t="s">
        <v>392</v>
      </c>
      <c r="N112" s="2">
        <f ca="1">SIN(RADIANS($H$73))</f>
        <v>3.7166950783010577E-2</v>
      </c>
    </row>
    <row r="113" spans="11:14" x14ac:dyDescent="0.4">
      <c r="K113" s="3">
        <f t="shared" si="3"/>
        <v>113</v>
      </c>
      <c r="L113" s="45" t="s">
        <v>391</v>
      </c>
      <c r="M113" s="54" t="s">
        <v>391</v>
      </c>
      <c r="N113" s="2">
        <f ca="1">COS(RADIANS($H$73))</f>
        <v>0.9993090701927474</v>
      </c>
    </row>
    <row r="114" spans="11:14" x14ac:dyDescent="0.4">
      <c r="K114" s="3">
        <f t="shared" si="3"/>
        <v>114</v>
      </c>
      <c r="L114" s="45" t="s">
        <v>312</v>
      </c>
      <c r="M114" s="54" t="s">
        <v>144</v>
      </c>
      <c r="N114" s="2">
        <f ca="1">$C$3-$H$71/2</f>
        <v>8844.4037000000008</v>
      </c>
    </row>
    <row r="115" spans="11:14" x14ac:dyDescent="0.4">
      <c r="K115" s="3">
        <f t="shared" si="3"/>
        <v>115</v>
      </c>
      <c r="L115" s="45" t="s">
        <v>313</v>
      </c>
      <c r="M115" s="54" t="s">
        <v>145</v>
      </c>
      <c r="N115" s="2">
        <f ca="1">$C$3-$H$72/2</f>
        <v>8844.6194000000014</v>
      </c>
    </row>
    <row r="116" spans="11:14" x14ac:dyDescent="0.4">
      <c r="K116" s="3">
        <f t="shared" si="2"/>
        <v>116</v>
      </c>
      <c r="L116" s="45" t="s">
        <v>316</v>
      </c>
      <c r="M116" s="54" t="s">
        <v>196</v>
      </c>
      <c r="N116" s="2">
        <f ca="1">SQRT($N$115^2-$N$49^2)</f>
        <v>8842.1260074066122</v>
      </c>
    </row>
    <row r="117" spans="11:14" x14ac:dyDescent="0.4">
      <c r="K117" s="3">
        <f t="shared" si="2"/>
        <v>117</v>
      </c>
      <c r="L117" s="45" t="s">
        <v>317</v>
      </c>
      <c r="M117" s="54" t="s">
        <v>196</v>
      </c>
      <c r="N117" s="2">
        <f ca="1">SQRT($N$114^2-$N$42^2)</f>
        <v>8838.9692164060452</v>
      </c>
    </row>
    <row r="118" spans="11:14" x14ac:dyDescent="0.4">
      <c r="K118" s="3">
        <f t="shared" si="2"/>
        <v>118</v>
      </c>
      <c r="L118" s="45" t="s">
        <v>185</v>
      </c>
      <c r="N118" s="2">
        <f ca="1">($N116-$N117)/($N$42-$N$49)</f>
        <v>3.1567910005669546E-2</v>
      </c>
    </row>
    <row r="119" spans="11:14" x14ac:dyDescent="0.4">
      <c r="K119" s="3">
        <f t="shared" si="2"/>
        <v>119</v>
      </c>
      <c r="L119" s="45" t="s">
        <v>186</v>
      </c>
      <c r="M119" s="54" t="s">
        <v>152</v>
      </c>
      <c r="N119" s="2">
        <f ca="1">ATAN($N$118)</f>
        <v>3.1557430117010586E-2</v>
      </c>
    </row>
    <row r="120" spans="11:14" x14ac:dyDescent="0.4">
      <c r="K120" s="3">
        <f>ROW(K120)</f>
        <v>120</v>
      </c>
      <c r="L120" s="45" t="s">
        <v>188</v>
      </c>
      <c r="M120" s="54" t="s">
        <v>156</v>
      </c>
      <c r="N120" s="2">
        <f>IF(MOD($C$25, 2)=0, $C$23, $C$24)</f>
        <v>102</v>
      </c>
    </row>
    <row r="121" spans="11:14" x14ac:dyDescent="0.4">
      <c r="K121" s="3">
        <f t="shared" si="2"/>
        <v>121</v>
      </c>
      <c r="L121" s="45" t="s">
        <v>187</v>
      </c>
      <c r="M121" s="54" t="s">
        <v>155</v>
      </c>
      <c r="N121" s="2">
        <f>IF(MOD($C$25, 2)=0, $C$24, $C$23)</f>
        <v>85</v>
      </c>
    </row>
    <row r="122" spans="11:14" x14ac:dyDescent="0.4">
      <c r="K122" s="3">
        <f t="shared" si="2"/>
        <v>122</v>
      </c>
      <c r="L122" s="45" t="s">
        <v>319</v>
      </c>
      <c r="M122" s="54" t="s">
        <v>198</v>
      </c>
      <c r="N122" s="2">
        <f ca="1">$H$70/2-$H$60-$N$120/2</f>
        <v>21.495936780292737</v>
      </c>
    </row>
    <row r="123" spans="11:14" x14ac:dyDescent="0.4">
      <c r="K123" s="3">
        <f t="shared" si="2"/>
        <v>123</v>
      </c>
      <c r="L123" s="45" t="s">
        <v>320</v>
      </c>
      <c r="M123" s="54" t="s">
        <v>199</v>
      </c>
      <c r="N123" s="2">
        <f ca="1">$H$70/2-$H$61-$N$121/2</f>
        <v>29.502662230977563</v>
      </c>
    </row>
    <row r="124" spans="11:14" x14ac:dyDescent="0.4">
      <c r="K124" s="3">
        <f t="shared" si="2"/>
        <v>124</v>
      </c>
      <c r="L124" s="45" t="s">
        <v>324</v>
      </c>
      <c r="M124" s="54" t="str">
        <f>IF($C$25&gt;=3,"λj ≦ q &lt; λj+1 の wBj", "-")</f>
        <v>λj ≦ q &lt; λj+1 の wBj</v>
      </c>
      <c r="N124" s="44">
        <f ca="1">IF($C$25&gt;=3, INDEX(INDIRECT($H$52&amp;"!C:C"), MATCH($N$50, INDIRECT($H$52&amp;"!A:A"), 0)),"-")</f>
        <v>154.501</v>
      </c>
    </row>
    <row r="125" spans="11:14" x14ac:dyDescent="0.4">
      <c r="K125" s="3">
        <f t="shared" si="2"/>
        <v>125</v>
      </c>
      <c r="L125" s="45" t="s">
        <v>325</v>
      </c>
      <c r="M125" s="54" t="str">
        <f>IF($C$25&gt;=4,"λj ≦ q+pz &lt; λj+1 の wBj", "-")</f>
        <v>λj ≦ q+pz &lt; λj+1 の wBj</v>
      </c>
      <c r="N125" s="44">
        <f ca="1">IF($C$25&gt;=4, INDEX(INDIRECT($H$52&amp;"!C:C"), MATCH($N$51, INDIRECT($H$52&amp;"!A:A"), 0)),"-")</f>
        <v>154.38900000000001</v>
      </c>
    </row>
    <row r="126" spans="11:14" x14ac:dyDescent="0.4">
      <c r="K126" s="3">
        <f t="shared" si="2"/>
        <v>126</v>
      </c>
      <c r="L126" s="45" t="s">
        <v>326</v>
      </c>
      <c r="M126" s="54" t="str">
        <f>IF($C$25&gt;=5,"λj ≦ q+2pz &lt; λj+1 の wBj", "-")</f>
        <v>λj ≦ q+2pz &lt; λj+1 の wBj</v>
      </c>
      <c r="N126" s="44">
        <f ca="1">IF($C$25&gt;=5, INDEX(INDIRECT($H$52&amp;"!C:C"), MATCH($N$52, INDIRECT($H$52&amp;"!A:A"), 0)),"-")</f>
        <v>154.27600000000001</v>
      </c>
    </row>
    <row r="127" spans="11:14" x14ac:dyDescent="0.4">
      <c r="K127" s="3">
        <f t="shared" si="2"/>
        <v>127</v>
      </c>
      <c r="L127" s="45" t="s">
        <v>327</v>
      </c>
      <c r="M127" s="54" t="str">
        <f>IF($C$25&gt;=6,"λj ≦ q+3pz &lt; λj+1 の wBj", "-")</f>
        <v>λj ≦ q+3pz &lt; λj+1 の wBj</v>
      </c>
      <c r="N127" s="44">
        <f ca="1">IF($C$25&gt;=6, INDEX(INDIRECT($H$52&amp;"!C:C"), MATCH($N$53, INDIRECT($H$52&amp;"!A:A"), 0)),"-")</f>
        <v>154.16399999999999</v>
      </c>
    </row>
    <row r="128" spans="11:14" x14ac:dyDescent="0.4">
      <c r="K128" s="3">
        <f t="shared" si="2"/>
        <v>128</v>
      </c>
      <c r="L128" s="45" t="s">
        <v>328</v>
      </c>
      <c r="M128" s="54" t="str">
        <f>IF($C$25&gt;=7,"λj ≦ q+4pz &lt; λj+1 の wBj", "-")</f>
        <v>-</v>
      </c>
      <c r="N128" s="44" t="str">
        <f ca="1">IF($C$25&gt;=7, INDEX(INDIRECT($H$52&amp;"!C:C"), MATCH($N$54, INDIRECT($H$52&amp;"!A:A"), 0)),"-")</f>
        <v>-</v>
      </c>
    </row>
    <row r="129" spans="11:14" x14ac:dyDescent="0.4">
      <c r="K129" s="3">
        <f t="shared" si="2"/>
        <v>129</v>
      </c>
      <c r="L129" s="45" t="s">
        <v>329</v>
      </c>
      <c r="M129" s="54" t="str">
        <f>IF($C$25&gt;=8,"λj ≦ q+5pz &lt; λj+1 の wBj", "-")</f>
        <v>-</v>
      </c>
      <c r="N129" s="44" t="str">
        <f ca="1">IF($C$25&gt;=8, INDEX(INDIRECT($H$52&amp;"!C:C"), MATCH($N$55, INDIRECT($H$52&amp;"!A:A"), 0)),"-")</f>
        <v>-</v>
      </c>
    </row>
    <row r="130" spans="11:14" x14ac:dyDescent="0.4">
      <c r="K130" s="3">
        <f t="shared" si="2"/>
        <v>130</v>
      </c>
      <c r="L130" s="45" t="s">
        <v>330</v>
      </c>
      <c r="M130" s="54" t="s">
        <v>340</v>
      </c>
      <c r="N130" s="44">
        <f ca="1">INDEX(INDIRECT($H$52&amp;"!C:C"), MATCH($N$56, INDIRECT($H$52&amp;"!A:A"), 0))</f>
        <v>154.16399999999999</v>
      </c>
    </row>
    <row r="131" spans="11:14" x14ac:dyDescent="0.4">
      <c r="K131" s="3">
        <f t="shared" si="2"/>
        <v>131</v>
      </c>
      <c r="L131" s="45" t="s">
        <v>331</v>
      </c>
      <c r="M131" s="54" t="s">
        <v>341</v>
      </c>
      <c r="N131" s="44">
        <f ca="1">INDEX(INDIRECT($H$52&amp;"!C:C"), MATCH($N$57, INDIRECT($H$52&amp;"!A:A"), 0))</f>
        <v>154.06299999999999</v>
      </c>
    </row>
    <row r="132" spans="11:14" x14ac:dyDescent="0.4">
      <c r="K132" s="3">
        <f t="shared" si="2"/>
        <v>132</v>
      </c>
      <c r="L132" s="45" t="s">
        <v>332</v>
      </c>
      <c r="M132" s="54" t="str">
        <f>IF($C$25&gt;=3,"λj ≦ q &lt; λj+1 の wBj+1", "-")</f>
        <v>λj ≦ q &lt; λj+1 の wBj+1</v>
      </c>
      <c r="N132" s="44">
        <f ca="1">IF($C$25&gt;=3, INDEX(INDIRECT($H$52&amp;"!C:C"), MATCH($N$58, INDIRECT($H$52&amp;"!A:A"), 0)),"-")</f>
        <v>154.38900000000001</v>
      </c>
    </row>
    <row r="133" spans="11:14" x14ac:dyDescent="0.4">
      <c r="K133" s="3">
        <f t="shared" si="2"/>
        <v>133</v>
      </c>
      <c r="L133" s="45" t="s">
        <v>333</v>
      </c>
      <c r="M133" s="54" t="str">
        <f>IF($C$25&gt;=4,"λj ≦ q+pz &lt; λj+1 の wBj+1", "-")</f>
        <v>λj ≦ q+pz &lt; λj+1 の wBj+1</v>
      </c>
      <c r="N133" s="44">
        <f ca="1">IF($C$25&gt;=4, INDEX(INDIRECT($H$52&amp;"!C:C"), MATCH($N$59, INDIRECT($H$52&amp;"!A:A"), 0)),"-")</f>
        <v>154.27600000000001</v>
      </c>
    </row>
    <row r="134" spans="11:14" x14ac:dyDescent="0.4">
      <c r="K134" s="3">
        <f t="shared" si="2"/>
        <v>134</v>
      </c>
      <c r="L134" s="45" t="s">
        <v>334</v>
      </c>
      <c r="M134" s="54" t="str">
        <f>IF($C$25&gt;=5,"λj ≦ q+2pz &lt; λj+1 の wBj+1", "-")</f>
        <v>λj ≦ q+2pz &lt; λj+1 の wBj+1</v>
      </c>
      <c r="N134" s="44">
        <f ca="1">IF($C$25&gt;=5, INDEX(INDIRECT($H$52&amp;"!C:C"), MATCH($N$60, INDIRECT($H$52&amp;"!A:A"), 0)),"-")</f>
        <v>154.16399999999999</v>
      </c>
    </row>
    <row r="135" spans="11:14" x14ac:dyDescent="0.4">
      <c r="K135" s="3">
        <f t="shared" si="2"/>
        <v>135</v>
      </c>
      <c r="L135" s="45" t="s">
        <v>335</v>
      </c>
      <c r="M135" s="54" t="str">
        <f>IF($C$25&gt;=6,"λj ≦ q+3pz &lt; λj+1 の wBj+1", "-")</f>
        <v>λj ≦ q+3pz &lt; λj+1 の wBj+1</v>
      </c>
      <c r="N135" s="44">
        <f ca="1">IF($C$25&gt;=6, INDEX(INDIRECT($H$52&amp;"!C:C"), MATCH($N$61, INDIRECT($H$52&amp;"!A:A"), 0)),"-")</f>
        <v>154.06299999999999</v>
      </c>
    </row>
    <row r="136" spans="11:14" x14ac:dyDescent="0.4">
      <c r="K136" s="3">
        <f t="shared" si="2"/>
        <v>136</v>
      </c>
      <c r="L136" s="45" t="s">
        <v>336</v>
      </c>
      <c r="M136" s="54" t="str">
        <f>IF($C$25&gt;=7,"λj ≦ q+4pz &lt; λj+1 の wBj+1", "-")</f>
        <v>-</v>
      </c>
      <c r="N136" s="44" t="str">
        <f ca="1">IF($C$25&gt;=7, INDEX(INDIRECT($H$52&amp;"!C:C"), MATCH($N$62, INDIRECT($H$52&amp;"!A:A"), 0)),"-")</f>
        <v>-</v>
      </c>
    </row>
    <row r="137" spans="11:14" x14ac:dyDescent="0.4">
      <c r="K137" s="3">
        <f t="shared" si="2"/>
        <v>137</v>
      </c>
      <c r="L137" s="45" t="s">
        <v>337</v>
      </c>
      <c r="M137" s="54" t="str">
        <f>IF($C$25&gt;=8,"λj ≦ q+5pz &lt; λj+1 の wBj+1", "-")</f>
        <v>-</v>
      </c>
      <c r="N137" s="44" t="str">
        <f ca="1">IF($C$25&gt;=8, INDEX(INDIRECT($H$52&amp;"!C:C"), MATCH($N$63, INDIRECT($H$52&amp;"!A:A"), 0)),"-")</f>
        <v>-</v>
      </c>
    </row>
    <row r="138" spans="11:14" x14ac:dyDescent="0.4">
      <c r="K138" s="3">
        <f t="shared" si="2"/>
        <v>138</v>
      </c>
      <c r="L138" s="45" t="s">
        <v>338</v>
      </c>
      <c r="M138" s="54" t="s">
        <v>342</v>
      </c>
      <c r="N138" s="2">
        <f ca="1">INDEX(INDIRECT($H$52&amp;"!C:C"), MATCH($N$64, INDIRECT($H$52&amp;"!A:A"), 0))</f>
        <v>154.06299999999999</v>
      </c>
    </row>
    <row r="139" spans="11:14" x14ac:dyDescent="0.4">
      <c r="K139" s="3">
        <f t="shared" si="2"/>
        <v>139</v>
      </c>
      <c r="L139" s="45" t="s">
        <v>339</v>
      </c>
      <c r="M139" s="54" t="s">
        <v>343</v>
      </c>
      <c r="N139" s="2">
        <f ca="1">INDEX(INDIRECT($H$52&amp;"!C:C"), MATCH($N$65, INDIRECT($H$52&amp;"!A:A"), 0))</f>
        <v>153.97200000000001</v>
      </c>
    </row>
    <row r="140" spans="11:14" x14ac:dyDescent="0.4">
      <c r="K140" s="3">
        <f t="shared" si="2"/>
        <v>140</v>
      </c>
      <c r="L140" s="45" t="s">
        <v>360</v>
      </c>
      <c r="M140" s="55" t="str">
        <f>IF($C$25&gt;=4,"2列目AC内径（水平・めっき含・概算）","-")</f>
        <v>2列目AC内径（水平・めっき含・概算）</v>
      </c>
      <c r="N140" s="44">
        <f ca="1">IF($C$25&gt;=4,($N$67*$N$99+$N$75*$N$91)/($N$59-$N$51)+$C$31*2,"-")</f>
        <v>156.50139999999999</v>
      </c>
    </row>
    <row r="141" spans="11:14" x14ac:dyDescent="0.4">
      <c r="K141" s="3">
        <f t="shared" si="2"/>
        <v>141</v>
      </c>
      <c r="L141" s="45" t="s">
        <v>361</v>
      </c>
      <c r="M141" s="55" t="str">
        <f>IF($C$25&gt;=5,"3列目AC内径（水平・めっき含・概算）","-")</f>
        <v>3列目AC内径（水平・めっき含・概算）</v>
      </c>
      <c r="N141" s="44">
        <f ca="1">IF($C$25&gt;=5,($N$68*$N$100+$N$76*$N$92)/($N$60-$N$52)+$C$31*2,"-")</f>
        <v>156.4102</v>
      </c>
    </row>
    <row r="142" spans="11:14" x14ac:dyDescent="0.4">
      <c r="K142" s="3">
        <f t="shared" si="2"/>
        <v>142</v>
      </c>
      <c r="L142" s="45" t="s">
        <v>362</v>
      </c>
      <c r="M142" s="55" t="str">
        <f>IF($C$25&gt;=6,"4列目AC内径（水平・めっき含・概算）","-")</f>
        <v>4列目AC内径（水平・めっき含・概算）</v>
      </c>
      <c r="N142" s="44">
        <f ca="1">IF($C$25&gt;=6,($N$69*$N$101+$N$77*$N$93)/($N$61-$N$53)+$C$31*2,"-")</f>
        <v>156.31899999999999</v>
      </c>
    </row>
    <row r="143" spans="11:14" x14ac:dyDescent="0.4">
      <c r="K143" s="3">
        <f t="shared" si="2"/>
        <v>143</v>
      </c>
      <c r="L143" s="45" t="s">
        <v>363</v>
      </c>
      <c r="M143" s="55" t="str">
        <f>IF($C$25&gt;=7,"5列目AC内径（水平・めっき含・概算）","-")</f>
        <v>-</v>
      </c>
      <c r="N143" s="44" t="str">
        <f>IF($C$25&gt;=7,($N$70*$N$102+$N$78*$N$94)/($N$62-$N$54)+$C$31*2,"-")</f>
        <v>-</v>
      </c>
    </row>
    <row r="144" spans="11:14" x14ac:dyDescent="0.4">
      <c r="K144" s="3">
        <f t="shared" si="2"/>
        <v>144</v>
      </c>
      <c r="L144" s="45" t="s">
        <v>364</v>
      </c>
      <c r="M144" s="55" t="str">
        <f>IF($C$25&gt;=8,"6列目AC内径（水平・めっき含・概算）","-")</f>
        <v>-</v>
      </c>
      <c r="N144" s="44" t="str">
        <f>IF($C$25&gt;=8,($N$71*$N$103+$N$79*$N$95)/($N$63-$N$55)+$C$31*2,"-")</f>
        <v>-</v>
      </c>
    </row>
    <row r="145" spans="11:14" x14ac:dyDescent="0.4">
      <c r="K145" s="3">
        <f t="shared" si="2"/>
        <v>145</v>
      </c>
      <c r="L145" s="45" t="s">
        <v>365</v>
      </c>
      <c r="M145" s="55" t="s">
        <v>350</v>
      </c>
      <c r="N145" s="2">
        <f ca="1">($N$72*$N$104+$N$80*$N$96)/($N$64-$N$56)+$C$31*2</f>
        <v>156.23739999999998</v>
      </c>
    </row>
    <row r="146" spans="11:14" x14ac:dyDescent="0.4">
      <c r="K146" s="3">
        <f t="shared" si="2"/>
        <v>146</v>
      </c>
      <c r="L146" s="45" t="s">
        <v>306</v>
      </c>
      <c r="M146" s="55" t="s">
        <v>352</v>
      </c>
      <c r="N146" s="2">
        <f ca="1">INDEX(INDIRECT($H$52&amp;"!C:C"), MATCH(0, INDIRECT($H$52&amp;"!A:A"), 0))+$C$31*2</f>
        <v>154.97899999999998</v>
      </c>
    </row>
    <row r="147" spans="11:14" x14ac:dyDescent="0.4">
      <c r="K147" s="3">
        <f t="shared" si="2"/>
        <v>147</v>
      </c>
      <c r="L147" s="45" t="s">
        <v>349</v>
      </c>
      <c r="M147" s="55" t="str">
        <f>IF($C$25&gt;=3,"1列目 BD内径（めっき含・概算）","-")</f>
        <v>1列目 BD内径（めっき含・概算）</v>
      </c>
      <c r="N147" s="44">
        <f ca="1">IF($C$25&gt;=3,($N$66*$N$132+$N$74*$N$124)/($N$58-$N$50)+$C$31*2,"-")</f>
        <v>154.57380000000001</v>
      </c>
    </row>
    <row r="148" spans="11:14" x14ac:dyDescent="0.4">
      <c r="K148" s="3">
        <f t="shared" si="2"/>
        <v>148</v>
      </c>
      <c r="L148" s="45" t="s">
        <v>354</v>
      </c>
      <c r="M148" s="55" t="str">
        <f>IF($C$25&gt;=4,"2列目 BD内径（めっき含・概算）","-")</f>
        <v>2列目 BD内径（めっき含・概算）</v>
      </c>
      <c r="N148" s="44">
        <f ca="1">IF($C$25&gt;=4,($N$67*$N$133+$N$75*$N$125)/($N$59-$N$51)+$C$31*2,"-")</f>
        <v>154.4838</v>
      </c>
    </row>
    <row r="149" spans="11:14" x14ac:dyDescent="0.4">
      <c r="K149" s="3">
        <f t="shared" si="2"/>
        <v>149</v>
      </c>
      <c r="L149" s="45" t="s">
        <v>355</v>
      </c>
      <c r="M149" s="55" t="str">
        <f>IF($C$25&gt;=5,"3列目 BD内径（めっき含・概算）","-")</f>
        <v>3列目 BD内径（めっき含・概算）</v>
      </c>
      <c r="N149" s="44">
        <f ca="1">IF($C$25&gt;=5,($N$68*$N$134+$N$76*$N$126)/($N$60-$N$52)+$C$31*2,"-")</f>
        <v>154.39359999999999</v>
      </c>
    </row>
    <row r="150" spans="11:14" x14ac:dyDescent="0.4">
      <c r="K150" s="3">
        <f t="shared" si="2"/>
        <v>150</v>
      </c>
      <c r="L150" s="45" t="s">
        <v>356</v>
      </c>
      <c r="M150" s="55" t="str">
        <f>IF($C$25&gt;=6,"4列目 BD内径（めっき含・概算）","-")</f>
        <v>4列目 BD内径（めっき含・概算）</v>
      </c>
      <c r="N150" s="44">
        <f ca="1">IF($C$25&gt;=6,($N$69*$N$135+$N$77*$N$127)/($N$61-$N$53)+$C$31*2,"-")</f>
        <v>154.30399999999997</v>
      </c>
    </row>
    <row r="151" spans="11:14" x14ac:dyDescent="0.4">
      <c r="K151" s="3">
        <f t="shared" si="2"/>
        <v>151</v>
      </c>
      <c r="L151" s="45" t="s">
        <v>357</v>
      </c>
      <c r="M151" s="55" t="str">
        <f>IF($C$25&gt;=7,"5列目 BD内径（めっき含・概算）","-")</f>
        <v>-</v>
      </c>
      <c r="N151" s="44" t="str">
        <f>IF($C$25&gt;=7,($N$70*$N$136+$N$78*$N$128)/($N$62-$N$54)+$C$31*2,"-")</f>
        <v>-</v>
      </c>
    </row>
    <row r="152" spans="11:14" x14ac:dyDescent="0.4">
      <c r="K152" s="3">
        <f t="shared" si="2"/>
        <v>152</v>
      </c>
      <c r="L152" s="45" t="s">
        <v>358</v>
      </c>
      <c r="M152" s="55" t="str">
        <f>IF($C$25&gt;=8,"6列目 BD内径（めっき含・概算）","-")</f>
        <v>-</v>
      </c>
      <c r="N152" s="44" t="str">
        <f>IF($C$25&gt;=8,($N$71*$N$137+$N$79*$N$129)/($N$63-$N$55)+$C$31*2,"-")</f>
        <v>-</v>
      </c>
    </row>
    <row r="153" spans="11:14" x14ac:dyDescent="0.4">
      <c r="K153" s="3">
        <f t="shared" si="2"/>
        <v>153</v>
      </c>
      <c r="L153" s="45" t="s">
        <v>359</v>
      </c>
      <c r="M153" s="55" t="s">
        <v>353</v>
      </c>
      <c r="N153" s="2">
        <f ca="1">($N$72*$N$138+$N$80*$N$130)/($N$64-$N$56)+$C$31*2</f>
        <v>154.22319999999999</v>
      </c>
    </row>
    <row r="154" spans="11:14" x14ac:dyDescent="0.4">
      <c r="K154" s="3">
        <f t="shared" si="2"/>
        <v>154</v>
      </c>
    </row>
    <row r="155" spans="11:14" x14ac:dyDescent="0.4">
      <c r="K155" s="3">
        <f t="shared" si="2"/>
        <v>155</v>
      </c>
    </row>
    <row r="156" spans="11:14" x14ac:dyDescent="0.4">
      <c r="K156" s="3">
        <f t="shared" si="2"/>
        <v>156</v>
      </c>
    </row>
    <row r="157" spans="11:14" x14ac:dyDescent="0.4">
      <c r="K157" s="3">
        <f t="shared" si="2"/>
        <v>157</v>
      </c>
      <c r="L157" s="45" t="s">
        <v>189</v>
      </c>
      <c r="N157" s="2">
        <f>C6^2+(2*N9)^2</f>
        <v>384450.50566139817</v>
      </c>
    </row>
    <row r="158" spans="11:14" x14ac:dyDescent="0.4">
      <c r="K158" s="3">
        <f t="shared" si="2"/>
        <v>158</v>
      </c>
      <c r="L158" s="45" t="s">
        <v>190</v>
      </c>
      <c r="M158" s="54" t="s">
        <v>29</v>
      </c>
      <c r="N158" s="2">
        <f>SQRT(N157)</f>
        <v>620.04072903430961</v>
      </c>
    </row>
    <row r="159" spans="11:14" x14ac:dyDescent="0.4">
      <c r="K159" s="3">
        <f t="shared" si="2"/>
        <v>159</v>
      </c>
      <c r="L159" s="45" t="s">
        <v>64</v>
      </c>
      <c r="M159" s="54" t="s">
        <v>30</v>
      </c>
      <c r="N159" s="2">
        <f>2*N9/N158</f>
        <v>0.99993431232433228</v>
      </c>
    </row>
    <row r="160" spans="11:14" x14ac:dyDescent="0.4">
      <c r="K160" s="3">
        <f t="shared" si="2"/>
        <v>160</v>
      </c>
      <c r="L160" s="45" t="s">
        <v>65</v>
      </c>
      <c r="M160" s="54" t="s">
        <v>31</v>
      </c>
      <c r="N160" s="2">
        <f>C6/N158</f>
        <v>1.1461720484501746E-2</v>
      </c>
    </row>
    <row r="161" spans="11:14" x14ac:dyDescent="0.4">
      <c r="K161" s="3">
        <f t="shared" si="2"/>
        <v>161</v>
      </c>
      <c r="L161" s="45" t="s">
        <v>191</v>
      </c>
      <c r="N161" s="2">
        <f>SQRT(N8^2-(N9-N12)^2)</f>
        <v>8727.6739192066525</v>
      </c>
    </row>
    <row r="162" spans="11:14" x14ac:dyDescent="0.4">
      <c r="K162" s="3">
        <f t="shared" si="2"/>
        <v>162</v>
      </c>
      <c r="L162" s="45" t="s">
        <v>192</v>
      </c>
      <c r="N162" s="2">
        <f>SQRT(N8^2-(N9+N12)^2)</f>
        <v>8720.5671856823628</v>
      </c>
    </row>
    <row r="163" spans="11:14" x14ac:dyDescent="0.4">
      <c r="K163" s="3">
        <f t="shared" si="2"/>
        <v>163</v>
      </c>
      <c r="L163" s="45" t="s">
        <v>193</v>
      </c>
      <c r="N163" s="2">
        <f>N12*N9</f>
        <v>31000</v>
      </c>
    </row>
    <row r="164" spans="11:14" x14ac:dyDescent="0.4">
      <c r="K164" s="3">
        <f t="shared" si="2"/>
        <v>164</v>
      </c>
      <c r="L164" s="45" t="s">
        <v>194</v>
      </c>
      <c r="N164" s="2">
        <f>SQRT(N8^2-N157/4)</f>
        <v>8724.693657291622</v>
      </c>
    </row>
    <row r="165" spans="11:14" x14ac:dyDescent="0.4">
      <c r="K165" s="3">
        <f t="shared" si="2"/>
        <v>165</v>
      </c>
      <c r="L165" s="45" t="s">
        <v>75</v>
      </c>
      <c r="N165" s="2">
        <f>N164*N159</f>
        <v>8724.1205524443612</v>
      </c>
    </row>
    <row r="166" spans="11:14" x14ac:dyDescent="0.4">
      <c r="K166" s="3">
        <f t="shared" si="2"/>
        <v>166</v>
      </c>
      <c r="L166" s="45" t="s">
        <v>76</v>
      </c>
      <c r="M166" s="54" t="s">
        <v>27</v>
      </c>
      <c r="N166" s="2">
        <f>N164*N160</f>
        <v>100.00000001278184</v>
      </c>
    </row>
    <row r="167" spans="11:14" x14ac:dyDescent="0.4">
      <c r="K167" s="3">
        <f t="shared" ref="K167" si="4">ROW(K167)</f>
        <v>167</v>
      </c>
      <c r="L167" s="45" t="s">
        <v>42</v>
      </c>
      <c r="M167" s="54" t="s">
        <v>26</v>
      </c>
      <c r="N167" s="2">
        <f>C6/2+N7-N165</f>
        <v>4.12719521204599</v>
      </c>
    </row>
    <row r="182" spans="12:14" x14ac:dyDescent="0.4">
      <c r="L182" s="54"/>
      <c r="M182" s="55"/>
      <c r="N182" s="1"/>
    </row>
  </sheetData>
  <phoneticPr fontId="1"/>
  <conditionalFormatting sqref="C3">
    <cfRule type="expression" dxfId="79" priority="124">
      <formula>$C$3&gt;2*N163</formula>
    </cfRule>
  </conditionalFormatting>
  <conditionalFormatting sqref="C4">
    <cfRule type="expression" dxfId="78" priority="44">
      <formula>C4&lt;0</formula>
    </cfRule>
  </conditionalFormatting>
  <conditionalFormatting sqref="C6">
    <cfRule type="expression" dxfId="77" priority="20">
      <formula>$C$6&lt;0</formula>
    </cfRule>
  </conditionalFormatting>
  <conditionalFormatting sqref="C9">
    <cfRule type="expression" dxfId="76" priority="48">
      <formula>$C$9&lt;=0</formula>
    </cfRule>
  </conditionalFormatting>
  <conditionalFormatting sqref="C10:C11">
    <cfRule type="expression" dxfId="75" priority="21">
      <formula>$C$10&lt;0</formula>
    </cfRule>
  </conditionalFormatting>
  <conditionalFormatting sqref="C15">
    <cfRule type="expression" dxfId="74" priority="99">
      <formula>OR(C15&lt;=0, C15&gt;Q2)</formula>
    </cfRule>
  </conditionalFormatting>
  <conditionalFormatting sqref="C35">
    <cfRule type="expression" dxfId="73" priority="43">
      <formula>C35&lt;0</formula>
    </cfRule>
  </conditionalFormatting>
  <conditionalFormatting sqref="C36">
    <cfRule type="expression" dxfId="72" priority="58">
      <formula>OR($C$36&lt;0, $C$36&gt;=$C$9)</formula>
    </cfRule>
  </conditionalFormatting>
  <conditionalFormatting sqref="C37">
    <cfRule type="expression" dxfId="71" priority="17">
      <formula>OR($C$37&lt;0, $C$37&gt;=$C$10)</formula>
    </cfRule>
  </conditionalFormatting>
  <conditionalFormatting sqref="C38">
    <cfRule type="expression" dxfId="70" priority="121">
      <formula>OR(C38&lt;0, C38&gt;=C9)</formula>
    </cfRule>
  </conditionalFormatting>
  <conditionalFormatting sqref="C41">
    <cfRule type="expression" dxfId="69" priority="128">
      <formula>OR(C41&lt;0, C41&gt;=C4)</formula>
    </cfRule>
  </conditionalFormatting>
  <conditionalFormatting sqref="C44">
    <cfRule type="expression" dxfId="68" priority="129">
      <formula>OR(C44&lt;0, C44&gt;=C4)</formula>
    </cfRule>
  </conditionalFormatting>
  <conditionalFormatting sqref="C61">
    <cfRule type="expression" dxfId="67" priority="52">
      <formula>AND(C61&lt;&gt;330, C61&lt;&gt;270, C61&lt;&gt;250)</formula>
    </cfRule>
  </conditionalFormatting>
  <conditionalFormatting sqref="C62">
    <cfRule type="expression" dxfId="66" priority="51">
      <formula>C62&lt;&gt;40</formula>
    </cfRule>
  </conditionalFormatting>
  <conditionalFormatting sqref="C65">
    <cfRule type="expression" dxfId="65" priority="28">
      <formula>OR(C65&gt;0, ABS(ABS(C65)-740)&gt;=1)</formula>
    </cfRule>
  </conditionalFormatting>
  <conditionalFormatting sqref="C66">
    <cfRule type="expression" dxfId="64" priority="41">
      <formula>OR(C66&gt;0, ABS(ABS(C66)-550)&gt;=1)</formula>
    </cfRule>
  </conditionalFormatting>
  <conditionalFormatting sqref="C67">
    <cfRule type="expression" dxfId="63" priority="34">
      <formula>OR(C67&gt;0, ABS(ABS(C67)-1150)&gt;=1)</formula>
    </cfRule>
  </conditionalFormatting>
  <conditionalFormatting sqref="C68">
    <cfRule type="expression" dxfId="62" priority="40">
      <formula>OR(ABS(C68)&gt;=0.2)</formula>
    </cfRule>
  </conditionalFormatting>
  <conditionalFormatting sqref="H48">
    <cfRule type="expression" dxfId="61" priority="24">
      <formula>OR($H$48&lt;=1, INT($H$48)&lt;&gt;$H$48)</formula>
    </cfRule>
  </conditionalFormatting>
  <conditionalFormatting sqref="H52">
    <cfRule type="expression" dxfId="60" priority="16">
      <formula>ISERROR(INDIRECT($H$52&amp;"!$G$45"))</formula>
    </cfRule>
  </conditionalFormatting>
  <conditionalFormatting sqref="C25">
    <cfRule type="expression" dxfId="59" priority="237">
      <formula>OR(C25-QUOTIENT(C25,1)&lt;&gt;0, C25&lt;0, C25&gt;$C$71)</formula>
    </cfRule>
  </conditionalFormatting>
  <conditionalFormatting sqref="H50">
    <cfRule type="expression" dxfId="58" priority="12">
      <formula>OR($H$50&lt;1, INT($H$50)&lt;&gt;$H$50)</formula>
    </cfRule>
  </conditionalFormatting>
  <conditionalFormatting sqref="H51">
    <cfRule type="expression" dxfId="57" priority="11">
      <formula>OR($H$51&lt;0, INT($H$51)&lt;&gt;$H$51)</formula>
    </cfRule>
  </conditionalFormatting>
  <conditionalFormatting sqref="C23">
    <cfRule type="expression" dxfId="56" priority="255">
      <formula>OR($C$23&lt;=0, MOD($C$23,$C$22)&lt;&gt;0, $C$23&gt;=#REF!)</formula>
    </cfRule>
  </conditionalFormatting>
  <conditionalFormatting sqref="C26">
    <cfRule type="expression" dxfId="55" priority="263">
      <formula>OR($C$26&lt;=0, $C$26&gt;=MIN($C$23, $C$24))</formula>
    </cfRule>
  </conditionalFormatting>
  <conditionalFormatting sqref="N140:N145">
    <cfRule type="expression" dxfId="54" priority="10">
      <formula>$H$51&lt;0</formula>
    </cfRule>
  </conditionalFormatting>
  <conditionalFormatting sqref="N146:N153">
    <cfRule type="expression" dxfId="53" priority="9">
      <formula>$H$51&lt;0</formula>
    </cfRule>
  </conditionalFormatting>
  <conditionalFormatting sqref="C16">
    <cfRule type="expression" dxfId="52" priority="275">
      <formula>OR(C16&lt;=0, C16+C15&gt;Q2)</formula>
    </cfRule>
  </conditionalFormatting>
  <conditionalFormatting sqref="G1:G1048576">
    <cfRule type="expression" dxfId="51" priority="4">
      <formula>G1="X"</formula>
    </cfRule>
    <cfRule type="expression" dxfId="50" priority="5">
      <formula>G1="Y"</formula>
    </cfRule>
    <cfRule type="expression" dxfId="49" priority="6">
      <formula>G1="Z"</formula>
    </cfRule>
    <cfRule type="expression" dxfId="48" priority="7">
      <formula>G1="B"</formula>
    </cfRule>
  </conditionalFormatting>
  <conditionalFormatting sqref="H81:H96">
    <cfRule type="expression" dxfId="47" priority="3">
      <formula>$H$51&lt;0</formula>
    </cfRule>
  </conditionalFormatting>
  <conditionalFormatting sqref="C17">
    <cfRule type="expression" dxfId="46" priority="279">
      <formula>OR($C$17&lt;=0, $C$17&gt;=($C$9-#REF!)/2, $C$17&gt;=($C$36-#REF!)/2)</formula>
    </cfRule>
  </conditionalFormatting>
  <conditionalFormatting sqref="H77">
    <cfRule type="expression" dxfId="45" priority="280">
      <formula>$H$77&lt;=$C$27/2+$C$28</formula>
    </cfRule>
  </conditionalFormatting>
  <conditionalFormatting sqref="C27">
    <cfRule type="expression" dxfId="44" priority="2">
      <formula>OR($C$27&lt;=0, $C$27&gt;$C$26)</formula>
    </cfRule>
  </conditionalFormatting>
  <conditionalFormatting sqref="H49">
    <cfRule type="expression" dxfId="43" priority="1">
      <formula>OR($H$49&lt;0, INT($H$49)&lt;&gt;$H$49)</formula>
    </cfRule>
  </conditionalFormatting>
  <conditionalFormatting sqref="C13">
    <cfRule type="expression" dxfId="42" priority="285">
      <formula>OR($C$13&gt;=$C$9, $C$13&gt;=$C$42)</formula>
    </cfRule>
  </conditionalFormatting>
  <conditionalFormatting sqref="C14">
    <cfRule type="expression" dxfId="41" priority="286">
      <formula>OR($C$14&gt;=$C$10, $C$14&gt;=$C$42)</formula>
    </cfRule>
  </conditionalFormatting>
  <dataValidations count="1">
    <dataValidation imeMode="disabled" allowBlank="1" showInputMessage="1" showErrorMessage="1" sqref="H79 N140:N153 C49:C52 C55:C58 H54:H72 H81:H96 C3:C32 C60:C71 G1:G1048576" xr:uid="{5A8FA8E9-E7FC-48D2-B40E-E90D3C7D1F03}"/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B1691-9EED-4AA0-BD13-7D19A44326F8}">
  <dimension ref="A1:R183"/>
  <sheetViews>
    <sheetView tabSelected="1" workbookViewId="0">
      <selection activeCell="C5" sqref="C5"/>
    </sheetView>
  </sheetViews>
  <sheetFormatPr defaultRowHeight="14.25" x14ac:dyDescent="0.4"/>
  <cols>
    <col min="1" max="1" width="3.75" style="3" bestFit="1" customWidth="1"/>
    <col min="2" max="2" width="27.75" style="1" bestFit="1" customWidth="1"/>
    <col min="3" max="3" width="9.25" style="5" bestFit="1" customWidth="1"/>
    <col min="4" max="4" width="1.625" style="1" customWidth="1"/>
    <col min="5" max="5" width="4.125" style="3" bestFit="1" customWidth="1"/>
    <col min="6" max="6" width="30.375" style="1" bestFit="1" customWidth="1"/>
    <col min="7" max="7" width="2.375" style="3" bestFit="1" customWidth="1"/>
    <col min="8" max="8" width="10.125" style="3" bestFit="1" customWidth="1"/>
    <col min="9" max="9" width="9.25" style="3" bestFit="1" customWidth="1"/>
    <col min="10" max="10" width="1.625" style="1" customWidth="1"/>
    <col min="11" max="11" width="4.125" style="3" bestFit="1" customWidth="1"/>
    <col min="12" max="12" width="30.625" style="45" customWidth="1"/>
    <col min="13" max="13" width="27.625" style="54" customWidth="1"/>
    <col min="14" max="14" width="10.375" style="2" customWidth="1"/>
    <col min="15" max="15" width="1.625" style="1" hidden="1" customWidth="1"/>
    <col min="16" max="16" width="23.125" style="1" hidden="1" customWidth="1"/>
    <col min="17" max="17" width="11.375" style="1" hidden="1" customWidth="1"/>
    <col min="18" max="18" width="8.375" style="1" hidden="1" customWidth="1"/>
    <col min="19" max="16384" width="9" style="1"/>
  </cols>
  <sheetData>
    <row r="1" spans="1:18" x14ac:dyDescent="0.4">
      <c r="B1" s="4" t="s">
        <v>157</v>
      </c>
      <c r="F1" s="4" t="s">
        <v>115</v>
      </c>
      <c r="G1" s="6"/>
      <c r="P1" s="4" t="s">
        <v>116</v>
      </c>
      <c r="Q1" s="3"/>
      <c r="R1" s="3"/>
    </row>
    <row r="2" spans="1:18" ht="15" thickBot="1" x14ac:dyDescent="0.45">
      <c r="B2" s="7"/>
      <c r="C2" s="8" t="s">
        <v>14</v>
      </c>
      <c r="F2" s="4" t="s">
        <v>110</v>
      </c>
      <c r="G2" s="6"/>
      <c r="H2" s="45" t="s">
        <v>217</v>
      </c>
      <c r="I2" s="3" t="s">
        <v>98</v>
      </c>
      <c r="K2" s="3">
        <f>ROW(K2)</f>
        <v>2</v>
      </c>
      <c r="L2" s="45" t="s">
        <v>372</v>
      </c>
      <c r="M2" s="54" t="s">
        <v>80</v>
      </c>
      <c r="N2" s="2">
        <f>RADIANS($H$7)</f>
        <v>1.1205013797803596E-2</v>
      </c>
      <c r="P2" s="9" t="s">
        <v>58</v>
      </c>
      <c r="Q2" s="10">
        <f>C4+N167</f>
        <v>479.92803488790344</v>
      </c>
      <c r="R2" s="10">
        <f>C67+Q2</f>
        <v>-670.0459651120965</v>
      </c>
    </row>
    <row r="3" spans="1:18" ht="15" thickTop="1" x14ac:dyDescent="0.4">
      <c r="A3" s="3" t="s">
        <v>158</v>
      </c>
      <c r="B3" s="11" t="s">
        <v>5</v>
      </c>
      <c r="C3" s="12">
        <v>8922.7000000000007</v>
      </c>
      <c r="E3" s="3" t="s">
        <v>229</v>
      </c>
      <c r="F3" s="9" t="s">
        <v>377</v>
      </c>
      <c r="G3" s="13" t="s">
        <v>123</v>
      </c>
      <c r="H3" s="30">
        <f>$C$4+$N$13*$N$5</f>
        <v>480.0159494817317</v>
      </c>
      <c r="I3" s="30">
        <f>$C$67+H3</f>
        <v>-669.95805051826824</v>
      </c>
      <c r="K3" s="3">
        <f t="shared" ref="K3:K76" si="0">ROW(K3)</f>
        <v>3</v>
      </c>
      <c r="L3" s="45" t="s">
        <v>373</v>
      </c>
      <c r="M3" s="54" t="s">
        <v>81</v>
      </c>
      <c r="N3" s="2">
        <f>ASIN($N$14)</f>
        <v>1.1203226866402047E-2</v>
      </c>
      <c r="P3" s="9" t="s">
        <v>59</v>
      </c>
      <c r="Q3" s="10">
        <f>C4+C5-Q2</f>
        <v>480.07196511209656</v>
      </c>
      <c r="R3" s="10">
        <f>C67+Q3</f>
        <v>-669.90203488790337</v>
      </c>
    </row>
    <row r="4" spans="1:18" x14ac:dyDescent="0.4">
      <c r="A4" s="3" t="s">
        <v>159</v>
      </c>
      <c r="B4" s="14" t="s">
        <v>7</v>
      </c>
      <c r="C4" s="15">
        <v>380</v>
      </c>
      <c r="E4" s="3" t="s">
        <v>230</v>
      </c>
      <c r="F4" s="9" t="s">
        <v>378</v>
      </c>
      <c r="G4" s="13" t="s">
        <v>123</v>
      </c>
      <c r="H4" s="30">
        <f>$C$4+$C$5-$H$3</f>
        <v>479.9840505182683</v>
      </c>
      <c r="I4" s="30">
        <f>$C$67+H4</f>
        <v>-669.98994948173163</v>
      </c>
      <c r="K4" s="3">
        <f t="shared" si="0"/>
        <v>4</v>
      </c>
      <c r="L4" s="45" t="s">
        <v>374</v>
      </c>
      <c r="M4" s="54" t="s">
        <v>231</v>
      </c>
      <c r="N4" s="2">
        <f>DEGREES($N$3)</f>
        <v>0.64189761637241194</v>
      </c>
      <c r="P4" s="9" t="s">
        <v>60</v>
      </c>
      <c r="Q4" s="10">
        <f>Q2-C61</f>
        <v>149.70503488790342</v>
      </c>
    </row>
    <row r="5" spans="1:18" x14ac:dyDescent="0.4">
      <c r="A5" s="3" t="s">
        <v>160</v>
      </c>
      <c r="B5" s="14" t="s">
        <v>8</v>
      </c>
      <c r="C5" s="15">
        <v>580</v>
      </c>
      <c r="D5" s="2"/>
      <c r="F5" s="9" t="s">
        <v>379</v>
      </c>
      <c r="G5" s="13" t="s">
        <v>123</v>
      </c>
      <c r="H5" s="30">
        <f>$H$3-$C$61</f>
        <v>149.79294948173168</v>
      </c>
      <c r="K5" s="3">
        <f t="shared" si="0"/>
        <v>5</v>
      </c>
      <c r="L5" s="45" t="s">
        <v>82</v>
      </c>
      <c r="N5" s="2">
        <f>SIN($N$2)</f>
        <v>1.120477933000264E-2</v>
      </c>
      <c r="P5" s="9" t="s">
        <v>61</v>
      </c>
      <c r="Q5" s="10">
        <f>Q3-C61</f>
        <v>149.84896511209655</v>
      </c>
    </row>
    <row r="6" spans="1:18" x14ac:dyDescent="0.4">
      <c r="B6" s="14" t="s">
        <v>13</v>
      </c>
      <c r="C6" s="19">
        <v>7.1067335251979431</v>
      </c>
      <c r="D6" s="16"/>
      <c r="F6" s="9" t="s">
        <v>380</v>
      </c>
      <c r="G6" s="13" t="s">
        <v>123</v>
      </c>
      <c r="H6" s="50">
        <f>$H$4-$C$61</f>
        <v>149.76105051826829</v>
      </c>
      <c r="K6" s="3">
        <f t="shared" si="0"/>
        <v>6</v>
      </c>
      <c r="L6" s="45" t="s">
        <v>84</v>
      </c>
      <c r="N6" s="2">
        <f>COS($N$2)</f>
        <v>0.99993722448970057</v>
      </c>
      <c r="P6" s="17" t="s">
        <v>28</v>
      </c>
      <c r="Q6" s="18">
        <f>N162-N163</f>
        <v>7.1118522502201813</v>
      </c>
    </row>
    <row r="7" spans="1:18" x14ac:dyDescent="0.4">
      <c r="B7" s="21"/>
      <c r="C7" s="22"/>
      <c r="E7" s="3" t="s">
        <v>79</v>
      </c>
      <c r="F7" s="17" t="s">
        <v>375</v>
      </c>
      <c r="G7" s="20" t="s">
        <v>124</v>
      </c>
      <c r="H7" s="30">
        <f>ROUND($N$4,3)</f>
        <v>0.64200000000000002</v>
      </c>
      <c r="I7" s="30">
        <f>-$C$68+$H$7</f>
        <v>0.56900000000000006</v>
      </c>
      <c r="K7" s="3">
        <f t="shared" si="0"/>
        <v>7</v>
      </c>
      <c r="L7" s="45" t="s">
        <v>161</v>
      </c>
      <c r="N7" s="2">
        <f>SQRT($N$8^2-$N$9^2)</f>
        <v>8724.6864545535973</v>
      </c>
      <c r="P7" s="17" t="s">
        <v>73</v>
      </c>
      <c r="Q7" s="18">
        <f>C65+C10/2</f>
        <v>-648.5</v>
      </c>
    </row>
    <row r="8" spans="1:18" x14ac:dyDescent="0.4">
      <c r="B8" s="25" t="s">
        <v>6</v>
      </c>
      <c r="C8" s="26"/>
      <c r="E8" s="3" t="s">
        <v>79</v>
      </c>
      <c r="F8" s="57" t="s">
        <v>376</v>
      </c>
      <c r="G8" s="58" t="s">
        <v>124</v>
      </c>
      <c r="H8" s="56">
        <f>ROUND($N$4,0)</f>
        <v>1</v>
      </c>
      <c r="I8" s="56">
        <f>-$C$68+$H$8</f>
        <v>0.92700000000000005</v>
      </c>
      <c r="K8" s="3">
        <f t="shared" si="0"/>
        <v>8</v>
      </c>
      <c r="L8" s="45" t="s">
        <v>162</v>
      </c>
      <c r="M8" s="54" t="s">
        <v>18</v>
      </c>
      <c r="N8" s="2">
        <f>$N$10-$C$63</f>
        <v>8730.2000000000007</v>
      </c>
      <c r="P8" s="9" t="s">
        <v>62</v>
      </c>
      <c r="Q8" s="10">
        <f>-C64+(N16+N17)/2+C6/2-N166</f>
        <v>-7.4563490253094642</v>
      </c>
      <c r="R8" s="10">
        <f t="shared" ref="R8:R14" si="1">$C$66+Q8</f>
        <v>-557.47534902530947</v>
      </c>
    </row>
    <row r="9" spans="1:18" x14ac:dyDescent="0.4">
      <c r="B9" s="14" t="s">
        <v>74</v>
      </c>
      <c r="C9" s="15">
        <v>185</v>
      </c>
      <c r="F9" s="21"/>
      <c r="G9" s="23"/>
      <c r="H9" s="5"/>
      <c r="K9" s="3">
        <f t="shared" si="0"/>
        <v>9</v>
      </c>
      <c r="L9" s="45" t="s">
        <v>12</v>
      </c>
      <c r="M9" s="54" t="s">
        <v>77</v>
      </c>
      <c r="N9" s="2">
        <f>$C$61-$C$62/2</f>
        <v>310.22300000000001</v>
      </c>
      <c r="P9" s="9" t="s">
        <v>16</v>
      </c>
      <c r="Q9" s="10">
        <f>-C64+N15+C6/2-N166</f>
        <v>-7.4554769353744632</v>
      </c>
      <c r="R9" s="10">
        <f t="shared" si="1"/>
        <v>-557.47447693537447</v>
      </c>
    </row>
    <row r="10" spans="1:18" x14ac:dyDescent="0.4">
      <c r="B10" s="14" t="s">
        <v>11</v>
      </c>
      <c r="C10" s="15">
        <v>183</v>
      </c>
      <c r="F10" s="25" t="s">
        <v>128</v>
      </c>
      <c r="G10" s="27"/>
      <c r="H10" s="28"/>
      <c r="K10" s="3">
        <f t="shared" si="0"/>
        <v>10</v>
      </c>
      <c r="L10" s="45" t="s">
        <v>163</v>
      </c>
      <c r="M10" s="54" t="s">
        <v>9</v>
      </c>
      <c r="N10" s="2">
        <f>$C$3-$C$9/2</f>
        <v>8830.2000000000007</v>
      </c>
      <c r="P10" s="9" t="s">
        <v>63</v>
      </c>
      <c r="Q10" s="10">
        <f>C64-(N19+N20)/2-C6/2+N166</f>
        <v>18.232873764451142</v>
      </c>
      <c r="R10" s="10">
        <f t="shared" si="1"/>
        <v>-531.78612623554886</v>
      </c>
    </row>
    <row r="11" spans="1:18" x14ac:dyDescent="0.4">
      <c r="B11" s="21"/>
      <c r="C11" s="22"/>
      <c r="F11" s="9" t="s">
        <v>118</v>
      </c>
      <c r="G11" s="13" t="s">
        <v>125</v>
      </c>
      <c r="H11" s="30">
        <f>$C$65+C10/2</f>
        <v>-648.5</v>
      </c>
      <c r="K11" s="3">
        <f t="shared" si="0"/>
        <v>11</v>
      </c>
      <c r="L11" s="45" t="s">
        <v>164</v>
      </c>
      <c r="M11" s="54" t="s">
        <v>17</v>
      </c>
      <c r="N11" s="2">
        <f>$C$3+$C$9/2</f>
        <v>9015.2000000000007</v>
      </c>
      <c r="P11" s="9" t="s">
        <v>19</v>
      </c>
      <c r="Q11" s="10">
        <f>C64-N18-C6/2+N166</f>
        <v>18.230834722731743</v>
      </c>
      <c r="R11" s="10">
        <f t="shared" si="1"/>
        <v>-531.78816527726826</v>
      </c>
    </row>
    <row r="12" spans="1:18" x14ac:dyDescent="0.4">
      <c r="B12" s="25" t="s">
        <v>111</v>
      </c>
      <c r="C12" s="26">
        <v>1</v>
      </c>
      <c r="F12" s="9" t="s">
        <v>119</v>
      </c>
      <c r="G12" s="13" t="s">
        <v>126</v>
      </c>
      <c r="H12" s="30">
        <f>$N$21-$N$13*$N$6</f>
        <v>-11.022374246776963</v>
      </c>
      <c r="I12" s="30">
        <f>$C$66+H12</f>
        <v>-561.04137424677697</v>
      </c>
      <c r="K12" s="3">
        <f t="shared" si="0"/>
        <v>12</v>
      </c>
      <c r="L12" s="45" t="s">
        <v>165</v>
      </c>
      <c r="M12" s="54" t="s">
        <v>381</v>
      </c>
      <c r="N12" s="2">
        <f>($C$5-$C$4)/2</f>
        <v>100</v>
      </c>
      <c r="P12" s="9" t="s">
        <v>71</v>
      </c>
      <c r="Q12" s="10" t="e">
        <f>C64-(N19+N20)/2-C6/2+N166-#REF!/2-C35+C36/2</f>
        <v>#REF!</v>
      </c>
      <c r="R12" s="10" t="e">
        <f t="shared" si="1"/>
        <v>#REF!</v>
      </c>
    </row>
    <row r="13" spans="1:18" x14ac:dyDescent="0.4">
      <c r="B13" s="14" t="s">
        <v>41</v>
      </c>
      <c r="C13" s="15">
        <v>172.9</v>
      </c>
      <c r="F13" s="9" t="s">
        <v>121</v>
      </c>
      <c r="G13" s="13" t="s">
        <v>126</v>
      </c>
      <c r="H13" s="30">
        <f>$N$13*$N$6-$N$22</f>
        <v>21.79889898591864</v>
      </c>
      <c r="I13" s="30">
        <f>$C$66+H13</f>
        <v>-528.22010101408137</v>
      </c>
      <c r="K13" s="3">
        <f t="shared" si="0"/>
        <v>13</v>
      </c>
      <c r="L13" s="45" t="s">
        <v>78</v>
      </c>
      <c r="M13" s="54" t="s">
        <v>94</v>
      </c>
      <c r="N13" s="2">
        <f>$C$64+$N$7</f>
        <v>8926.1864545535973</v>
      </c>
      <c r="P13" s="9" t="s">
        <v>66</v>
      </c>
      <c r="Q13" s="10" t="e">
        <f>-Q12+C46</f>
        <v>#REF!</v>
      </c>
      <c r="R13" s="10" t="e">
        <f t="shared" si="1"/>
        <v>#REF!</v>
      </c>
    </row>
    <row r="14" spans="1:18" x14ac:dyDescent="0.4">
      <c r="B14" s="14" t="s">
        <v>201</v>
      </c>
      <c r="C14" s="15">
        <v>172.9</v>
      </c>
      <c r="F14" s="9" t="s">
        <v>120</v>
      </c>
      <c r="G14" s="13" t="s">
        <v>126</v>
      </c>
      <c r="H14" s="30">
        <f>$N$15-$N$13*$N$6</f>
        <v>-11.021502156841962</v>
      </c>
      <c r="I14" s="30">
        <f>$C$66+H14</f>
        <v>-561.04050215684197</v>
      </c>
      <c r="K14" s="3">
        <f t="shared" si="0"/>
        <v>14</v>
      </c>
      <c r="L14" s="45" t="s">
        <v>166</v>
      </c>
      <c r="M14" s="54" t="s">
        <v>83</v>
      </c>
      <c r="N14" s="2">
        <f>$N$12/$N$13</f>
        <v>1.1202992510758734E-2</v>
      </c>
      <c r="P14" s="9" t="s">
        <v>67</v>
      </c>
      <c r="Q14" s="10" t="e">
        <f>-C64+(N16+N17)/2+C6/2-N166+#REF!/2+C41-C42/2</f>
        <v>#REF!</v>
      </c>
      <c r="R14" s="10" t="e">
        <f t="shared" si="1"/>
        <v>#REF!</v>
      </c>
    </row>
    <row r="15" spans="1:18" x14ac:dyDescent="0.4">
      <c r="A15" s="3" t="s">
        <v>421</v>
      </c>
      <c r="B15" s="14" t="s">
        <v>38</v>
      </c>
      <c r="C15" s="15">
        <v>12.05</v>
      </c>
      <c r="D15" s="16"/>
      <c r="F15" s="9" t="s">
        <v>122</v>
      </c>
      <c r="G15" s="13" t="s">
        <v>126</v>
      </c>
      <c r="H15" s="30">
        <f>$N$13*$N$6-$N$18</f>
        <v>21.796859944199241</v>
      </c>
      <c r="I15" s="30">
        <f>$C$66+H15</f>
        <v>-528.22214005580076</v>
      </c>
      <c r="K15" s="3">
        <f t="shared" si="0"/>
        <v>15</v>
      </c>
      <c r="L15" s="45" t="s">
        <v>167</v>
      </c>
      <c r="M15" s="54" t="s">
        <v>32</v>
      </c>
      <c r="N15" s="2">
        <f>SQRT($C$3^2-$C$4^2)</f>
        <v>8914.6046064870425</v>
      </c>
      <c r="P15" s="10" t="s">
        <v>48</v>
      </c>
      <c r="Q15" s="10">
        <f>N28-N15</f>
        <v>0.67070526721727219</v>
      </c>
    </row>
    <row r="16" spans="1:18" x14ac:dyDescent="0.4">
      <c r="A16" s="3" t="s">
        <v>422</v>
      </c>
      <c r="B16" s="14" t="s">
        <v>39</v>
      </c>
      <c r="C16" s="15">
        <v>8.0500000000000007</v>
      </c>
      <c r="D16" s="16"/>
      <c r="H16" s="5"/>
      <c r="I16" s="5"/>
      <c r="K16" s="3">
        <f t="shared" si="0"/>
        <v>16</v>
      </c>
      <c r="L16" s="45" t="s">
        <v>168</v>
      </c>
      <c r="M16" s="54" t="s">
        <v>33</v>
      </c>
      <c r="N16" s="2">
        <f>SQRT($N$11^2-$C$4^2)</f>
        <v>9007.1877431304838</v>
      </c>
      <c r="P16" s="10" t="s">
        <v>49</v>
      </c>
      <c r="Q16" s="18">
        <f>C15+C16/2</f>
        <v>16.075000000000003</v>
      </c>
    </row>
    <row r="17" spans="1:18" x14ac:dyDescent="0.4">
      <c r="A17" s="3" t="s">
        <v>432</v>
      </c>
      <c r="B17" s="14" t="s">
        <v>40</v>
      </c>
      <c r="C17" s="15">
        <v>6.1360000000000001</v>
      </c>
      <c r="F17" s="25" t="s">
        <v>113</v>
      </c>
      <c r="G17" s="27"/>
      <c r="H17" s="28"/>
      <c r="I17" s="5"/>
      <c r="K17" s="3">
        <f t="shared" si="0"/>
        <v>17</v>
      </c>
      <c r="L17" s="45" t="s">
        <v>169</v>
      </c>
      <c r="M17" s="54" t="s">
        <v>34</v>
      </c>
      <c r="N17" s="2">
        <f>SQRT($N$10^2-$C$4^2)</f>
        <v>8822.019725663733</v>
      </c>
      <c r="P17" s="10" t="s">
        <v>51</v>
      </c>
      <c r="Q17" s="10">
        <f>N28-C64+C6/2-N166</f>
        <v>-6.784771668157191</v>
      </c>
      <c r="R17" s="10">
        <f>$C$66+Q17</f>
        <v>-556.8037716681572</v>
      </c>
    </row>
    <row r="18" spans="1:18" x14ac:dyDescent="0.4">
      <c r="B18" s="21"/>
      <c r="C18" s="22"/>
      <c r="D18" s="2"/>
      <c r="F18" s="9" t="s">
        <v>143</v>
      </c>
      <c r="G18" s="13" t="s">
        <v>126</v>
      </c>
      <c r="H18" s="30" cm="1">
        <f t="array" aca="1" ref="H18" ca="1">INDEX(INDIRECT($H$52&amp;"!B:B"), MATCH(LOOKUP(2,1/(INDIRECT($H$52&amp;"!A:A")&lt;&gt;""), INDIRECT($H$52&amp;"!A:A")), INDIRECT($H$52&amp;"!A:A"), 0))</f>
        <v>155</v>
      </c>
      <c r="I18" s="51"/>
      <c r="K18" s="3">
        <f t="shared" si="0"/>
        <v>18</v>
      </c>
      <c r="L18" s="45" t="s">
        <v>170</v>
      </c>
      <c r="M18" s="54" t="s">
        <v>35</v>
      </c>
      <c r="N18" s="2">
        <f>SQRT($C$3^2-$C$5^2)</f>
        <v>8903.8292486996852</v>
      </c>
      <c r="P18" s="10" t="s">
        <v>46</v>
      </c>
      <c r="Q18" s="10" t="e">
        <f>-Q12+C46</f>
        <v>#REF!</v>
      </c>
      <c r="R18" s="10" t="e">
        <f>$C$66+Q18</f>
        <v>#REF!</v>
      </c>
    </row>
    <row r="19" spans="1:18" x14ac:dyDescent="0.4">
      <c r="B19" s="25" t="s">
        <v>112</v>
      </c>
      <c r="C19" s="28"/>
      <c r="D19" s="2"/>
      <c r="F19" s="9" t="s">
        <v>95</v>
      </c>
      <c r="G19" s="13" t="s">
        <v>126</v>
      </c>
      <c r="H19" s="30">
        <f>-$C$36/2+$C$35-$C$31</f>
        <v>-77.384999999999991</v>
      </c>
      <c r="I19" s="52"/>
      <c r="K19" s="3">
        <f t="shared" si="0"/>
        <v>19</v>
      </c>
      <c r="L19" s="45" t="s">
        <v>171</v>
      </c>
      <c r="M19" s="54" t="s">
        <v>36</v>
      </c>
      <c r="N19" s="2">
        <f>SQRT($N$11^2-$C$5^2)</f>
        <v>8996.5232751324565</v>
      </c>
      <c r="P19" s="10" t="s">
        <v>45</v>
      </c>
      <c r="Q19" s="10">
        <f>N29-C17-C13/2+N168-N13</f>
        <v>-6.7945285634559696</v>
      </c>
      <c r="R19" s="10">
        <f>$C$66+Q19</f>
        <v>-556.81352856345598</v>
      </c>
    </row>
    <row r="20" spans="1:18" x14ac:dyDescent="0.4">
      <c r="A20" s="3" t="s">
        <v>142</v>
      </c>
      <c r="B20" s="14" t="s">
        <v>52</v>
      </c>
      <c r="C20" s="15">
        <v>90</v>
      </c>
      <c r="D20" s="2"/>
      <c r="F20" s="9" t="s">
        <v>104</v>
      </c>
      <c r="G20" s="13" t="s">
        <v>126</v>
      </c>
      <c r="H20" s="30">
        <f ca="1">$H$13-$N$42-$H$18/2-$C$31-$C$35+$C$42/2</f>
        <v>20.898132840539901</v>
      </c>
      <c r="I20" s="30">
        <f ca="1">$C$66+H20</f>
        <v>-529.12086715946009</v>
      </c>
      <c r="K20" s="3">
        <f t="shared" si="0"/>
        <v>20</v>
      </c>
      <c r="L20" s="45" t="s">
        <v>172</v>
      </c>
      <c r="M20" s="54" t="s">
        <v>37</v>
      </c>
      <c r="N20" s="2">
        <f>SQRT($N$10^2-$C$5^2)</f>
        <v>8811.131144183475</v>
      </c>
      <c r="P20" s="10" t="s">
        <v>47</v>
      </c>
      <c r="Q20" s="10">
        <f>Q3-Q16</f>
        <v>463.99696511209658</v>
      </c>
      <c r="R20" s="10">
        <f>C67+Q20</f>
        <v>-685.9770348879033</v>
      </c>
    </row>
    <row r="21" spans="1:18" x14ac:dyDescent="0.4">
      <c r="A21" s="3" t="s">
        <v>175</v>
      </c>
      <c r="B21" s="14" t="s">
        <v>53</v>
      </c>
      <c r="C21" s="15">
        <v>20</v>
      </c>
      <c r="D21" s="2"/>
      <c r="F21" s="9" t="s">
        <v>105</v>
      </c>
      <c r="G21" s="13" t="s">
        <v>126</v>
      </c>
      <c r="H21" s="30">
        <f ca="1">-$H$20+$C$46</f>
        <v>-9.8981328405399012</v>
      </c>
      <c r="I21" s="30">
        <f ca="1">$C$66+H21</f>
        <v>-559.91713284053992</v>
      </c>
      <c r="K21" s="3">
        <f t="shared" si="0"/>
        <v>21</v>
      </c>
      <c r="L21" s="45" t="s">
        <v>366</v>
      </c>
      <c r="M21" s="54" t="s">
        <v>90</v>
      </c>
      <c r="N21" s="2">
        <f>($N$16+$N$17)/2</f>
        <v>8914.6037343971075</v>
      </c>
      <c r="P21" s="10" t="s">
        <v>56</v>
      </c>
      <c r="Q21" s="29">
        <f>$C$23/$C$22+1</f>
        <v>7</v>
      </c>
    </row>
    <row r="22" spans="1:18" x14ac:dyDescent="0.4">
      <c r="A22" s="3" t="s">
        <v>176</v>
      </c>
      <c r="B22" s="14" t="s">
        <v>54</v>
      </c>
      <c r="C22" s="15">
        <v>17</v>
      </c>
      <c r="E22" s="3" t="s">
        <v>200</v>
      </c>
      <c r="F22" s="9" t="s">
        <v>141</v>
      </c>
      <c r="G22" s="13" t="s">
        <v>126</v>
      </c>
      <c r="H22" s="30">
        <f ca="1">INDEX(INDIRECT($H$52&amp;"!B:B"), MATCH(0, INDIRECT($H$52&amp;"!A:A"), 0))</f>
        <v>156.863</v>
      </c>
      <c r="I22" s="53"/>
      <c r="K22" s="3">
        <f t="shared" si="0"/>
        <v>22</v>
      </c>
      <c r="L22" s="45" t="s">
        <v>367</v>
      </c>
      <c r="M22" s="54" t="s">
        <v>89</v>
      </c>
      <c r="N22" s="2">
        <f>($N$19+$N$20)/2</f>
        <v>8903.8272096579658</v>
      </c>
      <c r="P22" s="10" t="s">
        <v>57</v>
      </c>
      <c r="Q22" s="29">
        <f>$C$24/$C$22+1</f>
        <v>6</v>
      </c>
    </row>
    <row r="23" spans="1:18" x14ac:dyDescent="0.4">
      <c r="A23" s="3" t="s">
        <v>303</v>
      </c>
      <c r="B23" s="14" t="s">
        <v>389</v>
      </c>
      <c r="C23" s="15">
        <v>102</v>
      </c>
      <c r="F23" s="9" t="s">
        <v>85</v>
      </c>
      <c r="G23" s="13" t="s">
        <v>126</v>
      </c>
      <c r="H23" s="30">
        <f>$C$42/2-$C$41+$C$31</f>
        <v>77.799999999999983</v>
      </c>
      <c r="I23" s="52"/>
      <c r="K23" s="3">
        <f t="shared" si="0"/>
        <v>23</v>
      </c>
      <c r="L23" s="45" t="s">
        <v>173</v>
      </c>
      <c r="M23" s="54" t="s">
        <v>88</v>
      </c>
      <c r="N23" s="2">
        <f>$C$15+$C$16/2</f>
        <v>16.075000000000003</v>
      </c>
      <c r="P23" s="10" t="s">
        <v>68</v>
      </c>
      <c r="Q23" s="10">
        <f ca="1">DEGREES($N$67)</f>
        <v>859.43669269623479</v>
      </c>
    </row>
    <row r="24" spans="1:18" x14ac:dyDescent="0.4">
      <c r="A24" s="3" t="s">
        <v>304</v>
      </c>
      <c r="B24" s="14" t="s">
        <v>390</v>
      </c>
      <c r="C24" s="15">
        <v>85</v>
      </c>
      <c r="F24" s="9" t="s">
        <v>106</v>
      </c>
      <c r="G24" s="13" t="s">
        <v>126</v>
      </c>
      <c r="H24" s="30">
        <f ca="1">-$N$13*$N$6+$N$21+$H$22/2+$C$41-$C$42/2</f>
        <v>-10.320874246776953</v>
      </c>
      <c r="I24" s="30">
        <f ca="1">$C$66+H24</f>
        <v>-560.33987424677696</v>
      </c>
      <c r="K24" s="3">
        <f t="shared" si="0"/>
        <v>24</v>
      </c>
      <c r="L24" s="45" t="s">
        <v>174</v>
      </c>
      <c r="M24" s="54" t="s">
        <v>43</v>
      </c>
      <c r="N24" s="2">
        <f>$C$4-$N$23</f>
        <v>363.92500000000001</v>
      </c>
      <c r="P24" s="10" t="s">
        <v>69</v>
      </c>
      <c r="Q24" s="10">
        <f ca="1">Q9*$N$108+Q2*$N$75</f>
        <v>-62307.439961161843</v>
      </c>
    </row>
    <row r="25" spans="1:18" x14ac:dyDescent="0.4">
      <c r="A25" s="3" t="s">
        <v>146</v>
      </c>
      <c r="B25" s="14" t="s">
        <v>55</v>
      </c>
      <c r="C25" s="31">
        <v>6</v>
      </c>
      <c r="F25" s="9" t="s">
        <v>107</v>
      </c>
      <c r="G25" s="13" t="s">
        <v>123</v>
      </c>
      <c r="H25" s="30">
        <f>$H$3-$C$43</f>
        <v>448.0159494817317</v>
      </c>
      <c r="I25" s="30">
        <f>$C$67+H25</f>
        <v>-701.95805051826824</v>
      </c>
      <c r="K25" s="3">
        <f t="shared" si="0"/>
        <v>25</v>
      </c>
      <c r="L25" s="45" t="s">
        <v>414</v>
      </c>
      <c r="M25" s="54" t="s">
        <v>416</v>
      </c>
      <c r="N25" s="2">
        <f>$C$15+$C$16</f>
        <v>20.100000000000001</v>
      </c>
      <c r="P25" s="10" t="s">
        <v>70</v>
      </c>
      <c r="Q25" s="10">
        <f ca="1">-Q$9*$N$75+Q$2*$N$108</f>
        <v>4319905.021061644</v>
      </c>
    </row>
    <row r="26" spans="1:18" x14ac:dyDescent="0.4">
      <c r="B26" s="14" t="s">
        <v>395</v>
      </c>
      <c r="C26" s="19">
        <v>40</v>
      </c>
      <c r="F26" s="9" t="s">
        <v>108</v>
      </c>
      <c r="G26" s="13" t="s">
        <v>123</v>
      </c>
      <c r="H26" s="30">
        <f>$H$4-$C$38</f>
        <v>454.9840505182683</v>
      </c>
      <c r="I26" s="30">
        <f>$C$67+H26</f>
        <v>-694.98994948173163</v>
      </c>
      <c r="K26" s="3">
        <f t="shared" si="0"/>
        <v>26</v>
      </c>
      <c r="L26" s="45" t="s">
        <v>415</v>
      </c>
      <c r="M26" s="54" t="s">
        <v>419</v>
      </c>
      <c r="N26" s="2">
        <f>$C$4-$N$25</f>
        <v>359.9</v>
      </c>
    </row>
    <row r="27" spans="1:18" x14ac:dyDescent="0.4">
      <c r="B27" s="14" t="s">
        <v>396</v>
      </c>
      <c r="C27" s="19">
        <v>32</v>
      </c>
      <c r="H27" s="5"/>
      <c r="I27" s="5"/>
      <c r="K27" s="3">
        <f t="shared" si="0"/>
        <v>27</v>
      </c>
      <c r="L27" s="45" t="s">
        <v>418</v>
      </c>
      <c r="M27" s="54" t="s">
        <v>420</v>
      </c>
      <c r="N27" s="2">
        <f>$C$4-$C$15</f>
        <v>367.95</v>
      </c>
      <c r="P27" s="2"/>
    </row>
    <row r="28" spans="1:18" x14ac:dyDescent="0.4">
      <c r="B28" s="14" t="s">
        <v>218</v>
      </c>
      <c r="C28" s="19">
        <v>3</v>
      </c>
      <c r="F28" s="25" t="s">
        <v>111</v>
      </c>
      <c r="G28" s="27"/>
      <c r="H28" s="28"/>
      <c r="I28" s="28"/>
      <c r="K28" s="3">
        <f t="shared" si="0"/>
        <v>28</v>
      </c>
      <c r="L28" s="45" t="s">
        <v>368</v>
      </c>
      <c r="M28" s="54" t="s">
        <v>44</v>
      </c>
      <c r="N28" s="2">
        <f>SQRT($C$3^2-$N$24^2)</f>
        <v>8915.2753117542597</v>
      </c>
      <c r="P28" s="2"/>
    </row>
    <row r="29" spans="1:18" x14ac:dyDescent="0.4">
      <c r="B29" s="21"/>
      <c r="C29" s="22"/>
      <c r="F29" s="9" t="s">
        <v>38</v>
      </c>
      <c r="G29" s="13" t="s">
        <v>123</v>
      </c>
      <c r="H29" s="30">
        <f>$H$3-$C$15</f>
        <v>467.96594948173168</v>
      </c>
      <c r="I29" s="30">
        <f>$C$67+H29</f>
        <v>-682.00805051826819</v>
      </c>
      <c r="K29" s="3">
        <f t="shared" si="0"/>
        <v>29</v>
      </c>
      <c r="L29" s="45" t="s">
        <v>369</v>
      </c>
      <c r="M29" s="54" t="s">
        <v>92</v>
      </c>
      <c r="N29" s="2">
        <f>SQRT($N$11^2-$N$24^2)</f>
        <v>9007.8515548589621</v>
      </c>
    </row>
    <row r="30" spans="1:18" x14ac:dyDescent="0.4">
      <c r="B30" s="25" t="s">
        <v>219</v>
      </c>
      <c r="C30" s="28"/>
      <c r="F30" s="9" t="s">
        <v>99</v>
      </c>
      <c r="G30" s="13" t="s">
        <v>123</v>
      </c>
      <c r="H30" s="30">
        <f>$H$29-$C$16</f>
        <v>459.91594948173167</v>
      </c>
      <c r="I30" s="30">
        <f>$C$67+H30</f>
        <v>-690.05805051826826</v>
      </c>
      <c r="K30" s="3">
        <f t="shared" si="0"/>
        <v>30</v>
      </c>
      <c r="L30" s="45" t="s">
        <v>370</v>
      </c>
      <c r="M30" s="54" t="s">
        <v>93</v>
      </c>
      <c r="N30" s="2">
        <f>SQRT($N$10^2-$N$24^2)</f>
        <v>8822.6974692763324</v>
      </c>
    </row>
    <row r="31" spans="1:18" x14ac:dyDescent="0.4">
      <c r="A31" s="3" t="s">
        <v>220</v>
      </c>
      <c r="B31" s="14" t="s">
        <v>20</v>
      </c>
      <c r="C31" s="15">
        <v>7.0000000000000007E-2</v>
      </c>
      <c r="F31" s="9" t="s">
        <v>86</v>
      </c>
      <c r="G31" s="13" t="s">
        <v>123</v>
      </c>
      <c r="H31" s="30">
        <f>$H$3-$N$23</f>
        <v>463.94094948173171</v>
      </c>
      <c r="I31" s="30">
        <f>$C$67+H31</f>
        <v>-686.03305051826828</v>
      </c>
      <c r="K31" s="3">
        <f t="shared" si="0"/>
        <v>31</v>
      </c>
      <c r="L31" s="45" t="s">
        <v>412</v>
      </c>
      <c r="M31" s="54" t="s">
        <v>413</v>
      </c>
      <c r="N31" s="2">
        <f>SQRT($N$11^2-$N$26^2)</f>
        <v>9008.0132676412068</v>
      </c>
    </row>
    <row r="32" spans="1:18" x14ac:dyDescent="0.4">
      <c r="B32" s="14" t="s">
        <v>221</v>
      </c>
      <c r="C32" s="39" t="s">
        <v>222</v>
      </c>
      <c r="F32" s="10" t="s">
        <v>87</v>
      </c>
      <c r="G32" s="30" t="s">
        <v>126</v>
      </c>
      <c r="H32" s="30">
        <f>$N$28-$N$15</f>
        <v>0.67070526721727219</v>
      </c>
      <c r="K32" s="3">
        <f t="shared" si="0"/>
        <v>32</v>
      </c>
      <c r="L32" s="45" t="s">
        <v>417</v>
      </c>
      <c r="M32" s="54" t="s">
        <v>435</v>
      </c>
      <c r="N32" s="2">
        <f>SQRT($N$11^2-$N$27^2)</f>
        <v>9007.6880406406181</v>
      </c>
    </row>
    <row r="33" spans="2:16" x14ac:dyDescent="0.4">
      <c r="F33" s="10" t="s">
        <v>51</v>
      </c>
      <c r="G33" s="30" t="s">
        <v>126</v>
      </c>
      <c r="H33" s="30">
        <f>$N$28-$N$13*$N$6</f>
        <v>-10.350796889624689</v>
      </c>
      <c r="I33" s="30">
        <f>$C$66+H33</f>
        <v>-560.36979688962469</v>
      </c>
      <c r="K33" s="3">
        <f t="shared" si="0"/>
        <v>33</v>
      </c>
      <c r="L33" s="45" t="s">
        <v>423</v>
      </c>
      <c r="M33" s="54" t="s">
        <v>425</v>
      </c>
      <c r="N33" s="2">
        <f>($N$31-$N$32)/$C$16</f>
        <v>4.040086963834922E-2</v>
      </c>
    </row>
    <row r="34" spans="2:16" x14ac:dyDescent="0.4">
      <c r="B34" s="4" t="s">
        <v>437</v>
      </c>
      <c r="F34" s="10" t="s">
        <v>46</v>
      </c>
      <c r="G34" s="30" t="s">
        <v>126</v>
      </c>
      <c r="H34" s="30">
        <f ca="1">$H$21</f>
        <v>-9.8981328405399012</v>
      </c>
      <c r="I34" s="30">
        <f ca="1">$C$66+H34</f>
        <v>-559.91713284053992</v>
      </c>
      <c r="K34" s="3">
        <f t="shared" si="0"/>
        <v>34</v>
      </c>
      <c r="L34" s="45" t="s">
        <v>424</v>
      </c>
      <c r="M34" s="54" t="s">
        <v>426</v>
      </c>
      <c r="N34" s="2">
        <f>SIN(ATAN($N$33))</f>
        <v>4.0367938185526558E-2</v>
      </c>
    </row>
    <row r="35" spans="2:16" x14ac:dyDescent="0.4">
      <c r="B35" s="14" t="s">
        <v>21</v>
      </c>
      <c r="C35" s="33">
        <v>13.16</v>
      </c>
      <c r="F35" s="10" t="s">
        <v>129</v>
      </c>
      <c r="G35" s="30" t="s">
        <v>126</v>
      </c>
      <c r="H35" s="30">
        <f>$N$29-$C$17-$C$13/2-$N$13</f>
        <v>-10.920899694636319</v>
      </c>
      <c r="I35" s="30">
        <f>$C$66+H35</f>
        <v>-560.93989969463632</v>
      </c>
      <c r="K35" s="3">
        <f t="shared" si="0"/>
        <v>35</v>
      </c>
      <c r="L35" s="45" t="s">
        <v>427</v>
      </c>
      <c r="M35" s="54" t="s">
        <v>428</v>
      </c>
      <c r="N35" s="2">
        <f>COS(ATAN($N$33))</f>
        <v>0.99918488257511662</v>
      </c>
    </row>
    <row r="36" spans="2:16" x14ac:dyDescent="0.4">
      <c r="B36" s="14" t="s">
        <v>202</v>
      </c>
      <c r="C36" s="33">
        <v>180.95</v>
      </c>
      <c r="F36" s="10" t="s">
        <v>130</v>
      </c>
      <c r="G36" s="30" t="s">
        <v>126</v>
      </c>
      <c r="H36" s="30">
        <f>$C$17+$C$13/2</f>
        <v>92.585999999999999</v>
      </c>
      <c r="K36" s="3">
        <f t="shared" si="0"/>
        <v>36</v>
      </c>
      <c r="L36" s="45" t="s">
        <v>434</v>
      </c>
      <c r="N36" s="2">
        <f>2*$N$35/(1+$N$35^2)</f>
        <v>0.99999966752089275</v>
      </c>
    </row>
    <row r="37" spans="2:16" x14ac:dyDescent="0.4">
      <c r="B37" s="14" t="s">
        <v>203</v>
      </c>
      <c r="C37" s="33">
        <v>180.95</v>
      </c>
      <c r="F37" s="10" t="s">
        <v>91</v>
      </c>
      <c r="G37" s="30" t="s">
        <v>126</v>
      </c>
      <c r="H37" s="30">
        <f ca="1">$H$24</f>
        <v>-10.320874246776953</v>
      </c>
      <c r="I37" s="30">
        <f ca="1">$C$66+H37</f>
        <v>-560.33987424677696</v>
      </c>
      <c r="K37" s="3">
        <f>ROW(K37)</f>
        <v>37</v>
      </c>
      <c r="L37" s="45" t="s">
        <v>429</v>
      </c>
      <c r="M37" s="54" t="s">
        <v>436</v>
      </c>
      <c r="N37" s="2">
        <f>$N$29-$N$32</f>
        <v>0.1635142183440621</v>
      </c>
    </row>
    <row r="38" spans="2:16" x14ac:dyDescent="0.4">
      <c r="B38" s="14" t="s">
        <v>97</v>
      </c>
      <c r="C38" s="33">
        <v>25</v>
      </c>
      <c r="F38" s="2"/>
      <c r="G38" s="5"/>
      <c r="H38" s="5"/>
      <c r="I38" s="5"/>
      <c r="K38" s="3">
        <f t="shared" si="0"/>
        <v>38</v>
      </c>
      <c r="L38" s="45" t="s">
        <v>430</v>
      </c>
      <c r="N38" s="2">
        <f>$C$16*$N$34/2</f>
        <v>0.16248095119674441</v>
      </c>
    </row>
    <row r="39" spans="2:16" x14ac:dyDescent="0.4">
      <c r="B39" s="21"/>
      <c r="C39" s="21"/>
      <c r="F39" s="32" t="s">
        <v>127</v>
      </c>
      <c r="G39" s="5"/>
      <c r="H39" s="5"/>
      <c r="I39" s="5"/>
      <c r="K39" s="3">
        <f t="shared" si="0"/>
        <v>39</v>
      </c>
      <c r="L39" s="45" t="s">
        <v>431</v>
      </c>
      <c r="M39" s="54" t="s">
        <v>433</v>
      </c>
      <c r="N39" s="2">
        <f>$N$36*($C$17-$N$38)+$N$37</f>
        <v>6.1370312810770375</v>
      </c>
    </row>
    <row r="40" spans="2:16" x14ac:dyDescent="0.4">
      <c r="B40" s="25" t="s">
        <v>438</v>
      </c>
      <c r="C40" s="28"/>
      <c r="F40" s="10" t="s">
        <v>101</v>
      </c>
      <c r="G40" s="30" t="s">
        <v>123</v>
      </c>
      <c r="H40" s="30">
        <f>$H$3-$C$55</f>
        <v>479.0159494817317</v>
      </c>
      <c r="I40" s="30">
        <f>$C$67+H40</f>
        <v>-670.95805051826824</v>
      </c>
      <c r="K40" s="3">
        <f t="shared" si="0"/>
        <v>40</v>
      </c>
      <c r="L40" s="45" t="s">
        <v>408</v>
      </c>
      <c r="M40" s="54" t="s">
        <v>385</v>
      </c>
      <c r="N40" s="2">
        <f>$C$5-$C$51</f>
        <v>570</v>
      </c>
      <c r="P40" s="2"/>
    </row>
    <row r="41" spans="2:16" x14ac:dyDescent="0.4">
      <c r="B41" s="14" t="s">
        <v>25</v>
      </c>
      <c r="C41" s="33">
        <f>12.745</f>
        <v>12.744999999999999</v>
      </c>
      <c r="F41" s="10" t="s">
        <v>100</v>
      </c>
      <c r="G41" s="30" t="s">
        <v>123</v>
      </c>
      <c r="H41" s="30">
        <f>$H$3-$C$57</f>
        <v>479.5159494817317</v>
      </c>
      <c r="I41" s="30">
        <f>$C$67+H41</f>
        <v>-670.45805051826824</v>
      </c>
      <c r="K41" s="3">
        <f t="shared" si="0"/>
        <v>41</v>
      </c>
      <c r="L41" s="45" t="s">
        <v>409</v>
      </c>
      <c r="M41" s="54" t="s">
        <v>386</v>
      </c>
      <c r="N41" s="2">
        <f>SQRT($C$3^2-$N$40^2)</f>
        <v>8904.4750148450639</v>
      </c>
    </row>
    <row r="42" spans="2:16" x14ac:dyDescent="0.4">
      <c r="B42" s="14" t="s">
        <v>382</v>
      </c>
      <c r="C42" s="33">
        <v>180.95</v>
      </c>
      <c r="F42" s="10" t="s">
        <v>102</v>
      </c>
      <c r="G42" s="30" t="s">
        <v>123</v>
      </c>
      <c r="H42" s="30">
        <f>$H$4-$C$49</f>
        <v>475.9840505182683</v>
      </c>
      <c r="I42" s="30">
        <f>$C$67+H42</f>
        <v>-673.98994948173163</v>
      </c>
      <c r="K42" s="3">
        <f t="shared" si="0"/>
        <v>42</v>
      </c>
      <c r="L42" s="45" t="s">
        <v>449</v>
      </c>
      <c r="N42" s="2">
        <f>N41-N18</f>
        <v>0.64576614537872956</v>
      </c>
    </row>
    <row r="43" spans="2:16" x14ac:dyDescent="0.4">
      <c r="B43" s="14" t="s">
        <v>96</v>
      </c>
      <c r="C43" s="33">
        <v>32</v>
      </c>
      <c r="F43" s="10" t="s">
        <v>103</v>
      </c>
      <c r="G43" s="30" t="s">
        <v>123</v>
      </c>
      <c r="H43" s="30">
        <f>$H$4-$C$51</f>
        <v>469.9840505182683</v>
      </c>
      <c r="I43" s="30">
        <f>$C$67+H43</f>
        <v>-679.98994948173163</v>
      </c>
      <c r="K43" s="3">
        <f t="shared" si="0"/>
        <v>43</v>
      </c>
      <c r="L43" s="45" t="s">
        <v>177</v>
      </c>
      <c r="M43" s="54" t="str">
        <f>IF($C$25&gt;=3, "振分中心-内面溝1列目間距離", "-")</f>
        <v>振分中心-内面溝1列目間距離</v>
      </c>
      <c r="N43" s="44">
        <f>$C$4-$C$20</f>
        <v>290</v>
      </c>
    </row>
    <row r="44" spans="2:16" x14ac:dyDescent="0.4">
      <c r="F44" s="10" t="s">
        <v>371</v>
      </c>
      <c r="G44" s="30" t="s">
        <v>126</v>
      </c>
      <c r="H44" s="30"/>
      <c r="I44" s="53"/>
      <c r="K44" s="3">
        <f t="shared" si="0"/>
        <v>44</v>
      </c>
      <c r="L44" s="45" t="s">
        <v>232</v>
      </c>
      <c r="M44" s="54" t="str">
        <f>IF($C$25&gt;=4, "振分中心-内面溝2列目間距離", "-")</f>
        <v>振分中心-内面溝2列目間距離</v>
      </c>
      <c r="N44" s="44">
        <f>IF($C$25&gt;=4,$N$43-1*$C$21, "-")</f>
        <v>270</v>
      </c>
    </row>
    <row r="45" spans="2:16" x14ac:dyDescent="0.4">
      <c r="B45" s="4" t="s">
        <v>114</v>
      </c>
      <c r="F45" s="10" t="s">
        <v>109</v>
      </c>
      <c r="G45" s="30" t="s">
        <v>126</v>
      </c>
      <c r="H45" s="30">
        <f>$N$41-$N$18</f>
        <v>0.64576614537872956</v>
      </c>
      <c r="I45" s="51"/>
      <c r="K45" s="3">
        <f t="shared" si="0"/>
        <v>45</v>
      </c>
      <c r="L45" s="45" t="s">
        <v>233</v>
      </c>
      <c r="M45" s="54" t="str">
        <f>IF($C$25&gt;=5, "振分中心-内面溝3列目間距離", "-")</f>
        <v>振分中心-内面溝3列目間距離</v>
      </c>
      <c r="N45" s="44">
        <f>IF($C$25&gt;=5,$N$43-2*$C$21, "-")</f>
        <v>250</v>
      </c>
    </row>
    <row r="46" spans="2:16" x14ac:dyDescent="0.4">
      <c r="B46" s="14" t="s">
        <v>22</v>
      </c>
      <c r="C46" s="33">
        <v>11</v>
      </c>
      <c r="F46" s="24"/>
      <c r="G46" s="22"/>
      <c r="H46" s="22"/>
      <c r="I46" s="5"/>
      <c r="K46" s="3">
        <f t="shared" si="0"/>
        <v>46</v>
      </c>
      <c r="L46" s="45" t="s">
        <v>234</v>
      </c>
      <c r="M46" s="54" t="str">
        <f>IF($C$25&gt;=6, "振分中心-内面溝4列目間距離", "-")</f>
        <v>振分中心-内面溝4列目間距離</v>
      </c>
      <c r="N46" s="44">
        <f>IF($C$25&gt;=6,$N$43-3*$C$21, "-")</f>
        <v>230</v>
      </c>
    </row>
    <row r="47" spans="2:16" x14ac:dyDescent="0.4">
      <c r="F47" s="34" t="s">
        <v>112</v>
      </c>
      <c r="G47" s="28"/>
      <c r="H47" s="28"/>
      <c r="K47" s="3">
        <f t="shared" si="0"/>
        <v>47</v>
      </c>
      <c r="L47" s="45" t="s">
        <v>236</v>
      </c>
      <c r="M47" s="54" t="str">
        <f>IF($C$25&gt;=7, "振分中心-内面溝5列目間距離", "-")</f>
        <v>-</v>
      </c>
      <c r="N47" s="44" t="str">
        <f>IF($C$25&gt;=7,$N$43-4*$C$21, "-")</f>
        <v>-</v>
      </c>
    </row>
    <row r="48" spans="2:16" x14ac:dyDescent="0.4">
      <c r="B48" s="4" t="s">
        <v>383</v>
      </c>
      <c r="E48" s="3" t="s">
        <v>254</v>
      </c>
      <c r="F48" s="35" t="s">
        <v>56</v>
      </c>
      <c r="G48" s="36" t="s">
        <v>117</v>
      </c>
      <c r="H48" s="48">
        <f>$C$23/$C$22+1</f>
        <v>7</v>
      </c>
      <c r="K48" s="3">
        <f t="shared" si="0"/>
        <v>48</v>
      </c>
      <c r="L48" s="45" t="s">
        <v>235</v>
      </c>
      <c r="M48" s="54" t="str">
        <f>IF($C$25&gt;=8, "振分中心-内面溝6列目間距離", "-")</f>
        <v>-</v>
      </c>
      <c r="N48" s="44" t="str">
        <f>IF($C$25&gt;=8,$N$43-5*$C$21, "-")</f>
        <v>-</v>
      </c>
    </row>
    <row r="49" spans="1:14" x14ac:dyDescent="0.4">
      <c r="B49" s="14" t="s">
        <v>448</v>
      </c>
      <c r="C49" s="15">
        <v>4</v>
      </c>
      <c r="E49" s="3" t="s">
        <v>255</v>
      </c>
      <c r="F49" s="10" t="s">
        <v>57</v>
      </c>
      <c r="G49" s="30" t="s">
        <v>117</v>
      </c>
      <c r="H49" s="49">
        <f>$C$24/$C$22+1</f>
        <v>6</v>
      </c>
      <c r="K49" s="3">
        <f t="shared" si="0"/>
        <v>49</v>
      </c>
      <c r="L49" s="45" t="s">
        <v>181</v>
      </c>
      <c r="M49" s="54" t="s">
        <v>154</v>
      </c>
      <c r="N49" s="44">
        <f>$N$43-($C$25-2)*$C$21</f>
        <v>210</v>
      </c>
    </row>
    <row r="50" spans="1:14" x14ac:dyDescent="0.4">
      <c r="B50" s="14" t="s">
        <v>134</v>
      </c>
      <c r="C50" s="15">
        <v>15</v>
      </c>
      <c r="F50" s="10" t="s">
        <v>227</v>
      </c>
      <c r="G50" s="30" t="s">
        <v>117</v>
      </c>
      <c r="H50" s="49">
        <f>_xlfn.CEILING.MATH($C$25/2)</f>
        <v>3</v>
      </c>
      <c r="K50" s="3">
        <f t="shared" si="0"/>
        <v>50</v>
      </c>
      <c r="L50" s="45" t="s">
        <v>180</v>
      </c>
      <c r="M50" s="54" t="s">
        <v>153</v>
      </c>
      <c r="N50" s="44">
        <f>$N$43-($C$25-1)*$C$21</f>
        <v>190</v>
      </c>
    </row>
    <row r="51" spans="1:14" x14ac:dyDescent="0.4">
      <c r="B51" s="14" t="s">
        <v>447</v>
      </c>
      <c r="C51" s="15">
        <v>10</v>
      </c>
      <c r="F51" s="10" t="s">
        <v>228</v>
      </c>
      <c r="G51" s="30" t="s">
        <v>117</v>
      </c>
      <c r="H51" s="49">
        <f>QUOTIENT($C$25,2)</f>
        <v>3</v>
      </c>
      <c r="K51" s="3">
        <f t="shared" si="0"/>
        <v>51</v>
      </c>
      <c r="L51" s="45" t="s">
        <v>178</v>
      </c>
      <c r="M51" s="54" t="str">
        <f>IF($C$25&gt;=3,"λj ≦ q &lt; λj+1 の λj", "-")</f>
        <v>λj ≦ q &lt; λj+1 の λj</v>
      </c>
      <c r="N51" s="44">
        <f ca="1">IF($C$25&gt;=3,LOOKUP($C$20,INDIRECT($H$52&amp;"!$A:$A")),"-")</f>
        <v>75</v>
      </c>
    </row>
    <row r="52" spans="1:14" x14ac:dyDescent="0.4">
      <c r="B52" s="14" t="s">
        <v>136</v>
      </c>
      <c r="C52" s="15">
        <v>15</v>
      </c>
      <c r="F52" s="10" t="s">
        <v>221</v>
      </c>
      <c r="G52" s="30" t="s">
        <v>117</v>
      </c>
      <c r="H52" s="30" t="str">
        <f>IF(ISNUMBER(VALUE(LEFT($C$32, 1))), TEXT($C$32, "00000"), LEFT($C$32, 1) &amp; TEXT(MID($C$32, 2, LEN($C$32) - 1), "00000"))</f>
        <v>e00937</v>
      </c>
      <c r="K52" s="3">
        <f t="shared" si="0"/>
        <v>52</v>
      </c>
      <c r="L52" s="45" t="s">
        <v>237</v>
      </c>
      <c r="M52" s="54" t="str">
        <f>IF($C$25&gt;=4,"λj ≦ q+pz &lt; λj+1 の λj", "-")</f>
        <v>λj ≦ q+pz &lt; λj+1 の λj</v>
      </c>
      <c r="N52" s="44">
        <f ca="1">IF($C$25&gt;=4,LOOKUP($C$20+$C$21, INDIRECT($H$52&amp;"!$A:$A")),"-")</f>
        <v>100</v>
      </c>
    </row>
    <row r="53" spans="1:14" x14ac:dyDescent="0.4">
      <c r="F53" s="32" t="s">
        <v>388</v>
      </c>
      <c r="K53" s="3">
        <f t="shared" si="0"/>
        <v>53</v>
      </c>
      <c r="L53" s="45" t="s">
        <v>239</v>
      </c>
      <c r="M53" s="54" t="str">
        <f>IF($C$25&gt;=5,"λj ≦ q+2pz &lt; λj+1 の λj", "-")</f>
        <v>λj ≦ q+2pz &lt; λj+1 の λj</v>
      </c>
      <c r="N53" s="44">
        <f ca="1">IF($C$25&gt;=5,LOOKUP($C$20+2*$C$21, INDIRECT($H$52&amp;"!$A:$A")),"-")</f>
        <v>125</v>
      </c>
    </row>
    <row r="54" spans="1:14" x14ac:dyDescent="0.4">
      <c r="B54" s="4" t="s">
        <v>384</v>
      </c>
      <c r="E54" s="3" t="s">
        <v>300</v>
      </c>
      <c r="F54" s="10" t="str">
        <f>IF($C$25&gt;=3,"内面溝1列目-トップ端 湾曲中心間X距離", "-")</f>
        <v>内面溝1列目-トップ端 湾曲中心間X距離</v>
      </c>
      <c r="G54" s="13" t="s">
        <v>126</v>
      </c>
      <c r="H54" s="30">
        <f>IF($C$25&gt;=$C$71-5,$N$83-$N$15, "-")</f>
        <v>3.3814492320398131</v>
      </c>
      <c r="K54" s="3">
        <f t="shared" si="0"/>
        <v>54</v>
      </c>
      <c r="L54" s="45" t="s">
        <v>241</v>
      </c>
      <c r="M54" s="54" t="str">
        <f>IF($C$25&gt;=6,"λj ≦ q+3pz &lt; λj+1 の λj", "-")</f>
        <v>λj ≦ q+3pz &lt; λj+1 の λj</v>
      </c>
      <c r="N54" s="44">
        <f ca="1">IF($C$25&gt;=6,LOOKUP($C$20+3*$C$21, INDIRECT($H$52&amp;"!$A:$A")),"-")</f>
        <v>150</v>
      </c>
    </row>
    <row r="55" spans="1:14" ht="16.5" x14ac:dyDescent="0.4">
      <c r="B55" s="14" t="s">
        <v>137</v>
      </c>
      <c r="C55" s="15">
        <v>1</v>
      </c>
      <c r="E55" s="3" t="s">
        <v>301</v>
      </c>
      <c r="F55" s="10" t="str">
        <f>IF($C$25&gt;=4,"内面溝2列目-トップ端 湾曲中心間X距離", "-")</f>
        <v>内面溝2列目-トップ端 湾曲中心間X距離</v>
      </c>
      <c r="G55" s="13" t="s">
        <v>126</v>
      </c>
      <c r="H55" s="30">
        <f>IF($C$25&gt;=$C71-4,$N$84-$N$15, "-")</f>
        <v>4.0093715927359881</v>
      </c>
      <c r="K55" s="3">
        <f t="shared" si="0"/>
        <v>55</v>
      </c>
      <c r="L55" s="45" t="s">
        <v>242</v>
      </c>
      <c r="M55" s="54" t="str">
        <f>IF($C$25&gt;=7,"λj ≦ q+4pz &lt; λj+1 の λj", "-")</f>
        <v>-</v>
      </c>
      <c r="N55" s="44" t="str">
        <f ca="1">IF($C$25&gt;=7,LOOKUP($C$20+4*$C$21, INDIRECT($H$52&amp;"!$A:$A")),"-")</f>
        <v>-</v>
      </c>
    </row>
    <row r="56" spans="1:14" x14ac:dyDescent="0.4">
      <c r="B56" s="14" t="s">
        <v>138</v>
      </c>
      <c r="C56" s="15">
        <v>45</v>
      </c>
      <c r="F56" s="10" t="str">
        <f>IF($C$25&gt;=5,"内面溝3列目-トップ端 湾曲中心間X距離", "-")</f>
        <v>内面溝3列目-トップ端 湾曲中心間X距離</v>
      </c>
      <c r="G56" s="13" t="s">
        <v>126</v>
      </c>
      <c r="H56" s="30">
        <f>IF($C$25&gt;=$C$71-3,$N$85-$N$15, "-")</f>
        <v>4.5924027733763069</v>
      </c>
      <c r="K56" s="3">
        <f t="shared" si="0"/>
        <v>56</v>
      </c>
      <c r="L56" s="45" t="s">
        <v>243</v>
      </c>
      <c r="M56" s="54" t="str">
        <f>IF($C$25&gt;=8,"λj ≦ q+5pz &lt; λj+1 の λj", "-")</f>
        <v>-</v>
      </c>
      <c r="N56" s="44" t="str">
        <f ca="1">IF($C$25&gt;=8,LOOKUP($C$20+5*$C$21, INDIRECT($H$52&amp;"!$A:$A")),"-")</f>
        <v>-</v>
      </c>
    </row>
    <row r="57" spans="1:14" x14ac:dyDescent="0.4">
      <c r="B57" s="14" t="s">
        <v>139</v>
      </c>
      <c r="C57" s="15">
        <v>0.5</v>
      </c>
      <c r="F57" s="10" t="str">
        <f>IF($C$25&gt;=6,"内面溝4列目-トップ端 湾曲中心間X距離", "-")</f>
        <v>内面溝4列目-トップ端 湾曲中心間X距離</v>
      </c>
      <c r="G57" s="13" t="s">
        <v>126</v>
      </c>
      <c r="H57" s="30">
        <f>IF($C$25&gt;=$C$71-2,$N$86-$N$15, "-")</f>
        <v>5.1305515767890029</v>
      </c>
      <c r="K57" s="3">
        <f t="shared" si="0"/>
        <v>57</v>
      </c>
      <c r="L57" s="45" t="s">
        <v>245</v>
      </c>
      <c r="M57" s="54" t="s">
        <v>247</v>
      </c>
      <c r="N57" s="2">
        <f ca="1">LOOKUP($C$20+($C$25-2)*$C$21, INDIRECT($H$52&amp;"!$A:$A"))</f>
        <v>150</v>
      </c>
    </row>
    <row r="58" spans="1:14" x14ac:dyDescent="0.4">
      <c r="B58" s="14" t="s">
        <v>132</v>
      </c>
      <c r="C58" s="15">
        <v>45</v>
      </c>
      <c r="F58" s="10" t="str">
        <f>IF($C$25&gt;=7,"内面溝5列目-トップ端 湾曲中心間X距離", "-")</f>
        <v>-</v>
      </c>
      <c r="G58" s="13" t="s">
        <v>126</v>
      </c>
      <c r="H58" s="30" t="str">
        <f>IF($C$25&gt;=$C71-1,$N$87-$N$15, "-")</f>
        <v>-</v>
      </c>
      <c r="K58" s="3">
        <f t="shared" si="0"/>
        <v>58</v>
      </c>
      <c r="L58" s="45" t="s">
        <v>244</v>
      </c>
      <c r="M58" s="54" t="s">
        <v>246</v>
      </c>
      <c r="N58" s="2">
        <f ca="1">LOOKUP($C$20+($C$25-1)*$C$21, INDIRECT($H$52&amp;"!$A:$A"))</f>
        <v>175</v>
      </c>
    </row>
    <row r="59" spans="1:14" x14ac:dyDescent="0.4">
      <c r="F59" s="10" t="str">
        <f>IF($C$25&gt;=8,"内面溝6列目-トップ端 湾曲中心間X距離", "-")</f>
        <v>-</v>
      </c>
      <c r="G59" s="13" t="s">
        <v>126</v>
      </c>
      <c r="H59" s="30" t="str">
        <f>IF($C$25&gt;=$C71,$N$88-$N$15, "-")</f>
        <v>-</v>
      </c>
      <c r="K59" s="3">
        <f t="shared" si="0"/>
        <v>59</v>
      </c>
      <c r="L59" s="45" t="s">
        <v>179</v>
      </c>
      <c r="M59" s="54" t="str">
        <f>IF($C$25&gt;=3,"λj ≦ q &lt; λj+1 の λj+1", "-")</f>
        <v>λj ≦ q &lt; λj+1 の λj+1</v>
      </c>
      <c r="N59" s="2" cm="1">
        <f t="array" aca="1" ref="N59" ca="1">IF($C$25&gt;=3, INDEX(INDIRECT($H$52&amp;"!$A:$A"), MATCH($N51, INDIRECT($H$52&amp;"!$A:$A"), 0) +1),"-")</f>
        <v>100</v>
      </c>
    </row>
    <row r="60" spans="1:14" x14ac:dyDescent="0.4">
      <c r="B60" s="25" t="s">
        <v>131</v>
      </c>
      <c r="C60" s="28"/>
      <c r="F60" s="10" t="s">
        <v>269</v>
      </c>
      <c r="G60" s="13" t="s">
        <v>126</v>
      </c>
      <c r="H60" s="30">
        <f>$N$89-$N$15</f>
        <v>5.6238261261041771</v>
      </c>
      <c r="K60" s="3">
        <f t="shared" si="0"/>
        <v>60</v>
      </c>
      <c r="L60" s="45" t="s">
        <v>238</v>
      </c>
      <c r="M60" s="54" t="str">
        <f>IF($C$25&gt;=4,"λj ≦ q+pz &lt; λj+1 の λj+1", "-")</f>
        <v>λj ≦ q+pz &lt; λj+1 の λj+1</v>
      </c>
      <c r="N60" s="44" cm="1">
        <f t="array" aca="1" ref="N60" ca="1">IF($C$25&gt;=4, INDEX(INDIRECT($H$52&amp;"!$A:$A"), MATCH($N52, INDIRECT($H$52&amp;"!$A:$A"), 0) +1),"-")</f>
        <v>125</v>
      </c>
    </row>
    <row r="61" spans="1:14" x14ac:dyDescent="0.4">
      <c r="A61" s="3" t="s">
        <v>1</v>
      </c>
      <c r="B61" s="14" t="s">
        <v>439</v>
      </c>
      <c r="C61" s="19">
        <f>AVERAGE(C76,C77)</f>
        <v>330.22300000000001</v>
      </c>
      <c r="E61" s="3" t="s">
        <v>302</v>
      </c>
      <c r="F61" s="10" t="s">
        <v>268</v>
      </c>
      <c r="G61" s="13" t="s">
        <v>126</v>
      </c>
      <c r="H61" s="30">
        <f>$N$90-$N$15</f>
        <v>6.0722338653758925</v>
      </c>
      <c r="K61" s="3">
        <f t="shared" si="0"/>
        <v>61</v>
      </c>
      <c r="L61" s="45" t="s">
        <v>240</v>
      </c>
      <c r="M61" s="54" t="str">
        <f>IF($C$25&gt;=5,"λj ≦ q+2pz &lt; λj+1 の λj+1", "-")</f>
        <v>λj ≦ q+2pz &lt; λj+1 の λj+1</v>
      </c>
      <c r="N61" s="44" cm="1">
        <f t="array" aca="1" ref="N61" ca="1">IF($C$25&gt;=5, INDEX(INDIRECT($H$52&amp;"!$A:$A"), MATCH($N53, INDIRECT($H$52&amp;"!$A:$A"), 0) +1),"-")</f>
        <v>150</v>
      </c>
    </row>
    <row r="62" spans="1:14" x14ac:dyDescent="0.4">
      <c r="A62" s="3" t="s">
        <v>2</v>
      </c>
      <c r="B62" s="14" t="s">
        <v>0</v>
      </c>
      <c r="C62" s="19">
        <v>40</v>
      </c>
      <c r="E62" s="3" t="s">
        <v>345</v>
      </c>
      <c r="F62" s="9" t="str">
        <f>IF($C$25&gt;=3,"（傾き前）1列目Z座標","-")</f>
        <v>（傾き前）1列目Z座標</v>
      </c>
      <c r="G62" s="13" t="s">
        <v>123</v>
      </c>
      <c r="H62" s="60">
        <f>IF($C$25&gt;=3,$H$3-$C$20,"-")</f>
        <v>390.0159494817317</v>
      </c>
      <c r="I62" s="30">
        <f>IF($C$25&gt;=3,$C$67+H62,"-")</f>
        <v>-759.95805051826824</v>
      </c>
      <c r="K62" s="3">
        <f t="shared" si="0"/>
        <v>62</v>
      </c>
      <c r="L62" s="45" t="s">
        <v>248</v>
      </c>
      <c r="M62" s="54" t="str">
        <f>IF($C$25&gt;=6,"λj ≦ q+3pz &lt; λj+1 の λj+1", "-")</f>
        <v>λj ≦ q+3pz &lt; λj+1 の λj+1</v>
      </c>
      <c r="N62" s="44" cm="1">
        <f t="array" aca="1" ref="N62" ca="1">IF($C$25&gt;=6, INDEX(INDIRECT($H$52&amp;"!$A:$A"), MATCH($N54, INDIRECT($H$52&amp;"!$A:$A"), 0) +1),"-")</f>
        <v>175</v>
      </c>
    </row>
    <row r="63" spans="1:14" x14ac:dyDescent="0.4">
      <c r="A63" s="3" t="s">
        <v>3</v>
      </c>
      <c r="B63" s="14" t="s">
        <v>4</v>
      </c>
      <c r="C63" s="19">
        <v>100</v>
      </c>
      <c r="E63" s="3" t="s">
        <v>344</v>
      </c>
      <c r="F63" s="9" t="str">
        <f>IF($C$25&gt;=4,"（傾き前）2列目Z座標","-")</f>
        <v>（傾き前）2列目Z座標</v>
      </c>
      <c r="G63" s="13" t="s">
        <v>123</v>
      </c>
      <c r="H63" s="60">
        <f>IF($C$25&gt;=4,$H$3-$C$20-$C$21,"-")</f>
        <v>370.0159494817317</v>
      </c>
      <c r="I63" s="30">
        <f>IF($C$25&gt;=4,$C$67+H63,"-")</f>
        <v>-779.95805051826824</v>
      </c>
      <c r="K63" s="3">
        <f t="shared" si="0"/>
        <v>63</v>
      </c>
      <c r="L63" s="45" t="s">
        <v>249</v>
      </c>
      <c r="M63" s="54" t="str">
        <f>IF($C$25&gt;=7,"λj ≦ q+4pz &lt; λj+1 の λj+1", "-")</f>
        <v>-</v>
      </c>
      <c r="N63" s="44" t="str" cm="1">
        <f t="array" aca="1" ref="N63" ca="1">IF($C$25&gt;=7, INDEX(INDIRECT($H$52&amp;"!$A:$A"), MATCH($N55, INDIRECT($H$52&amp;"!$A:$A"), 0) +1),"-")</f>
        <v>-</v>
      </c>
    </row>
    <row r="64" spans="1:14" x14ac:dyDescent="0.4">
      <c r="A64" s="3" t="s">
        <v>10</v>
      </c>
      <c r="B64" s="14" t="s">
        <v>15</v>
      </c>
      <c r="C64" s="37">
        <v>201.5</v>
      </c>
      <c r="F64" s="9" t="str">
        <f>IF($C$25&gt;=5,"（傾き前）3列目Z座標","-")</f>
        <v>（傾き前）3列目Z座標</v>
      </c>
      <c r="G64" s="13" t="s">
        <v>123</v>
      </c>
      <c r="H64" s="60">
        <f>IF($C$25&gt;=5,$H$3-$C$20-2*$C$21,"-")</f>
        <v>350.0159494817317</v>
      </c>
      <c r="I64" s="30">
        <f>IF($C$25&gt;=5,$C$67+H64,"-")</f>
        <v>-799.95805051826824</v>
      </c>
      <c r="K64" s="3">
        <f t="shared" si="0"/>
        <v>64</v>
      </c>
      <c r="L64" s="45" t="s">
        <v>250</v>
      </c>
      <c r="M64" s="54" t="str">
        <f>IF($C$25&gt;=8,"λj ≦ q+5pz &lt; λj+1 の λj+1", "-")</f>
        <v>-</v>
      </c>
      <c r="N64" s="44" t="str" cm="1">
        <f t="array" aca="1" ref="N64" ca="1">IF($C$25&gt;=8, INDEX(INDIRECT($H$52&amp;"!$A:$A"), MATCH($N56, INDIRECT($H$52&amp;"!$A:$A"), 0) +1),"-")</f>
        <v>-</v>
      </c>
    </row>
    <row r="65" spans="2:14" x14ac:dyDescent="0.4">
      <c r="B65" s="14" t="s">
        <v>72</v>
      </c>
      <c r="C65" s="37">
        <v>-740</v>
      </c>
      <c r="F65" s="9" t="str">
        <f>IF($C$25&gt;=6,"（傾き前）4列目Z座標","-")</f>
        <v>（傾き前）4列目Z座標</v>
      </c>
      <c r="G65" s="13" t="s">
        <v>123</v>
      </c>
      <c r="H65" s="60">
        <f>IF($C$25&gt;=6,$H$3-$C$20-3*$C$21,"-")</f>
        <v>330.0159494817317</v>
      </c>
      <c r="I65" s="30">
        <f>IF($C$25&gt;=6,$C$67+H65,"-")</f>
        <v>-819.95805051826824</v>
      </c>
      <c r="K65" s="3">
        <f t="shared" si="0"/>
        <v>65</v>
      </c>
      <c r="L65" s="45" t="s">
        <v>251</v>
      </c>
      <c r="M65" s="54" t="s">
        <v>253</v>
      </c>
      <c r="N65" s="44" cm="1">
        <f t="array" aca="1" ref="N65" ca="1">INDEX(INDIRECT($H$52&amp;"!$A:$A"), MATCH($N57, INDIRECT($H$52&amp;"!$A:$A"), 0) +1)</f>
        <v>175</v>
      </c>
    </row>
    <row r="66" spans="2:14" x14ac:dyDescent="0.4">
      <c r="B66" s="14" t="s">
        <v>23</v>
      </c>
      <c r="C66" s="37">
        <v>-550.01900000000001</v>
      </c>
      <c r="F66" s="9" t="str">
        <f>IF($C$25&gt;=7,"（傾き前）5列目Z座標","-")</f>
        <v>-</v>
      </c>
      <c r="G66" s="13" t="s">
        <v>123</v>
      </c>
      <c r="H66" s="60" t="str">
        <f>IF($C$25&gt;=7,$H$3-$C$20-4*$C$21,"-")</f>
        <v>-</v>
      </c>
      <c r="I66" s="30" t="str">
        <f>IF($C$25&gt;=7,$C$67+H66,"-")</f>
        <v>-</v>
      </c>
      <c r="K66" s="3">
        <f t="shared" si="0"/>
        <v>66</v>
      </c>
      <c r="L66" s="45" t="s">
        <v>252</v>
      </c>
      <c r="M66" s="54" t="s">
        <v>147</v>
      </c>
      <c r="N66" s="44" cm="1">
        <f t="array" aca="1" ref="N66" ca="1">INDEX(INDIRECT($H$52&amp;"!$A:$A"), MATCH($N58, INDIRECT($H$52&amp;"!$A:$A"), 0) +1)</f>
        <v>200</v>
      </c>
    </row>
    <row r="67" spans="2:14" x14ac:dyDescent="0.4">
      <c r="B67" s="14" t="s">
        <v>24</v>
      </c>
      <c r="C67" s="37">
        <v>-1149.9739999999999</v>
      </c>
      <c r="F67" s="9" t="str">
        <f>IF($C$25&gt;=8,"（傾き前）6列目Z座標","-")</f>
        <v>-</v>
      </c>
      <c r="G67" s="13" t="s">
        <v>123</v>
      </c>
      <c r="H67" s="60" t="str">
        <f>IF($C$25&gt;=8,$H$3-$C$20-5*$C$21,"-")</f>
        <v>-</v>
      </c>
      <c r="I67" s="30" t="str">
        <f>IF($C$25&gt;=8,$C$67+H67,"-")</f>
        <v>-</v>
      </c>
      <c r="J67" s="3"/>
      <c r="K67" s="3">
        <f t="shared" si="0"/>
        <v>67</v>
      </c>
      <c r="L67" s="45" t="s">
        <v>148</v>
      </c>
      <c r="M67" s="54" t="str">
        <f>IF($C$25&gt;=3,"q-λj","")</f>
        <v>q-λj</v>
      </c>
      <c r="N67" s="44">
        <f ca="1">IF($C$25&gt;=3,$C$20-$N$51, "-")</f>
        <v>15</v>
      </c>
    </row>
    <row r="68" spans="2:14" x14ac:dyDescent="0.4">
      <c r="B68" s="14" t="s">
        <v>50</v>
      </c>
      <c r="C68" s="37">
        <v>7.2999999999999995E-2</v>
      </c>
      <c r="F68" s="9" t="s">
        <v>346</v>
      </c>
      <c r="G68" s="13" t="s">
        <v>123</v>
      </c>
      <c r="H68" s="60">
        <f>$H$3-$C$20-($C$25-2)*$C$21</f>
        <v>310.0159494817317</v>
      </c>
      <c r="I68" s="30">
        <f>$C$67+H68</f>
        <v>-839.95805051826824</v>
      </c>
      <c r="K68" s="3">
        <f t="shared" si="0"/>
        <v>68</v>
      </c>
      <c r="L68" s="45" t="s">
        <v>256</v>
      </c>
      <c r="M68" s="54" t="str">
        <f>IF($C$25&gt;=4,"q+pz-λj","")</f>
        <v>q+pz-λj</v>
      </c>
      <c r="N68" s="44">
        <f ca="1">IF($C$25&gt;=4,$C$20+$C$21-$N$52, "-")</f>
        <v>10</v>
      </c>
    </row>
    <row r="69" spans="2:14" x14ac:dyDescent="0.4">
      <c r="B69" s="14" t="s">
        <v>440</v>
      </c>
      <c r="C69" s="19">
        <v>251.90899999999999</v>
      </c>
      <c r="E69" s="3" t="s">
        <v>348</v>
      </c>
      <c r="F69" s="9" t="s">
        <v>347</v>
      </c>
      <c r="G69" s="13" t="s">
        <v>123</v>
      </c>
      <c r="H69" s="60">
        <f>$H$3-$C$20-($C$25-1)*$C$21</f>
        <v>290.0159494817317</v>
      </c>
      <c r="I69" s="30">
        <f>$C$67+H69</f>
        <v>-859.95805051826824</v>
      </c>
      <c r="K69" s="3">
        <f t="shared" si="0"/>
        <v>69</v>
      </c>
      <c r="L69" s="45" t="s">
        <v>257</v>
      </c>
      <c r="M69" s="54" t="str">
        <f>IF($C$25&gt;=5,"q+2pz-λj","")</f>
        <v>q+2pz-λj</v>
      </c>
      <c r="N69" s="44">
        <f ca="1">IF($C$25&gt;=5,$C$20+2*$C$21-$N$53, "-")</f>
        <v>5</v>
      </c>
    </row>
    <row r="70" spans="2:14" x14ac:dyDescent="0.4">
      <c r="B70" s="14" t="s">
        <v>441</v>
      </c>
      <c r="C70" s="19">
        <v>244.4</v>
      </c>
      <c r="E70" s="3" t="s">
        <v>305</v>
      </c>
      <c r="F70" s="10" t="s">
        <v>308</v>
      </c>
      <c r="G70" s="13" t="s">
        <v>126</v>
      </c>
      <c r="H70" s="30">
        <f ca="1">$H$22+$C$31*2</f>
        <v>157.00299999999999</v>
      </c>
      <c r="K70" s="3">
        <f t="shared" si="0"/>
        <v>70</v>
      </c>
      <c r="L70" s="45" t="s">
        <v>258</v>
      </c>
      <c r="M70" s="54" t="str">
        <f>IF($C$25&gt;=6,"q+3pz-λj","")</f>
        <v>q+3pz-λj</v>
      </c>
      <c r="N70" s="44">
        <f ca="1">IF($C$25&gt;=6,$C$20+3*$C$21-$N$54, "-")</f>
        <v>0</v>
      </c>
    </row>
    <row r="71" spans="2:14" x14ac:dyDescent="0.4">
      <c r="B71" s="14" t="s">
        <v>140</v>
      </c>
      <c r="C71" s="38">
        <v>8</v>
      </c>
      <c r="E71" s="3" t="s">
        <v>307</v>
      </c>
      <c r="F71" s="10" t="str">
        <f>IF($C$25&gt;=3,"1列目 AC内径（水平・めっき含・概算）","-")</f>
        <v>1列目 AC内径（水平・めっき含・概算）</v>
      </c>
      <c r="G71" s="13" t="s">
        <v>126</v>
      </c>
      <c r="H71" s="30">
        <f ca="1">IF($C$25&gt;=3,($N$67*$N$99+$N$75*$N$91)/($N$59-$N$51)+$C$31*2,"-")</f>
        <v>156.59259999999998</v>
      </c>
      <c r="K71" s="3">
        <f t="shared" si="0"/>
        <v>71</v>
      </c>
      <c r="L71" s="45" t="s">
        <v>259</v>
      </c>
      <c r="M71" s="54" t="str">
        <f>IF($C$25&gt;=7,"q+4pz-λj","-")</f>
        <v>-</v>
      </c>
      <c r="N71" s="44" t="str">
        <f>IF($C$25&gt;=7,$C$20+4*$C$21-$N$55, "-")</f>
        <v>-</v>
      </c>
    </row>
    <row r="72" spans="2:14" x14ac:dyDescent="0.4">
      <c r="F72" s="10" t="s">
        <v>309</v>
      </c>
      <c r="G72" s="13" t="s">
        <v>126</v>
      </c>
      <c r="H72" s="30">
        <f ca="1">($N$74*$N$106+$N$82*$N$98)/($N$66-$N$58)+$C$31*2</f>
        <v>156.16120000000001</v>
      </c>
      <c r="K72" s="3">
        <f t="shared" si="0"/>
        <v>72</v>
      </c>
      <c r="L72" s="45" t="s">
        <v>260</v>
      </c>
      <c r="M72" s="54" t="str">
        <f>IF($C$25&gt;=8,"q+5pz-λj","-")</f>
        <v>-</v>
      </c>
      <c r="N72" s="44" t="str">
        <f>IF($C$25&gt;=8,$C$20+5*$C$21-$N$56, "-")</f>
        <v>-</v>
      </c>
    </row>
    <row r="73" spans="2:14" x14ac:dyDescent="0.4">
      <c r="B73" s="1" t="s">
        <v>397</v>
      </c>
      <c r="C73" s="5">
        <v>-561.11400000000003</v>
      </c>
      <c r="E73" s="3" t="s">
        <v>322</v>
      </c>
      <c r="F73" s="10" t="s">
        <v>225</v>
      </c>
      <c r="G73" s="30" t="s">
        <v>124</v>
      </c>
      <c r="H73" s="30">
        <f ca="1">ROUND(DEGREES($N$112),3)</f>
        <v>2.0019999999999998</v>
      </c>
      <c r="I73" s="5"/>
      <c r="K73" s="3">
        <f t="shared" si="0"/>
        <v>73</v>
      </c>
      <c r="L73" s="45" t="s">
        <v>261</v>
      </c>
      <c r="M73" s="54" t="s">
        <v>261</v>
      </c>
      <c r="N73" s="44">
        <f ca="1">$C$20+($C$25-2)*$C$21-$N$57</f>
        <v>20</v>
      </c>
    </row>
    <row r="74" spans="2:14" x14ac:dyDescent="0.4">
      <c r="B74" s="1" t="s">
        <v>398</v>
      </c>
      <c r="C74" s="5">
        <v>-648.33199999999999</v>
      </c>
      <c r="E74" s="3" t="s">
        <v>322</v>
      </c>
      <c r="F74" s="10" t="s">
        <v>226</v>
      </c>
      <c r="G74" s="30" t="s">
        <v>124</v>
      </c>
      <c r="H74" s="30">
        <f ca="1">$H$7+$H$73</f>
        <v>2.6439999999999997</v>
      </c>
      <c r="I74" s="30">
        <f ca="1">-$C$68+$H$74</f>
        <v>2.5709999999999997</v>
      </c>
      <c r="K74" s="3">
        <f t="shared" si="0"/>
        <v>74</v>
      </c>
      <c r="L74" s="45" t="s">
        <v>150</v>
      </c>
      <c r="M74" s="54" t="s">
        <v>150</v>
      </c>
      <c r="N74" s="44">
        <f ca="1">$C$20+($C$25-1)*$C$21-$N$58</f>
        <v>15</v>
      </c>
    </row>
    <row r="75" spans="2:14" x14ac:dyDescent="0.4">
      <c r="E75" s="3" t="s">
        <v>323</v>
      </c>
      <c r="F75" s="59" t="s">
        <v>321</v>
      </c>
      <c r="G75" s="56" t="s">
        <v>124</v>
      </c>
      <c r="H75" s="56">
        <f ca="1">DEGREES($N$120)</f>
        <v>1.6784998296714242</v>
      </c>
      <c r="K75" s="3">
        <f t="shared" si="0"/>
        <v>75</v>
      </c>
      <c r="L75" s="45" t="s">
        <v>149</v>
      </c>
      <c r="M75" s="54" t="str">
        <f>IF($C$25&gt;=3, "λj+1-q", "-")</f>
        <v>λj+1-q</v>
      </c>
      <c r="N75" s="44">
        <f ca="1">IF($C$25&gt;=3,$N$59-$C$20, "-")</f>
        <v>10</v>
      </c>
    </row>
    <row r="76" spans="2:14" x14ac:dyDescent="0.4">
      <c r="B76" s="14" t="s">
        <v>445</v>
      </c>
      <c r="C76" s="19">
        <v>330.26600000000002</v>
      </c>
      <c r="E76" s="3" t="s">
        <v>323</v>
      </c>
      <c r="F76" s="59" t="s">
        <v>318</v>
      </c>
      <c r="G76" s="56" t="s">
        <v>124</v>
      </c>
      <c r="H76" s="56">
        <f ca="1">$H$7+$H$75</f>
        <v>2.3204998296714243</v>
      </c>
      <c r="I76" s="56">
        <f ca="1">-$C$68+$H$76</f>
        <v>2.2474998296714244</v>
      </c>
      <c r="K76" s="3">
        <f t="shared" si="0"/>
        <v>76</v>
      </c>
      <c r="L76" s="45" t="s">
        <v>262</v>
      </c>
      <c r="M76" s="54" t="str">
        <f>IF($C$25&gt;=4, "λj+1-q-pz", "-")</f>
        <v>λj+1-q-pz</v>
      </c>
      <c r="N76" s="44">
        <f ca="1">IF($C$25&gt;=4,$N$60-$C$20-$C$21, "-")</f>
        <v>15</v>
      </c>
    </row>
    <row r="77" spans="2:14" x14ac:dyDescent="0.4">
      <c r="B77" s="14" t="s">
        <v>446</v>
      </c>
      <c r="C77" s="19">
        <v>330.18</v>
      </c>
      <c r="F77" s="10" t="s">
        <v>197</v>
      </c>
      <c r="G77" s="30" t="s">
        <v>126</v>
      </c>
      <c r="H77" s="30">
        <f ca="1">MIN($N$123, $N$124)</f>
        <v>21.877673873895816</v>
      </c>
      <c r="K77" s="3">
        <f t="shared" ref="K77:K167" si="2">ROW(K77)</f>
        <v>77</v>
      </c>
      <c r="L77" s="45" t="s">
        <v>263</v>
      </c>
      <c r="M77" s="54" t="str">
        <f>IF($C$25&gt;=5, "λj+1-q-2pz", "-")</f>
        <v>λj+1-q-2pz</v>
      </c>
      <c r="N77" s="44">
        <f ca="1">IF($C$25&gt;=5,$N$61-$C$20-2*$C$21, "-")</f>
        <v>20</v>
      </c>
    </row>
    <row r="78" spans="2:14" x14ac:dyDescent="0.4">
      <c r="E78" s="3" t="s">
        <v>349</v>
      </c>
      <c r="F78" s="10" t="s">
        <v>410</v>
      </c>
      <c r="G78" s="13" t="s">
        <v>125</v>
      </c>
      <c r="H78" s="30">
        <f ca="1">($N$67*$N$133+$N$75*$N$125)/($N$59-$N$51)+$C$31*2</f>
        <v>154.57380000000001</v>
      </c>
      <c r="K78" s="3">
        <f t="shared" si="2"/>
        <v>78</v>
      </c>
      <c r="L78" s="45" t="s">
        <v>264</v>
      </c>
      <c r="M78" s="54" t="str">
        <f>IF($C$25&gt;=6, "λj+1-q-3pz", "-")</f>
        <v>λj+1-q-3pz</v>
      </c>
      <c r="N78" s="44">
        <f ca="1">IF($C$25&gt;=6,$N$62-$C$20-3*$C$21, "-")</f>
        <v>25</v>
      </c>
    </row>
    <row r="79" spans="2:14" x14ac:dyDescent="0.4">
      <c r="F79" s="10" t="s">
        <v>351</v>
      </c>
      <c r="G79" s="13" t="s">
        <v>125</v>
      </c>
      <c r="H79" s="30">
        <f ca="1">($N$74*$N$140+$N$82*$N$132)/($N$66-$N$58)+$C$31*2</f>
        <v>154.14839999999998</v>
      </c>
      <c r="K79" s="3">
        <f t="shared" si="2"/>
        <v>79</v>
      </c>
      <c r="L79" s="45" t="s">
        <v>265</v>
      </c>
      <c r="M79" s="54" t="str">
        <f>IF($C$25&gt;=7, "λj+1-q-4pz", "-")</f>
        <v>-</v>
      </c>
      <c r="N79" s="44" t="str">
        <f>IF($C$25&gt;=7,$N$63-$C$20-4*$C$21, "-")</f>
        <v>-</v>
      </c>
    </row>
    <row r="80" spans="2:14" x14ac:dyDescent="0.4">
      <c r="F80" s="32" t="s">
        <v>387</v>
      </c>
      <c r="K80" s="3">
        <f t="shared" si="2"/>
        <v>80</v>
      </c>
      <c r="L80" s="45" t="s">
        <v>266</v>
      </c>
      <c r="M80" s="54" t="str">
        <f>IF($C$25&gt;=8, "λj+1-q-5pz", "-")</f>
        <v>-</v>
      </c>
      <c r="N80" s="44" t="str">
        <f>IF($C$25&gt;=8,$N$64-$C$20-5*$C$21, "-")</f>
        <v>-</v>
      </c>
    </row>
    <row r="81" spans="6:14" x14ac:dyDescent="0.4">
      <c r="F81" s="10" t="str">
        <f>IF($C$25&gt;=3,"内面溝1列目-トップ端 湾曲中心間X距離", "-")</f>
        <v>内面溝1列目-トップ端 湾曲中心間X距離</v>
      </c>
      <c r="G81" s="13" t="s">
        <v>126</v>
      </c>
      <c r="H81" s="30">
        <f ca="1">IF($C$25&gt;=$C$71-5,$H$54*$N$114-$C$20*$N$113, "-")</f>
        <v>0.23529084292472469</v>
      </c>
      <c r="K81" s="3">
        <f t="shared" si="2"/>
        <v>81</v>
      </c>
      <c r="L81" s="45" t="s">
        <v>267</v>
      </c>
      <c r="M81" s="54" t="s">
        <v>267</v>
      </c>
      <c r="N81" s="2">
        <f ca="1">$N$65-$C$20-($C$25-2)*$C$21</f>
        <v>5</v>
      </c>
    </row>
    <row r="82" spans="6:14" x14ac:dyDescent="0.4">
      <c r="F82" s="10" t="str">
        <f>IF($C$25&gt;=4,"内面溝2列目-トップ端 湾曲中心間X距離", "-")</f>
        <v>内面溝2列目-トップ端 湾曲中心間X距離</v>
      </c>
      <c r="G82" s="13" t="s">
        <v>126</v>
      </c>
      <c r="H82" s="30">
        <f ca="1">IF($C$25&gt;=$C$71-4,$H$55*$N$114-($C$20+$C21)*$N$113, "-")</f>
        <v>0.16414228491088156</v>
      </c>
      <c r="K82" s="3">
        <f t="shared" si="2"/>
        <v>82</v>
      </c>
      <c r="L82" s="45" t="s">
        <v>182</v>
      </c>
      <c r="M82" s="54" t="s">
        <v>182</v>
      </c>
      <c r="N82" s="2">
        <f ca="1">$N$66-$C$20-($C$25-1)*$C$21</f>
        <v>10</v>
      </c>
    </row>
    <row r="83" spans="6:14" x14ac:dyDescent="0.4">
      <c r="F83" s="10" t="str">
        <f>IF($C$25&gt;=5,"内面溝3列目-トップ端 湾曲中心間X距離", "-")</f>
        <v>内面溝3列目-トップ端 湾曲中心間X距離</v>
      </c>
      <c r="G83" s="13" t="s">
        <v>126</v>
      </c>
      <c r="H83" s="30">
        <f ca="1">IF($C$25&gt;=$C$71-3,$H$56*$N$114-($C$20+2*$C$21)*$N$113, "-")</f>
        <v>4.8129948049920657E-2</v>
      </c>
      <c r="K83" s="3">
        <f t="shared" si="2"/>
        <v>83</v>
      </c>
      <c r="L83" s="45" t="s">
        <v>270</v>
      </c>
      <c r="M83" s="54" t="str">
        <f>IF($C$25&gt;=3,"1列目湾曲中心X","-")</f>
        <v>1列目湾曲中心X</v>
      </c>
      <c r="N83" s="46">
        <f>IF($C$25&gt;=3,SQRT($C$3^2-$N$43^2),"-")</f>
        <v>8917.9860557190823</v>
      </c>
    </row>
    <row r="84" spans="6:14" x14ac:dyDescent="0.4">
      <c r="F84" s="10" t="str">
        <f>IF($C$25&gt;=6,"内面溝4列目-トップ端 湾曲中心間X距離", "-")</f>
        <v>内面溝4列目-トップ端 湾曲中心間X距離</v>
      </c>
      <c r="G84" s="13" t="s">
        <v>126</v>
      </c>
      <c r="H84" s="30">
        <f ca="1">IF($C$25&gt;=$C$71-2,$H$57*$N$114-($C$20+3*$C$21)*$N$113, "-")</f>
        <v>-0.11273737020309937</v>
      </c>
      <c r="K84" s="3">
        <f t="shared" si="2"/>
        <v>84</v>
      </c>
      <c r="L84" s="45" t="s">
        <v>271</v>
      </c>
      <c r="M84" s="54" t="str">
        <f>IF($C$25&gt;=4,"2列目湾曲中心X","-")</f>
        <v>2列目湾曲中心X</v>
      </c>
      <c r="N84" s="46">
        <f>IF($C$25&gt;=4,SQRT($C$3^2-$N$44^2),"-")</f>
        <v>8918.6139780797785</v>
      </c>
    </row>
    <row r="85" spans="6:14" x14ac:dyDescent="0.4">
      <c r="F85" s="10" t="str">
        <f>IF($C$25&gt;=7,"内面溝5列目-トップ端 湾曲中心間X距離", "-")</f>
        <v>-</v>
      </c>
      <c r="G85" s="13" t="s">
        <v>126</v>
      </c>
      <c r="H85" s="30" t="str">
        <f>IF($C$25&gt;=$C$71-1,$H$58*$N$114-($C$20+4*$C$21)*$N$113, "-")</f>
        <v>-</v>
      </c>
      <c r="K85" s="3">
        <f t="shared" si="2"/>
        <v>85</v>
      </c>
      <c r="L85" s="45" t="s">
        <v>272</v>
      </c>
      <c r="M85" s="54" t="str">
        <f>IF($C$25&gt;=5,"3列目湾曲中心X","-")</f>
        <v>3列目湾曲中心X</v>
      </c>
      <c r="N85" s="46">
        <f>IF($C$25&gt;=5,SQRT($C$3^2-$N$45^2),"-")</f>
        <v>8919.1970092604188</v>
      </c>
    </row>
    <row r="86" spans="6:14" x14ac:dyDescent="0.4">
      <c r="F86" s="10" t="str">
        <f>IF($C$25&gt;=8,"内面溝6列目-トップ端 湾曲中心間X距離", "-")</f>
        <v>-</v>
      </c>
      <c r="G86" s="13" t="s">
        <v>126</v>
      </c>
      <c r="H86" s="30" t="str">
        <f>IF($C$25&gt;=$C$71,$H$59*$N$114-($C$20+5*$C$21)*$N$113, "-")</f>
        <v>-</v>
      </c>
      <c r="K86" s="3">
        <f t="shared" si="2"/>
        <v>86</v>
      </c>
      <c r="L86" s="45" t="s">
        <v>273</v>
      </c>
      <c r="M86" s="54" t="str">
        <f>IF($C$25&gt;=6,"4列目湾曲中心X","-")</f>
        <v>4列目湾曲中心X</v>
      </c>
      <c r="N86" s="46">
        <f>IF($C$25&gt;=6,SQRT($C$3^2-$N$46^2),"-")</f>
        <v>8919.7351580638315</v>
      </c>
    </row>
    <row r="87" spans="6:14" x14ac:dyDescent="0.4">
      <c r="F87" s="10" t="s">
        <v>269</v>
      </c>
      <c r="G87" s="13" t="s">
        <v>126</v>
      </c>
      <c r="H87" s="30">
        <f ca="1">$H$60*$N$114-($C$20+($C$25-2)*$C$21)*$N$113</f>
        <v>-0.31845155167636996</v>
      </c>
      <c r="K87" s="3">
        <f t="shared" si="2"/>
        <v>87</v>
      </c>
      <c r="L87" s="45" t="s">
        <v>274</v>
      </c>
      <c r="M87" s="54" t="str">
        <f>IF($C$25&gt;=7,"5列目湾曲中心X","-")</f>
        <v>-</v>
      </c>
      <c r="N87" s="46" t="str">
        <f>IF($C$25&gt;=7,SQRT($C$3^2-$N$47^2),"-")</f>
        <v>-</v>
      </c>
    </row>
    <row r="88" spans="6:14" x14ac:dyDescent="0.4">
      <c r="F88" s="10" t="s">
        <v>268</v>
      </c>
      <c r="G88" s="13" t="s">
        <v>126</v>
      </c>
      <c r="H88" s="30">
        <f ca="1">$H$61*$N$114-($C$20+($C$25-1)*$C$21)*$N$113</f>
        <v>-0.56900515685961839</v>
      </c>
      <c r="K88" s="3">
        <f t="shared" si="2"/>
        <v>88</v>
      </c>
      <c r="L88" s="45" t="s">
        <v>275</v>
      </c>
      <c r="M88" s="54" t="str">
        <f>IF($C$25&gt;=8,"6列目湾曲中心X","-")</f>
        <v>-</v>
      </c>
      <c r="N88" s="46" t="str">
        <f>IF($C$25&gt;=8,SQRT($C$3^2-$N$48^2),"-")</f>
        <v>-</v>
      </c>
    </row>
    <row r="89" spans="6:14" x14ac:dyDescent="0.4">
      <c r="F89" s="10" t="str">
        <f>IF($C$25&gt;=3,"内面溝1列目-トップ端 湾曲中心間Z距離", "-")</f>
        <v>内面溝1列目-トップ端 湾曲中心間Z距離</v>
      </c>
      <c r="G89" s="13" t="s">
        <v>123</v>
      </c>
      <c r="H89" s="30">
        <f ca="1">IF($C$25&gt;=$C$71-5,$H$54*$N$113+$C$20*$N$114, "-")</f>
        <v>90.063193576111303</v>
      </c>
      <c r="K89" s="3">
        <f t="shared" si="2"/>
        <v>89</v>
      </c>
      <c r="L89" s="45" t="s">
        <v>276</v>
      </c>
      <c r="M89" s="54" t="s">
        <v>278</v>
      </c>
      <c r="N89" s="47">
        <f>SQRT($C$3^2-$N$49^2)</f>
        <v>8920.2284326131467</v>
      </c>
    </row>
    <row r="90" spans="6:14" x14ac:dyDescent="0.4">
      <c r="F90" s="10" t="str">
        <f>IF($C$25&gt;=4,"内面溝2列目-トップ端 湾曲中心間Z距離", "-")</f>
        <v>内面溝2列目-トップ端 湾曲中心間Z距離</v>
      </c>
      <c r="G90" s="13" t="s">
        <v>123</v>
      </c>
      <c r="H90" s="30">
        <f ca="1">IF($C$25&gt;=$C$71-4,$H$55*$N$113+($C$20+$C$21)*$N$114, "-")</f>
        <v>110.07292181948721</v>
      </c>
      <c r="K90" s="3">
        <f t="shared" si="2"/>
        <v>90</v>
      </c>
      <c r="L90" s="45" t="s">
        <v>277</v>
      </c>
      <c r="M90" s="54" t="s">
        <v>279</v>
      </c>
      <c r="N90" s="47">
        <f>SQRT($C$3^2-$N$50^2)</f>
        <v>8920.6768403524184</v>
      </c>
    </row>
    <row r="91" spans="6:14" x14ac:dyDescent="0.4">
      <c r="F91" s="10" t="str">
        <f>IF($C$25&gt;=5,"内面溝3列目-トップ端 湾曲中心間Z距離", "-")</f>
        <v>内面溝3列目-トップ端 湾曲中心間Z距離</v>
      </c>
      <c r="G91" s="13" t="s">
        <v>123</v>
      </c>
      <c r="H91" s="30">
        <f ca="1">IF($C$25&gt;=$C$71-3,$H$56*$N$113+($C$20+2*$C$21)*$N$114, "-")</f>
        <v>130.08108181723048</v>
      </c>
      <c r="K91" s="3">
        <f t="shared" si="2"/>
        <v>91</v>
      </c>
      <c r="L91" s="45" t="s">
        <v>280</v>
      </c>
      <c r="M91" s="54" t="str">
        <f>IF($C$25&gt;=3,"λj ≦ q &lt; λj+1 の wAj", "-")</f>
        <v>λj ≦ q &lt; λj+1 の wAj</v>
      </c>
      <c r="N91" s="44">
        <f ca="1">IF($C$25&gt;=3, INDEX(INDIRECT($H$52&amp;"!B:B"), MATCH($N$51, INDIRECT($H$52&amp;"!A:A"), 0)),"-")</f>
        <v>156.52099999999999</v>
      </c>
    </row>
    <row r="92" spans="6:14" x14ac:dyDescent="0.4">
      <c r="F92" s="10" t="str">
        <f>IF($C$25&gt;=6,"内面溝4列目-トップ端 湾曲中心間Z距離", "-")</f>
        <v>内面溝4列目-トップ端 湾曲中心間Z距離</v>
      </c>
      <c r="G92" s="13" t="s">
        <v>123</v>
      </c>
      <c r="H92" s="30">
        <f ca="1">IF($C$25&gt;=$C$71-2,$H$57*$N$113+($C$20+3*$C$21)*$N$114, "-")</f>
        <v>150.08767387686254</v>
      </c>
      <c r="K92" s="3">
        <f t="shared" si="2"/>
        <v>92</v>
      </c>
      <c r="L92" s="45" t="s">
        <v>281</v>
      </c>
      <c r="M92" s="54" t="str">
        <f>IF($C$25&gt;=4,"λj ≦ q+pz &lt; λj+1 の wAj", "-")</f>
        <v>λj ≦ q+pz &lt; λj+1 の wAj</v>
      </c>
      <c r="N92" s="44">
        <f ca="1">IF($C$25&gt;=4, INDEX(INDIRECT($H$52&amp;"!B:B"), MATCH($N$52, INDIRECT($H$52&amp;"!A:A"), 0)),"-")</f>
        <v>156.40700000000001</v>
      </c>
    </row>
    <row r="93" spans="6:14" x14ac:dyDescent="0.4">
      <c r="F93" s="10" t="str">
        <f>IF($C$25&gt;=7,"内面溝5列目-トップ端 湾曲中心間Z距離", "-")</f>
        <v>-</v>
      </c>
      <c r="G93" s="13" t="s">
        <v>123</v>
      </c>
      <c r="H93" s="30" t="str">
        <f>IF($C$25&gt;=$C$71-1,$H$58*$N$113+($C$20+4*$C$21)*$N$114, "-")</f>
        <v>-</v>
      </c>
      <c r="K93" s="3">
        <f t="shared" si="2"/>
        <v>93</v>
      </c>
      <c r="L93" s="45" t="s">
        <v>282</v>
      </c>
      <c r="M93" s="54" t="str">
        <f>IF($C$25&gt;=5,"λj ≦ q+2pz &lt; λj+1 の wAj", "-")</f>
        <v>λj ≦ q+2pz &lt; λj+1 の wAj</v>
      </c>
      <c r="N93" s="44">
        <f ca="1">IF($C$25&gt;=5, INDEX(INDIRECT($H$52&amp;"!B:B"), MATCH($N$53, INDIRECT($H$52&amp;"!A:A"), 0)),"-")</f>
        <v>156.29300000000001</v>
      </c>
    </row>
    <row r="94" spans="6:14" x14ac:dyDescent="0.4">
      <c r="F94" s="10" t="str">
        <f>IF($C$25&gt;=8,"内面溝6列目-トップ端 湾曲中心間Z距離", "-")</f>
        <v>-</v>
      </c>
      <c r="G94" s="13" t="s">
        <v>123</v>
      </c>
      <c r="H94" s="30" t="str">
        <f>IF($C$25&gt;=$C$71-0,$H$59*$N$113+($C$20+5*$C$21)*$N$114, "-")</f>
        <v>-</v>
      </c>
      <c r="K94" s="3">
        <f t="shared" si="2"/>
        <v>94</v>
      </c>
      <c r="L94" s="45" t="s">
        <v>283</v>
      </c>
      <c r="M94" s="54" t="str">
        <f>IF($C$25&gt;=6,"λj ≦ q+3pz &lt; λj+1 の wAj", "-")</f>
        <v>λj ≦ q+3pz &lt; λj+1 の wAj</v>
      </c>
      <c r="N94" s="44">
        <f ca="1">IF($C$25&gt;=6, INDEX(INDIRECT($H$52&amp;"!B:B"), MATCH($N$54, INDIRECT($H$52&amp;"!A:A"), 0)),"-")</f>
        <v>156.179</v>
      </c>
    </row>
    <row r="95" spans="6:14" x14ac:dyDescent="0.4">
      <c r="F95" s="10" t="s">
        <v>393</v>
      </c>
      <c r="G95" s="13" t="s">
        <v>123</v>
      </c>
      <c r="H95" s="30">
        <f ca="1">$H$60*$N$113+($C$20+($C$25-2)*$C$21)*$N$114</f>
        <v>170.09269828215989</v>
      </c>
      <c r="K95" s="3">
        <f t="shared" si="2"/>
        <v>95</v>
      </c>
      <c r="L95" s="45" t="s">
        <v>284</v>
      </c>
      <c r="M95" s="54" t="str">
        <f>IF($C$25&gt;=7,"λj ≦ q+4pz &lt; λj+1 の wAj", "-")</f>
        <v>-</v>
      </c>
      <c r="N95" s="44" t="str">
        <f ca="1">IF($C$25&gt;=7, INDEX(INDIRECT($H$52&amp;"!B:B"), MATCH($N$55, INDIRECT($H$52&amp;"!A:A"), 0)),"-")</f>
        <v>-</v>
      </c>
    </row>
    <row r="96" spans="6:14" x14ac:dyDescent="0.4">
      <c r="F96" s="10" t="s">
        <v>394</v>
      </c>
      <c r="G96" s="13" t="s">
        <v>123</v>
      </c>
      <c r="H96" s="30">
        <f ca="1">$H$61*$N$113+($C$20+($C$25-1)*$C$21)*$N$114</f>
        <v>190.09615529317597</v>
      </c>
      <c r="K96" s="3">
        <f t="shared" si="2"/>
        <v>96</v>
      </c>
      <c r="L96" s="45" t="s">
        <v>285</v>
      </c>
      <c r="M96" s="54" t="str">
        <f>IF($C$25&gt;=8,"λj ≦ q+5pz &lt; λj+1 の wAj", "-")</f>
        <v>-</v>
      </c>
      <c r="N96" s="44" t="str">
        <f ca="1">IF($C$25&gt;=8, INDEX(INDIRECT($H$52&amp;"!B:B"), MATCH($N$56, INDIRECT($H$52&amp;"!A:A"), 0)),"-")</f>
        <v>-</v>
      </c>
    </row>
    <row r="97" spans="5:14" x14ac:dyDescent="0.4">
      <c r="F97" s="32" t="s">
        <v>411</v>
      </c>
      <c r="K97" s="3">
        <f t="shared" si="2"/>
        <v>97</v>
      </c>
      <c r="L97" s="45" t="s">
        <v>286</v>
      </c>
      <c r="M97" s="54" t="s">
        <v>288</v>
      </c>
      <c r="N97" s="44">
        <f ca="1">INDEX(INDIRECT($H$52&amp;"!B:B"), MATCH($N$57, INDIRECT($H$52&amp;"!A:A"), 0))</f>
        <v>156.179</v>
      </c>
    </row>
    <row r="98" spans="5:14" x14ac:dyDescent="0.4">
      <c r="E98" s="3" t="s">
        <v>399</v>
      </c>
      <c r="F98" s="9" t="s">
        <v>404</v>
      </c>
      <c r="G98" s="13" t="s">
        <v>126</v>
      </c>
      <c r="H98" s="30">
        <f>$C$73-$C66</f>
        <v>-11.095000000000027</v>
      </c>
      <c r="I98" s="30">
        <f>$C$66+H98</f>
        <v>-561.11400000000003</v>
      </c>
      <c r="K98" s="3">
        <f t="shared" si="2"/>
        <v>98</v>
      </c>
      <c r="L98" s="45" t="s">
        <v>287</v>
      </c>
      <c r="M98" s="54" t="s">
        <v>289</v>
      </c>
      <c r="N98" s="44">
        <f ca="1">INDEX(INDIRECT($H$52&amp;"!B:B"), MATCH($N$58, INDIRECT($H$52&amp;"!A:A"), 0))</f>
        <v>156.077</v>
      </c>
    </row>
    <row r="99" spans="5:14" x14ac:dyDescent="0.4">
      <c r="E99" s="3" t="s">
        <v>400</v>
      </c>
      <c r="F99" s="9" t="s">
        <v>405</v>
      </c>
      <c r="G99" s="13" t="s">
        <v>123</v>
      </c>
      <c r="H99" s="30">
        <f>$H$3</f>
        <v>480.0159494817317</v>
      </c>
      <c r="I99" s="30">
        <f>$C$67+H99</f>
        <v>-669.95805051826824</v>
      </c>
      <c r="K99" s="3">
        <f t="shared" si="2"/>
        <v>99</v>
      </c>
      <c r="L99" s="45" t="s">
        <v>290</v>
      </c>
      <c r="M99" s="54" t="str">
        <f>IF($C$25&gt;=3,"λj ≦ q &lt; λj+1 の wAj+1", "-")</f>
        <v>λj ≦ q &lt; λj+1 の wAj+1</v>
      </c>
      <c r="N99" s="44">
        <f ca="1">IF($C$25&gt;=3, INDEX(INDIRECT($H$52&amp;"!B:B"), MATCH($N$59, INDIRECT($H$52&amp;"!A:A"), 0)),"-")</f>
        <v>156.40700000000001</v>
      </c>
    </row>
    <row r="100" spans="5:14" x14ac:dyDescent="0.4">
      <c r="E100" s="3" t="s">
        <v>401</v>
      </c>
      <c r="F100" s="9" t="s">
        <v>406</v>
      </c>
      <c r="G100" s="13" t="s">
        <v>126</v>
      </c>
      <c r="H100" s="30">
        <f ca="1">$H$98*$N$114+$H$99*$N$113</f>
        <v>5.6808328434610509</v>
      </c>
      <c r="I100" s="30">
        <f ca="1">$C$66+H100</f>
        <v>-544.33816715653893</v>
      </c>
      <c r="K100" s="3">
        <f t="shared" si="2"/>
        <v>100</v>
      </c>
      <c r="L100" s="45" t="s">
        <v>291</v>
      </c>
      <c r="M100" s="54" t="str">
        <f>IF($C$25&gt;=4,"λj ≦ q+pz &lt; λj+1 の wAj+1", "-")</f>
        <v>λj ≦ q+pz &lt; λj+1 の wAj+1</v>
      </c>
      <c r="N100" s="44">
        <f ca="1">IF($C$25&gt;=4, INDEX(INDIRECT($H$52&amp;"!B:B"), MATCH($N$60, INDIRECT($H$52&amp;"!A:A"), 0)),"-")</f>
        <v>156.29300000000001</v>
      </c>
    </row>
    <row r="101" spans="5:14" x14ac:dyDescent="0.4">
      <c r="E101" s="3" t="s">
        <v>402</v>
      </c>
      <c r="F101" s="9" t="s">
        <v>407</v>
      </c>
      <c r="G101" s="13" t="s">
        <v>123</v>
      </c>
      <c r="H101" s="30">
        <f ca="1">-$H$98*$N$113+$H$99*$N$114</f>
        <v>480.1105486448439</v>
      </c>
      <c r="I101" s="30">
        <f ca="1">$C$67+H101</f>
        <v>-669.86345135515603</v>
      </c>
      <c r="K101" s="3">
        <f t="shared" si="2"/>
        <v>101</v>
      </c>
      <c r="L101" s="45" t="s">
        <v>292</v>
      </c>
      <c r="M101" s="54" t="str">
        <f>IF($C$25&gt;=5,"λj ≦ q+2pz &lt; λj+1 の wAj+1", "-")</f>
        <v>λj ≦ q+2pz &lt; λj+1 の wAj+1</v>
      </c>
      <c r="N101" s="44">
        <f ca="1">IF($C$25&gt;=5, INDEX(INDIRECT($H$52&amp;"!B:B"), MATCH($N$61, INDIRECT($H$52&amp;"!A:A"), 0)),"-")</f>
        <v>156.179</v>
      </c>
    </row>
    <row r="102" spans="5:14" x14ac:dyDescent="0.4">
      <c r="F102" s="9" t="s">
        <v>403</v>
      </c>
      <c r="G102" s="13" t="s">
        <v>126</v>
      </c>
      <c r="H102" s="30">
        <f ca="1">$H$100-$H$98</f>
        <v>16.775832843461078</v>
      </c>
      <c r="K102" s="3">
        <f t="shared" si="2"/>
        <v>102</v>
      </c>
      <c r="L102" s="45" t="s">
        <v>293</v>
      </c>
      <c r="M102" s="54" t="str">
        <f>IF($C$25&gt;=6,"λj ≦ q+3pz &lt; λj+1 の wAj+1", "-")</f>
        <v>λj ≦ q+3pz &lt; λj+1 の wAj+1</v>
      </c>
      <c r="N102" s="44">
        <f ca="1">IF($C$25&gt;=6, INDEX(INDIRECT($H$52&amp;"!B:B"), MATCH($N$62, INDIRECT($H$52&amp;"!A:A"), 0)),"-")</f>
        <v>156.077</v>
      </c>
    </row>
    <row r="103" spans="5:14" x14ac:dyDescent="0.4">
      <c r="F103" s="9" t="s">
        <v>403</v>
      </c>
      <c r="G103" s="13" t="s">
        <v>123</v>
      </c>
      <c r="H103" s="30">
        <f ca="1">$H$101-$H$99</f>
        <v>9.4599163112206952E-2</v>
      </c>
      <c r="K103" s="3">
        <f t="shared" si="2"/>
        <v>103</v>
      </c>
      <c r="L103" s="45" t="s">
        <v>294</v>
      </c>
      <c r="M103" s="54" t="str">
        <f>IF($C$25&gt;=7,"λj ≦ q+4pz &lt; λj+1 の wAj+1", "-")</f>
        <v>-</v>
      </c>
      <c r="N103" s="44" t="str">
        <f ca="1">IF($C$25&gt;=7, INDEX(INDIRECT($H$52&amp;"!B:B"), MATCH($N$63, INDIRECT($H$52&amp;"!A:A"), 0)),"-")</f>
        <v>-</v>
      </c>
    </row>
    <row r="104" spans="5:14" x14ac:dyDescent="0.4">
      <c r="K104" s="3">
        <f t="shared" si="2"/>
        <v>104</v>
      </c>
      <c r="L104" s="45" t="s">
        <v>295</v>
      </c>
      <c r="M104" s="54" t="str">
        <f>IF($C$25&gt;=8,"λj ≦ q+5pz &lt; λj+1 の wAj+1", "-")</f>
        <v>-</v>
      </c>
      <c r="N104" s="44" t="str">
        <f ca="1">IF($C$25&gt;=8, INDEX(INDIRECT($H$52&amp;"!B:B"), MATCH($N$64, INDIRECT($H$52&amp;"!A:A"), 0)),"-")</f>
        <v>-</v>
      </c>
    </row>
    <row r="105" spans="5:14" x14ac:dyDescent="0.4">
      <c r="F105" s="34" t="s">
        <v>442</v>
      </c>
      <c r="G105" s="28"/>
      <c r="H105" s="28"/>
      <c r="K105" s="3">
        <f t="shared" si="2"/>
        <v>105</v>
      </c>
      <c r="L105" s="45" t="s">
        <v>296</v>
      </c>
      <c r="M105" s="54" t="s">
        <v>298</v>
      </c>
      <c r="N105" s="44">
        <f ca="1">INDEX(INDIRECT($H$52&amp;"!B:B"), MATCH($N$65, INDIRECT($H$52&amp;"!A:A"), 0))</f>
        <v>156.077</v>
      </c>
    </row>
    <row r="106" spans="5:14" x14ac:dyDescent="0.4">
      <c r="F106" s="9" t="s">
        <v>444</v>
      </c>
      <c r="G106" s="61"/>
      <c r="H106" s="13"/>
      <c r="K106" s="3">
        <f t="shared" si="2"/>
        <v>106</v>
      </c>
      <c r="L106" s="45" t="s">
        <v>297</v>
      </c>
      <c r="M106" s="54" t="s">
        <v>299</v>
      </c>
      <c r="N106" s="44">
        <f ca="1">INDEX(INDIRECT($H$52&amp;"!B:B"), MATCH($N$66, INDIRECT($H$52&amp;"!A:A"), 0))</f>
        <v>155.98400000000001</v>
      </c>
    </row>
    <row r="107" spans="5:14" x14ac:dyDescent="0.4">
      <c r="F107" s="9" t="s">
        <v>443</v>
      </c>
      <c r="G107" s="61"/>
      <c r="H107" s="13"/>
      <c r="K107" s="3">
        <f t="shared" si="2"/>
        <v>107</v>
      </c>
      <c r="L107" s="45" t="s">
        <v>310</v>
      </c>
      <c r="M107" s="54" t="s">
        <v>223</v>
      </c>
      <c r="N107" s="2">
        <f ca="1">$C$3+$H$70/2</f>
        <v>9001.201500000001</v>
      </c>
    </row>
    <row r="108" spans="5:14" x14ac:dyDescent="0.4">
      <c r="K108" s="3">
        <f t="shared" si="2"/>
        <v>108</v>
      </c>
      <c r="L108" s="45" t="s">
        <v>311</v>
      </c>
      <c r="M108" s="54" t="s">
        <v>224</v>
      </c>
      <c r="N108" s="2">
        <f ca="1">$C$3+$H$71/2</f>
        <v>9000.9963000000007</v>
      </c>
    </row>
    <row r="109" spans="5:14" x14ac:dyDescent="0.4">
      <c r="K109" s="3">
        <f t="shared" si="2"/>
        <v>109</v>
      </c>
      <c r="L109" s="45" t="s">
        <v>314</v>
      </c>
      <c r="M109" s="54" t="s">
        <v>195</v>
      </c>
      <c r="N109" s="2">
        <f ca="1">SQRT($N$108^2-$N$43^2)</f>
        <v>8996.3233819496345</v>
      </c>
    </row>
    <row r="110" spans="5:14" x14ac:dyDescent="0.4">
      <c r="K110" s="3">
        <f t="shared" si="2"/>
        <v>110</v>
      </c>
      <c r="L110" s="45" t="s">
        <v>315</v>
      </c>
      <c r="M110" s="54" t="s">
        <v>195</v>
      </c>
      <c r="N110" s="2">
        <f ca="1">SQRT($N$107^2-$C$4^2)</f>
        <v>8993.1767715086226</v>
      </c>
    </row>
    <row r="111" spans="5:14" x14ac:dyDescent="0.4">
      <c r="K111" s="3">
        <f t="shared" si="2"/>
        <v>111</v>
      </c>
      <c r="L111" s="45" t="s">
        <v>183</v>
      </c>
      <c r="M111" s="54" t="s">
        <v>183</v>
      </c>
      <c r="N111" s="2">
        <f ca="1">IF($N$109&gt;$N$110, ($N$109-$N$110)/$C$20, 0)</f>
        <v>3.4962338233466048E-2</v>
      </c>
    </row>
    <row r="112" spans="5:14" x14ac:dyDescent="0.4">
      <c r="K112" s="3">
        <f t="shared" si="2"/>
        <v>112</v>
      </c>
      <c r="L112" s="45" t="s">
        <v>184</v>
      </c>
      <c r="M112" s="54" t="s">
        <v>151</v>
      </c>
      <c r="N112" s="2">
        <f ca="1">ATAN($N$111)</f>
        <v>3.4948103091703542E-2</v>
      </c>
    </row>
    <row r="113" spans="11:14" x14ac:dyDescent="0.4">
      <c r="K113" s="3">
        <f t="shared" si="2"/>
        <v>113</v>
      </c>
      <c r="L113" s="45" t="s">
        <v>392</v>
      </c>
      <c r="M113" s="54" t="s">
        <v>392</v>
      </c>
      <c r="N113" s="2">
        <f ca="1">SIN(RADIANS($H$73))</f>
        <v>3.4934382002123322E-2</v>
      </c>
    </row>
    <row r="114" spans="11:14" x14ac:dyDescent="0.4">
      <c r="K114" s="3">
        <f t="shared" si="2"/>
        <v>114</v>
      </c>
      <c r="L114" s="45" t="s">
        <v>391</v>
      </c>
      <c r="M114" s="54" t="s">
        <v>391</v>
      </c>
      <c r="N114" s="2">
        <f ca="1">COS(RADIANS($H$73))</f>
        <v>0.99938960818798273</v>
      </c>
    </row>
    <row r="115" spans="11:14" x14ac:dyDescent="0.4">
      <c r="K115" s="3">
        <f t="shared" si="2"/>
        <v>115</v>
      </c>
      <c r="L115" s="45" t="s">
        <v>312</v>
      </c>
      <c r="M115" s="54" t="s">
        <v>144</v>
      </c>
      <c r="N115" s="2">
        <f ca="1">$C$3-$H$71/2</f>
        <v>8844.4037000000008</v>
      </c>
    </row>
    <row r="116" spans="11:14" x14ac:dyDescent="0.4">
      <c r="K116" s="3">
        <f t="shared" si="2"/>
        <v>116</v>
      </c>
      <c r="L116" s="45" t="s">
        <v>313</v>
      </c>
      <c r="M116" s="54" t="s">
        <v>145</v>
      </c>
      <c r="N116" s="2">
        <f ca="1">$C$3-$H$72/2</f>
        <v>8844.6194000000014</v>
      </c>
    </row>
    <row r="117" spans="11:14" x14ac:dyDescent="0.4">
      <c r="K117" s="3">
        <f t="shared" si="2"/>
        <v>117</v>
      </c>
      <c r="L117" s="45" t="s">
        <v>316</v>
      </c>
      <c r="M117" s="54" t="s">
        <v>196</v>
      </c>
      <c r="N117" s="2">
        <f ca="1">SQRT($N$116^2-$N$50^2)</f>
        <v>8842.5783757259615</v>
      </c>
    </row>
    <row r="118" spans="11:14" x14ac:dyDescent="0.4">
      <c r="K118" s="3">
        <f t="shared" si="2"/>
        <v>118</v>
      </c>
      <c r="L118" s="45" t="s">
        <v>317</v>
      </c>
      <c r="M118" s="54" t="s">
        <v>196</v>
      </c>
      <c r="N118" s="2">
        <f ca="1">SQRT($N$115^2-$N$43^2)</f>
        <v>8839.6480025266683</v>
      </c>
    </row>
    <row r="119" spans="11:14" x14ac:dyDescent="0.4">
      <c r="K119" s="3">
        <f t="shared" si="2"/>
        <v>119</v>
      </c>
      <c r="L119" s="45" t="s">
        <v>185</v>
      </c>
      <c r="N119" s="2">
        <f ca="1">($N117-$N118)/($N$43-$N$50)</f>
        <v>2.9303731992931716E-2</v>
      </c>
    </row>
    <row r="120" spans="11:14" x14ac:dyDescent="0.4">
      <c r="K120" s="3">
        <f t="shared" si="2"/>
        <v>120</v>
      </c>
      <c r="L120" s="45" t="s">
        <v>186</v>
      </c>
      <c r="M120" s="54" t="s">
        <v>152</v>
      </c>
      <c r="N120" s="2">
        <f ca="1">ATAN($N$119)</f>
        <v>2.9295348521930362E-2</v>
      </c>
    </row>
    <row r="121" spans="11:14" x14ac:dyDescent="0.4">
      <c r="K121" s="3">
        <f>ROW(K121)</f>
        <v>121</v>
      </c>
      <c r="L121" s="45" t="s">
        <v>188</v>
      </c>
      <c r="M121" s="54" t="s">
        <v>156</v>
      </c>
      <c r="N121" s="2">
        <f>IF(MOD($C$25, 2)=0, $C$23, $C$24)</f>
        <v>102</v>
      </c>
    </row>
    <row r="122" spans="11:14" x14ac:dyDescent="0.4">
      <c r="K122" s="3">
        <f t="shared" si="2"/>
        <v>122</v>
      </c>
      <c r="L122" s="45" t="s">
        <v>187</v>
      </c>
      <c r="M122" s="54" t="s">
        <v>155</v>
      </c>
      <c r="N122" s="2">
        <f>IF(MOD($C$25, 2)=0, $C$24, $C$23)</f>
        <v>85</v>
      </c>
    </row>
    <row r="123" spans="11:14" x14ac:dyDescent="0.4">
      <c r="K123" s="3">
        <f t="shared" si="2"/>
        <v>123</v>
      </c>
      <c r="L123" s="45" t="s">
        <v>319</v>
      </c>
      <c r="M123" s="54" t="s">
        <v>198</v>
      </c>
      <c r="N123" s="2">
        <f ca="1">$H$70/2-$H$60-$N$121/2</f>
        <v>21.877673873895816</v>
      </c>
    </row>
    <row r="124" spans="11:14" x14ac:dyDescent="0.4">
      <c r="K124" s="3">
        <f t="shared" si="2"/>
        <v>124</v>
      </c>
      <c r="L124" s="45" t="s">
        <v>320</v>
      </c>
      <c r="M124" s="54" t="s">
        <v>199</v>
      </c>
      <c r="N124" s="2">
        <f ca="1">$H$70/2-$H$61-$N$122/2</f>
        <v>29.9292661346241</v>
      </c>
    </row>
    <row r="125" spans="11:14" x14ac:dyDescent="0.4">
      <c r="K125" s="3">
        <f t="shared" si="2"/>
        <v>125</v>
      </c>
      <c r="L125" s="45" t="s">
        <v>324</v>
      </c>
      <c r="M125" s="54" t="str">
        <f>IF($C$25&gt;=3,"λj ≦ q &lt; λj+1 の wBj", "-")</f>
        <v>λj ≦ q &lt; λj+1 の wBj</v>
      </c>
      <c r="N125" s="44">
        <f ca="1">IF($C$25&gt;=3, INDEX(INDIRECT($H$52&amp;"!C:C"), MATCH($N$51, INDIRECT($H$52&amp;"!A:A"), 0)),"-")</f>
        <v>154.501</v>
      </c>
    </row>
    <row r="126" spans="11:14" x14ac:dyDescent="0.4">
      <c r="K126" s="3">
        <f t="shared" si="2"/>
        <v>126</v>
      </c>
      <c r="L126" s="45" t="s">
        <v>325</v>
      </c>
      <c r="M126" s="54" t="str">
        <f>IF($C$25&gt;=4,"λj ≦ q+pz &lt; λj+1 の wBj", "-")</f>
        <v>λj ≦ q+pz &lt; λj+1 の wBj</v>
      </c>
      <c r="N126" s="44">
        <f ca="1">IF($C$25&gt;=4, INDEX(INDIRECT($H$52&amp;"!C:C"), MATCH($N$52, INDIRECT($H$52&amp;"!A:A"), 0)),"-")</f>
        <v>154.38900000000001</v>
      </c>
    </row>
    <row r="127" spans="11:14" x14ac:dyDescent="0.4">
      <c r="K127" s="3">
        <f t="shared" si="2"/>
        <v>127</v>
      </c>
      <c r="L127" s="45" t="s">
        <v>326</v>
      </c>
      <c r="M127" s="54" t="str">
        <f>IF($C$25&gt;=5,"λj ≦ q+2pz &lt; λj+1 の wBj", "-")</f>
        <v>λj ≦ q+2pz &lt; λj+1 の wBj</v>
      </c>
      <c r="N127" s="44">
        <f ca="1">IF($C$25&gt;=5, INDEX(INDIRECT($H$52&amp;"!C:C"), MATCH($N$53, INDIRECT($H$52&amp;"!A:A"), 0)),"-")</f>
        <v>154.27600000000001</v>
      </c>
    </row>
    <row r="128" spans="11:14" x14ac:dyDescent="0.4">
      <c r="K128" s="3">
        <f t="shared" si="2"/>
        <v>128</v>
      </c>
      <c r="L128" s="45" t="s">
        <v>327</v>
      </c>
      <c r="M128" s="54" t="str">
        <f>IF($C$25&gt;=6,"λj ≦ q+3pz &lt; λj+1 の wBj", "-")</f>
        <v>λj ≦ q+3pz &lt; λj+1 の wBj</v>
      </c>
      <c r="N128" s="44">
        <f ca="1">IF($C$25&gt;=6, INDEX(INDIRECT($H$52&amp;"!C:C"), MATCH($N$54, INDIRECT($H$52&amp;"!A:A"), 0)),"-")</f>
        <v>154.16399999999999</v>
      </c>
    </row>
    <row r="129" spans="11:14" x14ac:dyDescent="0.4">
      <c r="K129" s="3">
        <f t="shared" si="2"/>
        <v>129</v>
      </c>
      <c r="L129" s="45" t="s">
        <v>328</v>
      </c>
      <c r="M129" s="54" t="str">
        <f>IF($C$25&gt;=7,"λj ≦ q+4pz &lt; λj+1 の wBj", "-")</f>
        <v>-</v>
      </c>
      <c r="N129" s="44" t="str">
        <f ca="1">IF($C$25&gt;=7, INDEX(INDIRECT($H$52&amp;"!C:C"), MATCH($N$55, INDIRECT($H$52&amp;"!A:A"), 0)),"-")</f>
        <v>-</v>
      </c>
    </row>
    <row r="130" spans="11:14" x14ac:dyDescent="0.4">
      <c r="K130" s="3">
        <f t="shared" si="2"/>
        <v>130</v>
      </c>
      <c r="L130" s="45" t="s">
        <v>329</v>
      </c>
      <c r="M130" s="54" t="str">
        <f>IF($C$25&gt;=8,"λj ≦ q+5pz &lt; λj+1 の wBj", "-")</f>
        <v>-</v>
      </c>
      <c r="N130" s="44" t="str">
        <f ca="1">IF($C$25&gt;=8, INDEX(INDIRECT($H$52&amp;"!C:C"), MATCH($N$56, INDIRECT($H$52&amp;"!A:A"), 0)),"-")</f>
        <v>-</v>
      </c>
    </row>
    <row r="131" spans="11:14" x14ac:dyDescent="0.4">
      <c r="K131" s="3">
        <f t="shared" si="2"/>
        <v>131</v>
      </c>
      <c r="L131" s="45" t="s">
        <v>330</v>
      </c>
      <c r="M131" s="54" t="s">
        <v>340</v>
      </c>
      <c r="N131" s="44">
        <f ca="1">INDEX(INDIRECT($H$52&amp;"!C:C"), MATCH($N$57, INDIRECT($H$52&amp;"!A:A"), 0))</f>
        <v>154.16399999999999</v>
      </c>
    </row>
    <row r="132" spans="11:14" x14ac:dyDescent="0.4">
      <c r="K132" s="3">
        <f t="shared" si="2"/>
        <v>132</v>
      </c>
      <c r="L132" s="45" t="s">
        <v>331</v>
      </c>
      <c r="M132" s="54" t="s">
        <v>341</v>
      </c>
      <c r="N132" s="44">
        <f ca="1">INDEX(INDIRECT($H$52&amp;"!C:C"), MATCH($N$58, INDIRECT($H$52&amp;"!A:A"), 0))</f>
        <v>154.06299999999999</v>
      </c>
    </row>
    <row r="133" spans="11:14" x14ac:dyDescent="0.4">
      <c r="K133" s="3">
        <f t="shared" si="2"/>
        <v>133</v>
      </c>
      <c r="L133" s="45" t="s">
        <v>332</v>
      </c>
      <c r="M133" s="54" t="str">
        <f>IF($C$25&gt;=3,"λj ≦ q &lt; λj+1 の wBj+1", "-")</f>
        <v>λj ≦ q &lt; λj+1 の wBj+1</v>
      </c>
      <c r="N133" s="44">
        <f ca="1">IF($C$25&gt;=3, INDEX(INDIRECT($H$52&amp;"!C:C"), MATCH($N$59, INDIRECT($H$52&amp;"!A:A"), 0)),"-")</f>
        <v>154.38900000000001</v>
      </c>
    </row>
    <row r="134" spans="11:14" x14ac:dyDescent="0.4">
      <c r="K134" s="3">
        <f t="shared" si="2"/>
        <v>134</v>
      </c>
      <c r="L134" s="45" t="s">
        <v>333</v>
      </c>
      <c r="M134" s="54" t="str">
        <f>IF($C$25&gt;=4,"λj ≦ q+pz &lt; λj+1 の wBj+1", "-")</f>
        <v>λj ≦ q+pz &lt; λj+1 の wBj+1</v>
      </c>
      <c r="N134" s="44">
        <f ca="1">IF($C$25&gt;=4, INDEX(INDIRECT($H$52&amp;"!C:C"), MATCH($N$60, INDIRECT($H$52&amp;"!A:A"), 0)),"-")</f>
        <v>154.27600000000001</v>
      </c>
    </row>
    <row r="135" spans="11:14" x14ac:dyDescent="0.4">
      <c r="K135" s="3">
        <f t="shared" si="2"/>
        <v>135</v>
      </c>
      <c r="L135" s="45" t="s">
        <v>334</v>
      </c>
      <c r="M135" s="54" t="str">
        <f>IF($C$25&gt;=5,"λj ≦ q+2pz &lt; λj+1 の wBj+1", "-")</f>
        <v>λj ≦ q+2pz &lt; λj+1 の wBj+1</v>
      </c>
      <c r="N135" s="44">
        <f ca="1">IF($C$25&gt;=5, INDEX(INDIRECT($H$52&amp;"!C:C"), MATCH($N$61, INDIRECT($H$52&amp;"!A:A"), 0)),"-")</f>
        <v>154.16399999999999</v>
      </c>
    </row>
    <row r="136" spans="11:14" x14ac:dyDescent="0.4">
      <c r="K136" s="3">
        <f t="shared" si="2"/>
        <v>136</v>
      </c>
      <c r="L136" s="45" t="s">
        <v>335</v>
      </c>
      <c r="M136" s="54" t="str">
        <f>IF($C$25&gt;=6,"λj ≦ q+3pz &lt; λj+1 の wBj+1", "-")</f>
        <v>λj ≦ q+3pz &lt; λj+1 の wBj+1</v>
      </c>
      <c r="N136" s="44">
        <f ca="1">IF($C$25&gt;=6, INDEX(INDIRECT($H$52&amp;"!C:C"), MATCH($N$62, INDIRECT($H$52&amp;"!A:A"), 0)),"-")</f>
        <v>154.06299999999999</v>
      </c>
    </row>
    <row r="137" spans="11:14" x14ac:dyDescent="0.4">
      <c r="K137" s="3">
        <f t="shared" si="2"/>
        <v>137</v>
      </c>
      <c r="L137" s="45" t="s">
        <v>336</v>
      </c>
      <c r="M137" s="54" t="str">
        <f>IF($C$25&gt;=7,"λj ≦ q+4pz &lt; λj+1 の wBj+1", "-")</f>
        <v>-</v>
      </c>
      <c r="N137" s="44" t="str">
        <f ca="1">IF($C$25&gt;=7, INDEX(INDIRECT($H$52&amp;"!C:C"), MATCH($N$63, INDIRECT($H$52&amp;"!A:A"), 0)),"-")</f>
        <v>-</v>
      </c>
    </row>
    <row r="138" spans="11:14" x14ac:dyDescent="0.4">
      <c r="K138" s="3">
        <f t="shared" si="2"/>
        <v>138</v>
      </c>
      <c r="L138" s="45" t="s">
        <v>337</v>
      </c>
      <c r="M138" s="54" t="str">
        <f>IF($C$25&gt;=8,"λj ≦ q+5pz &lt; λj+1 の wBj+1", "-")</f>
        <v>-</v>
      </c>
      <c r="N138" s="44" t="str">
        <f ca="1">IF($C$25&gt;=8, INDEX(INDIRECT($H$52&amp;"!C:C"), MATCH($N$64, INDIRECT($H$52&amp;"!A:A"), 0)),"-")</f>
        <v>-</v>
      </c>
    </row>
    <row r="139" spans="11:14" x14ac:dyDescent="0.4">
      <c r="K139" s="3">
        <f t="shared" si="2"/>
        <v>139</v>
      </c>
      <c r="L139" s="45" t="s">
        <v>338</v>
      </c>
      <c r="M139" s="54" t="s">
        <v>342</v>
      </c>
      <c r="N139" s="2">
        <f ca="1">INDEX(INDIRECT($H$52&amp;"!C:C"), MATCH($N$65, INDIRECT($H$52&amp;"!A:A"), 0))</f>
        <v>154.06299999999999</v>
      </c>
    </row>
    <row r="140" spans="11:14" x14ac:dyDescent="0.4">
      <c r="K140" s="3">
        <f t="shared" si="2"/>
        <v>140</v>
      </c>
      <c r="L140" s="45" t="s">
        <v>339</v>
      </c>
      <c r="M140" s="54" t="s">
        <v>343</v>
      </c>
      <c r="N140" s="2">
        <f ca="1">INDEX(INDIRECT($H$52&amp;"!C:C"), MATCH($N$66, INDIRECT($H$52&amp;"!A:A"), 0))</f>
        <v>153.97200000000001</v>
      </c>
    </row>
    <row r="141" spans="11:14" x14ac:dyDescent="0.4">
      <c r="K141" s="3">
        <f t="shared" si="2"/>
        <v>141</v>
      </c>
      <c r="L141" s="45" t="s">
        <v>360</v>
      </c>
      <c r="M141" s="55" t="str">
        <f>IF($C$25&gt;=4,"2列目AC内径（水平・めっき含・概算）","-")</f>
        <v>2列目AC内径（水平・めっき含・概算）</v>
      </c>
      <c r="N141" s="44">
        <f ca="1">IF($C$25&gt;=4,($N$68*$N$100+$N$76*$N$92)/($N$60-$N$52)+$C$31*2,"-")</f>
        <v>156.50139999999999</v>
      </c>
    </row>
    <row r="142" spans="11:14" x14ac:dyDescent="0.4">
      <c r="K142" s="3">
        <f t="shared" si="2"/>
        <v>142</v>
      </c>
      <c r="L142" s="45" t="s">
        <v>361</v>
      </c>
      <c r="M142" s="55" t="str">
        <f>IF($C$25&gt;=5,"3列目AC内径（水平・めっき含・概算）","-")</f>
        <v>3列目AC内径（水平・めっき含・概算）</v>
      </c>
      <c r="N142" s="44">
        <f ca="1">IF($C$25&gt;=5,($N$69*$N$101+$N$77*$N$93)/($N$61-$N$53)+$C$31*2,"-")</f>
        <v>156.4102</v>
      </c>
    </row>
    <row r="143" spans="11:14" x14ac:dyDescent="0.4">
      <c r="K143" s="3">
        <f t="shared" si="2"/>
        <v>143</v>
      </c>
      <c r="L143" s="45" t="s">
        <v>362</v>
      </c>
      <c r="M143" s="55" t="str">
        <f>IF($C$25&gt;=6,"4列目AC内径（水平・めっき含・概算）","-")</f>
        <v>4列目AC内径（水平・めっき含・概算）</v>
      </c>
      <c r="N143" s="44">
        <f ca="1">IF($C$25&gt;=6,($N$70*$N$102+$N$78*$N$94)/($N$62-$N$54)+$C$31*2,"-")</f>
        <v>156.31899999999999</v>
      </c>
    </row>
    <row r="144" spans="11:14" x14ac:dyDescent="0.4">
      <c r="K144" s="3">
        <f t="shared" si="2"/>
        <v>144</v>
      </c>
      <c r="L144" s="45" t="s">
        <v>363</v>
      </c>
      <c r="M144" s="55" t="str">
        <f>IF($C$25&gt;=7,"5列目AC内径（水平・めっき含・概算）","-")</f>
        <v>-</v>
      </c>
      <c r="N144" s="44" t="str">
        <f>IF($C$25&gt;=7,($N$71*$N$103+$N$79*$N$95)/($N$63-$N$55)+$C$31*2,"-")</f>
        <v>-</v>
      </c>
    </row>
    <row r="145" spans="11:14" x14ac:dyDescent="0.4">
      <c r="K145" s="3">
        <f t="shared" si="2"/>
        <v>145</v>
      </c>
      <c r="L145" s="45" t="s">
        <v>364</v>
      </c>
      <c r="M145" s="55" t="str">
        <f>IF($C$25&gt;=8,"6列目AC内径（水平・めっき含・概算）","-")</f>
        <v>-</v>
      </c>
      <c r="N145" s="44" t="str">
        <f>IF($C$25&gt;=8,($N$72*$N$104+$N$80*$N$96)/($N$64-$N$56)+$C$31*2,"-")</f>
        <v>-</v>
      </c>
    </row>
    <row r="146" spans="11:14" x14ac:dyDescent="0.4">
      <c r="K146" s="3">
        <f t="shared" si="2"/>
        <v>146</v>
      </c>
      <c r="L146" s="45" t="s">
        <v>365</v>
      </c>
      <c r="M146" s="55" t="s">
        <v>350</v>
      </c>
      <c r="N146" s="2">
        <f ca="1">($N$73*$N$105+$N$81*$N$97)/($N$65-$N$57)+$C$31*2</f>
        <v>156.23739999999998</v>
      </c>
    </row>
    <row r="147" spans="11:14" x14ac:dyDescent="0.4">
      <c r="K147" s="3">
        <f t="shared" si="2"/>
        <v>147</v>
      </c>
      <c r="L147" s="45" t="s">
        <v>306</v>
      </c>
      <c r="M147" s="55" t="s">
        <v>352</v>
      </c>
      <c r="N147" s="2">
        <f ca="1">INDEX(INDIRECT($H$52&amp;"!C:C"), MATCH(0, INDIRECT($H$52&amp;"!A:A"), 0))+$C$31*2</f>
        <v>154.97899999999998</v>
      </c>
    </row>
    <row r="148" spans="11:14" x14ac:dyDescent="0.4">
      <c r="K148" s="3">
        <f t="shared" si="2"/>
        <v>148</v>
      </c>
      <c r="L148" s="45" t="s">
        <v>349</v>
      </c>
      <c r="M148" s="55" t="str">
        <f>IF($C$25&gt;=3,"1列目 BD内径（めっき含・概算）","-")</f>
        <v>1列目 BD内径（めっき含・概算）</v>
      </c>
      <c r="N148" s="44">
        <f ca="1">IF($C$25&gt;=3,($N$67*$N$133+$N$75*$N$125)/($N$59-$N$51)+$C$31*2,"-")</f>
        <v>154.57380000000001</v>
      </c>
    </row>
    <row r="149" spans="11:14" x14ac:dyDescent="0.4">
      <c r="K149" s="3">
        <f t="shared" si="2"/>
        <v>149</v>
      </c>
      <c r="L149" s="45" t="s">
        <v>354</v>
      </c>
      <c r="M149" s="55" t="str">
        <f>IF($C$25&gt;=4,"2列目 BD内径（めっき含・概算）","-")</f>
        <v>2列目 BD内径（めっき含・概算）</v>
      </c>
      <c r="N149" s="44">
        <f ca="1">IF($C$25&gt;=4,($N$68*$N$134+$N$76*$N$126)/($N$60-$N$52)+$C$31*2,"-")</f>
        <v>154.4838</v>
      </c>
    </row>
    <row r="150" spans="11:14" x14ac:dyDescent="0.4">
      <c r="K150" s="3">
        <f t="shared" si="2"/>
        <v>150</v>
      </c>
      <c r="L150" s="45" t="s">
        <v>355</v>
      </c>
      <c r="M150" s="55" t="str">
        <f>IF($C$25&gt;=5,"3列目 BD内径（めっき含・概算）","-")</f>
        <v>3列目 BD内径（めっき含・概算）</v>
      </c>
      <c r="N150" s="44">
        <f ca="1">IF($C$25&gt;=5,($N$69*$N$135+$N$77*$N$127)/($N$61-$N$53)+$C$31*2,"-")</f>
        <v>154.39359999999999</v>
      </c>
    </row>
    <row r="151" spans="11:14" x14ac:dyDescent="0.4">
      <c r="K151" s="3">
        <f t="shared" si="2"/>
        <v>151</v>
      </c>
      <c r="L151" s="45" t="s">
        <v>356</v>
      </c>
      <c r="M151" s="55" t="str">
        <f>IF($C$25&gt;=6,"4列目 BD内径（めっき含・概算）","-")</f>
        <v>4列目 BD内径（めっき含・概算）</v>
      </c>
      <c r="N151" s="44">
        <f ca="1">IF($C$25&gt;=6,($N$70*$N$136+$N$78*$N$128)/($N$62-$N$54)+$C$31*2,"-")</f>
        <v>154.30399999999997</v>
      </c>
    </row>
    <row r="152" spans="11:14" x14ac:dyDescent="0.4">
      <c r="K152" s="3">
        <f t="shared" si="2"/>
        <v>152</v>
      </c>
      <c r="L152" s="45" t="s">
        <v>357</v>
      </c>
      <c r="M152" s="55" t="str">
        <f>IF($C$25&gt;=7,"5列目 BD内径（めっき含・概算）","-")</f>
        <v>-</v>
      </c>
      <c r="N152" s="44" t="str">
        <f>IF($C$25&gt;=7,($N$71*$N$137+$N$79*$N$129)/($N$63-$N$55)+$C$31*2,"-")</f>
        <v>-</v>
      </c>
    </row>
    <row r="153" spans="11:14" x14ac:dyDescent="0.4">
      <c r="K153" s="3">
        <f t="shared" si="2"/>
        <v>153</v>
      </c>
      <c r="L153" s="45" t="s">
        <v>358</v>
      </c>
      <c r="M153" s="55" t="str">
        <f>IF($C$25&gt;=8,"6列目 BD内径（めっき含・概算）","-")</f>
        <v>-</v>
      </c>
      <c r="N153" s="44" t="str">
        <f>IF($C$25&gt;=8,($N$72*$N$138+$N$80*$N$130)/($N$64-$N$56)+$C$31*2,"-")</f>
        <v>-</v>
      </c>
    </row>
    <row r="154" spans="11:14" x14ac:dyDescent="0.4">
      <c r="K154" s="3">
        <f t="shared" si="2"/>
        <v>154</v>
      </c>
      <c r="L154" s="45" t="s">
        <v>359</v>
      </c>
      <c r="M154" s="55" t="s">
        <v>353</v>
      </c>
      <c r="N154" s="2">
        <f ca="1">($N$73*$N$139+$N$81*$N$131)/($N$65-$N$57)+$C$31*2</f>
        <v>154.22319999999999</v>
      </c>
    </row>
    <row r="155" spans="11:14" x14ac:dyDescent="0.4">
      <c r="K155" s="3">
        <f t="shared" si="2"/>
        <v>155</v>
      </c>
    </row>
    <row r="156" spans="11:14" x14ac:dyDescent="0.4">
      <c r="K156" s="3">
        <f t="shared" si="2"/>
        <v>156</v>
      </c>
    </row>
    <row r="157" spans="11:14" x14ac:dyDescent="0.4">
      <c r="K157" s="3">
        <f t="shared" si="2"/>
        <v>157</v>
      </c>
    </row>
    <row r="158" spans="11:14" x14ac:dyDescent="0.4">
      <c r="K158" s="3">
        <f t="shared" si="2"/>
        <v>158</v>
      </c>
      <c r="L158" s="45" t="s">
        <v>189</v>
      </c>
      <c r="N158" s="2">
        <f>C6^2+(2*N9)^2</f>
        <v>385003.74457739823</v>
      </c>
    </row>
    <row r="159" spans="11:14" x14ac:dyDescent="0.4">
      <c r="K159" s="3">
        <f t="shared" si="2"/>
        <v>159</v>
      </c>
      <c r="L159" s="45" t="s">
        <v>190</v>
      </c>
      <c r="M159" s="54" t="s">
        <v>29</v>
      </c>
      <c r="N159" s="2">
        <f>SQRT(N158)</f>
        <v>620.4866997586638</v>
      </c>
    </row>
    <row r="160" spans="11:14" x14ac:dyDescent="0.4">
      <c r="K160" s="3">
        <f t="shared" si="2"/>
        <v>160</v>
      </c>
      <c r="L160" s="45" t="s">
        <v>64</v>
      </c>
      <c r="M160" s="54" t="s">
        <v>30</v>
      </c>
      <c r="N160" s="2">
        <f>2*N9/N159</f>
        <v>0.99993440671866196</v>
      </c>
    </row>
    <row r="161" spans="11:14" x14ac:dyDescent="0.4">
      <c r="K161" s="3">
        <f t="shared" si="2"/>
        <v>161</v>
      </c>
      <c r="L161" s="45" t="s">
        <v>65</v>
      </c>
      <c r="M161" s="54" t="s">
        <v>31</v>
      </c>
      <c r="N161" s="2">
        <f>C6/N159</f>
        <v>1.1453482448474855E-2</v>
      </c>
    </row>
    <row r="162" spans="11:14" x14ac:dyDescent="0.4">
      <c r="K162" s="3">
        <f t="shared" si="2"/>
        <v>162</v>
      </c>
      <c r="L162" s="45" t="s">
        <v>191</v>
      </c>
      <c r="N162" s="2">
        <f>SQRT(N8^2-(N9-N12)^2)</f>
        <v>8727.6685506652357</v>
      </c>
    </row>
    <row r="163" spans="11:14" x14ac:dyDescent="0.4">
      <c r="K163" s="3">
        <f t="shared" si="2"/>
        <v>163</v>
      </c>
      <c r="L163" s="45" t="s">
        <v>192</v>
      </c>
      <c r="N163" s="2">
        <f>SQRT(N8^2-(N9+N12)^2)</f>
        <v>8720.5566984150155</v>
      </c>
    </row>
    <row r="164" spans="11:14" x14ac:dyDescent="0.4">
      <c r="K164" s="3">
        <f t="shared" si="2"/>
        <v>164</v>
      </c>
      <c r="L164" s="45" t="s">
        <v>193</v>
      </c>
      <c r="N164" s="2">
        <f>N12*N9</f>
        <v>31022.300000000003</v>
      </c>
    </row>
    <row r="165" spans="11:14" x14ac:dyDescent="0.4">
      <c r="K165" s="3">
        <f t="shared" si="2"/>
        <v>165</v>
      </c>
      <c r="L165" s="45" t="s">
        <v>194</v>
      </c>
      <c r="N165" s="2">
        <f>SQRT(N8^2-N158/4)</f>
        <v>8724.6857309507523</v>
      </c>
    </row>
    <row r="166" spans="11:14" x14ac:dyDescent="0.4">
      <c r="K166" s="3">
        <f t="shared" si="2"/>
        <v>166</v>
      </c>
      <c r="L166" s="45" t="s">
        <v>75</v>
      </c>
      <c r="N166" s="2">
        <f>N165*N160</f>
        <v>8724.1134501850156</v>
      </c>
    </row>
    <row r="167" spans="11:14" x14ac:dyDescent="0.4">
      <c r="K167" s="3">
        <f t="shared" si="2"/>
        <v>167</v>
      </c>
      <c r="L167" s="45" t="s">
        <v>76</v>
      </c>
      <c r="M167" s="54" t="s">
        <v>27</v>
      </c>
      <c r="N167" s="2">
        <f>N165*N161</f>
        <v>99.928034887903451</v>
      </c>
    </row>
    <row r="168" spans="11:14" x14ac:dyDescent="0.4">
      <c r="K168" s="3">
        <f t="shared" ref="K168" si="3">ROW(K168)</f>
        <v>168</v>
      </c>
      <c r="L168" s="45" t="s">
        <v>42</v>
      </c>
      <c r="M168" s="54" t="s">
        <v>26</v>
      </c>
      <c r="N168" s="2">
        <f>C6/2+N7-N166</f>
        <v>4.126371131180349</v>
      </c>
    </row>
    <row r="183" spans="12:14" x14ac:dyDescent="0.4">
      <c r="L183" s="54"/>
      <c r="M183" s="55"/>
      <c r="N183" s="1"/>
    </row>
  </sheetData>
  <phoneticPr fontId="1"/>
  <conditionalFormatting sqref="C3">
    <cfRule type="expression" dxfId="40" priority="30">
      <formula>$C$3&gt;2*N164</formula>
    </cfRule>
  </conditionalFormatting>
  <conditionalFormatting sqref="C4">
    <cfRule type="expression" dxfId="39" priority="23">
      <formula>C4&lt;0</formula>
    </cfRule>
  </conditionalFormatting>
  <conditionalFormatting sqref="C6">
    <cfRule type="expression" dxfId="38" priority="15">
      <formula>$C$6&lt;0</formula>
    </cfRule>
  </conditionalFormatting>
  <conditionalFormatting sqref="C9">
    <cfRule type="expression" dxfId="37" priority="24">
      <formula>$C$9&lt;=0</formula>
    </cfRule>
  </conditionalFormatting>
  <conditionalFormatting sqref="C10:C11">
    <cfRule type="expression" dxfId="36" priority="16">
      <formula>$C$10&lt;0</formula>
    </cfRule>
  </conditionalFormatting>
  <conditionalFormatting sqref="C15">
    <cfRule type="expression" dxfId="35" priority="28">
      <formula>OR(C15&lt;=0, C15&gt;Q2)</formula>
    </cfRule>
  </conditionalFormatting>
  <conditionalFormatting sqref="C35">
    <cfRule type="expression" dxfId="34" priority="22">
      <formula>C35&lt;0</formula>
    </cfRule>
  </conditionalFormatting>
  <conditionalFormatting sqref="C36">
    <cfRule type="expression" dxfId="33" priority="27">
      <formula>OR($C$36&lt;0, $C$36&gt;=$C$9)</formula>
    </cfRule>
  </conditionalFormatting>
  <conditionalFormatting sqref="C37">
    <cfRule type="expression" dxfId="32" priority="14">
      <formula>OR($C$37&lt;0, $C$37&gt;=$C$10)</formula>
    </cfRule>
  </conditionalFormatting>
  <conditionalFormatting sqref="C38">
    <cfRule type="expression" dxfId="31" priority="29">
      <formula>OR(C38&lt;0, C38&gt;=C9)</formula>
    </cfRule>
  </conditionalFormatting>
  <conditionalFormatting sqref="C41">
    <cfRule type="expression" dxfId="30" priority="31">
      <formula>OR(C41&lt;0, C41&gt;=C4)</formula>
    </cfRule>
  </conditionalFormatting>
  <conditionalFormatting sqref="C44">
    <cfRule type="expression" dxfId="29" priority="32">
      <formula>OR(C44&lt;0, C44&gt;=C4)</formula>
    </cfRule>
  </conditionalFormatting>
  <conditionalFormatting sqref="C61">
    <cfRule type="expression" dxfId="28" priority="26">
      <formula>AND(C61&lt;&gt;330.223, C61&lt;&gt;270, C61&lt;&gt;250)</formula>
    </cfRule>
  </conditionalFormatting>
  <conditionalFormatting sqref="C62">
    <cfRule type="expression" dxfId="27" priority="25">
      <formula>C62&lt;&gt;40</formula>
    </cfRule>
  </conditionalFormatting>
  <conditionalFormatting sqref="C65">
    <cfRule type="expression" dxfId="26" priority="18">
      <formula>OR(C65&gt;0, ABS(ABS(C65)-740)&gt;=1)</formula>
    </cfRule>
  </conditionalFormatting>
  <conditionalFormatting sqref="C66">
    <cfRule type="expression" dxfId="25" priority="21">
      <formula>OR(C66&gt;0, ABS(ABS(C66)-550)&gt;=1)</formula>
    </cfRule>
  </conditionalFormatting>
  <conditionalFormatting sqref="C67">
    <cfRule type="expression" dxfId="24" priority="19">
      <formula>OR(C67&gt;0, ABS(ABS(C67)-1150)&gt;=1)</formula>
    </cfRule>
  </conditionalFormatting>
  <conditionalFormatting sqref="C68">
    <cfRule type="expression" dxfId="23" priority="20">
      <formula>OR(ABS(C68)&gt;=0.2)</formula>
    </cfRule>
  </conditionalFormatting>
  <conditionalFormatting sqref="H48">
    <cfRule type="expression" dxfId="22" priority="17">
      <formula>OR($H$48&lt;=1, INT($H$48)&lt;&gt;$H$48)</formula>
    </cfRule>
  </conditionalFormatting>
  <conditionalFormatting sqref="H52">
    <cfRule type="expression" dxfId="21" priority="13">
      <formula>ISERROR(INDIRECT($H$52&amp;"!$G$45"))</formula>
    </cfRule>
  </conditionalFormatting>
  <conditionalFormatting sqref="C25">
    <cfRule type="expression" dxfId="20" priority="33">
      <formula>OR(C25-QUOTIENT(C25,1)&lt;&gt;0, C25&lt;0, C25&gt;$C$71)</formula>
    </cfRule>
  </conditionalFormatting>
  <conditionalFormatting sqref="H50">
    <cfRule type="expression" dxfId="19" priority="12">
      <formula>OR($H$50&lt;1, INT($H$50)&lt;&gt;$H$50)</formula>
    </cfRule>
  </conditionalFormatting>
  <conditionalFormatting sqref="H51">
    <cfRule type="expression" dxfId="18" priority="11">
      <formula>OR($H$51&lt;0, INT($H$51)&lt;&gt;$H$51)</formula>
    </cfRule>
  </conditionalFormatting>
  <conditionalFormatting sqref="C23">
    <cfRule type="expression" dxfId="17" priority="34">
      <formula>OR($C$23&lt;=0, MOD($C$23,$C$22)&lt;&gt;0, $C$23&gt;=#REF!)</formula>
    </cfRule>
  </conditionalFormatting>
  <conditionalFormatting sqref="C26">
    <cfRule type="expression" dxfId="16" priority="35">
      <formula>OR($C$26&lt;=0, $C$26&gt;=MIN($C$23, $C$24))</formula>
    </cfRule>
  </conditionalFormatting>
  <conditionalFormatting sqref="N141:N146">
    <cfRule type="expression" dxfId="15" priority="10">
      <formula>$H$51&lt;0</formula>
    </cfRule>
  </conditionalFormatting>
  <conditionalFormatting sqref="N147:N154">
    <cfRule type="expression" dxfId="14" priority="9">
      <formula>$H$51&lt;0</formula>
    </cfRule>
  </conditionalFormatting>
  <conditionalFormatting sqref="C16">
    <cfRule type="expression" dxfId="13" priority="36">
      <formula>OR(C16&lt;=0, C16+C15&gt;Q2)</formula>
    </cfRule>
  </conditionalFormatting>
  <conditionalFormatting sqref="G1:G1048576">
    <cfRule type="expression" dxfId="12" priority="5">
      <formula>G1="X"</formula>
    </cfRule>
    <cfRule type="expression" dxfId="11" priority="6">
      <formula>G1="Y"</formula>
    </cfRule>
    <cfRule type="expression" dxfId="10" priority="7">
      <formula>G1="Z"</formula>
    </cfRule>
    <cfRule type="expression" dxfId="9" priority="8">
      <formula>G1="B"</formula>
    </cfRule>
  </conditionalFormatting>
  <conditionalFormatting sqref="H81:H96">
    <cfRule type="expression" dxfId="8" priority="4">
      <formula>$H$51&lt;0</formula>
    </cfRule>
  </conditionalFormatting>
  <conditionalFormatting sqref="C17">
    <cfRule type="expression" dxfId="7" priority="37">
      <formula>OR($C$17&lt;=0, $C$17&gt;=($C$9-#REF!)/2, $C$17&gt;=($C$36-#REF!)/2)</formula>
    </cfRule>
  </conditionalFormatting>
  <conditionalFormatting sqref="H77">
    <cfRule type="expression" dxfId="6" priority="38">
      <formula>$H$77&lt;=$C$27/2+$C$28</formula>
    </cfRule>
  </conditionalFormatting>
  <conditionalFormatting sqref="C27">
    <cfRule type="expression" dxfId="5" priority="3">
      <formula>OR($C$27&lt;=0, $C$27&gt;$C$26)</formula>
    </cfRule>
  </conditionalFormatting>
  <conditionalFormatting sqref="H49">
    <cfRule type="expression" dxfId="4" priority="2">
      <formula>OR($H$49&lt;0, INT($H$49)&lt;&gt;$H$49)</formula>
    </cfRule>
  </conditionalFormatting>
  <conditionalFormatting sqref="C13">
    <cfRule type="expression" dxfId="3" priority="39">
      <formula>OR($C$13&gt;=$C$9, $C$13&gt;=$C$42)</formula>
    </cfRule>
  </conditionalFormatting>
  <conditionalFormatting sqref="C14">
    <cfRule type="expression" dxfId="2" priority="40">
      <formula>OR($C$14&gt;=$C$10, $C$14&gt;=$C$42)</formula>
    </cfRule>
  </conditionalFormatting>
  <dataValidations count="1">
    <dataValidation imeMode="disabled" allowBlank="1" showInputMessage="1" showErrorMessage="1" sqref="H79 N141:N154 C49:C52 C55:C58 H54:H72 H81:H96 C3:C32 C60:C71 G1:G1048576 C76:C77" xr:uid="{976C4B3D-D3CF-4864-8086-225C218A19F1}"/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0976C-0F09-4552-BA6B-234A6F953E2B}">
  <sheetPr codeName="Sheet17"/>
  <dimension ref="A1:O42"/>
  <sheetViews>
    <sheetView workbookViewId="0">
      <selection activeCell="J47" sqref="J47"/>
    </sheetView>
  </sheetViews>
  <sheetFormatPr defaultRowHeight="15" x14ac:dyDescent="0.4"/>
  <cols>
    <col min="1" max="1" width="5" style="40" bestFit="1" customWidth="1"/>
    <col min="2" max="3" width="7.75" style="41" bestFit="1" customWidth="1"/>
    <col min="4" max="4" width="6" style="40" bestFit="1" customWidth="1"/>
    <col min="5" max="5" width="6.875" style="42" bestFit="1" customWidth="1"/>
    <col min="6" max="6" width="7" style="42" bestFit="1" customWidth="1"/>
    <col min="7" max="7" width="7.625" style="42" bestFit="1" customWidth="1"/>
    <col min="8" max="8" width="6" style="40" bestFit="1" customWidth="1"/>
    <col min="9" max="10" width="5.875" style="40" bestFit="1" customWidth="1"/>
    <col min="11" max="11" width="5.625" style="40" bestFit="1" customWidth="1"/>
    <col min="12" max="13" width="8" style="40" bestFit="1" customWidth="1"/>
    <col min="14" max="14" width="6" style="40" bestFit="1" customWidth="1"/>
    <col min="15" max="15" width="8.625" style="41" customWidth="1"/>
    <col min="16" max="16384" width="9" style="40"/>
  </cols>
  <sheetData>
    <row r="1" spans="1:14" x14ac:dyDescent="0.4">
      <c r="A1" s="40" t="s">
        <v>204</v>
      </c>
      <c r="B1" s="41" t="s">
        <v>205</v>
      </c>
      <c r="C1" s="41" t="s">
        <v>206</v>
      </c>
      <c r="D1" s="40" t="s">
        <v>207</v>
      </c>
      <c r="E1" s="42" t="s">
        <v>208</v>
      </c>
      <c r="F1" s="42" t="s">
        <v>209</v>
      </c>
      <c r="G1" s="42" t="s">
        <v>210</v>
      </c>
      <c r="H1" s="40" t="s">
        <v>211</v>
      </c>
      <c r="I1" s="40" t="s">
        <v>212</v>
      </c>
      <c r="J1" s="40" t="s">
        <v>213</v>
      </c>
      <c r="K1" s="40" t="s">
        <v>214</v>
      </c>
      <c r="L1" s="40" t="s">
        <v>215</v>
      </c>
      <c r="M1" s="40" t="s">
        <v>215</v>
      </c>
      <c r="N1" s="40" t="s">
        <v>216</v>
      </c>
    </row>
    <row r="2" spans="1:14" x14ac:dyDescent="0.4">
      <c r="A2" s="40">
        <v>0</v>
      </c>
      <c r="B2" s="41">
        <v>156.863</v>
      </c>
      <c r="C2" s="41">
        <v>154.839</v>
      </c>
      <c r="D2" s="41">
        <f>4.5-$A2/$A$42</f>
        <v>4.5</v>
      </c>
      <c r="E2" s="42" t="s">
        <v>117</v>
      </c>
      <c r="F2" s="42" t="s">
        <v>117</v>
      </c>
      <c r="G2" s="42" t="s">
        <v>117</v>
      </c>
      <c r="H2" s="43">
        <v>7.0000000000000007E-2</v>
      </c>
      <c r="I2" s="40" t="str">
        <f>IF($A2="","","a"&amp;$A2)</f>
        <v>a0</v>
      </c>
      <c r="J2" s="40" t="str">
        <f>IF($A2="","","b"&amp;$A2)</f>
        <v>b0</v>
      </c>
      <c r="K2" s="40" t="str">
        <f>IF($A2="","","r"&amp;$A2)</f>
        <v>r0</v>
      </c>
      <c r="L2" s="41">
        <f t="shared" ref="L2:M42" si="0">IF($A2="","",B2+$H$2*2)</f>
        <v>157.00299999999999</v>
      </c>
      <c r="M2" s="41">
        <f t="shared" si="0"/>
        <v>154.97899999999998</v>
      </c>
      <c r="N2" s="41">
        <f t="shared" ref="N2:N42" si="1">IF($A2="","",D2+$H$2)</f>
        <v>4.57</v>
      </c>
    </row>
    <row r="3" spans="1:14" x14ac:dyDescent="0.4">
      <c r="A3" s="40">
        <v>25</v>
      </c>
      <c r="B3" s="41">
        <v>156.749</v>
      </c>
      <c r="C3" s="41">
        <v>154.726</v>
      </c>
      <c r="D3" s="41">
        <f>4.5-$A3/$A$42</f>
        <v>4.4749999999999996</v>
      </c>
      <c r="E3" s="42">
        <f t="shared" ref="E3:F18" si="2">IF($A3="","",(B2-B3)*1000/(B2*($A3-$A2))*100)</f>
        <v>2.9069952761327866</v>
      </c>
      <c r="F3" s="42">
        <f t="shared" si="2"/>
        <v>2.9191611932394177</v>
      </c>
      <c r="G3" s="42">
        <f>AVERAGE(E3,F3)</f>
        <v>2.9130782346861022</v>
      </c>
      <c r="I3" s="40" t="str">
        <f t="shared" ref="I3:I42" si="3">IF($A3="","","a"&amp;$A3)</f>
        <v>a25</v>
      </c>
      <c r="J3" s="40" t="str">
        <f t="shared" ref="J3:J42" si="4">IF($A3="","","b"&amp;$A3)</f>
        <v>b25</v>
      </c>
      <c r="K3" s="40" t="str">
        <f t="shared" ref="K3:K42" si="5">IF($A3="","","r"&amp;$A3)</f>
        <v>r25</v>
      </c>
      <c r="L3" s="41">
        <f t="shared" si="0"/>
        <v>156.88899999999998</v>
      </c>
      <c r="M3" s="41">
        <f t="shared" si="0"/>
        <v>154.86599999999999</v>
      </c>
      <c r="N3" s="41">
        <f t="shared" si="1"/>
        <v>4.5449999999999999</v>
      </c>
    </row>
    <row r="4" spans="1:14" x14ac:dyDescent="0.4">
      <c r="A4" s="40">
        <v>50</v>
      </c>
      <c r="B4" s="41">
        <v>156.63499999999999</v>
      </c>
      <c r="C4" s="41">
        <v>154.614</v>
      </c>
      <c r="D4" s="41">
        <f t="shared" ref="D4:D42" si="6">4.5-$A4/$A$42</f>
        <v>4.45</v>
      </c>
      <c r="E4" s="42">
        <f t="shared" si="2"/>
        <v>2.9091094680030958</v>
      </c>
      <c r="F4" s="42">
        <f t="shared" si="2"/>
        <v>2.8954409730748489</v>
      </c>
      <c r="G4" s="42">
        <f t="shared" ref="G4:G42" si="7">AVERAGE(E4,F4)</f>
        <v>2.9022752205389724</v>
      </c>
      <c r="I4" s="40" t="str">
        <f t="shared" si="3"/>
        <v>a50</v>
      </c>
      <c r="J4" s="40" t="str">
        <f t="shared" si="4"/>
        <v>b50</v>
      </c>
      <c r="K4" s="40" t="str">
        <f t="shared" si="5"/>
        <v>r50</v>
      </c>
      <c r="L4" s="41">
        <f t="shared" si="0"/>
        <v>156.77499999999998</v>
      </c>
      <c r="M4" s="41">
        <f t="shared" si="0"/>
        <v>154.75399999999999</v>
      </c>
      <c r="N4" s="41">
        <f t="shared" si="1"/>
        <v>4.5200000000000005</v>
      </c>
    </row>
    <row r="5" spans="1:14" x14ac:dyDescent="0.4">
      <c r="A5" s="40">
        <v>75</v>
      </c>
      <c r="B5" s="41">
        <v>156.52099999999999</v>
      </c>
      <c r="C5" s="41">
        <v>154.501</v>
      </c>
      <c r="D5" s="41">
        <f t="shared" si="6"/>
        <v>4.4249999999999998</v>
      </c>
      <c r="E5" s="42">
        <f t="shared" si="2"/>
        <v>2.9112267373193559</v>
      </c>
      <c r="F5" s="42">
        <f t="shared" si="2"/>
        <v>2.9234092643615597</v>
      </c>
      <c r="G5" s="42">
        <f t="shared" si="7"/>
        <v>2.9173180008404578</v>
      </c>
      <c r="I5" s="40" t="str">
        <f t="shared" si="3"/>
        <v>a75</v>
      </c>
      <c r="J5" s="40" t="str">
        <f t="shared" si="4"/>
        <v>b75</v>
      </c>
      <c r="K5" s="40" t="str">
        <f t="shared" si="5"/>
        <v>r75</v>
      </c>
      <c r="L5" s="41">
        <f t="shared" si="0"/>
        <v>156.66099999999997</v>
      </c>
      <c r="M5" s="41">
        <f t="shared" si="0"/>
        <v>154.64099999999999</v>
      </c>
      <c r="N5" s="41">
        <f t="shared" si="1"/>
        <v>4.4950000000000001</v>
      </c>
    </row>
    <row r="6" spans="1:14" x14ac:dyDescent="0.4">
      <c r="A6" s="40">
        <v>100</v>
      </c>
      <c r="B6" s="41">
        <v>156.40700000000001</v>
      </c>
      <c r="C6" s="41">
        <v>154.38900000000001</v>
      </c>
      <c r="D6" s="41">
        <f t="shared" si="6"/>
        <v>4.4000000000000004</v>
      </c>
      <c r="E6" s="42">
        <f t="shared" si="2"/>
        <v>2.9133470908050909</v>
      </c>
      <c r="F6" s="42">
        <f t="shared" si="2"/>
        <v>2.8996576073939915</v>
      </c>
      <c r="G6" s="42">
        <f t="shared" si="7"/>
        <v>2.906502349099541</v>
      </c>
      <c r="I6" s="40" t="str">
        <f t="shared" si="3"/>
        <v>a100</v>
      </c>
      <c r="J6" s="40" t="str">
        <f t="shared" si="4"/>
        <v>b100</v>
      </c>
      <c r="K6" s="40" t="str">
        <f t="shared" si="5"/>
        <v>r100</v>
      </c>
      <c r="L6" s="41">
        <f t="shared" si="0"/>
        <v>156.547</v>
      </c>
      <c r="M6" s="41">
        <f t="shared" si="0"/>
        <v>154.529</v>
      </c>
      <c r="N6" s="41">
        <f t="shared" si="1"/>
        <v>4.4700000000000006</v>
      </c>
    </row>
    <row r="7" spans="1:14" x14ac:dyDescent="0.4">
      <c r="A7" s="40">
        <v>125</v>
      </c>
      <c r="B7" s="41">
        <v>156.29300000000001</v>
      </c>
      <c r="C7" s="41">
        <v>154.27600000000001</v>
      </c>
      <c r="D7" s="41">
        <f t="shared" si="6"/>
        <v>4.375</v>
      </c>
      <c r="E7" s="42">
        <f t="shared" si="2"/>
        <v>2.9154705352063348</v>
      </c>
      <c r="F7" s="42">
        <f t="shared" si="2"/>
        <v>2.9276697174021344</v>
      </c>
      <c r="G7" s="42">
        <f t="shared" si="7"/>
        <v>2.9215701263042346</v>
      </c>
      <c r="I7" s="40" t="str">
        <f t="shared" si="3"/>
        <v>a125</v>
      </c>
      <c r="J7" s="40" t="str">
        <f t="shared" si="4"/>
        <v>b125</v>
      </c>
      <c r="K7" s="40" t="str">
        <f t="shared" si="5"/>
        <v>r125</v>
      </c>
      <c r="L7" s="41">
        <f t="shared" si="0"/>
        <v>156.43299999999999</v>
      </c>
      <c r="M7" s="41">
        <f t="shared" si="0"/>
        <v>154.416</v>
      </c>
      <c r="N7" s="41">
        <f t="shared" si="1"/>
        <v>4.4450000000000003</v>
      </c>
    </row>
    <row r="8" spans="1:14" x14ac:dyDescent="0.4">
      <c r="A8" s="40">
        <v>150</v>
      </c>
      <c r="B8" s="41">
        <v>156.179</v>
      </c>
      <c r="C8" s="41">
        <v>154.16399999999999</v>
      </c>
      <c r="D8" s="41">
        <f t="shared" si="6"/>
        <v>4.3499999999999996</v>
      </c>
      <c r="E8" s="42">
        <f t="shared" si="2"/>
        <v>2.9175970772844417</v>
      </c>
      <c r="F8" s="42">
        <f t="shared" si="2"/>
        <v>2.903886541005035</v>
      </c>
      <c r="G8" s="42">
        <f t="shared" si="7"/>
        <v>2.9107418091447386</v>
      </c>
      <c r="I8" s="40" t="str">
        <f t="shared" si="3"/>
        <v>a150</v>
      </c>
      <c r="J8" s="40" t="str">
        <f t="shared" si="4"/>
        <v>b150</v>
      </c>
      <c r="K8" s="40" t="str">
        <f t="shared" si="5"/>
        <v>r150</v>
      </c>
      <c r="L8" s="41">
        <f t="shared" si="0"/>
        <v>156.31899999999999</v>
      </c>
      <c r="M8" s="41">
        <f t="shared" si="0"/>
        <v>154.30399999999997</v>
      </c>
      <c r="N8" s="41">
        <f t="shared" si="1"/>
        <v>4.42</v>
      </c>
    </row>
    <row r="9" spans="1:14" x14ac:dyDescent="0.4">
      <c r="A9" s="40">
        <v>175</v>
      </c>
      <c r="B9" s="41">
        <v>156.077</v>
      </c>
      <c r="C9" s="41">
        <v>154.06299999999999</v>
      </c>
      <c r="D9" s="41">
        <f t="shared" si="6"/>
        <v>4.3250000000000002</v>
      </c>
      <c r="E9" s="42">
        <f t="shared" si="2"/>
        <v>2.6123870686841091</v>
      </c>
      <c r="F9" s="42">
        <f t="shared" si="2"/>
        <v>2.620585869593397</v>
      </c>
      <c r="G9" s="42">
        <f t="shared" si="7"/>
        <v>2.6164864691387528</v>
      </c>
      <c r="I9" s="40" t="str">
        <f t="shared" si="3"/>
        <v>a175</v>
      </c>
      <c r="J9" s="40" t="str">
        <f t="shared" si="4"/>
        <v>b175</v>
      </c>
      <c r="K9" s="40" t="str">
        <f t="shared" si="5"/>
        <v>r175</v>
      </c>
      <c r="L9" s="41">
        <f t="shared" si="0"/>
        <v>156.21699999999998</v>
      </c>
      <c r="M9" s="41">
        <f t="shared" si="0"/>
        <v>154.20299999999997</v>
      </c>
      <c r="N9" s="41">
        <f t="shared" si="1"/>
        <v>4.3950000000000005</v>
      </c>
    </row>
    <row r="10" spans="1:14" x14ac:dyDescent="0.4">
      <c r="A10" s="40">
        <v>200</v>
      </c>
      <c r="B10" s="41">
        <v>155.98400000000001</v>
      </c>
      <c r="C10" s="41">
        <v>153.97200000000001</v>
      </c>
      <c r="D10" s="41">
        <f t="shared" si="6"/>
        <v>4.3</v>
      </c>
      <c r="E10" s="42">
        <f t="shared" si="2"/>
        <v>2.3834389435980778</v>
      </c>
      <c r="F10" s="42">
        <f t="shared" si="2"/>
        <v>2.3626698168925637</v>
      </c>
      <c r="G10" s="42">
        <f t="shared" si="7"/>
        <v>2.3730543802453208</v>
      </c>
      <c r="I10" s="40" t="str">
        <f t="shared" si="3"/>
        <v>a200</v>
      </c>
      <c r="J10" s="40" t="str">
        <f t="shared" si="4"/>
        <v>b200</v>
      </c>
      <c r="K10" s="40" t="str">
        <f t="shared" si="5"/>
        <v>r200</v>
      </c>
      <c r="L10" s="41">
        <f t="shared" si="0"/>
        <v>156.124</v>
      </c>
      <c r="M10" s="41">
        <f t="shared" si="0"/>
        <v>154.11199999999999</v>
      </c>
      <c r="N10" s="41">
        <f t="shared" si="1"/>
        <v>4.37</v>
      </c>
    </row>
    <row r="11" spans="1:14" x14ac:dyDescent="0.4">
      <c r="A11" s="40">
        <v>225</v>
      </c>
      <c r="B11" s="41">
        <v>155.90199999999999</v>
      </c>
      <c r="C11" s="41">
        <v>153.88999999999999</v>
      </c>
      <c r="D11" s="41">
        <f t="shared" si="6"/>
        <v>4.2750000000000004</v>
      </c>
      <c r="E11" s="42">
        <f t="shared" si="2"/>
        <v>2.1027797722849022</v>
      </c>
      <c r="F11" s="42">
        <f t="shared" si="2"/>
        <v>2.1302574494069586</v>
      </c>
      <c r="G11" s="42">
        <f t="shared" si="7"/>
        <v>2.1165186108459304</v>
      </c>
      <c r="I11" s="40" t="str">
        <f t="shared" si="3"/>
        <v>a225</v>
      </c>
      <c r="J11" s="40" t="str">
        <f t="shared" si="4"/>
        <v>b225</v>
      </c>
      <c r="K11" s="40" t="str">
        <f t="shared" si="5"/>
        <v>r225</v>
      </c>
      <c r="L11" s="41">
        <f t="shared" si="0"/>
        <v>156.04199999999997</v>
      </c>
      <c r="M11" s="41">
        <f t="shared" si="0"/>
        <v>154.02999999999997</v>
      </c>
      <c r="N11" s="41">
        <f t="shared" si="1"/>
        <v>4.3450000000000006</v>
      </c>
    </row>
    <row r="12" spans="1:14" x14ac:dyDescent="0.4">
      <c r="A12" s="40">
        <v>250</v>
      </c>
      <c r="B12" s="41">
        <v>155.827</v>
      </c>
      <c r="C12" s="41">
        <v>153.81700000000001</v>
      </c>
      <c r="D12" s="41">
        <f t="shared" si="6"/>
        <v>4.25</v>
      </c>
      <c r="E12" s="42">
        <f t="shared" si="2"/>
        <v>1.9242857692650162</v>
      </c>
      <c r="F12" s="42">
        <f t="shared" si="2"/>
        <v>1.8974592241205821</v>
      </c>
      <c r="G12" s="42">
        <f t="shared" si="7"/>
        <v>1.9108724966927992</v>
      </c>
      <c r="I12" s="40" t="str">
        <f t="shared" si="3"/>
        <v>a250</v>
      </c>
      <c r="J12" s="40" t="str">
        <f t="shared" si="4"/>
        <v>b250</v>
      </c>
      <c r="K12" s="40" t="str">
        <f t="shared" si="5"/>
        <v>r250</v>
      </c>
      <c r="L12" s="41">
        <f t="shared" si="0"/>
        <v>155.96699999999998</v>
      </c>
      <c r="M12" s="41">
        <f t="shared" si="0"/>
        <v>153.95699999999999</v>
      </c>
      <c r="N12" s="41">
        <f t="shared" si="1"/>
        <v>4.32</v>
      </c>
    </row>
    <row r="13" spans="1:14" x14ac:dyDescent="0.4">
      <c r="A13" s="40">
        <v>275</v>
      </c>
      <c r="B13" s="41">
        <v>155.761</v>
      </c>
      <c r="C13" s="41">
        <v>153.751</v>
      </c>
      <c r="D13" s="41">
        <f t="shared" si="6"/>
        <v>4.2249999999999996</v>
      </c>
      <c r="E13" s="42">
        <f t="shared" si="2"/>
        <v>1.6941865016974593</v>
      </c>
      <c r="F13" s="42">
        <f t="shared" si="2"/>
        <v>1.7163252436337335</v>
      </c>
      <c r="G13" s="42">
        <f t="shared" si="7"/>
        <v>1.7052558726655964</v>
      </c>
      <c r="I13" s="40" t="str">
        <f t="shared" si="3"/>
        <v>a275</v>
      </c>
      <c r="J13" s="40" t="str">
        <f t="shared" si="4"/>
        <v>b275</v>
      </c>
      <c r="K13" s="40" t="str">
        <f t="shared" si="5"/>
        <v>r275</v>
      </c>
      <c r="L13" s="41">
        <f t="shared" si="0"/>
        <v>155.90099999999998</v>
      </c>
      <c r="M13" s="41">
        <f t="shared" si="0"/>
        <v>153.89099999999999</v>
      </c>
      <c r="N13" s="41">
        <f t="shared" si="1"/>
        <v>4.2949999999999999</v>
      </c>
    </row>
    <row r="14" spans="1:14" x14ac:dyDescent="0.4">
      <c r="A14" s="40">
        <v>300</v>
      </c>
      <c r="B14" s="41">
        <v>155.70099999999999</v>
      </c>
      <c r="C14" s="41">
        <v>153.69200000000001</v>
      </c>
      <c r="D14" s="41">
        <f t="shared" si="6"/>
        <v>4.2</v>
      </c>
      <c r="E14" s="42">
        <f t="shared" si="2"/>
        <v>1.5408221570226763</v>
      </c>
      <c r="F14" s="42">
        <f t="shared" si="2"/>
        <v>1.534949366182919</v>
      </c>
      <c r="G14" s="42">
        <f t="shared" si="7"/>
        <v>1.5378857616027977</v>
      </c>
      <c r="I14" s="40" t="str">
        <f t="shared" si="3"/>
        <v>a300</v>
      </c>
      <c r="J14" s="40" t="str">
        <f t="shared" si="4"/>
        <v>b300</v>
      </c>
      <c r="K14" s="40" t="str">
        <f t="shared" si="5"/>
        <v>r300</v>
      </c>
      <c r="L14" s="41">
        <f t="shared" si="0"/>
        <v>155.84099999999998</v>
      </c>
      <c r="M14" s="41">
        <f t="shared" si="0"/>
        <v>153.83199999999999</v>
      </c>
      <c r="N14" s="41">
        <f t="shared" si="1"/>
        <v>4.2700000000000005</v>
      </c>
    </row>
    <row r="15" spans="1:14" x14ac:dyDescent="0.4">
      <c r="A15" s="40">
        <v>325</v>
      </c>
      <c r="B15" s="41">
        <v>155.64699999999999</v>
      </c>
      <c r="C15" s="41">
        <v>153.63900000000001</v>
      </c>
      <c r="D15" s="41">
        <f t="shared" si="6"/>
        <v>4.1749999999999998</v>
      </c>
      <c r="E15" s="42">
        <f t="shared" si="2"/>
        <v>1.3872743270756656</v>
      </c>
      <c r="F15" s="42">
        <f t="shared" si="2"/>
        <v>1.3793821409051159</v>
      </c>
      <c r="G15" s="42">
        <f t="shared" si="7"/>
        <v>1.3833282339903907</v>
      </c>
      <c r="I15" s="40" t="str">
        <f t="shared" si="3"/>
        <v>a325</v>
      </c>
      <c r="J15" s="40" t="str">
        <f t="shared" si="4"/>
        <v>b325</v>
      </c>
      <c r="K15" s="40" t="str">
        <f t="shared" si="5"/>
        <v>r325</v>
      </c>
      <c r="L15" s="41">
        <f t="shared" si="0"/>
        <v>155.78699999999998</v>
      </c>
      <c r="M15" s="41">
        <f t="shared" si="0"/>
        <v>153.779</v>
      </c>
      <c r="N15" s="41">
        <f t="shared" si="1"/>
        <v>4.2450000000000001</v>
      </c>
    </row>
    <row r="16" spans="1:14" x14ac:dyDescent="0.4">
      <c r="A16" s="40">
        <v>350</v>
      </c>
      <c r="B16" s="41">
        <v>155.6</v>
      </c>
      <c r="C16" s="41">
        <v>153.59200000000001</v>
      </c>
      <c r="D16" s="41">
        <f t="shared" si="6"/>
        <v>4.1500000000000004</v>
      </c>
      <c r="E16" s="42">
        <f t="shared" si="2"/>
        <v>1.2078613786323422</v>
      </c>
      <c r="F16" s="42">
        <f t="shared" si="2"/>
        <v>1.2236476415492692</v>
      </c>
      <c r="G16" s="42">
        <f t="shared" si="7"/>
        <v>1.2157545100908056</v>
      </c>
      <c r="I16" s="40" t="str">
        <f t="shared" si="3"/>
        <v>a350</v>
      </c>
      <c r="J16" s="40" t="str">
        <f t="shared" si="4"/>
        <v>b350</v>
      </c>
      <c r="K16" s="40" t="str">
        <f t="shared" si="5"/>
        <v>r350</v>
      </c>
      <c r="L16" s="41">
        <f t="shared" si="0"/>
        <v>155.73999999999998</v>
      </c>
      <c r="M16" s="41">
        <f t="shared" si="0"/>
        <v>153.732</v>
      </c>
      <c r="N16" s="41">
        <f t="shared" si="1"/>
        <v>4.2200000000000006</v>
      </c>
    </row>
    <row r="17" spans="1:14" x14ac:dyDescent="0.4">
      <c r="A17" s="40">
        <v>375</v>
      </c>
      <c r="B17" s="41">
        <v>155.55600000000001</v>
      </c>
      <c r="C17" s="41">
        <v>153.54900000000001</v>
      </c>
      <c r="D17" s="41">
        <f t="shared" si="6"/>
        <v>4.125</v>
      </c>
      <c r="E17" s="42">
        <f t="shared" si="2"/>
        <v>1.1311053984571393</v>
      </c>
      <c r="F17" s="42">
        <f t="shared" si="2"/>
        <v>1.1198499921872587</v>
      </c>
      <c r="G17" s="42">
        <f t="shared" si="7"/>
        <v>1.125477695322199</v>
      </c>
      <c r="I17" s="40" t="str">
        <f t="shared" si="3"/>
        <v>a375</v>
      </c>
      <c r="J17" s="40" t="str">
        <f t="shared" si="4"/>
        <v>b375</v>
      </c>
      <c r="K17" s="40" t="str">
        <f t="shared" si="5"/>
        <v>r375</v>
      </c>
      <c r="L17" s="41">
        <f t="shared" si="0"/>
        <v>155.696</v>
      </c>
      <c r="M17" s="41">
        <f t="shared" si="0"/>
        <v>153.68899999999999</v>
      </c>
      <c r="N17" s="41">
        <f t="shared" si="1"/>
        <v>4.1950000000000003</v>
      </c>
    </row>
    <row r="18" spans="1:14" x14ac:dyDescent="0.4">
      <c r="A18" s="40">
        <v>400</v>
      </c>
      <c r="B18" s="41">
        <v>155.51599999999999</v>
      </c>
      <c r="C18" s="41">
        <v>153.51</v>
      </c>
      <c r="D18" s="41">
        <f t="shared" si="6"/>
        <v>4.0999999999999996</v>
      </c>
      <c r="E18" s="42">
        <f t="shared" si="2"/>
        <v>1.0285684898048411</v>
      </c>
      <c r="F18" s="42">
        <f t="shared" si="2"/>
        <v>1.015962331243204</v>
      </c>
      <c r="G18" s="42">
        <f t="shared" si="7"/>
        <v>1.0222654105240225</v>
      </c>
      <c r="I18" s="40" t="str">
        <f t="shared" si="3"/>
        <v>a400</v>
      </c>
      <c r="J18" s="40" t="str">
        <f t="shared" si="4"/>
        <v>b400</v>
      </c>
      <c r="K18" s="40" t="str">
        <f t="shared" si="5"/>
        <v>r400</v>
      </c>
      <c r="L18" s="41">
        <f t="shared" si="0"/>
        <v>155.65599999999998</v>
      </c>
      <c r="M18" s="41">
        <f t="shared" si="0"/>
        <v>153.64999999999998</v>
      </c>
      <c r="N18" s="41">
        <f t="shared" si="1"/>
        <v>4.17</v>
      </c>
    </row>
    <row r="19" spans="1:14" x14ac:dyDescent="0.4">
      <c r="A19" s="40">
        <v>425</v>
      </c>
      <c r="B19" s="41">
        <v>155.47999999999999</v>
      </c>
      <c r="C19" s="41">
        <v>153.47399999999999</v>
      </c>
      <c r="D19" s="41">
        <f t="shared" si="6"/>
        <v>4.0750000000000002</v>
      </c>
      <c r="E19" s="42">
        <f t="shared" ref="E19:F34" si="8">IF($A19="","",(B18-B19)*1000/(B18*($A19-$A18))*100)</f>
        <v>0.92594974150573239</v>
      </c>
      <c r="F19" s="42">
        <f t="shared" si="8"/>
        <v>0.93804963846007072</v>
      </c>
      <c r="G19" s="42">
        <f t="shared" si="7"/>
        <v>0.9319996899829015</v>
      </c>
      <c r="I19" s="40" t="str">
        <f t="shared" si="3"/>
        <v>a425</v>
      </c>
      <c r="J19" s="40" t="str">
        <f t="shared" si="4"/>
        <v>b425</v>
      </c>
      <c r="K19" s="40" t="str">
        <f t="shared" si="5"/>
        <v>r425</v>
      </c>
      <c r="L19" s="41">
        <f t="shared" si="0"/>
        <v>155.61999999999998</v>
      </c>
      <c r="M19" s="41">
        <f t="shared" si="0"/>
        <v>153.61399999999998</v>
      </c>
      <c r="N19" s="41">
        <f t="shared" si="1"/>
        <v>4.1450000000000005</v>
      </c>
    </row>
    <row r="20" spans="1:14" x14ac:dyDescent="0.4">
      <c r="A20" s="40">
        <v>450</v>
      </c>
      <c r="B20" s="41">
        <v>155.447</v>
      </c>
      <c r="C20" s="41">
        <v>153.441</v>
      </c>
      <c r="D20" s="41">
        <f t="shared" si="6"/>
        <v>4.05</v>
      </c>
      <c r="E20" s="42">
        <f t="shared" si="8"/>
        <v>0.84898379212727149</v>
      </c>
      <c r="F20" s="42">
        <f t="shared" si="8"/>
        <v>0.86008053481337665</v>
      </c>
      <c r="G20" s="42">
        <f t="shared" si="7"/>
        <v>0.85453216347032401</v>
      </c>
      <c r="I20" s="40" t="str">
        <f t="shared" si="3"/>
        <v>a450</v>
      </c>
      <c r="J20" s="40" t="str">
        <f t="shared" si="4"/>
        <v>b450</v>
      </c>
      <c r="K20" s="40" t="str">
        <f t="shared" si="5"/>
        <v>r450</v>
      </c>
      <c r="L20" s="41">
        <f t="shared" si="0"/>
        <v>155.58699999999999</v>
      </c>
      <c r="M20" s="41">
        <f t="shared" si="0"/>
        <v>153.58099999999999</v>
      </c>
      <c r="N20" s="41">
        <f t="shared" si="1"/>
        <v>4.12</v>
      </c>
    </row>
    <row r="21" spans="1:14" x14ac:dyDescent="0.4">
      <c r="A21" s="40">
        <v>475</v>
      </c>
      <c r="B21" s="41">
        <v>155.416</v>
      </c>
      <c r="C21" s="41">
        <v>153.411</v>
      </c>
      <c r="D21" s="41">
        <f t="shared" si="6"/>
        <v>4.0250000000000004</v>
      </c>
      <c r="E21" s="42">
        <f t="shared" si="8"/>
        <v>0.79769953746308164</v>
      </c>
      <c r="F21" s="42">
        <f t="shared" si="8"/>
        <v>0.7820595538350541</v>
      </c>
      <c r="G21" s="42">
        <f t="shared" si="7"/>
        <v>0.78987954564906793</v>
      </c>
      <c r="I21" s="40" t="str">
        <f t="shared" si="3"/>
        <v>a475</v>
      </c>
      <c r="J21" s="40" t="str">
        <f t="shared" si="4"/>
        <v>b475</v>
      </c>
      <c r="K21" s="40" t="str">
        <f t="shared" si="5"/>
        <v>r475</v>
      </c>
      <c r="L21" s="41">
        <f t="shared" si="0"/>
        <v>155.55599999999998</v>
      </c>
      <c r="M21" s="41">
        <f t="shared" si="0"/>
        <v>153.55099999999999</v>
      </c>
      <c r="N21" s="41">
        <f t="shared" si="1"/>
        <v>4.0950000000000006</v>
      </c>
    </row>
    <row r="22" spans="1:14" x14ac:dyDescent="0.4">
      <c r="A22" s="40">
        <v>500</v>
      </c>
      <c r="B22" s="41">
        <v>155.38800000000001</v>
      </c>
      <c r="C22" s="41">
        <v>153.38300000000001</v>
      </c>
      <c r="D22" s="41">
        <f t="shared" si="6"/>
        <v>4</v>
      </c>
      <c r="E22" s="42">
        <f t="shared" si="8"/>
        <v>0.7206465228803105</v>
      </c>
      <c r="F22" s="42">
        <f t="shared" si="8"/>
        <v>0.73006498882066051</v>
      </c>
      <c r="G22" s="42">
        <f t="shared" si="7"/>
        <v>0.72535575585048551</v>
      </c>
      <c r="I22" s="40" t="str">
        <f t="shared" si="3"/>
        <v>a500</v>
      </c>
      <c r="J22" s="40" t="str">
        <f t="shared" si="4"/>
        <v>b500</v>
      </c>
      <c r="K22" s="40" t="str">
        <f t="shared" si="5"/>
        <v>r500</v>
      </c>
      <c r="L22" s="41">
        <f t="shared" si="0"/>
        <v>155.52799999999999</v>
      </c>
      <c r="M22" s="41">
        <f t="shared" si="0"/>
        <v>153.523</v>
      </c>
      <c r="N22" s="41">
        <f t="shared" si="1"/>
        <v>4.07</v>
      </c>
    </row>
    <row r="23" spans="1:14" x14ac:dyDescent="0.4">
      <c r="A23" s="40">
        <v>525</v>
      </c>
      <c r="B23" s="41">
        <v>155.36099999999999</v>
      </c>
      <c r="C23" s="41">
        <v>153.357</v>
      </c>
      <c r="D23" s="41">
        <f t="shared" si="6"/>
        <v>3.9750000000000001</v>
      </c>
      <c r="E23" s="42">
        <f t="shared" si="8"/>
        <v>0.69503436558846832</v>
      </c>
      <c r="F23" s="42">
        <f t="shared" si="8"/>
        <v>0.67804124316281356</v>
      </c>
      <c r="G23" s="42">
        <f t="shared" si="7"/>
        <v>0.68653780437564094</v>
      </c>
      <c r="I23" s="40" t="str">
        <f t="shared" si="3"/>
        <v>a525</v>
      </c>
      <c r="J23" s="40" t="str">
        <f t="shared" si="4"/>
        <v>b525</v>
      </c>
      <c r="K23" s="40" t="str">
        <f t="shared" si="5"/>
        <v>r525</v>
      </c>
      <c r="L23" s="41">
        <f t="shared" si="0"/>
        <v>155.50099999999998</v>
      </c>
      <c r="M23" s="41">
        <f t="shared" si="0"/>
        <v>153.49699999999999</v>
      </c>
      <c r="N23" s="41">
        <f t="shared" si="1"/>
        <v>4.0449999999999999</v>
      </c>
    </row>
    <row r="24" spans="1:14" x14ac:dyDescent="0.4">
      <c r="A24" s="40">
        <v>550</v>
      </c>
      <c r="B24" s="41">
        <v>155.33600000000001</v>
      </c>
      <c r="C24" s="41">
        <v>153.33199999999999</v>
      </c>
      <c r="D24" s="41">
        <f t="shared" si="6"/>
        <v>3.95</v>
      </c>
      <c r="E24" s="42">
        <f t="shared" si="8"/>
        <v>0.64366218034068434</v>
      </c>
      <c r="F24" s="42">
        <f t="shared" si="8"/>
        <v>0.65207326695242296</v>
      </c>
      <c r="G24" s="42">
        <f t="shared" si="7"/>
        <v>0.64786772364655365</v>
      </c>
      <c r="I24" s="40" t="str">
        <f t="shared" si="3"/>
        <v>a550</v>
      </c>
      <c r="J24" s="40" t="str">
        <f t="shared" si="4"/>
        <v>b550</v>
      </c>
      <c r="K24" s="40" t="str">
        <f t="shared" si="5"/>
        <v>r550</v>
      </c>
      <c r="L24" s="41">
        <f t="shared" si="0"/>
        <v>155.476</v>
      </c>
      <c r="M24" s="41">
        <f t="shared" si="0"/>
        <v>153.47199999999998</v>
      </c>
      <c r="N24" s="41">
        <f t="shared" si="1"/>
        <v>4.0200000000000005</v>
      </c>
    </row>
    <row r="25" spans="1:14" x14ac:dyDescent="0.4">
      <c r="A25" s="40">
        <v>575</v>
      </c>
      <c r="B25" s="41">
        <v>155.31200000000001</v>
      </c>
      <c r="C25" s="41">
        <v>153.30799999999999</v>
      </c>
      <c r="D25" s="41">
        <f t="shared" si="6"/>
        <v>3.9249999999999998</v>
      </c>
      <c r="E25" s="42">
        <f t="shared" si="8"/>
        <v>0.6180151413709869</v>
      </c>
      <c r="F25" s="42">
        <f t="shared" si="8"/>
        <v>0.62609240080350903</v>
      </c>
      <c r="G25" s="42">
        <f t="shared" si="7"/>
        <v>0.62205377108724802</v>
      </c>
      <c r="I25" s="40" t="str">
        <f t="shared" si="3"/>
        <v>a575</v>
      </c>
      <c r="J25" s="40" t="str">
        <f t="shared" si="4"/>
        <v>b575</v>
      </c>
      <c r="K25" s="40" t="str">
        <f t="shared" si="5"/>
        <v>r575</v>
      </c>
      <c r="L25" s="41">
        <f t="shared" si="0"/>
        <v>155.452</v>
      </c>
      <c r="M25" s="41">
        <f t="shared" si="0"/>
        <v>153.44799999999998</v>
      </c>
      <c r="N25" s="41">
        <f t="shared" si="1"/>
        <v>3.9949999999999997</v>
      </c>
    </row>
    <row r="26" spans="1:14" x14ac:dyDescent="0.4">
      <c r="A26" s="40">
        <v>600</v>
      </c>
      <c r="B26" s="41">
        <v>155.28899999999999</v>
      </c>
      <c r="C26" s="41">
        <v>153.285</v>
      </c>
      <c r="D26" s="41">
        <f t="shared" si="6"/>
        <v>3.9</v>
      </c>
      <c r="E26" s="42">
        <f t="shared" si="8"/>
        <v>0.59235603173031204</v>
      </c>
      <c r="F26" s="42">
        <f t="shared" si="8"/>
        <v>0.60009914681545995</v>
      </c>
      <c r="G26" s="42">
        <f t="shared" si="7"/>
        <v>0.59622758927288599</v>
      </c>
      <c r="I26" s="40" t="str">
        <f t="shared" si="3"/>
        <v>a600</v>
      </c>
      <c r="J26" s="40" t="str">
        <f t="shared" si="4"/>
        <v>b600</v>
      </c>
      <c r="K26" s="40" t="str">
        <f t="shared" si="5"/>
        <v>r600</v>
      </c>
      <c r="L26" s="41">
        <f t="shared" si="0"/>
        <v>155.42899999999997</v>
      </c>
      <c r="M26" s="41">
        <f t="shared" si="0"/>
        <v>153.42499999999998</v>
      </c>
      <c r="N26" s="41">
        <f t="shared" si="1"/>
        <v>3.9699999999999998</v>
      </c>
    </row>
    <row r="27" spans="1:14" x14ac:dyDescent="0.4">
      <c r="A27" s="40">
        <v>625</v>
      </c>
      <c r="B27" s="41">
        <v>155.26599999999999</v>
      </c>
      <c r="C27" s="41">
        <v>153.26300000000001</v>
      </c>
      <c r="D27" s="41">
        <f t="shared" si="6"/>
        <v>3.875</v>
      </c>
      <c r="E27" s="42">
        <f t="shared" si="8"/>
        <v>0.5924437661391635</v>
      </c>
      <c r="F27" s="42">
        <f t="shared" si="8"/>
        <v>0.57409400789356713</v>
      </c>
      <c r="G27" s="42">
        <f t="shared" si="7"/>
        <v>0.58326888701636537</v>
      </c>
      <c r="I27" s="40" t="str">
        <f t="shared" si="3"/>
        <v>a625</v>
      </c>
      <c r="J27" s="40" t="str">
        <f t="shared" si="4"/>
        <v>b625</v>
      </c>
      <c r="K27" s="40" t="str">
        <f t="shared" si="5"/>
        <v>r625</v>
      </c>
      <c r="L27" s="41">
        <f t="shared" si="0"/>
        <v>155.40599999999998</v>
      </c>
      <c r="M27" s="41">
        <f t="shared" si="0"/>
        <v>153.40299999999999</v>
      </c>
      <c r="N27" s="41">
        <f t="shared" si="1"/>
        <v>3.9449999999999998</v>
      </c>
    </row>
    <row r="28" spans="1:14" x14ac:dyDescent="0.4">
      <c r="A28" s="40">
        <v>650</v>
      </c>
      <c r="B28" s="41">
        <v>155.244</v>
      </c>
      <c r="C28" s="41">
        <v>153.24100000000001</v>
      </c>
      <c r="D28" s="41">
        <f t="shared" si="6"/>
        <v>3.85</v>
      </c>
      <c r="E28" s="42">
        <f t="shared" si="8"/>
        <v>0.56676928625691037</v>
      </c>
      <c r="F28" s="42">
        <f t="shared" si="8"/>
        <v>0.57417641570349942</v>
      </c>
      <c r="G28" s="42">
        <f t="shared" si="7"/>
        <v>0.57047285098020484</v>
      </c>
      <c r="I28" s="40" t="str">
        <f t="shared" si="3"/>
        <v>a650</v>
      </c>
      <c r="J28" s="40" t="str">
        <f t="shared" si="4"/>
        <v>b650</v>
      </c>
      <c r="K28" s="40" t="str">
        <f t="shared" si="5"/>
        <v>r650</v>
      </c>
      <c r="L28" s="41">
        <f t="shared" si="0"/>
        <v>155.38399999999999</v>
      </c>
      <c r="M28" s="41">
        <f t="shared" si="0"/>
        <v>153.381</v>
      </c>
      <c r="N28" s="41">
        <f t="shared" si="1"/>
        <v>3.92</v>
      </c>
    </row>
    <row r="29" spans="1:14" x14ac:dyDescent="0.4">
      <c r="A29" s="40">
        <v>675</v>
      </c>
      <c r="B29" s="41">
        <v>155.22200000000001</v>
      </c>
      <c r="C29" s="41">
        <v>153.21899999999999</v>
      </c>
      <c r="D29" s="41">
        <f t="shared" si="6"/>
        <v>3.8250000000000002</v>
      </c>
      <c r="E29" s="42">
        <f t="shared" si="8"/>
        <v>0.56684960449334876</v>
      </c>
      <c r="F29" s="42">
        <f t="shared" si="8"/>
        <v>0.57425884717588049</v>
      </c>
      <c r="G29" s="42">
        <f t="shared" si="7"/>
        <v>0.57055422583461457</v>
      </c>
      <c r="I29" s="40" t="str">
        <f t="shared" si="3"/>
        <v>a675</v>
      </c>
      <c r="J29" s="40" t="str">
        <f t="shared" si="4"/>
        <v>b675</v>
      </c>
      <c r="K29" s="40" t="str">
        <f t="shared" si="5"/>
        <v>r675</v>
      </c>
      <c r="L29" s="41">
        <f t="shared" si="0"/>
        <v>155.36199999999999</v>
      </c>
      <c r="M29" s="41">
        <f t="shared" si="0"/>
        <v>153.35899999999998</v>
      </c>
      <c r="N29" s="41">
        <f t="shared" si="1"/>
        <v>3.895</v>
      </c>
    </row>
    <row r="30" spans="1:14" x14ac:dyDescent="0.4">
      <c r="A30" s="40">
        <v>700</v>
      </c>
      <c r="B30" s="41">
        <v>155.19999999999999</v>
      </c>
      <c r="C30" s="41">
        <v>153.197</v>
      </c>
      <c r="D30" s="41">
        <f t="shared" si="6"/>
        <v>3.8</v>
      </c>
      <c r="E30" s="42">
        <f t="shared" si="8"/>
        <v>0.5669299454979263</v>
      </c>
      <c r="F30" s="42">
        <f t="shared" si="8"/>
        <v>0.57434130231867742</v>
      </c>
      <c r="G30" s="42">
        <f t="shared" si="7"/>
        <v>0.57063562390830191</v>
      </c>
      <c r="I30" s="40" t="str">
        <f t="shared" si="3"/>
        <v>a700</v>
      </c>
      <c r="J30" s="40" t="str">
        <f t="shared" si="4"/>
        <v>b700</v>
      </c>
      <c r="K30" s="40" t="str">
        <f t="shared" si="5"/>
        <v>r700</v>
      </c>
      <c r="L30" s="41">
        <f t="shared" si="0"/>
        <v>155.33999999999997</v>
      </c>
      <c r="M30" s="41">
        <f t="shared" si="0"/>
        <v>153.33699999999999</v>
      </c>
      <c r="N30" s="41">
        <f t="shared" si="1"/>
        <v>3.8699999999999997</v>
      </c>
    </row>
    <row r="31" spans="1:14" x14ac:dyDescent="0.4">
      <c r="A31" s="40">
        <v>725</v>
      </c>
      <c r="B31" s="41">
        <v>155.179</v>
      </c>
      <c r="C31" s="41">
        <v>153.17599999999999</v>
      </c>
      <c r="D31" s="41">
        <f t="shared" si="6"/>
        <v>3.7749999999999999</v>
      </c>
      <c r="E31" s="42">
        <f t="shared" si="8"/>
        <v>0.54123711340171621</v>
      </c>
      <c r="F31" s="42">
        <f t="shared" si="8"/>
        <v>0.54831360927472483</v>
      </c>
      <c r="G31" s="42">
        <f t="shared" si="7"/>
        <v>0.54477536133822047</v>
      </c>
      <c r="I31" s="40" t="str">
        <f t="shared" si="3"/>
        <v>a725</v>
      </c>
      <c r="J31" s="40" t="str">
        <f t="shared" si="4"/>
        <v>b725</v>
      </c>
      <c r="K31" s="40" t="str">
        <f t="shared" si="5"/>
        <v>r725</v>
      </c>
      <c r="L31" s="41">
        <f t="shared" si="0"/>
        <v>155.31899999999999</v>
      </c>
      <c r="M31" s="41">
        <f t="shared" si="0"/>
        <v>153.31599999999997</v>
      </c>
      <c r="N31" s="41">
        <f t="shared" si="1"/>
        <v>3.8449999999999998</v>
      </c>
    </row>
    <row r="32" spans="1:14" x14ac:dyDescent="0.4">
      <c r="A32" s="40">
        <v>750</v>
      </c>
      <c r="B32" s="41">
        <v>155.15700000000001</v>
      </c>
      <c r="C32" s="41">
        <v>153.155</v>
      </c>
      <c r="D32" s="41">
        <f t="shared" si="6"/>
        <v>3.75</v>
      </c>
      <c r="E32" s="42">
        <f t="shared" si="8"/>
        <v>0.56708704141646382</v>
      </c>
      <c r="F32" s="42">
        <f t="shared" si="8"/>
        <v>0.54838878153200465</v>
      </c>
      <c r="G32" s="42">
        <f t="shared" si="7"/>
        <v>0.55773791147423424</v>
      </c>
      <c r="I32" s="40" t="str">
        <f>IF($A32="","","a"&amp;$A32)</f>
        <v>a750</v>
      </c>
      <c r="J32" s="40" t="str">
        <f>IF($A32="","","b"&amp;$A32)</f>
        <v>b750</v>
      </c>
      <c r="K32" s="40" t="str">
        <f>IF($A32="","","r"&amp;$A32)</f>
        <v>r750</v>
      </c>
      <c r="L32" s="41">
        <f t="shared" si="0"/>
        <v>155.297</v>
      </c>
      <c r="M32" s="41">
        <f t="shared" si="0"/>
        <v>153.29499999999999</v>
      </c>
      <c r="N32" s="41">
        <f t="shared" si="1"/>
        <v>3.82</v>
      </c>
    </row>
    <row r="33" spans="1:14" x14ac:dyDescent="0.4">
      <c r="A33" s="40">
        <v>775</v>
      </c>
      <c r="B33" s="41">
        <v>155.137</v>
      </c>
      <c r="C33" s="41">
        <v>153.13499999999999</v>
      </c>
      <c r="D33" s="41">
        <f t="shared" si="6"/>
        <v>3.7250000000000001</v>
      </c>
      <c r="E33" s="42">
        <f t="shared" si="8"/>
        <v>0.51560677249522047</v>
      </c>
      <c r="F33" s="42">
        <f t="shared" si="8"/>
        <v>0.52234664229075722</v>
      </c>
      <c r="G33" s="42">
        <f t="shared" si="7"/>
        <v>0.51897670739298885</v>
      </c>
      <c r="I33" s="40" t="str">
        <f>IF($A33="","","a"&amp;$A33)</f>
        <v>a775</v>
      </c>
      <c r="J33" s="40" t="str">
        <f>IF($A33="","","b"&amp;$A33)</f>
        <v>b775</v>
      </c>
      <c r="K33" s="40" t="str">
        <f>IF($A33="","","r"&amp;$A33)</f>
        <v>r775</v>
      </c>
      <c r="L33" s="41">
        <f t="shared" si="0"/>
        <v>155.27699999999999</v>
      </c>
      <c r="M33" s="41">
        <f t="shared" si="0"/>
        <v>153.27499999999998</v>
      </c>
      <c r="N33" s="41">
        <f t="shared" si="1"/>
        <v>3.7949999999999999</v>
      </c>
    </row>
    <row r="34" spans="1:14" x14ac:dyDescent="0.4">
      <c r="A34" s="40">
        <v>800</v>
      </c>
      <c r="B34" s="41">
        <v>155.11600000000001</v>
      </c>
      <c r="C34" s="41">
        <v>153.11500000000001</v>
      </c>
      <c r="D34" s="41">
        <f t="shared" si="6"/>
        <v>3.7</v>
      </c>
      <c r="E34" s="42">
        <f t="shared" si="8"/>
        <v>0.54145690583127382</v>
      </c>
      <c r="F34" s="42">
        <f t="shared" si="8"/>
        <v>0.52241486270236881</v>
      </c>
      <c r="G34" s="42">
        <f t="shared" si="7"/>
        <v>0.53193588426682137</v>
      </c>
      <c r="I34" s="40" t="str">
        <f>IF($A34="","","a"&amp;$A34)</f>
        <v>a800</v>
      </c>
      <c r="J34" s="40" t="str">
        <f>IF($A34="","","b"&amp;$A34)</f>
        <v>b800</v>
      </c>
      <c r="K34" s="40" t="str">
        <f>IF($A34="","","r"&amp;$A34)</f>
        <v>r800</v>
      </c>
      <c r="L34" s="41">
        <f t="shared" si="0"/>
        <v>155.256</v>
      </c>
      <c r="M34" s="41">
        <f t="shared" si="0"/>
        <v>153.255</v>
      </c>
      <c r="N34" s="41">
        <f t="shared" si="1"/>
        <v>3.77</v>
      </c>
    </row>
    <row r="35" spans="1:14" x14ac:dyDescent="0.4">
      <c r="A35" s="40">
        <v>825</v>
      </c>
      <c r="B35" s="41">
        <v>155.09700000000001</v>
      </c>
      <c r="C35" s="41">
        <v>153.095</v>
      </c>
      <c r="D35" s="41">
        <f t="shared" si="6"/>
        <v>3.6749999999999998</v>
      </c>
      <c r="E35" s="42">
        <f t="shared" ref="E35:F42" si="9">IF($A35="","",(B34-B35)*1000/(B34*($A35-$A34))*100)</f>
        <v>0.48995590396878352</v>
      </c>
      <c r="F35" s="42">
        <f t="shared" si="9"/>
        <v>0.52248310093747141</v>
      </c>
      <c r="G35" s="42">
        <f t="shared" si="7"/>
        <v>0.50621950245312752</v>
      </c>
      <c r="I35" s="40" t="str">
        <f>IF($A35="","","a"&amp;$A35)</f>
        <v>a825</v>
      </c>
      <c r="J35" s="40" t="str">
        <f>IF($A35="","","b"&amp;$A35)</f>
        <v>b825</v>
      </c>
      <c r="K35" s="40" t="str">
        <f>IF($A35="","","r"&amp;$A35)</f>
        <v>r825</v>
      </c>
      <c r="L35" s="41">
        <f t="shared" si="0"/>
        <v>155.23699999999999</v>
      </c>
      <c r="M35" s="41">
        <f t="shared" si="0"/>
        <v>153.23499999999999</v>
      </c>
      <c r="N35" s="41">
        <f t="shared" si="1"/>
        <v>3.7449999999999997</v>
      </c>
    </row>
    <row r="36" spans="1:14" x14ac:dyDescent="0.4">
      <c r="A36" s="40">
        <v>850</v>
      </c>
      <c r="B36" s="41">
        <v>155.078</v>
      </c>
      <c r="C36" s="41">
        <v>153.077</v>
      </c>
      <c r="D36" s="41">
        <f t="shared" si="6"/>
        <v>3.65</v>
      </c>
      <c r="E36" s="42">
        <f t="shared" si="9"/>
        <v>0.49001592551772</v>
      </c>
      <c r="F36" s="42">
        <f t="shared" si="9"/>
        <v>0.47029622130051751</v>
      </c>
      <c r="G36" s="42">
        <f t="shared" si="7"/>
        <v>0.48015607340911876</v>
      </c>
      <c r="I36" s="40" t="str">
        <f t="shared" si="3"/>
        <v>a850</v>
      </c>
      <c r="J36" s="40" t="str">
        <f t="shared" si="4"/>
        <v>b850</v>
      </c>
      <c r="K36" s="40" t="str">
        <f t="shared" si="5"/>
        <v>r850</v>
      </c>
      <c r="L36" s="41">
        <f t="shared" si="0"/>
        <v>155.21799999999999</v>
      </c>
      <c r="M36" s="41">
        <f t="shared" si="0"/>
        <v>153.21699999999998</v>
      </c>
      <c r="N36" s="41">
        <f t="shared" si="1"/>
        <v>3.7199999999999998</v>
      </c>
    </row>
    <row r="37" spans="1:14" x14ac:dyDescent="0.4">
      <c r="A37" s="40">
        <v>875</v>
      </c>
      <c r="B37" s="41">
        <v>155.06100000000001</v>
      </c>
      <c r="C37" s="41">
        <v>153.06</v>
      </c>
      <c r="D37" s="41">
        <f t="shared" si="6"/>
        <v>3.625</v>
      </c>
      <c r="E37" s="42">
        <f t="shared" si="9"/>
        <v>0.43848901842932991</v>
      </c>
      <c r="F37" s="42">
        <f t="shared" si="9"/>
        <v>0.44422088230095724</v>
      </c>
      <c r="G37" s="42">
        <f t="shared" si="7"/>
        <v>0.44135495036514361</v>
      </c>
      <c r="I37" s="40" t="str">
        <f t="shared" si="3"/>
        <v>a875</v>
      </c>
      <c r="J37" s="40" t="str">
        <f t="shared" si="4"/>
        <v>b875</v>
      </c>
      <c r="K37" s="40" t="str">
        <f t="shared" si="5"/>
        <v>r875</v>
      </c>
      <c r="L37" s="41">
        <f t="shared" si="0"/>
        <v>155.20099999999999</v>
      </c>
      <c r="M37" s="41">
        <f t="shared" si="0"/>
        <v>153.19999999999999</v>
      </c>
      <c r="N37" s="41">
        <f t="shared" si="1"/>
        <v>3.6949999999999998</v>
      </c>
    </row>
    <row r="38" spans="1:14" x14ac:dyDescent="0.4">
      <c r="A38" s="40">
        <v>900</v>
      </c>
      <c r="B38" s="41">
        <v>155.04400000000001</v>
      </c>
      <c r="C38" s="41">
        <v>153.04400000000001</v>
      </c>
      <c r="D38" s="41">
        <f t="shared" si="6"/>
        <v>3.6</v>
      </c>
      <c r="E38" s="42">
        <f t="shared" si="9"/>
        <v>0.43853709185406797</v>
      </c>
      <c r="F38" s="42">
        <f t="shared" si="9"/>
        <v>0.41813667842652902</v>
      </c>
      <c r="G38" s="42">
        <f t="shared" si="7"/>
        <v>0.4283368851402985</v>
      </c>
      <c r="I38" s="40" t="str">
        <f t="shared" si="3"/>
        <v>a900</v>
      </c>
      <c r="J38" s="40" t="str">
        <f t="shared" si="4"/>
        <v>b900</v>
      </c>
      <c r="K38" s="40" t="str">
        <f t="shared" si="5"/>
        <v>r900</v>
      </c>
      <c r="L38" s="41">
        <f t="shared" si="0"/>
        <v>155.184</v>
      </c>
      <c r="M38" s="41">
        <f t="shared" si="0"/>
        <v>153.184</v>
      </c>
      <c r="N38" s="41">
        <f t="shared" si="1"/>
        <v>3.67</v>
      </c>
    </row>
    <row r="39" spans="1:14" x14ac:dyDescent="0.4">
      <c r="A39" s="40">
        <v>925</v>
      </c>
      <c r="B39" s="41">
        <v>155.03</v>
      </c>
      <c r="C39" s="41">
        <v>153.029</v>
      </c>
      <c r="D39" s="41">
        <f t="shared" si="6"/>
        <v>3.5750000000000002</v>
      </c>
      <c r="E39" s="42">
        <f t="shared" si="9"/>
        <v>0.36118779185289346</v>
      </c>
      <c r="F39" s="42">
        <f t="shared" si="9"/>
        <v>0.392044118031802</v>
      </c>
      <c r="G39" s="42">
        <f t="shared" si="7"/>
        <v>0.37661595494234773</v>
      </c>
      <c r="I39" s="40" t="str">
        <f t="shared" si="3"/>
        <v>a925</v>
      </c>
      <c r="J39" s="40" t="str">
        <f t="shared" si="4"/>
        <v>b925</v>
      </c>
      <c r="K39" s="40" t="str">
        <f t="shared" si="5"/>
        <v>r925</v>
      </c>
      <c r="L39" s="41">
        <f t="shared" si="0"/>
        <v>155.16999999999999</v>
      </c>
      <c r="M39" s="41">
        <f t="shared" si="0"/>
        <v>153.16899999999998</v>
      </c>
      <c r="N39" s="41">
        <f t="shared" si="1"/>
        <v>3.645</v>
      </c>
    </row>
    <row r="40" spans="1:14" x14ac:dyDescent="0.4">
      <c r="A40" s="40">
        <v>950</v>
      </c>
      <c r="B40" s="41">
        <v>155.017</v>
      </c>
      <c r="C40" s="41">
        <v>153.017</v>
      </c>
      <c r="D40" s="41">
        <f t="shared" si="6"/>
        <v>3.55</v>
      </c>
      <c r="E40" s="42">
        <f t="shared" si="9"/>
        <v>0.33541895117087611</v>
      </c>
      <c r="F40" s="42">
        <f t="shared" si="9"/>
        <v>0.31366603715636787</v>
      </c>
      <c r="G40" s="42">
        <f t="shared" si="7"/>
        <v>0.32454249416362202</v>
      </c>
      <c r="I40" s="40" t="str">
        <f t="shared" si="3"/>
        <v>a950</v>
      </c>
      <c r="J40" s="40" t="str">
        <f t="shared" si="4"/>
        <v>b950</v>
      </c>
      <c r="K40" s="40" t="str">
        <f t="shared" si="5"/>
        <v>r950</v>
      </c>
      <c r="L40" s="41">
        <f t="shared" si="0"/>
        <v>155.15699999999998</v>
      </c>
      <c r="M40" s="41">
        <f t="shared" si="0"/>
        <v>153.15699999999998</v>
      </c>
      <c r="N40" s="41">
        <f t="shared" si="1"/>
        <v>3.6199999999999997</v>
      </c>
    </row>
    <row r="41" spans="1:14" x14ac:dyDescent="0.4">
      <c r="A41" s="40">
        <v>975</v>
      </c>
      <c r="B41" s="41">
        <v>155.00700000000001</v>
      </c>
      <c r="C41" s="41">
        <v>153.00700000000001</v>
      </c>
      <c r="D41" s="41">
        <f t="shared" si="6"/>
        <v>3.5249999999999999</v>
      </c>
      <c r="E41" s="42">
        <f t="shared" si="9"/>
        <v>0.2580362153825943</v>
      </c>
      <c r="F41" s="42">
        <f t="shared" si="9"/>
        <v>0.26140886306726457</v>
      </c>
      <c r="G41" s="42">
        <f t="shared" si="7"/>
        <v>0.25972253922492944</v>
      </c>
      <c r="I41" s="40" t="str">
        <f t="shared" si="3"/>
        <v>a975</v>
      </c>
      <c r="J41" s="40" t="str">
        <f t="shared" si="4"/>
        <v>b975</v>
      </c>
      <c r="K41" s="40" t="str">
        <f t="shared" si="5"/>
        <v>r975</v>
      </c>
      <c r="L41" s="41">
        <f t="shared" si="0"/>
        <v>155.14699999999999</v>
      </c>
      <c r="M41" s="41">
        <f t="shared" si="0"/>
        <v>153.14699999999999</v>
      </c>
      <c r="N41" s="41">
        <f t="shared" si="1"/>
        <v>3.5949999999999998</v>
      </c>
    </row>
    <row r="42" spans="1:14" x14ac:dyDescent="0.4">
      <c r="A42" s="40">
        <v>1000</v>
      </c>
      <c r="B42" s="41">
        <v>155</v>
      </c>
      <c r="C42" s="41">
        <v>153</v>
      </c>
      <c r="D42" s="41">
        <f t="shared" si="6"/>
        <v>3.5</v>
      </c>
      <c r="E42" s="42">
        <f t="shared" si="9"/>
        <v>0.18063700349029405</v>
      </c>
      <c r="F42" s="42">
        <f t="shared" si="9"/>
        <v>0.18299816348284725</v>
      </c>
      <c r="G42" s="42">
        <f t="shared" si="7"/>
        <v>0.18181758348657065</v>
      </c>
      <c r="I42" s="40" t="str">
        <f t="shared" si="3"/>
        <v>a1000</v>
      </c>
      <c r="J42" s="40" t="str">
        <f t="shared" si="4"/>
        <v>b1000</v>
      </c>
      <c r="K42" s="40" t="str">
        <f t="shared" si="5"/>
        <v>r1000</v>
      </c>
      <c r="L42" s="41">
        <f t="shared" si="0"/>
        <v>155.13999999999999</v>
      </c>
      <c r="M42" s="41">
        <f t="shared" si="0"/>
        <v>153.13999999999999</v>
      </c>
      <c r="N42" s="41">
        <f t="shared" si="1"/>
        <v>3.57</v>
      </c>
    </row>
  </sheetData>
  <phoneticPr fontId="1"/>
  <conditionalFormatting sqref="B2:D42">
    <cfRule type="expression" dxfId="1" priority="2">
      <formula>$A2&lt;&gt;""</formula>
    </cfRule>
  </conditionalFormatting>
  <conditionalFormatting sqref="I2:N42">
    <cfRule type="expression" dxfId="0" priority="1">
      <formula>$A2&lt;&gt;""</formula>
    </cfRule>
  </conditionalFormatting>
  <dataValidations count="1">
    <dataValidation imeMode="disabled" allowBlank="1" showInputMessage="1" showErrorMessage="1" sqref="I1:O1048576 A1:D1048576" xr:uid="{70387CA0-3AE1-4C17-86DC-E7259AE3215B}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position_1916</vt:lpstr>
      <vt:lpstr>position_2414</vt:lpstr>
      <vt:lpstr>e00937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mould mojimetal</cp:lastModifiedBy>
  <dcterms:created xsi:type="dcterms:W3CDTF">2023-08-17T04:42:45Z</dcterms:created>
  <dcterms:modified xsi:type="dcterms:W3CDTF">2024-02-29T01:58:30Z</dcterms:modified>
</cp:coreProperties>
</file>