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_open\Created_Python_Scripts\"/>
    </mc:Choice>
  </mc:AlternateContent>
  <xr:revisionPtr revIDLastSave="0" documentId="13_ncr:1_{0D6EDC5C-4CF3-4E19-91B8-FF8AAD8C8C85}" xr6:coauthVersionLast="47" xr6:coauthVersionMax="47" xr10:uidLastSave="{00000000-0000-0000-0000-000000000000}"/>
  <bookViews>
    <workbookView xWindow="45660" yWindow="0" windowWidth="19305" windowHeight="21600" tabRatio="682" xr2:uid="{331D296A-DE97-4357-9338-22F5C8F49D08}"/>
  </bookViews>
  <sheets>
    <sheet name="position" sheetId="7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75" l="1"/>
  <c r="K4" i="75" s="1"/>
  <c r="J182" i="75"/>
  <c r="M12" i="75"/>
  <c r="M11" i="75"/>
  <c r="M10" i="75"/>
  <c r="M9" i="75"/>
  <c r="J106" i="75"/>
  <c r="J196" i="75"/>
  <c r="J195" i="75"/>
  <c r="J72" i="75" s="1"/>
  <c r="J187" i="75"/>
  <c r="J186" i="75"/>
  <c r="J101" i="75" s="1"/>
  <c r="P24" i="75"/>
  <c r="J69" i="75" s="1"/>
  <c r="P25" i="75"/>
  <c r="P23" i="75"/>
  <c r="J147" i="75" s="1"/>
  <c r="P22" i="75"/>
  <c r="J146" i="75" s="1"/>
  <c r="M21" i="75"/>
  <c r="M22" i="75"/>
  <c r="M23" i="75"/>
  <c r="M24" i="75"/>
  <c r="M25" i="75"/>
  <c r="M26" i="75"/>
  <c r="P21" i="75"/>
  <c r="J257" i="75" s="1"/>
  <c r="P20" i="75"/>
  <c r="J36" i="75" s="1"/>
  <c r="M20" i="75"/>
  <c r="P19" i="75"/>
  <c r="J293" i="75" s="1"/>
  <c r="P18" i="75"/>
  <c r="J238" i="75" s="1"/>
  <c r="M17" i="75"/>
  <c r="M18" i="75"/>
  <c r="M19" i="75"/>
  <c r="P17" i="75"/>
  <c r="J27" i="75" s="1"/>
  <c r="P16" i="75"/>
  <c r="J31" i="75" s="1"/>
  <c r="M16" i="75"/>
  <c r="M27" i="75"/>
  <c r="P3" i="75"/>
  <c r="J3" i="75"/>
  <c r="J2" i="75"/>
  <c r="J216" i="75"/>
  <c r="J218" i="75" s="1"/>
  <c r="P9" i="75" l="1"/>
  <c r="J294" i="75"/>
  <c r="J153" i="75"/>
  <c r="J113" i="75"/>
  <c r="J104" i="75"/>
  <c r="P43" i="75"/>
  <c r="J65" i="75"/>
  <c r="J290" i="75"/>
  <c r="J190" i="75"/>
  <c r="J291" i="75"/>
  <c r="J191" i="75"/>
  <c r="J244" i="75"/>
  <c r="J296" i="75"/>
  <c r="J32" i="75"/>
  <c r="J292" i="75"/>
  <c r="J250" i="75"/>
  <c r="J239" i="75"/>
  <c r="J251" i="75"/>
  <c r="P27" i="75"/>
  <c r="P32" i="75" s="1"/>
  <c r="J252" i="75"/>
  <c r="J149" i="75"/>
  <c r="J111" i="75"/>
  <c r="J80" i="75"/>
  <c r="J43" i="75"/>
  <c r="P26" i="75"/>
  <c r="J240" i="75"/>
  <c r="J188" i="75"/>
  <c r="J164" i="75"/>
  <c r="J148" i="75"/>
  <c r="J102" i="75"/>
  <c r="J64" i="75"/>
  <c r="S7" i="75"/>
  <c r="J253" i="75"/>
  <c r="J241" i="75"/>
  <c r="J189" i="75"/>
  <c r="J165" i="75"/>
  <c r="P31" i="75"/>
  <c r="J207" i="75"/>
  <c r="J121" i="75"/>
  <c r="J68" i="75"/>
  <c r="P61" i="75"/>
  <c r="P62" i="75" s="1"/>
  <c r="J221" i="75"/>
  <c r="J193" i="75"/>
  <c r="J87" i="75"/>
  <c r="P64" i="75"/>
  <c r="P70" i="75" s="1"/>
  <c r="P110" i="75" s="1"/>
  <c r="J5" i="75"/>
  <c r="P28" i="75" s="1"/>
  <c r="J219" i="75"/>
  <c r="M3" i="75"/>
  <c r="M4" i="75"/>
  <c r="J174" i="75"/>
  <c r="J175" i="75"/>
  <c r="J172" i="75"/>
  <c r="J171" i="75"/>
  <c r="J170" i="75"/>
  <c r="J169" i="75"/>
  <c r="H350" i="75"/>
  <c r="H349" i="75"/>
  <c r="H348" i="75"/>
  <c r="H347" i="75"/>
  <c r="H346" i="75"/>
  <c r="H345" i="75"/>
  <c r="H342" i="75"/>
  <c r="H341" i="75"/>
  <c r="H340" i="75"/>
  <c r="H339" i="75"/>
  <c r="H338" i="75"/>
  <c r="H337" i="75"/>
  <c r="H328" i="75"/>
  <c r="H324" i="75"/>
  <c r="H323" i="75"/>
  <c r="H322" i="75"/>
  <c r="H321" i="75"/>
  <c r="H320" i="75"/>
  <c r="H319" i="75"/>
  <c r="H316" i="75"/>
  <c r="H315" i="75"/>
  <c r="H314" i="75"/>
  <c r="H313" i="75"/>
  <c r="H312" i="75"/>
  <c r="H311" i="75"/>
  <c r="J309" i="75"/>
  <c r="J308" i="75"/>
  <c r="J307" i="75"/>
  <c r="J306" i="75"/>
  <c r="J295" i="75"/>
  <c r="J287" i="75"/>
  <c r="J286" i="75"/>
  <c r="J283" i="75"/>
  <c r="J281" i="75"/>
  <c r="J280" i="75"/>
  <c r="J277" i="75"/>
  <c r="J276" i="75"/>
  <c r="J274" i="75" a="1"/>
  <c r="J274" i="75" s="1"/>
  <c r="J271" i="75"/>
  <c r="J270" i="75"/>
  <c r="J269" i="75"/>
  <c r="J264" i="75"/>
  <c r="J263" i="75"/>
  <c r="J262" i="75"/>
  <c r="J260" i="75" a="1"/>
  <c r="J260" i="75" s="1"/>
  <c r="J256" i="75"/>
  <c r="J255" i="75"/>
  <c r="J249" i="75"/>
  <c r="J247" i="75"/>
  <c r="J243" i="75"/>
  <c r="J237" i="75"/>
  <c r="J235" i="75"/>
  <c r="J230" i="75"/>
  <c r="J228" i="75"/>
  <c r="J225" i="75"/>
  <c r="J223" i="75"/>
  <c r="J222" i="75"/>
  <c r="J217" i="75"/>
  <c r="J215" i="75"/>
  <c r="J213" i="75" a="1"/>
  <c r="J213" i="75" s="1"/>
  <c r="J210" i="75"/>
  <c r="J209" i="75"/>
  <c r="J208" i="75"/>
  <c r="J203" i="75"/>
  <c r="J202" i="75"/>
  <c r="J199" i="75" a="1"/>
  <c r="J199" i="75" s="1"/>
  <c r="J194" i="75"/>
  <c r="J185" i="75"/>
  <c r="M196" i="75"/>
  <c r="J184" i="75"/>
  <c r="M195" i="75"/>
  <c r="J183" i="75"/>
  <c r="M194" i="75"/>
  <c r="J181" i="75"/>
  <c r="M193" i="75"/>
  <c r="J180" i="75"/>
  <c r="M192" i="75"/>
  <c r="M191" i="75"/>
  <c r="M190" i="75"/>
  <c r="M189" i="75"/>
  <c r="M188" i="75"/>
  <c r="M187" i="75"/>
  <c r="M186" i="75"/>
  <c r="M185" i="75"/>
  <c r="J163" i="75"/>
  <c r="M184" i="75"/>
  <c r="J162" i="75"/>
  <c r="M183" i="75"/>
  <c r="J161" i="75"/>
  <c r="M182" i="75"/>
  <c r="J160" i="75"/>
  <c r="O181" i="75"/>
  <c r="M181" i="75"/>
  <c r="J159" i="75"/>
  <c r="O180" i="75"/>
  <c r="M180" i="75"/>
  <c r="J158" i="75"/>
  <c r="O179" i="75"/>
  <c r="M179" i="75"/>
  <c r="J157" i="75"/>
  <c r="O178" i="75"/>
  <c r="M178" i="75"/>
  <c r="O177" i="75"/>
  <c r="M177" i="75"/>
  <c r="O176" i="75"/>
  <c r="M176" i="75"/>
  <c r="M175" i="75"/>
  <c r="M174" i="75"/>
  <c r="O173" i="75"/>
  <c r="M173" i="75"/>
  <c r="J151" i="75"/>
  <c r="O172" i="75"/>
  <c r="M172" i="75"/>
  <c r="O171" i="75"/>
  <c r="M171" i="75"/>
  <c r="O170" i="75"/>
  <c r="M170" i="75"/>
  <c r="O169" i="75"/>
  <c r="M169" i="75"/>
  <c r="M168" i="75"/>
  <c r="M167" i="75"/>
  <c r="J145" i="75"/>
  <c r="O166" i="75"/>
  <c r="M166" i="75"/>
  <c r="J144" i="75"/>
  <c r="O165" i="75"/>
  <c r="M165" i="75"/>
  <c r="O164" i="75"/>
  <c r="M164" i="75"/>
  <c r="O163" i="75"/>
  <c r="M163" i="75"/>
  <c r="O162" i="75"/>
  <c r="M162" i="75"/>
  <c r="O161" i="75"/>
  <c r="M161" i="75"/>
  <c r="J139" i="75"/>
  <c r="M160" i="75"/>
  <c r="M159" i="75"/>
  <c r="J137" i="75"/>
  <c r="O158" i="75"/>
  <c r="M158" i="75"/>
  <c r="O157" i="75"/>
  <c r="M157" i="75"/>
  <c r="O156" i="75"/>
  <c r="M156" i="75"/>
  <c r="J134" i="75" a="1"/>
  <c r="J134" i="75" s="1"/>
  <c r="O155" i="75"/>
  <c r="M155" i="75"/>
  <c r="O154" i="75"/>
  <c r="M154" i="75"/>
  <c r="O153" i="75"/>
  <c r="M153" i="75"/>
  <c r="M152" i="75"/>
  <c r="M151" i="75"/>
  <c r="J129" i="75"/>
  <c r="P150" i="75"/>
  <c r="M150" i="75"/>
  <c r="J128" i="75"/>
  <c r="P149" i="75"/>
  <c r="M149" i="75"/>
  <c r="J127" i="75"/>
  <c r="M148" i="75"/>
  <c r="J126" i="75"/>
  <c r="M147" i="75"/>
  <c r="J125" i="75"/>
  <c r="M146" i="75"/>
  <c r="J124" i="75"/>
  <c r="M145" i="75"/>
  <c r="J123" i="75"/>
  <c r="M144" i="75"/>
  <c r="J122" i="75"/>
  <c r="M143" i="75"/>
  <c r="M142" i="75"/>
  <c r="M141" i="75"/>
  <c r="J119" i="75"/>
  <c r="M140" i="75"/>
  <c r="J118" i="75"/>
  <c r="M139" i="75"/>
  <c r="M138" i="75"/>
  <c r="M137" i="75"/>
  <c r="M136" i="75"/>
  <c r="M135" i="75"/>
  <c r="M134" i="75"/>
  <c r="M133" i="75"/>
  <c r="M132" i="75"/>
  <c r="J110" i="75"/>
  <c r="O131" i="75"/>
  <c r="M131" i="75"/>
  <c r="O130" i="75"/>
  <c r="M130" i="75"/>
  <c r="O129" i="75"/>
  <c r="M129" i="75"/>
  <c r="O128" i="75"/>
  <c r="M128" i="75"/>
  <c r="O127" i="75"/>
  <c r="M127" i="75"/>
  <c r="O126" i="75"/>
  <c r="M126" i="75"/>
  <c r="M125" i="75"/>
  <c r="M124" i="75"/>
  <c r="O123" i="75"/>
  <c r="M123" i="75"/>
  <c r="O122" i="75"/>
  <c r="M122" i="75"/>
  <c r="J100" i="75"/>
  <c r="O121" i="75"/>
  <c r="M121" i="75"/>
  <c r="O120" i="75"/>
  <c r="M120" i="75"/>
  <c r="O119" i="75"/>
  <c r="M119" i="75"/>
  <c r="O118" i="75"/>
  <c r="M118" i="75"/>
  <c r="M117" i="75"/>
  <c r="J95" i="75"/>
  <c r="M116" i="75"/>
  <c r="M115" i="75"/>
  <c r="M114" i="75"/>
  <c r="J92" i="75"/>
  <c r="M113" i="75"/>
  <c r="M112" i="75"/>
  <c r="M111" i="75"/>
  <c r="J89" i="75"/>
  <c r="M110" i="75"/>
  <c r="J88" i="75"/>
  <c r="O109" i="75"/>
  <c r="M109" i="75"/>
  <c r="O108" i="75"/>
  <c r="M108" i="75"/>
  <c r="O107" i="75"/>
  <c r="M107" i="75"/>
  <c r="O106" i="75"/>
  <c r="M106" i="75"/>
  <c r="J84" i="75"/>
  <c r="O105" i="75"/>
  <c r="M105" i="75"/>
  <c r="O104" i="75"/>
  <c r="M104" i="75"/>
  <c r="M103" i="75"/>
  <c r="M102" i="75"/>
  <c r="O101" i="75"/>
  <c r="M101" i="75"/>
  <c r="J79" i="75"/>
  <c r="O100" i="75"/>
  <c r="M100" i="75"/>
  <c r="O99" i="75"/>
  <c r="M99" i="75"/>
  <c r="O98" i="75"/>
  <c r="M98" i="75"/>
  <c r="J76" i="75"/>
  <c r="O97" i="75"/>
  <c r="M97" i="75"/>
  <c r="O96" i="75"/>
  <c r="M96" i="75"/>
  <c r="J74" i="75"/>
  <c r="M95" i="75"/>
  <c r="M94" i="75"/>
  <c r="O93" i="75"/>
  <c r="M93" i="75"/>
  <c r="J71" i="75"/>
  <c r="O92" i="75"/>
  <c r="M92" i="75"/>
  <c r="J70" i="75" a="1"/>
  <c r="J70" i="75" s="1"/>
  <c r="O91" i="75"/>
  <c r="M91" i="75"/>
  <c r="O90" i="75"/>
  <c r="M90" i="75"/>
  <c r="O89" i="75"/>
  <c r="M89" i="75"/>
  <c r="O88" i="75"/>
  <c r="M88" i="75"/>
  <c r="M87" i="75"/>
  <c r="M86" i="75"/>
  <c r="O85" i="75"/>
  <c r="M85" i="75"/>
  <c r="J63" i="75" a="1"/>
  <c r="J63" i="75" s="1"/>
  <c r="O84" i="75"/>
  <c r="M84" i="75"/>
  <c r="O83" i="75"/>
  <c r="M83" i="75"/>
  <c r="O82" i="75"/>
  <c r="M82" i="75"/>
  <c r="O81" i="75"/>
  <c r="M81" i="75"/>
  <c r="O80" i="75"/>
  <c r="M80" i="75"/>
  <c r="J58" i="75"/>
  <c r="M79" i="75"/>
  <c r="M78" i="75"/>
  <c r="O77" i="75"/>
  <c r="M77" i="75"/>
  <c r="J55" i="75"/>
  <c r="O76" i="75"/>
  <c r="M76" i="75"/>
  <c r="O75" i="75"/>
  <c r="M75" i="75"/>
  <c r="O74" i="75"/>
  <c r="M74" i="75"/>
  <c r="J52" i="75"/>
  <c r="O73" i="75"/>
  <c r="M73" i="75"/>
  <c r="J51" i="75"/>
  <c r="O72" i="75"/>
  <c r="M72" i="75"/>
  <c r="M71" i="75"/>
  <c r="M70" i="75"/>
  <c r="O69" i="75"/>
  <c r="M69" i="75"/>
  <c r="J47" i="75"/>
  <c r="O68" i="75"/>
  <c r="M68" i="75"/>
  <c r="O67" i="75"/>
  <c r="M67" i="75"/>
  <c r="O66" i="75"/>
  <c r="M66" i="75"/>
  <c r="O65" i="75"/>
  <c r="M65" i="75"/>
  <c r="O64" i="75"/>
  <c r="M64" i="75"/>
  <c r="J42" i="75"/>
  <c r="M63" i="75"/>
  <c r="M62" i="75"/>
  <c r="M61" i="75"/>
  <c r="J39" i="75"/>
  <c r="M60" i="75"/>
  <c r="J38" i="75"/>
  <c r="M59" i="75"/>
  <c r="J37" i="75" a="1"/>
  <c r="J37" i="75" s="1"/>
  <c r="M58" i="75"/>
  <c r="M57" i="75"/>
  <c r="M56" i="75"/>
  <c r="M55" i="75"/>
  <c r="M54" i="75"/>
  <c r="M53" i="75"/>
  <c r="M52" i="75"/>
  <c r="J30" i="75"/>
  <c r="M51" i="75"/>
  <c r="M50" i="75"/>
  <c r="M49" i="75"/>
  <c r="M48" i="75"/>
  <c r="M47" i="75"/>
  <c r="M46" i="75"/>
  <c r="M45" i="75"/>
  <c r="H23" i="75"/>
  <c r="M44" i="75"/>
  <c r="H22" i="75"/>
  <c r="M43" i="75"/>
  <c r="M42" i="75"/>
  <c r="M41" i="75"/>
  <c r="M40" i="75"/>
  <c r="M39" i="75"/>
  <c r="M38" i="75"/>
  <c r="S22" i="75"/>
  <c r="M37" i="75"/>
  <c r="S21" i="75"/>
  <c r="M36" i="75"/>
  <c r="M35" i="75"/>
  <c r="M34" i="75"/>
  <c r="M33" i="75"/>
  <c r="M32" i="75"/>
  <c r="M31" i="75"/>
  <c r="M30" i="75"/>
  <c r="M29" i="75"/>
  <c r="M28" i="75"/>
  <c r="P15" i="75"/>
  <c r="M15" i="75"/>
  <c r="M14" i="75"/>
  <c r="M13" i="75"/>
  <c r="M8" i="75"/>
  <c r="M7" i="75"/>
  <c r="M6" i="75"/>
  <c r="M5" i="75"/>
  <c r="P2" i="75"/>
  <c r="M2" i="75"/>
  <c r="P77" i="75"/>
  <c r="P158" i="75" s="1"/>
  <c r="P76" i="75"/>
  <c r="P123" i="75"/>
  <c r="P84" i="75" a="1"/>
  <c r="P157" i="75"/>
  <c r="P85" i="75" a="1"/>
  <c r="J48" i="75"/>
  <c r="P116" i="75"/>
  <c r="P115" i="75"/>
  <c r="P117" i="75"/>
  <c r="J205" i="75" l="1"/>
  <c r="J204" i="75"/>
  <c r="J266" i="75"/>
  <c r="J265" i="75"/>
  <c r="P36" i="75"/>
  <c r="P33" i="75"/>
  <c r="P37" i="75" s="1"/>
  <c r="P35" i="75"/>
  <c r="K5" i="75"/>
  <c r="P58" i="75"/>
  <c r="P59" i="75" s="1"/>
  <c r="J50" i="75"/>
  <c r="K50" i="75" s="1"/>
  <c r="J35" i="75"/>
  <c r="J268" i="75"/>
  <c r="J279" i="75"/>
  <c r="P34" i="75"/>
  <c r="P68" i="75"/>
  <c r="P108" i="75" s="1"/>
  <c r="J315" i="75" s="1"/>
  <c r="P69" i="75"/>
  <c r="P109" i="75" s="1"/>
  <c r="J316" i="75" s="1"/>
  <c r="P84" i="75"/>
  <c r="P92" i="75"/>
  <c r="P85" i="75"/>
  <c r="P93" i="75"/>
  <c r="P66" i="75"/>
  <c r="P106" i="75" s="1"/>
  <c r="J313" i="75" s="1"/>
  <c r="J317" i="75"/>
  <c r="P192" i="75"/>
  <c r="P65" i="75"/>
  <c r="P105" i="75" s="1"/>
  <c r="J312" i="75" s="1"/>
  <c r="P14" i="75"/>
  <c r="P63" i="75"/>
  <c r="P71" i="75"/>
  <c r="P111" i="75" s="1"/>
  <c r="J318" i="75" s="1"/>
  <c r="P104" i="75"/>
  <c r="J311" i="75" s="1"/>
  <c r="P67" i="75"/>
  <c r="P107" i="75" s="1"/>
  <c r="J314" i="75" s="1"/>
  <c r="P50" i="75"/>
  <c r="P186" i="75"/>
  <c r="P187" i="75" s="1"/>
  <c r="P189" i="75" s="1"/>
  <c r="P166" i="75"/>
  <c r="P131" i="75"/>
  <c r="P122" i="75"/>
  <c r="P165" i="75"/>
  <c r="P130" i="75"/>
  <c r="P79" i="75"/>
  <c r="P114" i="75"/>
  <c r="P113" i="75"/>
  <c r="P73" i="75"/>
  <c r="P75" i="75"/>
  <c r="P74" i="75"/>
  <c r="P72" i="75"/>
  <c r="P78" i="75"/>
  <c r="P175" i="75"/>
  <c r="P112" i="75"/>
  <c r="J66" i="75" l="1"/>
  <c r="P60" i="75"/>
  <c r="P191" i="75"/>
  <c r="P101" i="75"/>
  <c r="P181" i="75" s="1"/>
  <c r="P100" i="75"/>
  <c r="P172" i="75" s="1"/>
  <c r="P13" i="75"/>
  <c r="P29" i="75" s="1"/>
  <c r="P190" i="75"/>
  <c r="P193" i="75"/>
  <c r="P195" i="75" s="1"/>
  <c r="S2" i="75" s="1"/>
  <c r="S3" i="75" s="1"/>
  <c r="P188" i="75"/>
  <c r="J327" i="75"/>
  <c r="J85" i="75"/>
  <c r="J282" i="75"/>
  <c r="J232" i="75"/>
  <c r="J33" i="75"/>
  <c r="P94" i="75"/>
  <c r="P95" i="75"/>
  <c r="P91" i="75"/>
  <c r="P88" i="75"/>
  <c r="J93" i="75"/>
  <c r="P90" i="75"/>
  <c r="J56" i="75"/>
  <c r="J141" i="75"/>
  <c r="J224" i="75"/>
  <c r="P89" i="75"/>
  <c r="P38" i="75"/>
  <c r="P160" i="75"/>
  <c r="P154" i="75"/>
  <c r="P155" i="75"/>
  <c r="P87" i="75" a="1"/>
  <c r="P118" i="75"/>
  <c r="P120" i="75"/>
  <c r="P159" i="75"/>
  <c r="P156" i="75"/>
  <c r="P86" i="75" a="1"/>
  <c r="P125" i="75"/>
  <c r="P82" i="75" a="1"/>
  <c r="P83" i="75" a="1"/>
  <c r="P121" i="75"/>
  <c r="P80" i="75" a="1"/>
  <c r="P81" i="75" a="1"/>
  <c r="P124" i="75"/>
  <c r="P153" i="75"/>
  <c r="P119" i="75"/>
  <c r="P82" i="75" l="1"/>
  <c r="P98" i="75" s="1"/>
  <c r="P83" i="75"/>
  <c r="P99" i="75" s="1"/>
  <c r="P10" i="75"/>
  <c r="P11" i="75" s="1"/>
  <c r="P12" i="75" s="1"/>
  <c r="S6" i="75"/>
  <c r="P30" i="75"/>
  <c r="P5" i="75" s="1"/>
  <c r="P6" i="75" s="1"/>
  <c r="J13" i="75" s="1"/>
  <c r="J14" i="75" s="1"/>
  <c r="P81" i="75"/>
  <c r="P97" i="75" s="1"/>
  <c r="P80" i="75"/>
  <c r="P96" i="75" s="1"/>
  <c r="P180" i="75"/>
  <c r="P173" i="75"/>
  <c r="P86" i="75"/>
  <c r="P102" i="75" s="1"/>
  <c r="P87" i="75"/>
  <c r="P103" i="75" s="1"/>
  <c r="P194" i="75"/>
  <c r="S4" i="75"/>
  <c r="T2" i="75"/>
  <c r="S23" i="75"/>
  <c r="P134" i="75"/>
  <c r="P137" i="75" s="1"/>
  <c r="P152" i="75"/>
  <c r="P151" i="75"/>
  <c r="P127" i="75"/>
  <c r="P128" i="75"/>
  <c r="P126" i="75"/>
  <c r="P161" i="75"/>
  <c r="P163" i="75"/>
  <c r="P162" i="75"/>
  <c r="P129" i="75"/>
  <c r="P164" i="75"/>
  <c r="P178" i="75" l="1"/>
  <c r="P179" i="75"/>
  <c r="J214" i="75"/>
  <c r="K214" i="75" s="1"/>
  <c r="P177" i="75"/>
  <c r="P176" i="75"/>
  <c r="S12" i="75"/>
  <c r="T12" i="75" s="1"/>
  <c r="S14" i="75"/>
  <c r="T14" i="75" s="1"/>
  <c r="J261" i="75"/>
  <c r="K248" i="75" s="1"/>
  <c r="J130" i="75"/>
  <c r="P4" i="75"/>
  <c r="P7" i="75" s="1"/>
  <c r="J9" i="75" s="1"/>
  <c r="J297" i="75"/>
  <c r="J200" i="75"/>
  <c r="K200" i="75" s="1"/>
  <c r="J179" i="75"/>
  <c r="K179" i="75" s="1"/>
  <c r="J138" i="75"/>
  <c r="K138" i="75" s="1"/>
  <c r="K13" i="75"/>
  <c r="S8" i="75"/>
  <c r="T8" i="75" s="1"/>
  <c r="S9" i="75"/>
  <c r="T9" i="75" s="1"/>
  <c r="S10" i="75"/>
  <c r="T10" i="75" s="1"/>
  <c r="S11" i="75"/>
  <c r="T11" i="75" s="1"/>
  <c r="P196" i="75"/>
  <c r="P171" i="75"/>
  <c r="J333" i="75"/>
  <c r="P169" i="75"/>
  <c r="J328" i="75"/>
  <c r="J334" i="75"/>
  <c r="T3" i="75"/>
  <c r="S5" i="75"/>
  <c r="P170" i="75"/>
  <c r="P167" i="75"/>
  <c r="P133" i="75"/>
  <c r="P168" i="75"/>
  <c r="P132" i="75"/>
  <c r="J335" i="75" l="1"/>
  <c r="P174" i="75"/>
  <c r="P182" i="75"/>
  <c r="J329" i="75"/>
  <c r="P144" i="75" s="1"/>
  <c r="P145" i="75" s="1"/>
  <c r="J10" i="75"/>
  <c r="K261" i="75"/>
  <c r="K236" i="75"/>
  <c r="J323" i="75"/>
  <c r="K323" i="75" s="1"/>
  <c r="J220" i="75"/>
  <c r="K220" i="75" s="1"/>
  <c r="J112" i="75"/>
  <c r="S18" i="75"/>
  <c r="T18" i="75" s="1"/>
  <c r="J321" i="75"/>
  <c r="K321" i="75" s="1"/>
  <c r="J236" i="75"/>
  <c r="J81" i="75"/>
  <c r="K81" i="75" s="1"/>
  <c r="J229" i="75"/>
  <c r="K229" i="75" s="1"/>
  <c r="J103" i="75"/>
  <c r="K103" i="75" s="1"/>
  <c r="J120" i="75"/>
  <c r="K120" i="75" s="1"/>
  <c r="J248" i="75"/>
  <c r="J325" i="75"/>
  <c r="K325" i="75" s="1"/>
  <c r="P8" i="75"/>
  <c r="S13" i="75"/>
  <c r="T13" i="75" s="1"/>
  <c r="J94" i="75"/>
  <c r="K94" i="75" s="1"/>
  <c r="J67" i="75"/>
  <c r="K67" i="75" s="1"/>
  <c r="J322" i="75"/>
  <c r="K322" i="75" s="1"/>
  <c r="J275" i="75"/>
  <c r="K275" i="75" s="1"/>
  <c r="K14" i="75"/>
  <c r="J324" i="75"/>
  <c r="K324" i="75" s="1"/>
  <c r="J206" i="75"/>
  <c r="K206" i="75" s="1"/>
  <c r="J173" i="75"/>
  <c r="K9" i="75"/>
  <c r="J11" i="75"/>
  <c r="J140" i="75"/>
  <c r="K140" i="75" s="1"/>
  <c r="J192" i="75"/>
  <c r="K192" i="75" s="1"/>
  <c r="J150" i="75"/>
  <c r="K173" i="75" s="1"/>
  <c r="J319" i="75"/>
  <c r="K319" i="75" s="1"/>
  <c r="J320" i="75"/>
  <c r="K320" i="75" s="1"/>
  <c r="J166" i="75"/>
  <c r="J326" i="75"/>
  <c r="K326" i="75" s="1"/>
  <c r="P135" i="75"/>
  <c r="P143" i="75"/>
  <c r="P146" i="75" s="1"/>
  <c r="J24" i="75" l="1"/>
  <c r="K24" i="75" s="1"/>
  <c r="J354" i="75" s="1"/>
  <c r="K354" i="75" s="1"/>
  <c r="J20" i="75"/>
  <c r="K20" i="75" s="1"/>
  <c r="J17" i="75"/>
  <c r="J18" i="75" s="1"/>
  <c r="J22" i="75" s="1"/>
  <c r="K22" i="75" s="1"/>
  <c r="P147" i="75"/>
  <c r="P148" i="75" s="1"/>
  <c r="J331" i="75" s="1"/>
  <c r="J332" i="75" s="1"/>
  <c r="K332" i="75" s="1"/>
  <c r="J288" i="75"/>
  <c r="K288" i="75" s="1"/>
  <c r="J86" i="75"/>
  <c r="K86" i="75" s="1"/>
  <c r="J289" i="75"/>
  <c r="K289" i="75" s="1"/>
  <c r="J57" i="75"/>
  <c r="K57" i="75" s="1"/>
  <c r="J278" i="75"/>
  <c r="K278" i="75" s="1"/>
  <c r="J49" i="75"/>
  <c r="K49" i="75" s="1"/>
  <c r="J12" i="75"/>
  <c r="K10" i="75"/>
  <c r="J267" i="75"/>
  <c r="K267" i="75" s="1"/>
  <c r="J44" i="75"/>
  <c r="K44" i="75" s="1"/>
  <c r="J242" i="75"/>
  <c r="K254" i="75" s="1"/>
  <c r="J231" i="75"/>
  <c r="K231" i="75" s="1"/>
  <c r="J254" i="75"/>
  <c r="J34" i="75"/>
  <c r="K34" i="75" s="1"/>
  <c r="J355" i="75"/>
  <c r="K355" i="75" s="1"/>
  <c r="K112" i="75"/>
  <c r="K150" i="75"/>
  <c r="K166" i="75"/>
  <c r="J21" i="75"/>
  <c r="P136" i="75"/>
  <c r="P138" i="75" s="1"/>
  <c r="P139" i="75" s="1"/>
  <c r="J131" i="75" s="1"/>
  <c r="S25" i="75"/>
  <c r="S24" i="75"/>
  <c r="K242" i="75" l="1"/>
  <c r="K17" i="75"/>
  <c r="J23" i="75"/>
  <c r="K21" i="75"/>
  <c r="K18" i="75"/>
  <c r="P140" i="75"/>
  <c r="J330" i="75"/>
  <c r="K330" i="75" s="1"/>
  <c r="K19" i="75" l="1"/>
  <c r="J19" i="75"/>
  <c r="K23" i="75"/>
  <c r="P142" i="75"/>
  <c r="P141" i="75"/>
  <c r="J350" i="75" l="1"/>
  <c r="J349" i="75"/>
  <c r="J342" i="75"/>
  <c r="J341" i="75"/>
  <c r="J352" i="75"/>
  <c r="J348" i="75"/>
  <c r="J346" i="75"/>
  <c r="J345" i="75"/>
  <c r="J351" i="75"/>
  <c r="J347" i="75"/>
  <c r="J357" i="75"/>
  <c r="J338" i="75"/>
  <c r="J344" i="75"/>
  <c r="J343" i="75"/>
  <c r="J339" i="75"/>
  <c r="J337" i="75"/>
  <c r="J340" i="75"/>
  <c r="J356" i="75"/>
  <c r="J358" i="75" l="1"/>
  <c r="K356" i="75"/>
  <c r="J359" i="75"/>
  <c r="K357" i="75"/>
  <c r="S16" i="75"/>
  <c r="S20" i="75" s="1"/>
  <c r="T20" i="75" s="1"/>
  <c r="P41" i="75"/>
  <c r="P42" i="75" s="1"/>
  <c r="P49" i="75" s="1"/>
  <c r="P51" i="75" s="1"/>
  <c r="P39" i="75"/>
  <c r="P40" i="75" s="1"/>
  <c r="P46" i="75" s="1"/>
  <c r="P45" i="75" s="1"/>
  <c r="J152" i="75"/>
  <c r="J178" i="75"/>
  <c r="J154" i="75"/>
  <c r="J73" i="75"/>
  <c r="J105" i="75"/>
  <c r="J114" i="75"/>
  <c r="P52" i="75" l="1"/>
  <c r="P56" i="75" s="1"/>
  <c r="P53" i="75"/>
  <c r="P54" i="75" s="1"/>
  <c r="S15" i="75"/>
  <c r="J26" i="75"/>
  <c r="K26" i="75" s="1"/>
  <c r="S17" i="75"/>
  <c r="T17" i="75" s="1"/>
  <c r="P48" i="75"/>
  <c r="P47" i="75"/>
  <c r="S19" i="75" l="1"/>
  <c r="T19" i="75" s="1"/>
  <c r="P44" i="75"/>
  <c r="P55" i="75"/>
  <c r="P57" i="75" l="1"/>
  <c r="J25" i="75" s="1"/>
  <c r="K25" i="7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<sst xmlns="http://schemas.openxmlformats.org/spreadsheetml/2006/main" count="1342" uniqueCount="660">
  <si>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</si>
  <si>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</si>
  <si>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</si>
  <si>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</si>
  <si>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</si>
  <si>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トップ振分長</t>
    <rPh sb="3" eb="5">
      <t>フリワ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</si>
  <si>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</si>
  <si>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</si>
  <si>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</si>
  <si>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</si>
  <si>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</si>
  <si>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</si>
  <si>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</si>
  <si>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</si>
  <si>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</si>
  <si>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</si>
  <si>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</si>
  <si>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</si>
  <si>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</si>
  <si>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</si>
  <si>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</si>
  <si>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</si>
  <si>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</si>
  <si>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</si>
  <si>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</si>
  <si>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</si>
  <si>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</si>
  <si>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</si>
  <si>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</si>
  <si>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</si>
  <si>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</si>
  <si>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</si>
  <si>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</si>
  <si>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</si>
  <si>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</si>
  <si>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</si>
  <si>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</si>
  <si>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</si>
  <si>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</si>
  <si>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</si>
  <si>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</si>
  <si>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</si>
  <si>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</si>
  <si>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</si>
  <si>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</si>
  <si>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</si>
  <si>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</si>
  <si>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</si>
  <si>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</si>
  <si>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</si>
  <si>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</si>
  <si>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</si>
  <si>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</si>
  <si>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</si>
  <si>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</si>
  <si>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</si>
  <si>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</si>
  <si>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</si>
  <si>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</si>
  <si>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</si>
  <si>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</si>
  <si>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</si>
  <si>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</si>
  <si>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</si>
  <si>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sinθ'</t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</si>
  <si>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</si>
  <si>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</si>
  <si>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</si>
  <si>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</si>
  <si>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</si>
  <si>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</si>
  <si>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機械座標</t>
    <rPh sb="0" eb="2">
      <t>キカイ</t>
    </rPh>
    <rPh sb="2" eb="4">
      <t>ザヒョウ</t>
    </rPh>
    <phoneticPr fontId="1"/>
  </si>
  <si>
    <t>溝</t>
    <rPh sb="0" eb="1">
      <t>ミゾ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</si>
  <si>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</si>
  <si>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</si>
  <si>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</si>
  <si>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</si>
  <si>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</si>
  <si>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</si>
  <si>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</si>
  <si>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</si>
  <si>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</si>
  <si>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</si>
  <si>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</si>
  <si>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</si>
  <si>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</si>
  <si>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</si>
  <si>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</si>
  <si>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</si>
  <si>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</si>
  <si>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</si>
  <si>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</si>
  <si>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</si>
  <si>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</si>
  <si>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</si>
  <si>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</si>
  <si>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</si>
  <si>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</si>
  <si>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</si>
  <si>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</si>
  <si>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</si>
  <si>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</si>
  <si>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</si>
  <si>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</si>
  <si>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</si>
  <si>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</si>
  <si>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</si>
  <si>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</si>
  <si>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</si>
  <si>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</si>
  <si>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</si>
  <si>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</si>
  <si>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</si>
  <si>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</si>
  <si>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</si>
  <si>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</si>
  <si>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</si>
  <si>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</si>
  <si>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</si>
  <si>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</si>
  <si>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</si>
  <si>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</si>
  <si>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</si>
  <si>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</si>
  <si>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</si>
  <si>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</si>
  <si>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</si>
  <si>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</si>
  <si>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</si>
  <si>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</si>
  <si>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</si>
  <si>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</si>
  <si>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</si>
  <si>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μ</t>
    <phoneticPr fontId="1"/>
  </si>
  <si>
    <t>内面テーパ#</t>
    <rPh sb="0" eb="2">
      <t>ナイメン</t>
    </rPh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</si>
  <si>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</si>
  <si>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</si>
  <si>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</si>
  <si>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</si>
  <si>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</si>
  <si>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</si>
  <si>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</si>
  <si>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</si>
  <si>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</si>
  <si>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</si>
  <si>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</si>
  <si>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</si>
  <si>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</si>
  <si>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</si>
  <si>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</si>
  <si>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</si>
  <si>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</si>
  <si>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</si>
  <si>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</si>
  <si>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</si>
  <si>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</si>
  <si>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</si>
  <si>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</si>
  <si>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</si>
  <si>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</si>
  <si>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</si>
  <si>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</si>
  <si>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</si>
  <si>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</si>
  <si>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</si>
  <si>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</si>
  <si>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</si>
  <si>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</si>
  <si>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</si>
  <si>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</si>
  <si>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</si>
  <si>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</si>
  <si>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</si>
  <si>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</si>
  <si>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</si>
  <si>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</si>
  <si>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</si>
  <si>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</si>
  <si>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</si>
  <si>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</si>
  <si>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</si>
  <si>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</si>
  <si>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</si>
  <si>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</si>
  <si>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</si>
  <si>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</si>
  <si>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</si>
  <si>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</si>
  <si>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</si>
  <si>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</si>
  <si>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</si>
  <si>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</si>
  <si>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</si>
  <si>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</si>
  <si>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</si>
  <si>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</si>
  <si>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</si>
  <si>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</si>
  <si>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</si>
  <si>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</si>
  <si>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</si>
  <si>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</si>
  <si>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</si>
  <si>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</si>
  <si>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</si>
  <si>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</si>
  <si>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</si>
  <si>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</si>
  <si>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</si>
  <si>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</si>
  <si>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</si>
  <si>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</si>
  <si>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</si>
  <si>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</si>
  <si>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</si>
  <si>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</si>
  <si>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</si>
  <si>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</si>
  <si>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</si>
  <si>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</si>
  <si>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</si>
  <si>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</si>
  <si>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</si>
  <si>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</si>
  <si>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</si>
  <si>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</si>
  <si>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</si>
  <si>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</si>
  <si>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</si>
  <si>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</si>
  <si>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</si>
  <si>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</si>
  <si>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</si>
  <si>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</si>
  <si>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</si>
  <si>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</si>
  <si>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</si>
  <si>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</si>
  <si>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</si>
  <si>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</si>
  <si>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</si>
  <si>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</si>
  <si>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</si>
  <si>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</si>
  <si>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</si>
  <si>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</si>
  <si>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</si>
  <si>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</si>
  <si>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</si>
  <si>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</si>
  <si>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</si>
  <si>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</si>
  <si>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</si>
  <si>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</si>
  <si>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</si>
  <si>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</si>
  <si>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</si>
  <si>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</si>
  <si>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</si>
  <si>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</si>
  <si>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</si>
  <si>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</si>
  <si>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</si>
  <si>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</si>
  <si>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</si>
  <si>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</si>
  <si>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</si>
  <si>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</si>
  <si>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</si>
  <si>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</si>
  <si>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</si>
  <si>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</si>
  <si>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</si>
  <si>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</si>
  <si>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</si>
  <si>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</si>
  <si>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</si>
  <si>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</si>
  <si>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</si>
  <si>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</si>
  <si>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</si>
  <si>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</si>
  <si>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</si>
  <si>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</si>
  <si>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</si>
  <si>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</si>
  <si>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</si>
  <si>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</si>
  <si>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</si>
  <si>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</si>
  <si>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</si>
  <si>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</si>
  <si>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t>1列目 BD内径（めっき含・概算）</t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</si>
  <si>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</si>
  <si>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</si>
  <si>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</si>
  <si>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</si>
  <si>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</si>
  <si>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</si>
  <si>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</si>
  <si>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</si>
  <si>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</si>
  <si>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</si>
  <si>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</si>
  <si>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</si>
  <si>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</si>
  <si>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</si>
  <si>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</si>
  <si>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</si>
  <si>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</si>
  <si>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</si>
  <si>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</si>
  <si>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</si>
  <si>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</si>
  <si>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</si>
  <si>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</si>
  <si>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</si>
  <si>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</si>
  <si>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</si>
  <si>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</si>
  <si>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</si>
  <si>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</si>
  <si>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</si>
  <si>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</si>
  <si>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</si>
  <si>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</si>
  <si>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</si>
  <si>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</si>
  <si>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</si>
  <si>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</si>
  <si>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</si>
  <si>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</si>
  <si>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</si>
  <si>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</si>
  <si>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</si>
  <si>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</si>
  <si>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中心基準(1:Bot, 2:Top)</t>
    <rPh sb="0" eb="2">
      <t>チュウシン</t>
    </rPh>
    <rPh sb="2" eb="4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</si>
  <si>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</si>
  <si>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</si>
  <si>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</si>
  <si>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</si>
  <si>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</si>
  <si>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</si>
  <si>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</si>
  <si>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</si>
  <si>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</si>
  <si>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</si>
  <si>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</si>
  <si>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</si>
  <si>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</si>
  <si>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</si>
  <si>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G55 ボトム端 湾曲中心X</t>
    <rPh sb="9" eb="13">
      <t>ワンキョク</t>
    </rPh>
    <phoneticPr fontId="1"/>
  </si>
  <si>
    <t xml:space="preserve">G57 トップ端 湾曲中心X </t>
    <rPh sb="7" eb="8">
      <t>タン</t>
    </rPh>
    <phoneticPr fontId="1"/>
  </si>
  <si>
    <t>トップ 外C面取 長さ</t>
    <rPh sb="4" eb="5">
      <t>ソト</t>
    </rPh>
    <rPh sb="6" eb="8">
      <t>メントリ</t>
    </rPh>
    <rPh sb="9" eb="10">
      <t>ナガ</t>
    </rPh>
    <phoneticPr fontId="1"/>
  </si>
  <si>
    <t>トップ 外C面取 角度(deg)</t>
    <rPh sb="4" eb="5">
      <t>ソト</t>
    </rPh>
    <rPh sb="6" eb="8">
      <t>メントリ</t>
    </rPh>
    <rPh sb="9" eb="11">
      <t>カクド</t>
    </rPh>
    <phoneticPr fontId="1"/>
  </si>
  <si>
    <t>トップ外削 コーナーR</t>
    <rPh sb="3" eb="4">
      <t>ガイ</t>
    </rPh>
    <phoneticPr fontId="1"/>
  </si>
  <si>
    <t>トップ外削 AC径</t>
    <rPh sb="3" eb="5">
      <t>ガイサク</t>
    </rPh>
    <rPh sb="8" eb="9">
      <t>ケイ</t>
    </rPh>
    <phoneticPr fontId="1"/>
  </si>
  <si>
    <t>トップ外削 BD径</t>
    <rPh sb="3" eb="5">
      <t>ガイサク</t>
    </rPh>
    <rPh sb="8" eb="9">
      <t>ケイ</t>
    </rPh>
    <phoneticPr fontId="1"/>
  </si>
  <si>
    <t>トップ外削長</t>
    <rPh sb="3" eb="5">
      <t>ガイサク</t>
    </rPh>
    <rPh sb="5" eb="6">
      <t>チョウ</t>
    </rPh>
    <phoneticPr fontId="1"/>
  </si>
  <si>
    <t>トップ外削 A側面肉厚（トップ基準時）</t>
    <rPh sb="3" eb="5">
      <t>ガイサク</t>
    </rPh>
    <rPh sb="7" eb="8">
      <t>ガワ</t>
    </rPh>
    <rPh sb="8" eb="9">
      <t>メン</t>
    </rPh>
    <rPh sb="9" eb="11">
      <t>ニクアツ</t>
    </rPh>
    <rPh sb="15" eb="17">
      <t>キジュン</t>
    </rPh>
    <rPh sb="17" eb="18">
      <t>ジ</t>
    </rPh>
    <phoneticPr fontId="1"/>
  </si>
  <si>
    <t>工具番号</t>
    <rPh sb="0" eb="2">
      <t>コウグ</t>
    </rPh>
    <rPh sb="2" eb="4">
      <t>バンゴウ</t>
    </rPh>
    <phoneticPr fontId="1"/>
  </si>
  <si>
    <t>端面用 フェイスミル</t>
    <rPh sb="0" eb="2">
      <t>タンメン</t>
    </rPh>
    <rPh sb="2" eb="3">
      <t>ヨウ</t>
    </rPh>
    <phoneticPr fontId="1"/>
  </si>
  <si>
    <t>溝用 サイドカッター Φ100×t7</t>
    <rPh sb="0" eb="1">
      <t>ミゾ</t>
    </rPh>
    <rPh sb="1" eb="2">
      <t>ヨウ</t>
    </rPh>
    <phoneticPr fontId="1"/>
  </si>
  <si>
    <t>溝用 サイドカッター Φ75×t5</t>
    <rPh sb="0" eb="1">
      <t>ミゾ</t>
    </rPh>
    <rPh sb="1" eb="2">
      <t>ヨウ</t>
    </rPh>
    <phoneticPr fontId="1"/>
  </si>
  <si>
    <t>外削用 スクエアエンドミル Φ20</t>
    <rPh sb="0" eb="2">
      <t>ガイサク</t>
    </rPh>
    <rPh sb="2" eb="3">
      <t>ヨウ</t>
    </rPh>
    <phoneticPr fontId="1"/>
  </si>
  <si>
    <t>ディンプル用 Tスロットカッター Φ40×R20</t>
    <rPh sb="5" eb="6">
      <t>ヨウ</t>
    </rPh>
    <phoneticPr fontId="1"/>
  </si>
  <si>
    <t>ディンプル用 Tスロットカッター Φ40×R6.6</t>
    <rPh sb="5" eb="6">
      <t>ヨウ</t>
    </rPh>
    <phoneticPr fontId="1"/>
  </si>
  <si>
    <t>ディンプル用 Tスロットカッター Φ30×R15</t>
    <rPh sb="5" eb="6">
      <t>ヨウ</t>
    </rPh>
    <phoneticPr fontId="1"/>
  </si>
  <si>
    <t>ディンプル用 アングルヘッド 10in</t>
    <rPh sb="5" eb="6">
      <t>ヨウ</t>
    </rPh>
    <phoneticPr fontId="1"/>
  </si>
  <si>
    <t>逃し溝用 アングルヘッド 15.5in</t>
    <rPh sb="0" eb="1">
      <t>ニガ</t>
    </rPh>
    <rPh sb="3" eb="4">
      <t>ヨウ</t>
    </rPh>
    <phoneticPr fontId="1"/>
  </si>
  <si>
    <t>G54 ボトム端 外径中心X</t>
    <rPh sb="7" eb="8">
      <t>タン</t>
    </rPh>
    <rPh sb="9" eb="11">
      <t>ガイケイ</t>
    </rPh>
    <phoneticPr fontId="1"/>
  </si>
  <si>
    <t>G56 トップ端 外径中心X</t>
    <rPh sb="7" eb="8">
      <t>タン</t>
    </rPh>
    <rPh sb="9" eb="11">
      <t>ガイケイ</t>
    </rPh>
    <rPh sb="11" eb="13">
      <t>チュウシン</t>
    </rPh>
    <phoneticPr fontId="1"/>
  </si>
  <si>
    <t>平行角度 ボトム側</t>
    <rPh sb="0" eb="2">
      <t>ヘイコウ</t>
    </rPh>
    <rPh sb="2" eb="4">
      <t>カクド</t>
    </rPh>
    <rPh sb="8" eb="9">
      <t>ガワ</t>
    </rPh>
    <phoneticPr fontId="1"/>
  </si>
  <si>
    <t>原点設定</t>
    <rPh sb="0" eb="2">
      <t>ゲンテン</t>
    </rPh>
    <rPh sb="2" eb="4">
      <t>セッテイ</t>
    </rPh>
    <phoneticPr fontId="1"/>
  </si>
  <si>
    <t>プログラム番号</t>
    <rPh sb="5" eb="7">
      <t>バンゴウ</t>
    </rPh>
    <phoneticPr fontId="1"/>
  </si>
  <si>
    <t>測定 外側中心X（両側）</t>
    <rPh sb="0" eb="2">
      <t>ソクテイ</t>
    </rPh>
    <rPh sb="3" eb="5">
      <t>ソトガワ</t>
    </rPh>
    <rPh sb="5" eb="7">
      <t>チュウシン</t>
    </rPh>
    <rPh sb="9" eb="11">
      <t>リョウガワ</t>
    </rPh>
    <phoneticPr fontId="1"/>
  </si>
  <si>
    <t>測定 外側中心Y</t>
    <rPh sb="0" eb="2">
      <t>ソクテイ</t>
    </rPh>
    <rPh sb="3" eb="5">
      <t>ソトガワ</t>
    </rPh>
    <rPh sb="5" eb="7">
      <t>チュウシン</t>
    </rPh>
    <phoneticPr fontId="1"/>
  </si>
  <si>
    <t>測定 溝中心X（片側）</t>
    <rPh sb="0" eb="2">
      <t>ソクテイ</t>
    </rPh>
    <rPh sb="3" eb="4">
      <t>ミゾ</t>
    </rPh>
    <rPh sb="4" eb="6">
      <t>チュウシン</t>
    </rPh>
    <rPh sb="8" eb="10">
      <t>カタガワ</t>
    </rPh>
    <phoneticPr fontId="1"/>
  </si>
  <si>
    <t>測定 内側中心X</t>
    <rPh sb="0" eb="2">
      <t>ソクテイ</t>
    </rPh>
    <rPh sb="3" eb="5">
      <t>ウチガワ</t>
    </rPh>
    <rPh sb="5" eb="7">
      <t>チュウシン</t>
    </rPh>
    <phoneticPr fontId="1"/>
  </si>
  <si>
    <t>測定 内側中心Y</t>
    <rPh sb="0" eb="2">
      <t>ソクテイ</t>
    </rPh>
    <rPh sb="3" eb="5">
      <t>ウチガワ</t>
    </rPh>
    <rPh sb="5" eb="7">
      <t>チュウシン</t>
    </rPh>
    <phoneticPr fontId="1"/>
  </si>
  <si>
    <t>測定 外削中心X（片側）</t>
    <rPh sb="0" eb="2">
      <t>ソクテイ</t>
    </rPh>
    <rPh sb="3" eb="5">
      <t>ガイサク</t>
    </rPh>
    <rPh sb="5" eb="7">
      <t>チュウシン</t>
    </rPh>
    <rPh sb="9" eb="11">
      <t>カタガワ</t>
    </rPh>
    <phoneticPr fontId="1"/>
  </si>
  <si>
    <t>測定 通り芯X</t>
    <rPh sb="0" eb="2">
      <t>ソクテイ</t>
    </rPh>
    <rPh sb="3" eb="4">
      <t>トオ</t>
    </rPh>
    <rPh sb="5" eb="6">
      <t>シン</t>
    </rPh>
    <phoneticPr fontId="1"/>
  </si>
  <si>
    <t>測定 通り芯Y</t>
    <rPh sb="0" eb="2">
      <t>ソクテイ</t>
    </rPh>
    <rPh sb="3" eb="4">
      <t>トオ</t>
    </rPh>
    <rPh sb="5" eb="6">
      <t>シン</t>
    </rPh>
    <phoneticPr fontId="1"/>
  </si>
  <si>
    <t>ディンプル</t>
    <phoneticPr fontId="1"/>
  </si>
  <si>
    <t>ディンプル１列目個数</t>
    <rPh sb="6" eb="8">
      <t>レツメ</t>
    </rPh>
    <rPh sb="8" eb="10">
      <t>コスウ</t>
    </rPh>
    <phoneticPr fontId="1"/>
  </si>
  <si>
    <t>ディンプル２列目個数</t>
    <rPh sb="6" eb="8">
      <t>レツメ</t>
    </rPh>
    <rPh sb="8" eb="10">
      <t>コスウ</t>
    </rPh>
    <phoneticPr fontId="1"/>
  </si>
  <si>
    <t>ディンプル加工用傾き角（度）</t>
    <rPh sb="5" eb="8">
      <t>カコウヨウ</t>
    </rPh>
    <rPh sb="8" eb="9">
      <t>カタム</t>
    </rPh>
    <rPh sb="10" eb="11">
      <t>カク</t>
    </rPh>
    <rPh sb="12" eb="13">
      <t>ド</t>
    </rPh>
    <phoneticPr fontId="1"/>
  </si>
  <si>
    <t>トップ端-ディンプル１列目間距離</t>
    <rPh sb="3" eb="4">
      <t>タン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</si>
  <si>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ディンプルピッチ鉛直</t>
    <rPh sb="8" eb="10">
      <t>エンチョク</t>
    </rPh>
    <phoneticPr fontId="1"/>
  </si>
  <si>
    <t>ディンプルピッチ水平</t>
    <rPh sb="8" eb="10">
      <t>スイヘイ</t>
    </rPh>
    <phoneticPr fontId="1"/>
  </si>
  <si>
    <t>ディンプル１列目（奇数列）長さ</t>
  </si>
  <si>
    <t>ディンプル１列目（奇数列）長さ</t>
    <rPh sb="6" eb="8">
      <t>レツメ</t>
    </rPh>
    <rPh sb="9" eb="11">
      <t>キスウ</t>
    </rPh>
    <rPh sb="11" eb="12">
      <t>レツ</t>
    </rPh>
    <rPh sb="13" eb="14">
      <t>ナガ</t>
    </rPh>
    <phoneticPr fontId="1"/>
  </si>
  <si>
    <t>ディンプル２列目（偶数列）長さ</t>
    <rPh sb="6" eb="8">
      <t>レツメ</t>
    </rPh>
    <rPh sb="9" eb="11">
      <t>グウスウ</t>
    </rPh>
    <rPh sb="11" eb="12">
      <t>レツ</t>
    </rPh>
    <rPh sb="13" eb="14">
      <t>ナガ</t>
    </rPh>
    <phoneticPr fontId="1"/>
  </si>
  <si>
    <t>ディンプル列数</t>
    <rPh sb="5" eb="6">
      <t>レツ</t>
    </rPh>
    <rPh sb="6" eb="7">
      <t>スウ</t>
    </rPh>
    <phoneticPr fontId="1"/>
  </si>
  <si>
    <t>ディンプル深さ</t>
    <rPh sb="5" eb="6">
      <t>フカ</t>
    </rPh>
    <phoneticPr fontId="1"/>
  </si>
  <si>
    <t>工具-A側ディンプル 余裕代</t>
    <rPh sb="0" eb="2">
      <t>コウグ</t>
    </rPh>
    <rPh sb="4" eb="5">
      <t>ガワ</t>
    </rPh>
    <rPh sb="11" eb="13">
      <t>ヨユウ</t>
    </rPh>
    <rPh sb="13" eb="14">
      <t>ダイ</t>
    </rPh>
    <phoneticPr fontId="1"/>
  </si>
  <si>
    <t>振分中心-ディンプルm-1列目間距離</t>
    <rPh sb="0" eb="2">
      <t>フリワケ</t>
    </rPh>
    <rPh sb="2" eb="4">
      <t>チュウシン</t>
    </rPh>
    <rPh sb="13" eb="14">
      <t>レツ</t>
    </rPh>
    <rPh sb="14" eb="15">
      <t>メ</t>
    </rPh>
    <rPh sb="15" eb="16">
      <t>カン</t>
    </rPh>
    <rPh sb="16" eb="18">
      <t>キョリ</t>
    </rPh>
    <phoneticPr fontId="1"/>
  </si>
  <si>
    <t>振分中心-ディンプルm列目間距離</t>
    <rPh sb="0" eb="2">
      <t>フリワケ</t>
    </rPh>
    <rPh sb="2" eb="4">
      <t>チュウシン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</si>
  <si>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 奇数列の数</t>
    <rPh sb="6" eb="8">
      <t>キスウ</t>
    </rPh>
    <rPh sb="8" eb="9">
      <t>レツ</t>
    </rPh>
    <rPh sb="10" eb="11">
      <t>カズ</t>
    </rPh>
    <phoneticPr fontId="1"/>
  </si>
  <si>
    <t>ディンプル 偶数列の数</t>
    <rPh sb="6" eb="8">
      <t>グウスウ</t>
    </rPh>
    <rPh sb="8" eb="9">
      <t>レツ</t>
    </rPh>
    <rPh sb="9" eb="10">
      <t>スウレツ</t>
    </rPh>
    <rPh sb="10" eb="11">
      <t>カズ</t>
    </rPh>
    <phoneticPr fontId="1"/>
  </si>
  <si>
    <t>ディンプル（傾き前）</t>
    <rPh sb="6" eb="7">
      <t>カタム</t>
    </rPh>
    <rPh sb="8" eb="9">
      <t>マエ</t>
    </rPh>
    <phoneticPr fontId="1"/>
  </si>
  <si>
    <t>ディンプルm-1列目-トップ端 湾曲中心間X距離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</si>
  <si>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湾曲中心間X距離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</si>
  <si>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ディンプル加工用傾き角A（deg,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</si>
  <si>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ディンプル加工用傾き角A（deg,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</si>
  <si>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ディンプル加工用傾き角C（deg,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</si>
  <si>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ディンプル加工用傾き角C（deg,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</si>
  <si>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A内面トップ端-ディンプル間 最近X距離</t>
    <rPh sb="1" eb="3">
      <t>ナイメン</t>
    </rPh>
    <rPh sb="6" eb="7">
      <t>タン</t>
    </rPh>
    <rPh sb="13" eb="14">
      <t>カン</t>
    </rPh>
    <rPh sb="15" eb="17">
      <t>サイキン</t>
    </rPh>
    <rPh sb="18" eb="20">
      <t>キョリ</t>
    </rPh>
    <phoneticPr fontId="1"/>
  </si>
  <si>
    <t>ディンプル列（全明細中）最大数</t>
    <rPh sb="5" eb="6">
      <t>レツ</t>
    </rPh>
    <rPh sb="7" eb="8">
      <t>ゼン</t>
    </rPh>
    <rPh sb="8" eb="10">
      <t>メイサイ</t>
    </rPh>
    <rPh sb="10" eb="11">
      <t>チュウ</t>
    </rPh>
    <rPh sb="12" eb="15">
      <t>サイダイスウ</t>
    </rPh>
    <phoneticPr fontId="1"/>
  </si>
  <si>
    <t>ディンプル（傾き後）</t>
    <rPh sb="6" eb="7">
      <t>カタム</t>
    </rPh>
    <rPh sb="8" eb="9">
      <t>ゴ</t>
    </rPh>
    <phoneticPr fontId="1"/>
  </si>
  <si>
    <t>Aディンプル トップ端-1列目間用</t>
    <rPh sb="10" eb="11">
      <t>タン</t>
    </rPh>
    <rPh sb="13" eb="15">
      <t>レツメ</t>
    </rPh>
    <rPh sb="15" eb="16">
      <t>カン</t>
    </rPh>
    <rPh sb="16" eb="17">
      <t>ヨウ</t>
    </rPh>
    <phoneticPr fontId="1"/>
  </si>
  <si>
    <t>ディンプルm-1列目-トップ端 湾曲中心間Z距離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</si>
  <si>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湾曲中心間Z距離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</si>
  <si>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ディンプル（その他）</t>
    <rPh sb="8" eb="9">
      <t>タ</t>
    </rPh>
    <phoneticPr fontId="1"/>
  </si>
  <si>
    <t>Cディンプル 1列目-m列目間用</t>
    <rPh sb="8" eb="10">
      <t>レツメ</t>
    </rPh>
    <rPh sb="12" eb="14">
      <t>レツメ</t>
    </rPh>
    <rPh sb="14" eb="15">
      <t>カン</t>
    </rPh>
    <rPh sb="15" eb="16">
      <t>ヨウ</t>
    </rPh>
    <phoneticPr fontId="1"/>
  </si>
  <si>
    <t>ディンプルm-1列目の長さ</t>
    <rPh sb="8" eb="9">
      <t>レツ</t>
    </rPh>
    <rPh sb="9" eb="10">
      <t>メ</t>
    </rPh>
    <rPh sb="11" eb="12">
      <t>ナガ</t>
    </rPh>
    <phoneticPr fontId="1"/>
  </si>
  <si>
    <t>ディンプルm列目の長さ</t>
    <rPh sb="6" eb="7">
      <t>レツ</t>
    </rPh>
    <rPh sb="7" eb="8">
      <t>メ</t>
    </rPh>
    <rPh sb="9" eb="10">
      <t>ナガ</t>
    </rPh>
    <phoneticPr fontId="1"/>
  </si>
  <si>
    <t>ディンプル 移動 各列の中心上</t>
    <rPh sb="6" eb="8">
      <t>イドウ</t>
    </rPh>
    <rPh sb="9" eb="11">
      <t>カクレツ</t>
    </rPh>
    <rPh sb="12" eb="14">
      <t>チュウシン</t>
    </rPh>
    <rPh sb="14" eb="15">
      <t>ジョウ</t>
    </rPh>
    <phoneticPr fontId="1"/>
  </si>
  <si>
    <t>加工 端面 コーナーR 右回り1周</t>
  </si>
  <si>
    <t>加工 外削 コーナーR 左回り1周</t>
  </si>
  <si>
    <t>加工 溝 左回り1周</t>
  </si>
  <si>
    <t>加工 外面取 コーナーR 左回り1周</t>
  </si>
  <si>
    <t>加工 内面取 コーナーR 左回り1周</t>
  </si>
  <si>
    <t>ボトム振分長</t>
    <rPh sb="3" eb="5">
      <t>フリワケ</t>
    </rPh>
    <rPh sb="5" eb="6">
      <t>チョウ</t>
    </rPh>
    <phoneticPr fontId="1"/>
  </si>
  <si>
    <t>ボトム再振分長</t>
    <rPh sb="3" eb="4">
      <t>サイ</t>
    </rPh>
    <rPh sb="4" eb="6">
      <t>フリワケ</t>
    </rPh>
    <rPh sb="6" eb="7">
      <t>チョウ</t>
    </rPh>
    <phoneticPr fontId="1"/>
  </si>
  <si>
    <t>ボトム AC外削径</t>
    <rPh sb="6" eb="7">
      <t>ガイ</t>
    </rPh>
    <rPh sb="7" eb="8">
      <t>サク</t>
    </rPh>
    <rPh sb="8" eb="9">
      <t>ケイ</t>
    </rPh>
    <phoneticPr fontId="1"/>
  </si>
  <si>
    <t>G54 X ボトム外側中心X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</si>
  <si>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A側肉厚</t>
    <rPh sb="5" eb="6">
      <t>ガワ</t>
    </rPh>
    <rPh sb="6" eb="8">
      <t>ニクアツ</t>
    </rPh>
    <phoneticPr fontId="1"/>
  </si>
  <si>
    <t>ボトム 内面取長</t>
    <rPh sb="4" eb="5">
      <t>ウチ</t>
    </rPh>
    <rPh sb="5" eb="7">
      <t>メントリ</t>
    </rPh>
    <rPh sb="7" eb="8">
      <t>チョウ</t>
    </rPh>
    <phoneticPr fontId="1"/>
  </si>
  <si>
    <t>内面 めっき膜厚</t>
    <rPh sb="0" eb="2">
      <t>ナイメン</t>
    </rPh>
    <phoneticPr fontId="1"/>
  </si>
  <si>
    <t>ジグの底 機械座標Y</t>
    <rPh sb="3" eb="4">
      <t>ソコ</t>
    </rPh>
    <rPh sb="5" eb="7">
      <t>キカイ</t>
    </rPh>
    <rPh sb="7" eb="9">
      <t>ザヒョウ</t>
    </rPh>
    <phoneticPr fontId="1"/>
  </si>
  <si>
    <t>テーブル基準</t>
    <rPh sb="4" eb="6">
      <t>キジュン</t>
    </rPh>
    <phoneticPr fontId="1"/>
  </si>
  <si>
    <t>G54 Y ボトム外側中心Y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</si>
  <si>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G55 X ボトム内側中心X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</si>
  <si>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G55 Y ボトム内側中心Y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</si>
  <si>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ボトム端 BD内径</t>
    <rPh sb="3" eb="4">
      <t>タン</t>
    </rPh>
    <rPh sb="7" eb="9">
      <t>ナイケイ</t>
    </rPh>
    <phoneticPr fontId="1"/>
  </si>
  <si>
    <t>G56 X トップ外側中心X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</si>
  <si>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AC外削径</t>
    <rPh sb="6" eb="7">
      <t>ガイ</t>
    </rPh>
    <rPh sb="7" eb="8">
      <t>サク</t>
    </rPh>
    <rPh sb="8" eb="9">
      <t>ケイ</t>
    </rPh>
    <phoneticPr fontId="1"/>
  </si>
  <si>
    <t>トップ再振分長</t>
    <rPh sb="3" eb="4">
      <t>サイ</t>
    </rPh>
    <rPh sb="4" eb="6">
      <t>フリワケ</t>
    </rPh>
    <rPh sb="6" eb="7">
      <t>チョウ</t>
    </rPh>
    <phoneticPr fontId="1"/>
  </si>
  <si>
    <t>トップ振分長</t>
    <rPh sb="3" eb="5">
      <t>フリワケ</t>
    </rPh>
    <rPh sb="5" eb="6">
      <t>チョウ</t>
    </rPh>
    <phoneticPr fontId="1"/>
  </si>
  <si>
    <t>トップ A側肉厚</t>
    <rPh sb="5" eb="6">
      <t>ガワ</t>
    </rPh>
    <rPh sb="6" eb="8">
      <t>ニクアツ</t>
    </rPh>
    <phoneticPr fontId="1"/>
  </si>
  <si>
    <t>トップ 内面取長</t>
    <rPh sb="4" eb="5">
      <t>ウチ</t>
    </rPh>
    <rPh sb="5" eb="7">
      <t>メントリ</t>
    </rPh>
    <rPh sb="7" eb="8">
      <t>チョウ</t>
    </rPh>
    <phoneticPr fontId="1"/>
  </si>
  <si>
    <t>G56 Y トップ外側中心Y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</si>
  <si>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G57 X トップ内側中心X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</si>
  <si>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G57 Y トップ内側中心Y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</si>
  <si>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トップ端 BD内径</t>
    <rPh sb="3" eb="4">
      <t>タン</t>
    </rPh>
    <rPh sb="7" eb="9">
      <t>ナイケイ</t>
    </rPh>
    <phoneticPr fontId="1"/>
  </si>
  <si>
    <t>工具T31（刃）直径</t>
    <rPh sb="0" eb="2">
      <t>コウグ</t>
    </rPh>
    <rPh sb="6" eb="7">
      <t>ハ</t>
    </rPh>
    <rPh sb="8" eb="10">
      <t>チョッケイ</t>
    </rPh>
    <phoneticPr fontId="1"/>
  </si>
  <si>
    <t>工具T31（シャンク）直径</t>
    <rPh sb="0" eb="2">
      <t>コウグ</t>
    </rPh>
    <rPh sb="11" eb="13">
      <t>チョッケイ</t>
    </rPh>
    <phoneticPr fontId="1"/>
  </si>
  <si>
    <t>工具 その他</t>
    <rPh sb="0" eb="2">
      <t>コウグ</t>
    </rPh>
    <rPh sb="5" eb="6">
      <t>タ</t>
    </rPh>
    <phoneticPr fontId="1"/>
  </si>
  <si>
    <t>振分長・傾き角・内径テーパ</t>
    <rPh sb="0" eb="2">
      <t>フリワケ</t>
    </rPh>
    <rPh sb="2" eb="3">
      <t>チョウ</t>
    </rPh>
    <rPh sb="4" eb="5">
      <t>カタム</t>
    </rPh>
    <rPh sb="6" eb="7">
      <t>カク</t>
    </rPh>
    <rPh sb="8" eb="10">
      <t>ナイケイ</t>
    </rPh>
    <phoneticPr fontId="1"/>
  </si>
  <si>
    <t>内径テーパ#</t>
    <rPh sb="0" eb="2">
      <t>ナイケイ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</si>
  <si>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[rad]（理論値）</t>
    </r>
    <rPh sb="9" eb="12">
      <t>リロンチ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</si>
  <si>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[rad]（近似値）</t>
    </r>
    <rPh sb="9" eb="12">
      <t>キンジチ</t>
    </rPh>
    <phoneticPr fontId="1"/>
  </si>
  <si>
    <t>ディンプル半径（工具小半径）</t>
    <rPh sb="5" eb="7">
      <t>ハンケイ</t>
    </rPh>
    <rPh sb="8" eb="10">
      <t>コウグ</t>
    </rPh>
    <rPh sb="10" eb="11">
      <t>ショウ</t>
    </rPh>
    <rPh sb="11" eb="13">
      <t>ハンケイ</t>
    </rPh>
    <phoneticPr fontId="1"/>
  </si>
  <si>
    <t>トップ 外削AC径</t>
    <rPh sb="4" eb="5">
      <t>ガイ</t>
    </rPh>
    <rPh sb="5" eb="6">
      <t>サク</t>
    </rPh>
    <rPh sb="8" eb="9">
      <t>ケイ</t>
    </rPh>
    <phoneticPr fontId="1"/>
  </si>
  <si>
    <t>トップ 外削BD径</t>
    <rPh sb="4" eb="5">
      <t>ガイ</t>
    </rPh>
    <rPh sb="5" eb="6">
      <t>サク</t>
    </rPh>
    <rPh sb="8" eb="9">
      <t>ケイ</t>
    </rPh>
    <phoneticPr fontId="1"/>
  </si>
  <si>
    <t>溝コーナーC</t>
    <rPh sb="0" eb="1">
      <t>ミゾ</t>
    </rPh>
    <phoneticPr fontId="1"/>
  </si>
  <si>
    <t>溝コーナーR</t>
    <rPh sb="0" eb="1">
      <t>ミゾ</t>
    </rPh>
    <phoneticPr fontId="1"/>
  </si>
  <si>
    <t>溝タイプ</t>
    <rPh sb="0" eb="1">
      <t>ミゾ</t>
    </rPh>
    <phoneticPr fontId="1"/>
  </si>
  <si>
    <t>溝BD径</t>
    <rPh sb="0" eb="1">
      <t>ミゾ</t>
    </rPh>
    <rPh sb="3" eb="4">
      <t>ケイ</t>
    </rPh>
    <phoneticPr fontId="1"/>
  </si>
  <si>
    <t>Q</t>
    <phoneticPr fontId="1"/>
  </si>
  <si>
    <t>P1</t>
    <phoneticPr fontId="1"/>
  </si>
  <si>
    <t>P1-4</t>
    <phoneticPr fontId="1"/>
  </si>
  <si>
    <t>P2</t>
    <phoneticPr fontId="1"/>
  </si>
  <si>
    <t>P3</t>
    <phoneticPr fontId="1"/>
  </si>
  <si>
    <t>P4</t>
    <phoneticPr fontId="1"/>
  </si>
  <si>
    <t>W</t>
    <phoneticPr fontId="1"/>
  </si>
  <si>
    <t>T</t>
    <phoneticPr fontId="1"/>
  </si>
  <si>
    <t>C</t>
    <phoneticPr fontId="1"/>
  </si>
  <si>
    <t>R</t>
    <phoneticPr fontId="1"/>
  </si>
  <si>
    <t>M</t>
    <phoneticPr fontId="1"/>
  </si>
  <si>
    <t>I</t>
    <phoneticPr fontId="1"/>
  </si>
  <si>
    <t>F</t>
    <phoneticPr fontId="1"/>
  </si>
  <si>
    <t>S</t>
    <phoneticPr fontId="1"/>
  </si>
  <si>
    <t>K</t>
    <phoneticPr fontId="1"/>
  </si>
  <si>
    <t>U</t>
    <phoneticPr fontId="1"/>
  </si>
  <si>
    <t>A</t>
    <phoneticPr fontId="1"/>
  </si>
  <si>
    <t>V</t>
    <phoneticPr fontId="1"/>
  </si>
  <si>
    <t>トップ外削 コーナーR</t>
    <rPh sb="3" eb="5">
      <t>ガイサク</t>
    </rPh>
    <phoneticPr fontId="1"/>
  </si>
  <si>
    <t>トップ再振分長（θ:0.001度単位）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</si>
  <si>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ボトム再振分長（θ:0.001度単位）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</si>
  <si>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トップ再張出長（θ:0.001度単位）</t>
    <rPh sb="3" eb="4">
      <t>サイ</t>
    </rPh>
    <rPh sb="4" eb="6">
      <t>ハリダシ</t>
    </rPh>
    <rPh sb="6" eb="7">
      <t>チョウ</t>
    </rPh>
    <phoneticPr fontId="1"/>
  </si>
  <si>
    <t>ボトム再張出長（θ:0.001度単位）</t>
    <rPh sb="3" eb="4">
      <t>サイ</t>
    </rPh>
    <rPh sb="4" eb="6">
      <t>ハリダシ</t>
    </rPh>
    <rPh sb="6" eb="7">
      <t>チョウ</t>
    </rPh>
    <phoneticPr fontId="1"/>
  </si>
  <si>
    <t>平行角度 トップ側</t>
    <rPh sb="0" eb="2">
      <t>ヘイコウ</t>
    </rPh>
    <rPh sb="2" eb="4">
      <t>カクド</t>
    </rPh>
    <rPh sb="8" eb="9">
      <t>ガワ</t>
    </rPh>
    <phoneticPr fontId="1"/>
  </si>
  <si>
    <t>P</t>
    <phoneticPr fontId="1"/>
  </si>
  <si>
    <t>G54 ボトム外削中心（ボトム基準）</t>
    <rPh sb="7" eb="9">
      <t>ガイサク</t>
    </rPh>
    <rPh sb="15" eb="17">
      <t>キジュン</t>
    </rPh>
    <phoneticPr fontId="1"/>
  </si>
  <si>
    <t>G54 ボトム外削中心（トップ基準）</t>
    <rPh sb="7" eb="9">
      <t>ガイサク</t>
    </rPh>
    <rPh sb="9" eb="11">
      <t>チュウシン</t>
    </rPh>
    <rPh sb="15" eb="17">
      <t>キジュン</t>
    </rPh>
    <phoneticPr fontId="1"/>
  </si>
  <si>
    <t>外形 コーナーR</t>
    <rPh sb="0" eb="2">
      <t>ガイケイ</t>
    </rPh>
    <phoneticPr fontId="1"/>
  </si>
  <si>
    <t>外形</t>
    <rPh sb="0" eb="2">
      <t>ガイ</t>
    </rPh>
    <phoneticPr fontId="1"/>
  </si>
  <si>
    <t>内形</t>
    <rPh sb="0" eb="1">
      <t>ウチ</t>
    </rPh>
    <rPh sb="1" eb="2">
      <t>ケイ</t>
    </rPh>
    <phoneticPr fontId="1"/>
  </si>
  <si>
    <t>ボトム外削長</t>
    <rPh sb="3" eb="5">
      <t>ガイサク</t>
    </rPh>
    <rPh sb="5" eb="6">
      <t>チョウ</t>
    </rPh>
    <phoneticPr fontId="1"/>
  </si>
  <si>
    <t>ボトム外削A側面肉厚（ボトム基準時）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</si>
  <si>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ボトム外削 コーナーR</t>
    <rPh sb="3" eb="4">
      <t>ガイ</t>
    </rPh>
    <phoneticPr fontId="1"/>
  </si>
  <si>
    <t>トップ外削の有無</t>
    <rPh sb="3" eb="5">
      <t>ガイサク</t>
    </rPh>
    <rPh sb="6" eb="8">
      <t>ウム</t>
    </rPh>
    <phoneticPr fontId="1"/>
  </si>
  <si>
    <t>H</t>
    <phoneticPr fontId="1"/>
  </si>
  <si>
    <t>中心湾曲の有無（0:無, 1:有）</t>
    <rPh sb="0" eb="2">
      <t>チュウシン</t>
    </rPh>
    <rPh sb="2" eb="4">
      <t>ワンキョク</t>
    </rPh>
    <rPh sb="5" eb="7">
      <t>ウム</t>
    </rPh>
    <phoneticPr fontId="1"/>
  </si>
  <si>
    <t>トップ外 C or R 面取長</t>
    <rPh sb="3" eb="4">
      <t>ソト</t>
    </rPh>
    <rPh sb="12" eb="14">
      <t>メントリ</t>
    </rPh>
    <rPh sb="14" eb="15">
      <t>チョウ</t>
    </rPh>
    <phoneticPr fontId="1"/>
  </si>
  <si>
    <t>トップ内 C or R 面取長</t>
    <rPh sb="3" eb="4">
      <t>ウチ</t>
    </rPh>
    <rPh sb="12" eb="14">
      <t>メントリ</t>
    </rPh>
    <rPh sb="14" eb="15">
      <t>チョウ</t>
    </rPh>
    <phoneticPr fontId="1"/>
  </si>
  <si>
    <t>トップ外面取 コーナーR</t>
    <rPh sb="3" eb="4">
      <t>ソト</t>
    </rPh>
    <rPh sb="4" eb="6">
      <t>メントリ</t>
    </rPh>
    <phoneticPr fontId="1"/>
  </si>
  <si>
    <t>内形 コーナーR</t>
    <rPh sb="0" eb="1">
      <t>ウチ</t>
    </rPh>
    <rPh sb="1" eb="2">
      <t>ケイ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</si>
  <si>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</si>
  <si>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t>トップ端 BD内径</t>
    <rPh sb="3" eb="4">
      <t>タン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</si>
  <si>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Bb</t>
    </r>
    <phoneticPr fontId="1"/>
  </si>
  <si>
    <t>ボトム端 BD内径</t>
    <rPh sb="3" eb="4">
      <t>タン</t>
    </rPh>
    <phoneticPr fontId="1"/>
  </si>
  <si>
    <t>ボトム 外削AC径</t>
    <rPh sb="4" eb="5">
      <t>ガイ</t>
    </rPh>
    <rPh sb="5" eb="6">
      <t>サク</t>
    </rPh>
    <rPh sb="8" eb="9">
      <t>ケイ</t>
    </rPh>
    <phoneticPr fontId="1"/>
  </si>
  <si>
    <t>ボトム 外削BD径</t>
    <rPh sb="4" eb="5">
      <t>ガイ</t>
    </rPh>
    <rPh sb="5" eb="6">
      <t>サク</t>
    </rPh>
    <rPh sb="8" eb="9">
      <t>ケイ</t>
    </rPh>
    <phoneticPr fontId="1"/>
  </si>
  <si>
    <t>ボトム外削 コーナーR</t>
    <rPh sb="3" eb="5">
      <t>ガイサク</t>
    </rPh>
    <phoneticPr fontId="1"/>
  </si>
  <si>
    <t>ボトム外削の有無</t>
    <rPh sb="3" eb="5">
      <t>ガイサク</t>
    </rPh>
    <rPh sb="6" eb="8">
      <t>ウム</t>
    </rPh>
    <phoneticPr fontId="1"/>
  </si>
  <si>
    <t>G57 ディンプル 測定</t>
    <rPh sb="10" eb="12">
      <t>ソクテイ</t>
    </rPh>
    <phoneticPr fontId="1"/>
  </si>
  <si>
    <t>G57 ディンプル 加工</t>
    <rPh sb="10" eb="12">
      <t>カコウ</t>
    </rPh>
    <phoneticPr fontId="1"/>
  </si>
  <si>
    <t>G57 トップ端面</t>
    <rPh sb="7" eb="9">
      <t>タンメン</t>
    </rPh>
    <phoneticPr fontId="1"/>
  </si>
  <si>
    <t>G56 トップ外削</t>
    <rPh sb="7" eb="9">
      <t>ガイサク</t>
    </rPh>
    <phoneticPr fontId="1"/>
  </si>
  <si>
    <t>G56 トップ端 外C面取</t>
    <rPh sb="7" eb="8">
      <t>タン</t>
    </rPh>
    <rPh sb="9" eb="10">
      <t>ソト</t>
    </rPh>
    <rPh sb="11" eb="13">
      <t>メントリ</t>
    </rPh>
    <phoneticPr fontId="1"/>
  </si>
  <si>
    <t>G57 トップ端 内C面取</t>
    <rPh sb="7" eb="8">
      <t>タン</t>
    </rPh>
    <rPh sb="9" eb="10">
      <t>ウチ</t>
    </rPh>
    <rPh sb="11" eb="13">
      <t>メントリ</t>
    </rPh>
    <phoneticPr fontId="1"/>
  </si>
  <si>
    <t>G54 ボトム外削</t>
    <rPh sb="7" eb="9">
      <t>ガイサク</t>
    </rPh>
    <phoneticPr fontId="1"/>
  </si>
  <si>
    <t>G55 ボトム端面</t>
    <rPh sb="7" eb="9">
      <t>タンメン</t>
    </rPh>
    <phoneticPr fontId="1"/>
  </si>
  <si>
    <t>G54 ボトム端 外C面取</t>
    <rPh sb="7" eb="8">
      <t>タン</t>
    </rPh>
    <rPh sb="9" eb="10">
      <t>ソト</t>
    </rPh>
    <rPh sb="11" eb="13">
      <t>メントリ</t>
    </rPh>
    <phoneticPr fontId="1"/>
  </si>
  <si>
    <t>ボトム外 C or R 面取長</t>
    <rPh sb="3" eb="4">
      <t>ソト</t>
    </rPh>
    <rPh sb="12" eb="14">
      <t>メントリ</t>
    </rPh>
    <rPh sb="14" eb="15">
      <t>チョウ</t>
    </rPh>
    <phoneticPr fontId="1"/>
  </si>
  <si>
    <t>ボトム外面取 コーナーR</t>
    <rPh sb="3" eb="4">
      <t>ソト</t>
    </rPh>
    <rPh sb="4" eb="6">
      <t>メントリ</t>
    </rPh>
    <phoneticPr fontId="1"/>
  </si>
  <si>
    <t>G55 ボトム端 内C面取</t>
    <rPh sb="7" eb="8">
      <t>タン</t>
    </rPh>
    <rPh sb="9" eb="10">
      <t>ウチ</t>
    </rPh>
    <rPh sb="11" eb="13">
      <t>メントリ</t>
    </rPh>
    <phoneticPr fontId="1"/>
  </si>
  <si>
    <t>面取種類 (0:C, 1:R)</t>
    <rPh sb="0" eb="2">
      <t>メントリ</t>
    </rPh>
    <rPh sb="2" eb="4">
      <t>シュルイ</t>
    </rPh>
    <phoneticPr fontId="1"/>
  </si>
  <si>
    <t>ボトム内 C or R 面取長</t>
    <rPh sb="3" eb="4">
      <t>ウチ</t>
    </rPh>
    <rPh sb="12" eb="14">
      <t>メントリ</t>
    </rPh>
    <rPh sb="14" eb="15">
      <t>チョウ</t>
    </rPh>
    <phoneticPr fontId="1"/>
  </si>
  <si>
    <t>ボトム内面 コーナーR</t>
    <rPh sb="3" eb="4">
      <t>ウチ</t>
    </rPh>
    <rPh sb="4" eb="5">
      <t>メン</t>
    </rPh>
    <phoneticPr fontId="1"/>
  </si>
  <si>
    <t>トップ内面 コーナーR</t>
    <rPh sb="3" eb="4">
      <t>ウチ</t>
    </rPh>
    <rPh sb="4" eb="5">
      <t>メン</t>
    </rPh>
    <phoneticPr fontId="1"/>
  </si>
  <si>
    <t>トップ端 内面 コーナーR</t>
    <rPh sb="3" eb="4">
      <t>タン</t>
    </rPh>
    <rPh sb="5" eb="7">
      <t>ナイメン</t>
    </rPh>
    <phoneticPr fontId="1"/>
  </si>
  <si>
    <t>ボトム端 内面 コーナーR</t>
    <rPh sb="3" eb="4">
      <t>タン</t>
    </rPh>
    <rPh sb="5" eb="7">
      <t>ナイメン</t>
    </rPh>
    <phoneticPr fontId="1"/>
  </si>
  <si>
    <t>通り芯X</t>
    <rPh sb="0" eb="1">
      <t>トオ</t>
    </rPh>
    <phoneticPr fontId="1"/>
  </si>
  <si>
    <t>通り芯 AC方向</t>
    <rPh sb="0" eb="1">
      <t>トオ</t>
    </rPh>
    <rPh sb="2" eb="3">
      <t>シン</t>
    </rPh>
    <rPh sb="6" eb="8">
      <t>ホウコウ</t>
    </rPh>
    <phoneticPr fontId="1"/>
  </si>
  <si>
    <t>以下 確認用</t>
    <rPh sb="0" eb="2">
      <t>イカ</t>
    </rPh>
    <rPh sb="3" eb="5">
      <t>カクニン</t>
    </rPh>
    <rPh sb="5" eb="6">
      <t>ヨウ</t>
    </rPh>
    <phoneticPr fontId="1"/>
  </si>
  <si>
    <t>cosθ'</t>
    <phoneticPr fontId="1"/>
  </si>
  <si>
    <t>P5</t>
    <phoneticPr fontId="1"/>
  </si>
  <si>
    <t>eTaper #</t>
    <phoneticPr fontId="1"/>
  </si>
  <si>
    <t>平行角度</t>
    <rPh sb="0" eb="2">
      <t>ヘイコウ</t>
    </rPh>
    <rPh sb="2" eb="4">
      <t>カクド</t>
    </rPh>
    <phoneticPr fontId="1"/>
  </si>
  <si>
    <t>内形 トップ端 コーナーR</t>
    <rPh sb="0" eb="1">
      <t>ウチ</t>
    </rPh>
    <rPh sb="1" eb="2">
      <t>ケイ</t>
    </rPh>
    <rPh sb="6" eb="7">
      <t>タン</t>
    </rPh>
    <phoneticPr fontId="1"/>
  </si>
  <si>
    <t>G58 X 溝中心 芯出し</t>
    <rPh sb="6" eb="7">
      <t>ミゾ</t>
    </rPh>
    <rPh sb="7" eb="9">
      <t>チュウシン</t>
    </rPh>
    <rPh sb="10" eb="12">
      <t>シンダ</t>
    </rPh>
    <phoneticPr fontId="1"/>
  </si>
  <si>
    <t>A側溝深さ</t>
    <rPh sb="1" eb="2">
      <t>ガワ</t>
    </rPh>
    <rPh sb="2" eb="3">
      <t>ミゾ</t>
    </rPh>
    <rPh sb="3" eb="4">
      <t>フカ</t>
    </rPh>
    <phoneticPr fontId="1"/>
  </si>
  <si>
    <t>シーケンス番号</t>
    <rPh sb="5" eb="7">
      <t>バンゴウ</t>
    </rPh>
    <phoneticPr fontId="1"/>
  </si>
  <si>
    <t>測定 ディンプル</t>
    <rPh sb="0" eb="2">
      <t>ソクテイ</t>
    </rPh>
    <phoneticPr fontId="1"/>
  </si>
  <si>
    <t>加工 ディンプル</t>
    <rPh sb="0" eb="2">
      <t>カコウ</t>
    </rPh>
    <phoneticPr fontId="1"/>
  </si>
  <si>
    <t>加工 トップ端面</t>
    <rPh sb="0" eb="2">
      <t>カコウ</t>
    </rPh>
    <rPh sb="6" eb="8">
      <t>タンメン</t>
    </rPh>
    <phoneticPr fontId="1"/>
  </si>
  <si>
    <t>加工 トップ外削</t>
    <rPh sb="0" eb="2">
      <t>カコウ</t>
    </rPh>
    <rPh sb="6" eb="8">
      <t>ガイサク</t>
    </rPh>
    <phoneticPr fontId="1"/>
  </si>
  <si>
    <t>加工 溝</t>
    <rPh sb="0" eb="2">
      <t>カコウ</t>
    </rPh>
    <rPh sb="3" eb="4">
      <t>ミゾ</t>
    </rPh>
    <phoneticPr fontId="1"/>
  </si>
  <si>
    <t>加工 トップ外面取</t>
    <rPh sb="0" eb="2">
      <t>カコウ</t>
    </rPh>
    <rPh sb="6" eb="7">
      <t>ソト</t>
    </rPh>
    <rPh sb="7" eb="9">
      <t>メントリ</t>
    </rPh>
    <phoneticPr fontId="1"/>
  </si>
  <si>
    <t>加工 トップ内面取</t>
    <rPh sb="0" eb="2">
      <t>カコウ</t>
    </rPh>
    <rPh sb="6" eb="9">
      <t>ウチメ</t>
    </rPh>
    <phoneticPr fontId="1"/>
  </si>
  <si>
    <t>加工 トップ座ぐり</t>
    <rPh sb="0" eb="2">
      <t>カコウ</t>
    </rPh>
    <rPh sb="6" eb="7">
      <t>ザ</t>
    </rPh>
    <phoneticPr fontId="1"/>
  </si>
  <si>
    <t>加工 ボトム端面</t>
    <rPh sb="0" eb="2">
      <t>カコウ</t>
    </rPh>
    <rPh sb="6" eb="8">
      <t>タンメン</t>
    </rPh>
    <phoneticPr fontId="1"/>
  </si>
  <si>
    <t>加工 ボトム外削</t>
    <rPh sb="0" eb="2">
      <t>カコウ</t>
    </rPh>
    <rPh sb="6" eb="8">
      <t>ガイサク</t>
    </rPh>
    <phoneticPr fontId="1"/>
  </si>
  <si>
    <t>加工 ボトム外面取</t>
    <rPh sb="0" eb="2">
      <t>カコウ</t>
    </rPh>
    <rPh sb="6" eb="7">
      <t>ソト</t>
    </rPh>
    <rPh sb="7" eb="9">
      <t>メントリ</t>
    </rPh>
    <phoneticPr fontId="1"/>
  </si>
  <si>
    <t>加工 ボトム内面取</t>
    <rPh sb="0" eb="2">
      <t>カコウ</t>
    </rPh>
    <rPh sb="6" eb="9">
      <t>ウチ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</si>
  <si>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</si>
  <si>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溝中心-トップ端外中心の差</t>
    <rPh sb="0" eb="1">
      <t>ミゾ</t>
    </rPh>
    <rPh sb="1" eb="3">
      <t>チュウシン</t>
    </rPh>
    <rPh sb="7" eb="8">
      <t>ハシ</t>
    </rPh>
    <rPh sb="8" eb="9">
      <t>ガイ</t>
    </rPh>
    <rPh sb="9" eb="11">
      <t>チュウシン</t>
    </rPh>
    <rPh sb="12" eb="13">
      <t>サ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</si>
  <si>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</si>
  <si>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溝中央A側-トップ端A側端点間距離</t>
    <rPh sb="0" eb="1">
      <t>ミゾ</t>
    </rPh>
    <rPh sb="1" eb="3">
      <t>チュウオウ</t>
    </rPh>
    <rPh sb="9" eb="10">
      <t>タン</t>
    </rPh>
    <rPh sb="11" eb="12">
      <t>ガワ</t>
    </rPh>
    <rPh sb="12" eb="14">
      <t>タンテン</t>
    </rPh>
    <rPh sb="14" eb="15">
      <t>カン</t>
    </rPh>
    <rPh sb="15" eb="17">
      <t>キョリ</t>
    </rPh>
    <phoneticPr fontId="1"/>
  </si>
  <si>
    <t>G58 Y 溝中心 芯出し</t>
    <rPh sb="6" eb="7">
      <t>ミゾ</t>
    </rPh>
    <rPh sb="7" eb="9">
      <t>チュウシン</t>
    </rPh>
    <rPh sb="10" eb="12">
      <t>シンダ</t>
    </rPh>
    <phoneticPr fontId="1"/>
  </si>
  <si>
    <t>G58 溝中心X（外削なし）</t>
    <rPh sb="4" eb="5">
      <t>ミゾ</t>
    </rPh>
    <rPh sb="5" eb="7">
      <t>チュウシン</t>
    </rPh>
    <rPh sb="9" eb="11">
      <t>ガイサク</t>
    </rPh>
    <phoneticPr fontId="1"/>
  </si>
  <si>
    <t>トップ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</si>
  <si>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トップ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</si>
  <si>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G56X = G54X + 通り心</t>
    <rPh sb="14" eb="15">
      <t>トオ</t>
    </rPh>
    <rPh sb="16" eb="17">
      <t>シン</t>
    </rPh>
    <phoneticPr fontId="1"/>
  </si>
  <si>
    <t>G54Y = G55Y</t>
    <phoneticPr fontId="1"/>
  </si>
  <si>
    <t>#5222</t>
    <phoneticPr fontId="1"/>
  </si>
  <si>
    <t>#5242</t>
    <phoneticPr fontId="1"/>
  </si>
  <si>
    <t>#5261</t>
    <phoneticPr fontId="1"/>
  </si>
  <si>
    <t>#5262</t>
    <phoneticPr fontId="1"/>
  </si>
  <si>
    <t>#5221</t>
    <phoneticPr fontId="1"/>
  </si>
  <si>
    <t>通り心</t>
    <rPh sb="0" eb="1">
      <t>トオ</t>
    </rPh>
    <rPh sb="2" eb="3">
      <t>シン</t>
    </rPh>
    <phoneticPr fontId="1"/>
  </si>
  <si>
    <t>G58X = G56X</t>
    <phoneticPr fontId="1"/>
  </si>
  <si>
    <t>#5301</t>
    <phoneticPr fontId="1"/>
  </si>
  <si>
    <t>G58Y = G56Y</t>
    <phoneticPr fontId="1"/>
  </si>
  <si>
    <t>#5302</t>
    <phoneticPr fontId="1"/>
  </si>
  <si>
    <t>外削長 ? 溝位置+溝幅（0:=, 1:not =）</t>
    <rPh sb="0" eb="2">
      <t>ガイサク</t>
    </rPh>
    <rPh sb="2" eb="3">
      <t>チョウ</t>
    </rPh>
    <rPh sb="6" eb="7">
      <t>ミゾ</t>
    </rPh>
    <rPh sb="7" eb="9">
      <t>イチ</t>
    </rPh>
    <rPh sb="10" eb="12">
      <t>ミゾハバ</t>
    </rPh>
    <phoneticPr fontId="1"/>
  </si>
  <si>
    <t>G56Y = G57Y</t>
    <phoneticPr fontId="1"/>
  </si>
  <si>
    <t>#5282</t>
    <phoneticPr fontId="1"/>
  </si>
  <si>
    <t>G58 溝中心X（外削なし A溝深さ基準）</t>
    <rPh sb="4" eb="5">
      <t>ミゾ</t>
    </rPh>
    <rPh sb="5" eb="7">
      <t>チュウシン</t>
    </rPh>
    <rPh sb="9" eb="11">
      <t>ガイサク</t>
    </rPh>
    <rPh sb="15" eb="16">
      <t>ミゾ</t>
    </rPh>
    <rPh sb="16" eb="17">
      <t>フカ</t>
    </rPh>
    <rPh sb="18" eb="20">
      <t>キジュン</t>
    </rPh>
    <phoneticPr fontId="1"/>
  </si>
  <si>
    <t>A側溝深さ指定 有無（0:無, 1:有）</t>
    <rPh sb="1" eb="2">
      <t>ガワ</t>
    </rPh>
    <rPh sb="2" eb="3">
      <t>ミゾ</t>
    </rPh>
    <rPh sb="3" eb="4">
      <t>フカ</t>
    </rPh>
    <rPh sb="5" eb="7">
      <t>シテイ</t>
    </rPh>
    <rPh sb="8" eb="10">
      <t>ウム</t>
    </rPh>
    <rPh sb="13" eb="14">
      <t>ム</t>
    </rPh>
    <rPh sb="18" eb="19">
      <t>ユウ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</si>
  <si>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</si>
  <si>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工具先端テーパ有無（0:無, 1:有）</t>
    <rPh sb="0" eb="2">
      <t>コウグ</t>
    </rPh>
    <rPh sb="2" eb="4">
      <t>センタン</t>
    </rPh>
    <rPh sb="7" eb="9">
      <t>ウム</t>
    </rPh>
    <phoneticPr fontId="1"/>
  </si>
  <si>
    <t>G58 溝</t>
    <phoneticPr fontId="1"/>
  </si>
  <si>
    <t>G54 通り芯 測定</t>
    <rPh sb="4" eb="5">
      <t>トオ</t>
    </rPh>
    <rPh sb="6" eb="7">
      <t>シン</t>
    </rPh>
    <rPh sb="8" eb="10">
      <t>ソクテイ</t>
    </rPh>
    <phoneticPr fontId="1"/>
  </si>
  <si>
    <t>A面からの距離</t>
    <rPh sb="1" eb="2">
      <t>メン</t>
    </rPh>
    <rPh sb="5" eb="7">
      <t>キョリ</t>
    </rPh>
    <phoneticPr fontId="1"/>
  </si>
  <si>
    <t>座ぐり幅</t>
    <rPh sb="0" eb="1">
      <t>ザ</t>
    </rPh>
    <rPh sb="3" eb="4">
      <t>ハバ</t>
    </rPh>
    <phoneticPr fontId="1"/>
  </si>
  <si>
    <t>座ぐり深さ</t>
    <rPh sb="0" eb="1">
      <t>ザ</t>
    </rPh>
    <rPh sb="3" eb="4">
      <t>フカ</t>
    </rPh>
    <phoneticPr fontId="1"/>
  </si>
  <si>
    <t>座ぐりコーナーR</t>
    <rPh sb="0" eb="1">
      <t>ザ</t>
    </rPh>
    <phoneticPr fontId="1"/>
  </si>
  <si>
    <t>座ぐり長さ</t>
    <rPh sb="0" eb="1">
      <t>ザ</t>
    </rPh>
    <rPh sb="3" eb="4">
      <t>ナガ</t>
    </rPh>
    <phoneticPr fontId="1"/>
  </si>
  <si>
    <t>G56 端面座ぐり</t>
    <rPh sb="4" eb="6">
      <t>タンメン</t>
    </rPh>
    <rPh sb="6" eb="7">
      <t>ザ</t>
    </rPh>
    <phoneticPr fontId="1"/>
  </si>
  <si>
    <t>加工 端面座ぐり コーナーR 左回り1周</t>
    <rPh sb="3" eb="5">
      <t>タンメン</t>
    </rPh>
    <rPh sb="5" eb="8">
      <t>ザg</t>
    </rPh>
    <phoneticPr fontId="1"/>
  </si>
  <si>
    <t>座ぐり幅</t>
    <rPh sb="0" eb="3">
      <t>ザ</t>
    </rPh>
    <rPh sb="3" eb="4">
      <t>ハバ</t>
    </rPh>
    <phoneticPr fontId="1"/>
  </si>
  <si>
    <t>座ぐり深さ</t>
    <rPh sb="0" eb="3">
      <t>ザ</t>
    </rPh>
    <rPh sb="3" eb="4">
      <t>フカ</t>
    </rPh>
    <phoneticPr fontId="1"/>
  </si>
  <si>
    <t>座ぐり長</t>
    <rPh sb="0" eb="3">
      <t>ザ</t>
    </rPh>
    <rPh sb="3" eb="4">
      <t>チョウ</t>
    </rPh>
    <phoneticPr fontId="1"/>
  </si>
  <si>
    <t>座ぐりコーナーR</t>
    <rPh sb="0" eb="3">
      <t>ザ</t>
    </rPh>
    <phoneticPr fontId="1"/>
  </si>
  <si>
    <t>湾曲外削（0:無, 1:有）</t>
    <rPh sb="0" eb="2">
      <t>ワンキョク</t>
    </rPh>
    <rPh sb="2" eb="4">
      <t>ガイサク</t>
    </rPh>
    <rPh sb="7" eb="8">
      <t>ム</t>
    </rPh>
    <rPh sb="12" eb="13">
      <t>ア</t>
    </rPh>
    <phoneticPr fontId="1"/>
  </si>
  <si>
    <t>加工 湾曲外削 コーナーR 左回り1周</t>
    <rPh sb="3" eb="5">
      <t>ワンキ</t>
    </rPh>
    <phoneticPr fontId="1"/>
  </si>
  <si>
    <t>G54 ボトム湾曲外削</t>
    <rPh sb="7" eb="9">
      <t>ワンキョク</t>
    </rPh>
    <rPh sb="9" eb="11">
      <t>ガイサク</t>
    </rPh>
    <phoneticPr fontId="1"/>
  </si>
  <si>
    <t>測定 通り芯</t>
    <rPh sb="0" eb="2">
      <t>ソクテイ</t>
    </rPh>
    <rPh sb="3" eb="4">
      <t>トオ</t>
    </rPh>
    <rPh sb="5" eb="6">
      <t>シン</t>
    </rPh>
    <phoneticPr fontId="1"/>
  </si>
  <si>
    <t>工具先端テーパ有無（0:無, 1:有）</t>
    <rPh sb="7" eb="9">
      <t>ウム</t>
    </rPh>
    <phoneticPr fontId="1"/>
  </si>
  <si>
    <t>トップ端 内削</t>
    <rPh sb="3" eb="4">
      <t>ハシ</t>
    </rPh>
    <rPh sb="5" eb="6">
      <t>ナイ</t>
    </rPh>
    <rPh sb="6" eb="7">
      <t>サク</t>
    </rPh>
    <phoneticPr fontId="1"/>
  </si>
  <si>
    <t>トップ端 端面座ぐり</t>
    <rPh sb="3" eb="4">
      <t>ハシ</t>
    </rPh>
    <rPh sb="5" eb="7">
      <t>タンメン</t>
    </rPh>
    <rPh sb="7" eb="8">
      <t>ザ</t>
    </rPh>
    <phoneticPr fontId="1"/>
  </si>
  <si>
    <t>内削AC径</t>
    <rPh sb="0" eb="1">
      <t>ナイ</t>
    </rPh>
    <rPh sb="1" eb="2">
      <t>サク</t>
    </rPh>
    <rPh sb="4" eb="5">
      <t>ケイ</t>
    </rPh>
    <phoneticPr fontId="1"/>
  </si>
  <si>
    <t>内削BD径</t>
    <rPh sb="0" eb="1">
      <t>ナイ</t>
    </rPh>
    <rPh sb="1" eb="2">
      <t>サク</t>
    </rPh>
    <rPh sb="4" eb="5">
      <t>ケイ</t>
    </rPh>
    <phoneticPr fontId="1"/>
  </si>
  <si>
    <t>内削長</t>
    <rPh sb="0" eb="1">
      <t>ナイ</t>
    </rPh>
    <rPh sb="1" eb="2">
      <t>サク</t>
    </rPh>
    <rPh sb="2" eb="3">
      <t>チョウ</t>
    </rPh>
    <phoneticPr fontId="1"/>
  </si>
  <si>
    <t>内削コーナーR</t>
    <rPh sb="0" eb="1">
      <t>ナイ</t>
    </rPh>
    <rPh sb="1" eb="2">
      <t>サク</t>
    </rPh>
    <phoneticPr fontId="1"/>
  </si>
  <si>
    <t>G56 内削</t>
    <rPh sb="4" eb="5">
      <t>ナイ</t>
    </rPh>
    <rPh sb="5" eb="6">
      <t>サク</t>
    </rPh>
    <phoneticPr fontId="1"/>
  </si>
  <si>
    <t>加工 内削 左回り1周</t>
    <rPh sb="3" eb="4">
      <t>ナイ</t>
    </rPh>
    <rPh sb="4" eb="5">
      <t>サク</t>
    </rPh>
    <phoneticPr fontId="1"/>
  </si>
  <si>
    <t>内削AC径</t>
    <rPh sb="0" eb="2">
      <t>ナイ</t>
    </rPh>
    <rPh sb="4" eb="5">
      <t>ケイ</t>
    </rPh>
    <phoneticPr fontId="1"/>
  </si>
  <si>
    <t>内削BD径</t>
    <rPh sb="0" eb="2">
      <t>ナイ</t>
    </rPh>
    <rPh sb="4" eb="5">
      <t>ケイ</t>
    </rPh>
    <phoneticPr fontId="1"/>
  </si>
  <si>
    <t>内削長</t>
    <rPh sb="0" eb="2">
      <t>ナイ</t>
    </rPh>
    <rPh sb="2" eb="3">
      <t>チョウ</t>
    </rPh>
    <phoneticPr fontId="1"/>
  </si>
  <si>
    <t>内削コーナーR</t>
    <rPh sb="0" eb="2">
      <t>ナイ</t>
    </rPh>
    <phoneticPr fontId="1"/>
  </si>
  <si>
    <t>トップ内削の有無</t>
    <rPh sb="3" eb="4">
      <t>ナイ</t>
    </rPh>
    <rPh sb="4" eb="5">
      <t>サク</t>
    </rPh>
    <rPh sb="6" eb="8">
      <t>ウム</t>
    </rPh>
    <phoneticPr fontId="1"/>
  </si>
  <si>
    <t>トップ内削AC径</t>
    <rPh sb="3" eb="4">
      <t>ナイ</t>
    </rPh>
    <rPh sb="4" eb="5">
      <t>サク</t>
    </rPh>
    <rPh sb="7" eb="8">
      <t>ケイ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</si>
  <si>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+f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</si>
  <si>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t>全長</t>
    <rPh sb="0" eb="2">
      <t>ゼンチョウ</t>
    </rPh>
    <phoneticPr fontId="1"/>
  </si>
  <si>
    <t>-公差</t>
    <phoneticPr fontId="1"/>
  </si>
  <si>
    <t>+公差</t>
    <phoneticPr fontId="1"/>
  </si>
  <si>
    <t>図面番号</t>
    <rPh sb="0" eb="4">
      <t>ズメンバn</t>
    </rPh>
    <phoneticPr fontId="1"/>
  </si>
  <si>
    <t>振分け調整：テーブル回転の場合</t>
    <rPh sb="0" eb="3">
      <t>h</t>
    </rPh>
    <rPh sb="3" eb="5">
      <t>チョウセイ</t>
    </rPh>
    <rPh sb="10" eb="12">
      <t>カイテン</t>
    </rPh>
    <rPh sb="13" eb="15">
      <t>バアイ</t>
    </rPh>
    <phoneticPr fontId="1"/>
  </si>
  <si>
    <t>全体</t>
    <rPh sb="0" eb="2">
      <t>ゼンタイ</t>
    </rPh>
    <phoneticPr fontId="1"/>
  </si>
  <si>
    <t>メインプログラム番号</t>
    <rPh sb="8" eb="10">
      <t>バンゴウ</t>
    </rPh>
    <phoneticPr fontId="1"/>
  </si>
  <si>
    <t>制作日</t>
    <rPh sb="0" eb="2">
      <t>セイサク</t>
    </rPh>
    <rPh sb="2" eb="3">
      <t>ビ</t>
    </rPh>
    <phoneticPr fontId="1"/>
  </si>
  <si>
    <t>寸法・数値</t>
    <rPh sb="0" eb="2">
      <t>スンポウ</t>
    </rPh>
    <rPh sb="3" eb="5">
      <t>スウチ</t>
    </rPh>
    <phoneticPr fontId="1"/>
  </si>
  <si>
    <t>ボトム振分長 括弧寸法（0:無, 1:有）</t>
    <rPh sb="3" eb="5">
      <t>フリ</t>
    </rPh>
    <rPh sb="5" eb="6">
      <t>チョウ</t>
    </rPh>
    <rPh sb="7" eb="9">
      <t>カッコ</t>
    </rPh>
    <rPh sb="9" eb="11">
      <t>スンポウ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</si>
  <si>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</si>
  <si>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y</t>
    </r>
    <phoneticPr fontId="1"/>
  </si>
  <si>
    <t>ボトム外削AC径</t>
    <rPh sb="3" eb="4">
      <t>ガイ</t>
    </rPh>
    <rPh sb="4" eb="5">
      <t>サク</t>
    </rPh>
    <rPh sb="7" eb="8">
      <t>ケイ</t>
    </rPh>
    <phoneticPr fontId="1"/>
  </si>
  <si>
    <t>ボトム外削BD径</t>
    <rPh sb="3" eb="4">
      <t>ガイ</t>
    </rPh>
    <rPh sb="4" eb="5">
      <t>サク</t>
    </rPh>
    <rPh sb="7" eb="8">
      <t>ケイ</t>
    </rPh>
    <phoneticPr fontId="1"/>
  </si>
  <si>
    <t>ボトム外削A側肉厚</t>
    <rPh sb="3" eb="4">
      <t>ガイ</t>
    </rPh>
    <rPh sb="4" eb="5">
      <t>サク</t>
    </rPh>
    <rPh sb="6" eb="7">
      <t>ガワ</t>
    </rPh>
    <rPh sb="7" eb="9">
      <t>ニクアツ</t>
    </rPh>
    <phoneticPr fontId="1"/>
  </si>
  <si>
    <t>トップ外削AC径</t>
    <rPh sb="3" eb="4">
      <t>ガイ</t>
    </rPh>
    <rPh sb="4" eb="5">
      <t>サク</t>
    </rPh>
    <rPh sb="7" eb="8">
      <t>ケイ</t>
    </rPh>
    <phoneticPr fontId="1"/>
  </si>
  <si>
    <t>トップ外削BD径</t>
    <rPh sb="3" eb="4">
      <t>ガイ</t>
    </rPh>
    <rPh sb="4" eb="5">
      <t>サク</t>
    </rPh>
    <rPh sb="7" eb="8">
      <t>ケイ</t>
    </rPh>
    <phoneticPr fontId="1"/>
  </si>
  <si>
    <t>トップ外削A側肉厚</t>
    <rPh sb="3" eb="4">
      <t>ガイ</t>
    </rPh>
    <rPh sb="4" eb="5">
      <t>サク</t>
    </rPh>
    <rPh sb="6" eb="7">
      <t>ガワ</t>
    </rPh>
    <rPh sb="7" eb="9">
      <t>ニクアツ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</si>
  <si>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</si>
  <si>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t>振分けの不均等（0:無, 1:有）</t>
    <rPh sb="0" eb="2">
      <t>フリワ</t>
    </rPh>
    <rPh sb="4" eb="7">
      <t>フキントウ</t>
    </rPh>
    <phoneticPr fontId="1"/>
  </si>
  <si>
    <t>トップ再振分長（指定）</t>
    <rPh sb="3" eb="4">
      <t>サイ</t>
    </rPh>
    <rPh sb="4" eb="6">
      <t>フリワ</t>
    </rPh>
    <rPh sb="6" eb="7">
      <t>チョウ</t>
    </rPh>
    <rPh sb="8" eb="10">
      <t>シテイ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</si>
  <si>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'-f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</si>
  <si>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t>トップ再振分長指定時</t>
    <rPh sb="3" eb="4">
      <t>サイ</t>
    </rPh>
    <rPh sb="4" eb="6">
      <t>フリワケ</t>
    </rPh>
    <rPh sb="6" eb="7">
      <t>チョウ</t>
    </rPh>
    <rPh sb="7" eb="9">
      <t>シテイ</t>
    </rPh>
    <rPh sb="9" eb="10">
      <t>ジ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</si>
  <si>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/Δ'</t>
    </r>
    <phoneticPr fontId="1"/>
  </si>
  <si>
    <t>sinθ</t>
    <phoneticPr fontId="1"/>
  </si>
  <si>
    <t>平行角度(rad)</t>
    <rPh sb="0" eb="2">
      <t>ヘイコウ</t>
    </rPh>
    <rPh sb="2" eb="4">
      <t>カクド</t>
    </rPh>
    <phoneticPr fontId="1"/>
  </si>
  <si>
    <t>平行角度(deg)</t>
    <rPh sb="0" eb="2">
      <t>ヘイコウ</t>
    </rPh>
    <rPh sb="2" eb="4">
      <t>カクド</t>
    </rPh>
    <phoneticPr fontId="1"/>
  </si>
  <si>
    <t>外削用 テーパ付スクエアエンドミル</t>
    <rPh sb="0" eb="2">
      <t>ガイサク</t>
    </rPh>
    <rPh sb="2" eb="3">
      <t>ヨウ</t>
    </rPh>
    <rPh sb="7" eb="8">
      <t>ツ</t>
    </rPh>
    <phoneticPr fontId="1"/>
  </si>
  <si>
    <t>測定用 タッチセンサープローブ Φ10×300</t>
    <rPh sb="0" eb="2">
      <t>ソクテイ</t>
    </rPh>
    <rPh sb="2" eb="3">
      <t>ヨウ</t>
    </rPh>
    <phoneticPr fontId="1"/>
  </si>
  <si>
    <t>受板の幅</t>
    <rPh sb="0" eb="1">
      <t>ウケ</t>
    </rPh>
    <rPh sb="1" eb="2">
      <t>イタ</t>
    </rPh>
    <rPh sb="3" eb="4">
      <t>ハバ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</si>
  <si>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-C72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</si>
  <si>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-C72)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</si>
  <si>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-C72)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</si>
  <si>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-C86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</si>
  <si>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-C86)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</si>
  <si>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-C86)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</si>
  <si>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A側溝深さ（指定なし）</t>
    <rPh sb="1" eb="2">
      <t>ガワ</t>
    </rPh>
    <rPh sb="2" eb="3">
      <t>ミゾ</t>
    </rPh>
    <rPh sb="3" eb="4">
      <t>フカ</t>
    </rPh>
    <rPh sb="6" eb="8">
      <t>シテイ</t>
    </rPh>
    <phoneticPr fontId="1"/>
  </si>
  <si>
    <t>C側溝深さ</t>
    <rPh sb="1" eb="2">
      <t>ガワ</t>
    </rPh>
    <rPh sb="2" eb="3">
      <t>ミゾ</t>
    </rPh>
    <rPh sb="3" eb="4">
      <t>フカ</t>
    </rPh>
    <phoneticPr fontId="1"/>
  </si>
  <si>
    <t>B側溝深さ</t>
    <rPh sb="1" eb="2">
      <t>ガワ</t>
    </rPh>
    <rPh sb="2" eb="3">
      <t>ミゾ</t>
    </rPh>
    <rPh sb="3" eb="4">
      <t>フカ</t>
    </rPh>
    <phoneticPr fontId="1"/>
  </si>
  <si>
    <t>D側溝深さ</t>
    <rPh sb="1" eb="2">
      <t>ガワ</t>
    </rPh>
    <rPh sb="2" eb="3">
      <t>ミゾ</t>
    </rPh>
    <rPh sb="3" eb="4">
      <t>フカ</t>
    </rPh>
    <phoneticPr fontId="1"/>
  </si>
  <si>
    <t>トップ端 位置</t>
    <rPh sb="3" eb="4">
      <t>タン</t>
    </rPh>
    <rPh sb="5" eb="7">
      <t>イチ</t>
    </rPh>
    <phoneticPr fontId="1"/>
  </si>
  <si>
    <t>測定 端面 傾き</t>
    <rPh sb="0" eb="2">
      <t>ソクテイ</t>
    </rPh>
    <rPh sb="3" eb="5">
      <t>タンメン</t>
    </rPh>
    <rPh sb="6" eb="7">
      <t>カタム</t>
    </rPh>
    <phoneticPr fontId="1"/>
  </si>
  <si>
    <t>加工 湾曲外削 外面取 コーナーR 左回り1周</t>
    <rPh sb="3" eb="5">
      <t>ワn</t>
    </rPh>
    <rPh sb="5" eb="7">
      <t>ガイ</t>
    </rPh>
    <rPh sb="8" eb="9">
      <t>ソト</t>
    </rPh>
    <rPh sb="9" eb="11">
      <t>メントリ</t>
    </rPh>
    <phoneticPr fontId="1"/>
  </si>
  <si>
    <t>C面取用 テーパエンドミル Φ15°</t>
    <rPh sb="1" eb="3">
      <t>メントリ</t>
    </rPh>
    <rPh sb="3" eb="4">
      <t>ヨウ</t>
    </rPh>
    <phoneticPr fontId="1"/>
  </si>
  <si>
    <t>C面取用 テーパエンドミル Φ30°</t>
    <rPh sb="1" eb="3">
      <t>メントリ</t>
    </rPh>
    <rPh sb="3" eb="4">
      <t>ヨウ</t>
    </rPh>
    <phoneticPr fontId="1"/>
  </si>
  <si>
    <t>C面取用 テーパエンドミル Φ45°</t>
    <rPh sb="1" eb="3">
      <t>メントリ</t>
    </rPh>
    <rPh sb="3" eb="4">
      <t>ヨウ</t>
    </rPh>
    <phoneticPr fontId="1"/>
  </si>
  <si>
    <t>一時停止 確認</t>
    <rPh sb="0" eb="4">
      <t>イチジテイシ</t>
    </rPh>
    <rPh sb="5" eb="7">
      <t>カクニン</t>
    </rPh>
    <phoneticPr fontId="1"/>
  </si>
  <si>
    <t>タッチセンサー 電源ON</t>
    <rPh sb="8" eb="10">
      <t>デンゲン</t>
    </rPh>
    <phoneticPr fontId="1"/>
  </si>
  <si>
    <t>タッチセンサー 電源OFF</t>
    <rPh sb="8" eb="10">
      <t>デンゲン</t>
    </rPh>
    <phoneticPr fontId="1"/>
  </si>
  <si>
    <t>空</t>
    <rPh sb="0" eb="1">
      <t>カラ</t>
    </rPh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</si>
  <si>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tz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</si>
</sst>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 "/>
    <numFmt numFmtId="177" formatCode="0.000_ "/>
    <numFmt numFmtId="178" formatCode="0.0_ "/>
    <numFmt numFmtId="179" formatCode="0_ "/>
    <numFmt numFmtId="180" formatCode="0.000"/>
    <numFmt numFmtId="181" formatCode="0_);[Red]\(0\)"/>
    <numFmt numFmtId="182" formatCode="\+0.000;\-0.000;0.000"/>
    <numFmt numFmtId="183" formatCode="0000_ "/>
  </numFmts>
  <fonts count="9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  <font>
      <sz val="11"/>
      <name val="ＭＳ Ｐ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89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6" xfId="0" applyFont="1" applyBorder="1">
      <alignment vertical="center"/>
    </xf>
    <xf numFmtId="177" fontId="2" fillId="0" borderId="5" xfId="0" applyNumberFormat="1" applyFon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177" fontId="2" fillId="2" borderId="4" xfId="0" applyNumberFormat="1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8" xfId="0" applyFont="1" applyFill="1" applyBorder="1">
      <alignment vertical="center"/>
    </xf>
    <xf numFmtId="177" fontId="2" fillId="2" borderId="8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177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2" fillId="0" borderId="9" xfId="0" applyNumberFormat="1" applyFont="1" applyBorder="1">
      <alignment vertical="center"/>
    </xf>
    <xf numFmtId="0" fontId="4" fillId="0" borderId="10" xfId="0" applyFont="1" applyBorder="1">
      <alignment vertical="center"/>
    </xf>
    <xf numFmtId="179" fontId="2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8" fontId="2" fillId="2" borderId="4" xfId="0" applyNumberFormat="1" applyFont="1" applyFill="1" applyBorder="1">
      <alignment vertical="center"/>
    </xf>
    <xf numFmtId="177" fontId="2" fillId="2" borderId="4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7" xfId="0" applyNumberFormat="1" applyFont="1" applyFill="1" applyBorder="1" applyAlignment="1">
      <alignment horizontal="center" vertical="center"/>
    </xf>
    <xf numFmtId="177" fontId="4" fillId="0" borderId="10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7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4" xfId="0" applyNumberFormat="1" applyFont="1" applyFill="1" applyBorder="1" applyAlignment="1">
      <alignment horizontal="center" vertical="center"/>
    </xf>
    <xf numFmtId="177" fontId="2" fillId="2" borderId="8" xfId="0" applyNumberFormat="1" applyFont="1" applyFill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4" xfId="0" applyNumberFormat="1" applyFont="1" applyBorder="1" applyAlignment="1">
      <alignment horizontal="center" vertical="center"/>
    </xf>
    <xf numFmtId="177" fontId="2" fillId="0" borderId="4" xfId="0" applyNumberFormat="1" applyFont="1" applyBorder="1">
      <alignment vertical="center"/>
    </xf>
    <xf numFmtId="180" fontId="2" fillId="2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4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9" fontId="2" fillId="3" borderId="7" xfId="0" applyNumberFormat="1" applyFont="1" applyFill="1" applyBorder="1" applyAlignment="1">
      <alignment horizontal="center" vertical="center"/>
    </xf>
    <xf numFmtId="179" fontId="2" fillId="2" borderId="4" xfId="0" applyNumberFormat="1" applyFont="1" applyFill="1" applyBorder="1" applyAlignment="1">
      <alignment horizontal="center" vertical="center"/>
    </xf>
    <xf numFmtId="181" fontId="2" fillId="4" borderId="7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>
      <alignment vertical="center"/>
    </xf>
    <xf numFmtId="177" fontId="2" fillId="5" borderId="0" xfId="0" applyNumberFormat="1" applyFont="1" applyFill="1" applyAlignment="1">
      <alignment horizontal="center" vertical="center"/>
    </xf>
    <xf numFmtId="0" fontId="2" fillId="2" borderId="15" xfId="0" applyFont="1" applyFill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0" fontId="2" fillId="2" borderId="16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9" fontId="2" fillId="2" borderId="16" xfId="0" applyNumberFormat="1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179" fontId="2" fillId="3" borderId="8" xfId="0" applyNumberFormat="1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177" fontId="2" fillId="3" borderId="4" xfId="0" applyNumberFormat="1" applyFont="1" applyFill="1" applyBorder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182" fontId="2" fillId="3" borderId="4" xfId="0" applyNumberFormat="1" applyFont="1" applyFill="1" applyBorder="1" applyAlignment="1">
      <alignment horizontal="center" vertical="center"/>
    </xf>
    <xf numFmtId="182" fontId="2" fillId="0" borderId="15" xfId="0" applyNumberFormat="1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183" fontId="2" fillId="3" borderId="17" xfId="0" applyNumberFormat="1" applyFont="1" applyFill="1" applyBorder="1" applyAlignment="1">
      <alignment horizontal="center" vertical="center"/>
    </xf>
    <xf numFmtId="179" fontId="2" fillId="3" borderId="17" xfId="0" applyNumberFormat="1" applyFont="1" applyFill="1" applyBorder="1" applyAlignment="1">
      <alignment horizontal="center" vertical="center"/>
    </xf>
    <xf numFmtId="177" fontId="2" fillId="3" borderId="18" xfId="0" applyNumberFormat="1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179" fontId="2" fillId="3" borderId="20" xfId="0" applyNumberFormat="1" applyFont="1" applyFill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21" xfId="0" applyFont="1" applyBorder="1">
      <alignment vertical="center"/>
    </xf>
    <xf numFmtId="179" fontId="2" fillId="3" borderId="5" xfId="0" applyNumberFormat="1" applyFont="1" applyFill="1" applyBorder="1" applyAlignment="1">
      <alignment horizontal="center" vertical="center"/>
    </xf>
    <xf numFmtId="177" fontId="2" fillId="3" borderId="22" xfId="0" applyNumberFormat="1" applyFont="1" applyFill="1" applyBorder="1" applyAlignment="1">
      <alignment horizontal="center" vertical="center"/>
    </xf>
    <xf numFmtId="0" fontId="2" fillId="6" borderId="3" xfId="0" applyFont="1" applyFill="1" applyBorder="1">
      <alignment vertical="center"/>
    </xf>
    <xf numFmtId="177" fontId="2" fillId="6" borderId="7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4500A0AD-3D4B-4F0D-B77F-6A2EA022C981}"/>
  </cellStyles>
  <dxfs count="16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AFC3-9708-4171-9094-562117598207}">
  <dimension ref="A1:T359"/>
  <sheetViews>
    <sheetView tabSelected="1" workbookViewId="0">
      <selection activeCell="C2" sqref="C2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5" style="5" bestFit="1" customWidth="1"/>
    <col min="4" max="5" width="9.5" style="74" customWidth="1"/>
    <col min="6" max="6" width="1.625" style="1" customWidth="1"/>
    <col min="7" max="7" width="4.125" style="3" bestFit="1" customWidth="1"/>
    <col min="8" max="8" width="33.375" style="1" bestFit="1" customWidth="1"/>
    <col min="9" max="9" width="2.375" style="3" bestFit="1" customWidth="1"/>
    <col min="10" max="10" width="12.125" style="3" bestFit="1" customWidth="1"/>
    <col min="11" max="11" width="9.25" style="3" bestFit="1" customWidth="1"/>
    <col min="12" max="12" width="1.625" style="1" customWidth="1"/>
    <col min="13" max="13" width="4.125" style="3" bestFit="1" customWidth="1"/>
    <col min="14" max="14" width="31.375" style="37" bestFit="1" customWidth="1"/>
    <col min="15" max="15" width="30.125" style="45" bestFit="1" customWidth="1"/>
    <col min="16" max="16" width="10.375" style="2" customWidth="1"/>
    <col min="17" max="17" width="1.625" style="1" customWidth="1"/>
    <col min="18" max="18" width="23.125" style="1" customWidth="1"/>
    <col min="19" max="19" width="11.375" style="1" customWidth="1"/>
    <col min="20" max="20" width="8.375" style="1" customWidth="1"/>
    <col min="21" max="16384" width="9" style="1"/>
  </cols>
  <sheetData>
    <row r="1" spans="1:20" ht="15" thickBot="1" x14ac:dyDescent="0.45">
      <c r="B1" s="7"/>
      <c r="C1" s="8" t="s">
        <v>617</v>
      </c>
      <c r="D1" s="76" t="s">
        <v>611</v>
      </c>
      <c r="E1" s="76" t="s">
        <v>610</v>
      </c>
      <c r="H1" s="4" t="s">
        <v>614</v>
      </c>
      <c r="R1" s="4" t="s">
        <v>74</v>
      </c>
      <c r="S1" s="3"/>
      <c r="T1" s="3"/>
    </row>
    <row r="2" spans="1:20" ht="15" thickTop="1" x14ac:dyDescent="0.4">
      <c r="B2" s="77" t="s">
        <v>612</v>
      </c>
      <c r="C2" s="78"/>
      <c r="H2" s="9" t="s">
        <v>615</v>
      </c>
      <c r="I2" s="11" t="s">
        <v>75</v>
      </c>
      <c r="J2" s="11" t="str">
        <f>"O" &amp; $C$2</f>
        <v>O</v>
      </c>
      <c r="M2" s="3">
        <f t="shared" ref="M2:M97" si="0">ROW(M2)</f>
        <v>2</v>
      </c>
      <c r="N2" s="5" t="s">
        <v>531</v>
      </c>
      <c r="O2" s="2" t="s">
        <v>450</v>
      </c>
      <c r="P2" s="5" t="str">
        <f>IF(LEFT($C$20, 1)="e", "e" &amp; RIGHT("00000" &amp; MID($C$20, 2, LEN($C$20) - 1), 5), RIGHT("00000" &amp; $C$20, 5))</f>
        <v>00000</v>
      </c>
      <c r="Q2" s="3"/>
      <c r="R2" s="9" t="s">
        <v>43</v>
      </c>
      <c r="S2" s="10" t="e">
        <f>$J$4+P195</f>
        <v>#REF!</v>
      </c>
      <c r="T2" s="10" t="e">
        <f>C118+S2</f>
        <v>#REF!</v>
      </c>
    </row>
    <row r="3" spans="1:20" x14ac:dyDescent="0.4">
      <c r="H3" s="9" t="s">
        <v>616</v>
      </c>
      <c r="I3" s="11" t="s">
        <v>75</v>
      </c>
      <c r="J3" s="11" t="str">
        <f ca="1">TEXT(TODAY(), "yyyymmdd")</f>
        <v>20240731</v>
      </c>
      <c r="M3" s="3">
        <f t="shared" si="0"/>
        <v>3</v>
      </c>
      <c r="N3" s="3" t="s">
        <v>608</v>
      </c>
      <c r="O3" s="2" t="s">
        <v>609</v>
      </c>
      <c r="P3" s="36">
        <f>$C$8+($D$8+$E$8)/2</f>
        <v>0</v>
      </c>
      <c r="R3" s="9" t="s">
        <v>44</v>
      </c>
      <c r="S3" s="10" t="e">
        <f>$J$4+$J$5-S2</f>
        <v>#REF!</v>
      </c>
      <c r="T3" s="10" t="e">
        <f>C118+S3</f>
        <v>#REF!</v>
      </c>
    </row>
    <row r="4" spans="1:20" ht="15" thickBot="1" x14ac:dyDescent="0.45">
      <c r="B4" s="83" t="s">
        <v>93</v>
      </c>
      <c r="G4" s="3" t="s">
        <v>95</v>
      </c>
      <c r="H4" s="9" t="s">
        <v>439</v>
      </c>
      <c r="I4" s="11" t="s">
        <v>76</v>
      </c>
      <c r="J4" s="27">
        <f>IF($C$10=0, $C$9+($D$8+$E$8)/4, $C$9)</f>
        <v>0</v>
      </c>
      <c r="K4" s="27">
        <f>$C$118+$J$4</f>
        <v>-1149.9739999999999</v>
      </c>
      <c r="M4" s="3">
        <f t="shared" si="0"/>
        <v>4</v>
      </c>
      <c r="N4" s="37" t="s">
        <v>274</v>
      </c>
      <c r="O4" s="45" t="s">
        <v>62</v>
      </c>
      <c r="P4" s="2" t="e">
        <f>-RADIANS($J$13)</f>
        <v>#NUM!</v>
      </c>
      <c r="R4" s="9" t="s">
        <v>45</v>
      </c>
      <c r="S4" s="10" t="e">
        <f>S2-C112</f>
        <v>#REF!</v>
      </c>
    </row>
    <row r="5" spans="1:20" ht="15" thickTop="1" x14ac:dyDescent="0.4">
      <c r="B5" s="81" t="s">
        <v>495</v>
      </c>
      <c r="C5" s="79"/>
      <c r="G5" s="3" t="s">
        <v>96</v>
      </c>
      <c r="H5" s="9" t="s">
        <v>423</v>
      </c>
      <c r="I5" s="11" t="s">
        <v>76</v>
      </c>
      <c r="J5" s="27">
        <f>$P$3-$J$4</f>
        <v>0</v>
      </c>
      <c r="K5" s="27">
        <f>$C$118+$J$5</f>
        <v>-1149.9739999999999</v>
      </c>
      <c r="M5" s="3">
        <f t="shared" si="0"/>
        <v>5</v>
      </c>
      <c r="N5" s="37" t="s">
        <v>275</v>
      </c>
      <c r="O5" s="45" t="s">
        <v>63</v>
      </c>
      <c r="P5" s="2" t="e">
        <f>ASIN($P$30)</f>
        <v>#NUM!</v>
      </c>
      <c r="R5" s="9" t="s">
        <v>46</v>
      </c>
      <c r="S5" s="10" t="e">
        <f>S3-C112</f>
        <v>#REF!</v>
      </c>
    </row>
    <row r="6" spans="1:20" x14ac:dyDescent="0.4">
      <c r="B6" s="81" t="s">
        <v>628</v>
      </c>
      <c r="C6" s="82"/>
      <c r="M6" s="3">
        <f t="shared" si="0"/>
        <v>6</v>
      </c>
      <c r="N6" s="37" t="s">
        <v>276</v>
      </c>
      <c r="O6" s="45" t="s">
        <v>139</v>
      </c>
      <c r="P6" s="2" t="e">
        <f>DEGREES($P$5)</f>
        <v>#NUM!</v>
      </c>
      <c r="R6" s="15" t="s">
        <v>20</v>
      </c>
      <c r="S6" s="16" t="e">
        <f>P190-P191</f>
        <v>#NUM!</v>
      </c>
    </row>
    <row r="7" spans="1:20" x14ac:dyDescent="0.4">
      <c r="A7" s="3" t="s">
        <v>94</v>
      </c>
      <c r="B7" s="12" t="s">
        <v>4</v>
      </c>
      <c r="C7" s="29"/>
      <c r="H7" s="4" t="s">
        <v>613</v>
      </c>
      <c r="I7" s="6"/>
      <c r="M7" s="3">
        <f t="shared" si="0"/>
        <v>7</v>
      </c>
      <c r="N7" s="37" t="s">
        <v>64</v>
      </c>
      <c r="P7" s="2" t="e">
        <f>SIN($P$4)</f>
        <v>#NUM!</v>
      </c>
      <c r="R7" s="15" t="s">
        <v>56</v>
      </c>
      <c r="S7" s="16">
        <f>C116+$P$17/2</f>
        <v>-739.55499999999995</v>
      </c>
    </row>
    <row r="8" spans="1:20" x14ac:dyDescent="0.4">
      <c r="B8" s="12" t="s">
        <v>609</v>
      </c>
      <c r="C8" s="29"/>
      <c r="D8" s="75"/>
      <c r="E8" s="75"/>
      <c r="F8" s="2"/>
      <c r="H8" s="4" t="s">
        <v>449</v>
      </c>
      <c r="I8" s="6"/>
      <c r="J8" s="37" t="s">
        <v>431</v>
      </c>
      <c r="K8" s="3" t="s">
        <v>71</v>
      </c>
      <c r="M8" s="3">
        <f t="shared" si="0"/>
        <v>8</v>
      </c>
      <c r="N8" s="37" t="s">
        <v>529</v>
      </c>
      <c r="P8" s="2" t="e">
        <f>COS($P$4)</f>
        <v>#NUM!</v>
      </c>
      <c r="R8" s="9" t="s">
        <v>47</v>
      </c>
      <c r="S8" s="10" t="e">
        <f>-C115+(P32+P33)/2+#REF!/2-P194</f>
        <v>#REF!</v>
      </c>
      <c r="T8" s="10" t="e">
        <f t="shared" ref="T8:T14" si="1">$C$117+S8</f>
        <v>#REF!</v>
      </c>
    </row>
    <row r="9" spans="1:20" x14ac:dyDescent="0.4">
      <c r="A9" s="3" t="s">
        <v>95</v>
      </c>
      <c r="B9" s="12" t="s">
        <v>5</v>
      </c>
      <c r="C9" s="80"/>
      <c r="F9" s="14"/>
      <c r="G9" s="3" t="s">
        <v>137</v>
      </c>
      <c r="H9" s="9" t="s">
        <v>479</v>
      </c>
      <c r="I9" s="11" t="s">
        <v>76</v>
      </c>
      <c r="J9" s="27" t="e">
        <f>$J$4+$P$29*$P$7</f>
        <v>#NUM!</v>
      </c>
      <c r="K9" s="27" t="e">
        <f>$C$118+$J$9</f>
        <v>#NUM!</v>
      </c>
      <c r="M9" s="3">
        <f t="shared" si="0"/>
        <v>9</v>
      </c>
      <c r="N9" s="3" t="s">
        <v>630</v>
      </c>
      <c r="O9" s="45" t="s">
        <v>631</v>
      </c>
      <c r="P9" s="2">
        <f>$C$11-$J$4</f>
        <v>0</v>
      </c>
      <c r="R9" s="9" t="s">
        <v>11</v>
      </c>
      <c r="S9" s="10" t="e">
        <f>-C115+P31+#REF!/2-P194</f>
        <v>#REF!</v>
      </c>
      <c r="T9" s="10" t="e">
        <f t="shared" si="1"/>
        <v>#REF!</v>
      </c>
    </row>
    <row r="10" spans="1:20" x14ac:dyDescent="0.4">
      <c r="B10" s="12" t="s">
        <v>618</v>
      </c>
      <c r="C10" s="56"/>
      <c r="G10" s="3" t="s">
        <v>138</v>
      </c>
      <c r="H10" s="9" t="s">
        <v>480</v>
      </c>
      <c r="I10" s="11" t="s">
        <v>76</v>
      </c>
      <c r="J10" s="27" t="e">
        <f>$J$4+$J$5-$J$9</f>
        <v>#NUM!</v>
      </c>
      <c r="K10" s="27" t="e">
        <f>$C$118+$J$10</f>
        <v>#NUM!</v>
      </c>
      <c r="M10" s="3">
        <f t="shared" si="0"/>
        <v>10</v>
      </c>
      <c r="N10" s="3" t="s">
        <v>632</v>
      </c>
      <c r="O10" s="45" t="s">
        <v>633</v>
      </c>
      <c r="P10" s="2" t="e">
        <f>$P$9/$P$29</f>
        <v>#NUM!</v>
      </c>
      <c r="R10" s="9" t="s">
        <v>48</v>
      </c>
      <c r="S10" s="10" t="e">
        <f>C115-(P35+P36)/2-#REF!/2+P194</f>
        <v>#REF!</v>
      </c>
      <c r="T10" s="10" t="e">
        <f t="shared" si="1"/>
        <v>#REF!</v>
      </c>
    </row>
    <row r="11" spans="1:20" x14ac:dyDescent="0.4">
      <c r="A11" s="3" t="s">
        <v>137</v>
      </c>
      <c r="B11" s="12" t="s">
        <v>629</v>
      </c>
      <c r="C11" s="56"/>
      <c r="H11" s="9" t="s">
        <v>481</v>
      </c>
      <c r="I11" s="11" t="s">
        <v>76</v>
      </c>
      <c r="J11" s="27" t="e">
        <f>$J$9-$C$112</f>
        <v>#NUM!</v>
      </c>
      <c r="M11" s="3">
        <f t="shared" si="0"/>
        <v>11</v>
      </c>
      <c r="N11" s="37" t="s">
        <v>274</v>
      </c>
      <c r="O11" s="45" t="s">
        <v>634</v>
      </c>
      <c r="P11" s="2" t="e">
        <f>ASIN($P$10)</f>
        <v>#NUM!</v>
      </c>
      <c r="R11" s="9" t="s">
        <v>14</v>
      </c>
      <c r="S11" s="10" t="e">
        <f>C115-P34-#REF!/2+P194</f>
        <v>#REF!</v>
      </c>
      <c r="T11" s="10" t="e">
        <f t="shared" si="1"/>
        <v>#REF!</v>
      </c>
    </row>
    <row r="12" spans="1:20" x14ac:dyDescent="0.4">
      <c r="B12" s="18"/>
      <c r="C12" s="19"/>
      <c r="H12" s="9" t="s">
        <v>482</v>
      </c>
      <c r="I12" s="11" t="s">
        <v>76</v>
      </c>
      <c r="J12" s="42" t="e">
        <f>$J$10-$C$112</f>
        <v>#NUM!</v>
      </c>
      <c r="M12" s="3">
        <f t="shared" si="0"/>
        <v>12</v>
      </c>
      <c r="N12" s="37" t="s">
        <v>274</v>
      </c>
      <c r="O12" s="45" t="s">
        <v>635</v>
      </c>
      <c r="P12" s="2" t="e">
        <f>DEGREES($P$11)</f>
        <v>#NUM!</v>
      </c>
      <c r="R12" s="9" t="s">
        <v>55</v>
      </c>
      <c r="S12" s="10" t="e">
        <f>C115-(P35+P36)/2-#REF!/2+P194-#REF!/2-$P$20+$P$18/2</f>
        <v>#REF!</v>
      </c>
      <c r="T12" s="10" t="e">
        <f t="shared" si="1"/>
        <v>#REF!</v>
      </c>
    </row>
    <row r="13" spans="1:20" ht="15" thickBot="1" x14ac:dyDescent="0.45">
      <c r="B13" s="83" t="s">
        <v>488</v>
      </c>
      <c r="C13" s="23"/>
      <c r="G13" s="3" t="s">
        <v>77</v>
      </c>
      <c r="H13" s="9" t="s">
        <v>483</v>
      </c>
      <c r="I13" s="11" t="s">
        <v>77</v>
      </c>
      <c r="J13" s="27" t="e">
        <f>IF($C$6=1,-ROUND($P$12,3),-ROUND($P$6,3))</f>
        <v>#NUM!</v>
      </c>
      <c r="K13" s="27" t="e">
        <f>-$C$119+$J$13</f>
        <v>#NUM!</v>
      </c>
      <c r="M13" s="3">
        <f t="shared" si="0"/>
        <v>13</v>
      </c>
      <c r="N13" s="37" t="s">
        <v>97</v>
      </c>
      <c r="P13" s="2" t="e">
        <f>SQRT($P$14^2-$P$15^2)</f>
        <v>#NUM!</v>
      </c>
      <c r="R13" s="9" t="s">
        <v>51</v>
      </c>
      <c r="S13" s="10" t="e">
        <f>-S12+C44</f>
        <v>#REF!</v>
      </c>
      <c r="T13" s="10" t="e">
        <f t="shared" si="1"/>
        <v>#REF!</v>
      </c>
    </row>
    <row r="14" spans="1:20" ht="15" thickTop="1" x14ac:dyDescent="0.4">
      <c r="B14" s="81" t="s">
        <v>57</v>
      </c>
      <c r="C14" s="13"/>
      <c r="D14" s="75"/>
      <c r="E14" s="75"/>
      <c r="G14" s="3" t="s">
        <v>77</v>
      </c>
      <c r="H14" s="9" t="s">
        <v>372</v>
      </c>
      <c r="I14" s="11" t="s">
        <v>77</v>
      </c>
      <c r="J14" s="27" t="e">
        <f>180+$J$13</f>
        <v>#NUM!</v>
      </c>
      <c r="K14" s="27" t="e">
        <f>-$C$119+$J$14</f>
        <v>#NUM!</v>
      </c>
      <c r="M14" s="3">
        <f t="shared" si="0"/>
        <v>14</v>
      </c>
      <c r="N14" s="37" t="s">
        <v>98</v>
      </c>
      <c r="O14" s="45" t="s">
        <v>13</v>
      </c>
      <c r="P14" s="2">
        <f>$P$26-$C$114</f>
        <v>-100</v>
      </c>
      <c r="R14" s="9" t="s">
        <v>52</v>
      </c>
      <c r="S14" s="10" t="e">
        <f>-C115+(P32+P33)/2+#REF!/2-P194+#REF!/2+$P$24-$P$22/2</f>
        <v>#REF!</v>
      </c>
      <c r="T14" s="10" t="e">
        <f t="shared" si="1"/>
        <v>#REF!</v>
      </c>
    </row>
    <row r="15" spans="1:20" x14ac:dyDescent="0.4">
      <c r="B15" s="12" t="s">
        <v>8</v>
      </c>
      <c r="C15" s="13"/>
      <c r="D15" s="75"/>
      <c r="E15" s="75"/>
      <c r="H15" s="18"/>
      <c r="I15" s="20"/>
      <c r="J15" s="5"/>
      <c r="M15" s="3">
        <f t="shared" si="0"/>
        <v>15</v>
      </c>
      <c r="N15" s="37" t="s">
        <v>9</v>
      </c>
      <c r="O15" s="45" t="s">
        <v>60</v>
      </c>
      <c r="P15" s="2">
        <f>$C$112-$C$113/2</f>
        <v>310</v>
      </c>
      <c r="R15" s="10" t="s">
        <v>39</v>
      </c>
      <c r="S15" s="10">
        <f>P46-P31</f>
        <v>0</v>
      </c>
    </row>
    <row r="16" spans="1:20" x14ac:dyDescent="0.4">
      <c r="B16" s="12" t="s">
        <v>487</v>
      </c>
      <c r="C16" s="13"/>
      <c r="H16" s="22" t="s">
        <v>373</v>
      </c>
      <c r="I16" s="24"/>
      <c r="J16" s="25"/>
      <c r="M16" s="3">
        <f t="shared" si="0"/>
        <v>16</v>
      </c>
      <c r="N16" s="37" t="s">
        <v>619</v>
      </c>
      <c r="O16" s="45" t="s">
        <v>57</v>
      </c>
      <c r="P16" s="2">
        <f>$C$14+($D$14+$E$14)/2</f>
        <v>0</v>
      </c>
      <c r="R16" s="10" t="s">
        <v>40</v>
      </c>
      <c r="S16" s="16">
        <f>$J$195+$J$196/2</f>
        <v>0</v>
      </c>
    </row>
    <row r="17" spans="1:20" x14ac:dyDescent="0.4">
      <c r="B17" s="18"/>
      <c r="C17" s="19"/>
      <c r="G17" s="3" t="s">
        <v>461</v>
      </c>
      <c r="H17" s="9" t="s">
        <v>370</v>
      </c>
      <c r="I17" s="11" t="s">
        <v>79</v>
      </c>
      <c r="J17" s="27" t="e">
        <f>$P$29*$P$8-$P$38</f>
        <v>#NUM!</v>
      </c>
      <c r="K17" s="27" t="e">
        <f>$C$117+$J$17</f>
        <v>#NUM!</v>
      </c>
      <c r="M17" s="3">
        <f t="shared" si="0"/>
        <v>17</v>
      </c>
      <c r="N17" s="37" t="s">
        <v>620</v>
      </c>
      <c r="O17" s="45" t="s">
        <v>8</v>
      </c>
      <c r="P17" s="2">
        <f>$C$15+($D$15+$E$15)/2</f>
        <v>0</v>
      </c>
      <c r="R17" s="10" t="s">
        <v>42</v>
      </c>
      <c r="S17" s="10" t="e">
        <f>P46-C115+#REF!/2-P194</f>
        <v>#REF!</v>
      </c>
      <c r="T17" s="10" t="e">
        <f>$C$117+S17</f>
        <v>#REF!</v>
      </c>
    </row>
    <row r="18" spans="1:20" x14ac:dyDescent="0.4">
      <c r="B18" s="22" t="s">
        <v>489</v>
      </c>
      <c r="C18" s="25"/>
      <c r="G18" s="3" t="s">
        <v>461</v>
      </c>
      <c r="H18" s="9" t="s">
        <v>485</v>
      </c>
      <c r="I18" s="11" t="s">
        <v>79</v>
      </c>
      <c r="J18" s="27" t="e">
        <f ca="1">$J$17-$P$60-$P$115/2-$C$19-$P$20+$P$18/2</f>
        <v>#NUM!</v>
      </c>
      <c r="K18" s="27" t="e">
        <f ca="1">$C$117+$J$18</f>
        <v>#NUM!</v>
      </c>
      <c r="M18" s="3">
        <f t="shared" si="0"/>
        <v>18</v>
      </c>
      <c r="O18" s="45" t="s">
        <v>621</v>
      </c>
      <c r="P18" s="2">
        <f>$C$27+($D$27+$E$27)/2</f>
        <v>0</v>
      </c>
      <c r="R18" s="10" t="s">
        <v>37</v>
      </c>
      <c r="S18" s="10" t="e">
        <f>-S12+C44</f>
        <v>#REF!</v>
      </c>
      <c r="T18" s="10" t="e">
        <f>$C$117+S18</f>
        <v>#REF!</v>
      </c>
    </row>
    <row r="19" spans="1:20" x14ac:dyDescent="0.4">
      <c r="A19" s="3" t="s">
        <v>133</v>
      </c>
      <c r="B19" s="12" t="s">
        <v>15</v>
      </c>
      <c r="C19" s="13"/>
      <c r="G19" s="3" t="s">
        <v>461</v>
      </c>
      <c r="H19" s="9" t="s">
        <v>486</v>
      </c>
      <c r="I19" s="11" t="s">
        <v>79</v>
      </c>
      <c r="J19" s="27" t="e">
        <f ca="1">$J$23+$C$44</f>
        <v>#NUM!</v>
      </c>
      <c r="K19" s="27" t="e">
        <f ca="1">$C$117+$J$23</f>
        <v>#NUM!</v>
      </c>
      <c r="M19" s="3">
        <f t="shared" si="0"/>
        <v>19</v>
      </c>
      <c r="O19" s="45" t="s">
        <v>622</v>
      </c>
      <c r="P19" s="2">
        <f>$C$28+($D$28+$E$28)/2</f>
        <v>0</v>
      </c>
      <c r="R19" s="10" t="s">
        <v>36</v>
      </c>
      <c r="S19" s="10" t="e">
        <f>P47-$J$106-$J$186/2+P196-P29</f>
        <v>#REF!</v>
      </c>
      <c r="T19" s="10" t="e">
        <f>$C$117+S19</f>
        <v>#REF!</v>
      </c>
    </row>
    <row r="20" spans="1:20" x14ac:dyDescent="0.4">
      <c r="B20" s="12" t="s">
        <v>134</v>
      </c>
      <c r="C20" s="35"/>
      <c r="D20" s="75"/>
      <c r="E20" s="75"/>
      <c r="G20" s="3" t="s">
        <v>463</v>
      </c>
      <c r="H20" s="9" t="s">
        <v>351</v>
      </c>
      <c r="I20" s="11" t="s">
        <v>79</v>
      </c>
      <c r="J20" s="27" t="e">
        <f>$P$29*$P$8-$P$34</f>
        <v>#NUM!</v>
      </c>
      <c r="K20" s="27" t="e">
        <f>$C$117+$J$20</f>
        <v>#NUM!</v>
      </c>
      <c r="M20" s="3">
        <f t="shared" si="0"/>
        <v>20</v>
      </c>
      <c r="O20" s="45" t="s">
        <v>623</v>
      </c>
      <c r="P20" s="2">
        <f>$C$26+($D$26+$E$26)/2</f>
        <v>0</v>
      </c>
      <c r="R20" s="10" t="s">
        <v>38</v>
      </c>
      <c r="S20" s="10" t="e">
        <f>S3-S16</f>
        <v>#REF!</v>
      </c>
      <c r="T20" s="10" t="e">
        <f>C118+S20</f>
        <v>#REF!</v>
      </c>
    </row>
    <row r="21" spans="1:20" x14ac:dyDescent="0.4">
      <c r="B21" s="87" t="s">
        <v>649</v>
      </c>
      <c r="C21" s="88">
        <v>0</v>
      </c>
      <c r="G21" s="3" t="s">
        <v>464</v>
      </c>
      <c r="H21" s="9" t="s">
        <v>371</v>
      </c>
      <c r="I21" s="11" t="s">
        <v>79</v>
      </c>
      <c r="J21" s="27" t="e">
        <f>$P$37-$P$29*$P$8</f>
        <v>#NUM!</v>
      </c>
      <c r="K21" s="27" t="e">
        <f>$C$117+$J$21</f>
        <v>#NUM!</v>
      </c>
      <c r="M21" s="3">
        <f t="shared" si="0"/>
        <v>21</v>
      </c>
      <c r="O21" s="45" t="s">
        <v>490</v>
      </c>
      <c r="P21" s="2">
        <f>$C$29+($D$29+$E$29)/2</f>
        <v>0</v>
      </c>
      <c r="R21" s="10" t="s">
        <v>384</v>
      </c>
      <c r="S21" s="26" t="e">
        <f>$C$64/$C$63+1</f>
        <v>#DIV/0!</v>
      </c>
    </row>
    <row r="22" spans="1:20" x14ac:dyDescent="0.4">
      <c r="G22" s="3" t="s">
        <v>464</v>
      </c>
      <c r="H22" s="9" t="str">
        <f>"G56 トップ外削中心（ボトム基準）" &amp; IF($C$23&lt;&gt;0, "&amp; G58 溝中心", "")</f>
        <v>G56 トップ外削中心（ボトム基準）</v>
      </c>
      <c r="I22" s="11" t="s">
        <v>79</v>
      </c>
      <c r="J22" s="27" t="e">
        <f ca="1">-$J$18+$C$44</f>
        <v>#NUM!</v>
      </c>
      <c r="K22" s="27" t="e">
        <f ca="1">$C$117+$J$22</f>
        <v>#NUM!</v>
      </c>
      <c r="M22" s="3">
        <f t="shared" si="0"/>
        <v>22</v>
      </c>
      <c r="O22" s="45" t="s">
        <v>624</v>
      </c>
      <c r="P22" s="2">
        <f>$C$37+($D$37+$E$37)/2</f>
        <v>0</v>
      </c>
      <c r="R22" s="10" t="s">
        <v>385</v>
      </c>
      <c r="S22" s="26" t="e">
        <f>$C$65/$C$63+1</f>
        <v>#DIV/0!</v>
      </c>
    </row>
    <row r="23" spans="1:20" ht="15" thickBot="1" x14ac:dyDescent="0.45">
      <c r="B23" s="84" t="s">
        <v>318</v>
      </c>
      <c r="C23" s="85"/>
      <c r="G23" s="3" t="s">
        <v>464</v>
      </c>
      <c r="H23" s="9" t="str">
        <f>"G56 トップ外削中心（トップ基準）" &amp; IF($C$32&lt;&gt;0, "&amp; G58 溝中心", "")</f>
        <v>G56 トップ外削中心（トップ基準）</v>
      </c>
      <c r="I23" s="11" t="s">
        <v>79</v>
      </c>
      <c r="J23" s="27" t="e">
        <f ca="1">$J$21+$P$63+$P$112/2+$C$19+$P$24-$P$22/2</f>
        <v>#NUM!</v>
      </c>
      <c r="K23" s="27" t="e">
        <f ca="1">$C$117+$J$23</f>
        <v>#NUM!</v>
      </c>
      <c r="M23" s="3">
        <f t="shared" si="0"/>
        <v>23</v>
      </c>
      <c r="O23" s="45" t="s">
        <v>625</v>
      </c>
      <c r="P23" s="2">
        <f>$C$38+($D$38+$E$38)/2</f>
        <v>0</v>
      </c>
      <c r="R23" s="10" t="s">
        <v>386</v>
      </c>
      <c r="S23" s="10" t="e">
        <f>DEGREES($P$88)</f>
        <v>#VALUE!</v>
      </c>
    </row>
    <row r="24" spans="1:20" ht="15" thickTop="1" x14ac:dyDescent="0.4">
      <c r="B24" s="81" t="s">
        <v>575</v>
      </c>
      <c r="C24" s="82"/>
      <c r="G24" s="3" t="s">
        <v>465</v>
      </c>
      <c r="H24" s="9" t="s">
        <v>352</v>
      </c>
      <c r="I24" s="11" t="s">
        <v>79</v>
      </c>
      <c r="J24" s="27" t="e">
        <f>$P$31-$P$29*$P$8</f>
        <v>#NUM!</v>
      </c>
      <c r="K24" s="27" t="e">
        <f>$C$117+$J$24</f>
        <v>#NUM!</v>
      </c>
      <c r="M24" s="3">
        <f t="shared" si="0"/>
        <v>24</v>
      </c>
      <c r="O24" s="45" t="s">
        <v>626</v>
      </c>
      <c r="P24" s="2">
        <f>$C$36+($D$36+$E$36)/2</f>
        <v>0</v>
      </c>
      <c r="R24" s="10" t="s">
        <v>53</v>
      </c>
      <c r="S24" s="10" t="e">
        <f>S9*$P$135+S2*$P$96</f>
        <v>#REF!</v>
      </c>
    </row>
    <row r="25" spans="1:20" x14ac:dyDescent="0.4">
      <c r="B25" s="12" t="s">
        <v>589</v>
      </c>
      <c r="C25" s="56"/>
      <c r="G25" s="3" t="s">
        <v>530</v>
      </c>
      <c r="H25" s="10" t="s">
        <v>572</v>
      </c>
      <c r="I25" s="27" t="s">
        <v>79</v>
      </c>
      <c r="J25" s="27" t="e">
        <f>$P$47-$P$57-$J$186/2-$P$29*$P$8</f>
        <v>#DIV/0!</v>
      </c>
      <c r="K25" s="27" t="e">
        <f>$C$117+$J$25</f>
        <v>#DIV/0!</v>
      </c>
      <c r="M25" s="3">
        <f t="shared" si="0"/>
        <v>25</v>
      </c>
      <c r="O25" s="45" t="s">
        <v>358</v>
      </c>
      <c r="P25" s="2">
        <f>$C$39+($D$39+$E$39)/2</f>
        <v>0</v>
      </c>
      <c r="R25" s="10" t="s">
        <v>54</v>
      </c>
      <c r="S25" s="10" t="e">
        <f>-S$9*$P$96+S$2*$P$135</f>
        <v>#REF!</v>
      </c>
    </row>
    <row r="26" spans="1:20" x14ac:dyDescent="0.4">
      <c r="B26" s="12" t="s">
        <v>491</v>
      </c>
      <c r="C26" s="29"/>
      <c r="D26" s="75"/>
      <c r="E26" s="75"/>
      <c r="G26" s="3" t="s">
        <v>530</v>
      </c>
      <c r="H26" s="10" t="s">
        <v>554</v>
      </c>
      <c r="I26" s="27" t="s">
        <v>79</v>
      </c>
      <c r="J26" s="27" t="e">
        <f>$J$24+$P$45</f>
        <v>#NUM!</v>
      </c>
      <c r="K26" s="27" t="e">
        <f>$C$117+$J$26</f>
        <v>#NUM!</v>
      </c>
      <c r="M26" s="3">
        <f t="shared" si="0"/>
        <v>26</v>
      </c>
      <c r="N26" s="37" t="s">
        <v>99</v>
      </c>
      <c r="O26" s="45" t="s">
        <v>6</v>
      </c>
      <c r="P26" s="2">
        <f>$C$7-$P$16/2</f>
        <v>0</v>
      </c>
    </row>
    <row r="27" spans="1:20" x14ac:dyDescent="0.4">
      <c r="B27" s="12" t="s">
        <v>328</v>
      </c>
      <c r="C27" s="29"/>
      <c r="D27" s="75"/>
      <c r="E27" s="75"/>
      <c r="G27" s="3" t="s">
        <v>462</v>
      </c>
      <c r="H27" s="9" t="s">
        <v>8</v>
      </c>
      <c r="I27" s="11" t="s">
        <v>78</v>
      </c>
      <c r="J27" s="27">
        <f>$P$17</f>
        <v>0</v>
      </c>
      <c r="K27" s="44"/>
      <c r="M27" s="3">
        <f t="shared" si="0"/>
        <v>27</v>
      </c>
      <c r="N27" s="37" t="s">
        <v>100</v>
      </c>
      <c r="O27" s="45" t="s">
        <v>12</v>
      </c>
      <c r="P27" s="2">
        <f>$C$7+$P$16/2</f>
        <v>0</v>
      </c>
      <c r="R27" s="2"/>
    </row>
    <row r="28" spans="1:20" x14ac:dyDescent="0.4">
      <c r="B28" s="12" t="s">
        <v>329</v>
      </c>
      <c r="C28" s="29"/>
      <c r="D28" s="75"/>
      <c r="E28" s="75"/>
      <c r="J28" s="5"/>
      <c r="K28" s="5"/>
      <c r="M28" s="3">
        <f t="shared" si="0"/>
        <v>28</v>
      </c>
      <c r="N28" s="37" t="s">
        <v>101</v>
      </c>
      <c r="O28" s="45" t="s">
        <v>278</v>
      </c>
      <c r="P28" s="2">
        <f>($J$5-$J$4)/2</f>
        <v>0</v>
      </c>
      <c r="R28" s="2"/>
    </row>
    <row r="29" spans="1:20" x14ac:dyDescent="0.4">
      <c r="B29" s="12" t="s">
        <v>490</v>
      </c>
      <c r="C29" s="29"/>
      <c r="D29" s="75"/>
      <c r="E29" s="75"/>
      <c r="H29" s="22" t="s">
        <v>426</v>
      </c>
      <c r="I29" s="24"/>
      <c r="J29" s="25"/>
      <c r="M29" s="3">
        <f t="shared" si="0"/>
        <v>29</v>
      </c>
      <c r="N29" s="37" t="s">
        <v>61</v>
      </c>
      <c r="O29" s="45" t="s">
        <v>70</v>
      </c>
      <c r="P29" s="2" t="e">
        <f>$C$115+$P$13</f>
        <v>#NUM!</v>
      </c>
    </row>
    <row r="30" spans="1:20" x14ac:dyDescent="0.4">
      <c r="B30" s="12" t="s">
        <v>492</v>
      </c>
      <c r="C30" s="29"/>
      <c r="G30" s="3" t="s">
        <v>484</v>
      </c>
      <c r="H30" s="9" t="s">
        <v>374</v>
      </c>
      <c r="I30" s="11" t="s">
        <v>75</v>
      </c>
      <c r="J30" s="57">
        <f>IF(OR($C$23=0, AND($C$23=1, $C$43=2), AND($C$23=1, $C$25=1)), $C$147, $C$152)</f>
        <v>110001</v>
      </c>
      <c r="M30" s="3">
        <f t="shared" si="0"/>
        <v>30</v>
      </c>
      <c r="N30" s="37" t="s">
        <v>627</v>
      </c>
      <c r="O30" s="45" t="s">
        <v>64</v>
      </c>
      <c r="P30" s="2" t="e">
        <f>$P$28/$P$29</f>
        <v>#NUM!</v>
      </c>
    </row>
    <row r="31" spans="1:20" x14ac:dyDescent="0.4">
      <c r="B31" s="18"/>
      <c r="C31" s="18"/>
      <c r="G31" s="3" t="s">
        <v>79</v>
      </c>
      <c r="H31" s="9" t="s">
        <v>57</v>
      </c>
      <c r="I31" s="11" t="s">
        <v>79</v>
      </c>
      <c r="J31" s="27">
        <f>$P$16</f>
        <v>0</v>
      </c>
      <c r="M31" s="3">
        <f t="shared" si="0"/>
        <v>31</v>
      </c>
      <c r="N31" s="37" t="s">
        <v>102</v>
      </c>
      <c r="O31" s="45" t="s">
        <v>24</v>
      </c>
      <c r="P31" s="2">
        <f>SQRT($C$7^2-$J$4^2)</f>
        <v>0</v>
      </c>
    </row>
    <row r="32" spans="1:20" ht="15" thickBot="1" x14ac:dyDescent="0.45">
      <c r="B32" s="84" t="s">
        <v>319</v>
      </c>
      <c r="C32" s="85"/>
      <c r="G32" s="3" t="s">
        <v>79</v>
      </c>
      <c r="H32" s="9" t="s">
        <v>425</v>
      </c>
      <c r="I32" s="11" t="s">
        <v>79</v>
      </c>
      <c r="J32" s="27">
        <f>$P$18</f>
        <v>0</v>
      </c>
      <c r="M32" s="3">
        <f t="shared" si="0"/>
        <v>32</v>
      </c>
      <c r="N32" s="37" t="s">
        <v>103</v>
      </c>
      <c r="O32" s="45" t="s">
        <v>25</v>
      </c>
      <c r="P32" s="2">
        <f>SQRT($P$27^2-$J$4^2)</f>
        <v>0</v>
      </c>
    </row>
    <row r="33" spans="2:18" ht="15" thickTop="1" x14ac:dyDescent="0.4">
      <c r="B33" s="81" t="s">
        <v>593</v>
      </c>
      <c r="C33" s="82"/>
      <c r="G33" s="3" t="s">
        <v>471</v>
      </c>
      <c r="H33" s="9" t="s">
        <v>84</v>
      </c>
      <c r="I33" s="11" t="s">
        <v>79</v>
      </c>
      <c r="J33" s="27" t="e">
        <f ca="1">$P$115</f>
        <v>#REF!</v>
      </c>
      <c r="M33" s="3">
        <f t="shared" si="0"/>
        <v>33</v>
      </c>
      <c r="N33" s="37" t="s">
        <v>104</v>
      </c>
      <c r="O33" s="45" t="s">
        <v>26</v>
      </c>
      <c r="P33" s="2">
        <f>SQRT($P$26^2-$J$4^2)</f>
        <v>0</v>
      </c>
    </row>
    <row r="34" spans="2:18" x14ac:dyDescent="0.4">
      <c r="B34" s="12" t="s">
        <v>589</v>
      </c>
      <c r="C34" s="56"/>
      <c r="G34" s="3" t="s">
        <v>76</v>
      </c>
      <c r="H34" s="9" t="s">
        <v>424</v>
      </c>
      <c r="I34" s="11" t="s">
        <v>76</v>
      </c>
      <c r="J34" s="27" t="e">
        <f>$J$10</f>
        <v>#NUM!</v>
      </c>
      <c r="K34" s="27" t="e">
        <f>$C$118+$J$34</f>
        <v>#NUM!</v>
      </c>
      <c r="M34" s="3">
        <f t="shared" si="0"/>
        <v>34</v>
      </c>
      <c r="N34" s="37" t="s">
        <v>105</v>
      </c>
      <c r="O34" s="45" t="s">
        <v>27</v>
      </c>
      <c r="P34" s="2">
        <f>SQRT($C$7^2-$J$5^2)</f>
        <v>0</v>
      </c>
    </row>
    <row r="35" spans="2:18" x14ac:dyDescent="0.4">
      <c r="B35" s="12" t="s">
        <v>569</v>
      </c>
      <c r="C35" s="56"/>
      <c r="G35" s="3" t="s">
        <v>466</v>
      </c>
      <c r="H35" s="9" t="s">
        <v>423</v>
      </c>
      <c r="I35" s="11" t="s">
        <v>76</v>
      </c>
      <c r="J35" s="27">
        <f>$J$5</f>
        <v>0</v>
      </c>
      <c r="K35" s="44"/>
      <c r="M35" s="3">
        <f t="shared" si="0"/>
        <v>35</v>
      </c>
      <c r="N35" s="37" t="s">
        <v>106</v>
      </c>
      <c r="O35" s="45" t="s">
        <v>28</v>
      </c>
      <c r="P35" s="2">
        <f>SQRT($P$27^2-$J$5^2)</f>
        <v>0</v>
      </c>
    </row>
    <row r="36" spans="2:18" x14ac:dyDescent="0.4">
      <c r="B36" s="12" t="s">
        <v>359</v>
      </c>
      <c r="C36" s="29"/>
      <c r="D36" s="75"/>
      <c r="E36" s="75"/>
      <c r="G36" s="3" t="s">
        <v>467</v>
      </c>
      <c r="H36" s="9" t="s">
        <v>427</v>
      </c>
      <c r="I36" s="11" t="s">
        <v>79</v>
      </c>
      <c r="J36" s="27">
        <f>$P$20</f>
        <v>0</v>
      </c>
      <c r="M36" s="3">
        <f t="shared" si="0"/>
        <v>36</v>
      </c>
      <c r="N36" s="37" t="s">
        <v>107</v>
      </c>
      <c r="O36" s="45" t="s">
        <v>29</v>
      </c>
      <c r="P36" s="2">
        <f>SQRT($P$26^2-$J$5^2)</f>
        <v>0</v>
      </c>
    </row>
    <row r="37" spans="2:18" x14ac:dyDescent="0.4">
      <c r="B37" s="12" t="s">
        <v>356</v>
      </c>
      <c r="C37" s="29"/>
      <c r="D37" s="75"/>
      <c r="E37" s="75"/>
      <c r="G37" s="3" t="s">
        <v>468</v>
      </c>
      <c r="H37" s="9" t="s">
        <v>428</v>
      </c>
      <c r="I37" s="11" t="s">
        <v>76</v>
      </c>
      <c r="J37" s="27" t="e" cm="1">
        <f t="array" ref="J37">_xlfn.IFS($C$77=1, $C$78, $C$81=1, $C$82)</f>
        <v>#N/A</v>
      </c>
      <c r="M37" s="3">
        <f t="shared" si="0"/>
        <v>37</v>
      </c>
      <c r="N37" s="37" t="s">
        <v>269</v>
      </c>
      <c r="O37" s="45" t="s">
        <v>67</v>
      </c>
      <c r="P37" s="2">
        <f>($P$32+$P$33)/2</f>
        <v>0</v>
      </c>
    </row>
    <row r="38" spans="2:18" x14ac:dyDescent="0.4">
      <c r="B38" s="12" t="s">
        <v>357</v>
      </c>
      <c r="C38" s="29"/>
      <c r="D38" s="75"/>
      <c r="E38" s="75"/>
      <c r="G38" s="3" t="s">
        <v>469</v>
      </c>
      <c r="H38" s="9" t="s">
        <v>4</v>
      </c>
      <c r="I38" s="11" t="s">
        <v>75</v>
      </c>
      <c r="J38" s="27">
        <f>$C$7</f>
        <v>0</v>
      </c>
      <c r="M38" s="3">
        <f t="shared" si="0"/>
        <v>38</v>
      </c>
      <c r="N38" s="37" t="s">
        <v>270</v>
      </c>
      <c r="O38" s="45" t="s">
        <v>66</v>
      </c>
      <c r="P38" s="2">
        <f>($P$35+$P$36)/2</f>
        <v>0</v>
      </c>
    </row>
    <row r="39" spans="2:18" x14ac:dyDescent="0.4">
      <c r="B39" s="12" t="s">
        <v>358</v>
      </c>
      <c r="C39" s="29"/>
      <c r="D39" s="75"/>
      <c r="E39" s="75"/>
      <c r="G39" s="3" t="s">
        <v>470</v>
      </c>
      <c r="H39" s="9" t="s">
        <v>429</v>
      </c>
      <c r="I39" s="11" t="s">
        <v>75</v>
      </c>
      <c r="J39" s="27">
        <f>$C$19</f>
        <v>0</v>
      </c>
      <c r="K39" s="5"/>
      <c r="M39" s="3">
        <f t="shared" si="0"/>
        <v>39</v>
      </c>
      <c r="N39" s="37" t="s">
        <v>108</v>
      </c>
      <c r="O39" s="45" t="s">
        <v>65</v>
      </c>
      <c r="P39" s="2">
        <f>$J$195+$J$196/2</f>
        <v>0</v>
      </c>
    </row>
    <row r="40" spans="2:18" x14ac:dyDescent="0.4">
      <c r="B40" s="12" t="s">
        <v>355</v>
      </c>
      <c r="C40" s="29"/>
      <c r="J40" s="5"/>
      <c r="K40" s="5"/>
      <c r="M40" s="3">
        <f t="shared" si="0"/>
        <v>40</v>
      </c>
      <c r="N40" s="37" t="s">
        <v>109</v>
      </c>
      <c r="O40" s="45" t="s">
        <v>34</v>
      </c>
      <c r="P40" s="2">
        <f>$J$4-$P$39</f>
        <v>0</v>
      </c>
      <c r="R40" s="2"/>
    </row>
    <row r="41" spans="2:18" x14ac:dyDescent="0.4">
      <c r="H41" s="4" t="s">
        <v>432</v>
      </c>
      <c r="I41" s="6"/>
      <c r="J41" s="5"/>
      <c r="M41" s="3">
        <f t="shared" si="0"/>
        <v>41</v>
      </c>
      <c r="N41" s="37" t="s">
        <v>295</v>
      </c>
      <c r="O41" s="45" t="s">
        <v>297</v>
      </c>
      <c r="P41" s="2">
        <f>$J$195+$J$196</f>
        <v>0</v>
      </c>
    </row>
    <row r="42" spans="2:18" x14ac:dyDescent="0.4">
      <c r="B42" s="4" t="s">
        <v>73</v>
      </c>
      <c r="F42" s="14"/>
      <c r="G42" s="3" t="s">
        <v>484</v>
      </c>
      <c r="H42" s="9" t="s">
        <v>374</v>
      </c>
      <c r="I42" s="11" t="s">
        <v>75</v>
      </c>
      <c r="J42" s="57">
        <f>IF($C$23&lt;&gt;1, $C$148, "")</f>
        <v>110002</v>
      </c>
      <c r="M42" s="3">
        <f t="shared" si="0"/>
        <v>42</v>
      </c>
      <c r="N42" s="37" t="s">
        <v>296</v>
      </c>
      <c r="O42" s="45" t="s">
        <v>300</v>
      </c>
      <c r="P42" s="2">
        <f>$J$4-$P$41</f>
        <v>0</v>
      </c>
    </row>
    <row r="43" spans="2:18" x14ac:dyDescent="0.4">
      <c r="B43" s="12" t="s">
        <v>336</v>
      </c>
      <c r="C43" s="51"/>
      <c r="F43" s="14"/>
      <c r="G43" s="3" t="s">
        <v>78</v>
      </c>
      <c r="H43" s="9" t="s">
        <v>8</v>
      </c>
      <c r="I43" s="11" t="s">
        <v>78</v>
      </c>
      <c r="J43" s="27">
        <f>$P$17</f>
        <v>0</v>
      </c>
      <c r="M43" s="3">
        <f t="shared" si="0"/>
        <v>43</v>
      </c>
      <c r="N43" s="37" t="s">
        <v>299</v>
      </c>
      <c r="O43" s="45" t="s">
        <v>301</v>
      </c>
      <c r="P43" s="2">
        <f>$J$4-$J$195</f>
        <v>0</v>
      </c>
    </row>
    <row r="44" spans="2:18" x14ac:dyDescent="0.4">
      <c r="B44" s="12" t="s">
        <v>527</v>
      </c>
      <c r="C44" s="29"/>
      <c r="D44" s="75"/>
      <c r="E44" s="75"/>
      <c r="G44" s="3" t="s">
        <v>76</v>
      </c>
      <c r="H44" s="9" t="s">
        <v>424</v>
      </c>
      <c r="I44" s="11" t="s">
        <v>76</v>
      </c>
      <c r="J44" s="27" t="e">
        <f>$J$10</f>
        <v>#NUM!</v>
      </c>
      <c r="K44" s="27" t="e">
        <f>$C$118+$J$44</f>
        <v>#NUM!</v>
      </c>
      <c r="M44" s="3">
        <f t="shared" si="0"/>
        <v>44</v>
      </c>
      <c r="N44" s="37" t="s">
        <v>549</v>
      </c>
      <c r="O44" s="45" t="s">
        <v>552</v>
      </c>
      <c r="P44" s="2">
        <f>$P$47-$P$32</f>
        <v>0</v>
      </c>
    </row>
    <row r="45" spans="2:18" x14ac:dyDescent="0.4">
      <c r="F45" s="2"/>
      <c r="J45" s="5"/>
      <c r="K45" s="5"/>
      <c r="M45" s="3">
        <f t="shared" si="0"/>
        <v>45</v>
      </c>
      <c r="N45" s="37" t="s">
        <v>551</v>
      </c>
      <c r="O45" s="45" t="s">
        <v>550</v>
      </c>
      <c r="P45" s="2">
        <f>$P$46-$P$31</f>
        <v>0</v>
      </c>
    </row>
    <row r="46" spans="2:18" x14ac:dyDescent="0.4">
      <c r="B46" s="22" t="s">
        <v>72</v>
      </c>
      <c r="C46" s="52"/>
      <c r="F46" s="2"/>
      <c r="H46" s="4" t="s">
        <v>433</v>
      </c>
      <c r="I46" s="6"/>
      <c r="J46" s="5"/>
      <c r="M46" s="3">
        <f t="shared" si="0"/>
        <v>46</v>
      </c>
      <c r="N46" s="37" t="s">
        <v>271</v>
      </c>
      <c r="O46" s="45" t="s">
        <v>35</v>
      </c>
      <c r="P46" s="2">
        <f>SQRT($C$7^2-$P$40^2)</f>
        <v>0</v>
      </c>
    </row>
    <row r="47" spans="2:18" x14ac:dyDescent="0.4">
      <c r="B47" s="12" t="s">
        <v>573</v>
      </c>
      <c r="C47" s="52"/>
      <c r="F47" s="2"/>
      <c r="G47" s="3" t="s">
        <v>484</v>
      </c>
      <c r="H47" s="9" t="s">
        <v>374</v>
      </c>
      <c r="I47" s="11" t="s">
        <v>75</v>
      </c>
      <c r="J47" s="57" t="str">
        <f>IF(OR($C$77&lt;&gt;0, $C$81&lt;&gt;0), $C$150, "")</f>
        <v/>
      </c>
      <c r="M47" s="3">
        <f t="shared" si="0"/>
        <v>47</v>
      </c>
      <c r="N47" s="37" t="s">
        <v>272</v>
      </c>
      <c r="O47" s="45" t="s">
        <v>68</v>
      </c>
      <c r="P47" s="2">
        <f>SQRT($P$27^2-$P$40^2)</f>
        <v>0</v>
      </c>
    </row>
    <row r="48" spans="2:18" x14ac:dyDescent="0.4">
      <c r="B48" s="12" t="s">
        <v>32</v>
      </c>
      <c r="C48" s="13"/>
      <c r="D48" s="75"/>
      <c r="E48" s="75"/>
      <c r="F48" s="2"/>
      <c r="G48" s="3" t="s">
        <v>79</v>
      </c>
      <c r="H48" s="9" t="s">
        <v>84</v>
      </c>
      <c r="I48" s="11" t="s">
        <v>79</v>
      </c>
      <c r="J48" s="27" t="e">
        <f ca="1">INDEX(INDIRECT($P$2&amp;"!B:B"), MATCH(ROUND($J$4+$J$5, 0), INDIRECT($P$2&amp;"!A:A"), 0))</f>
        <v>#REF!</v>
      </c>
      <c r="M48" s="3">
        <f t="shared" si="0"/>
        <v>48</v>
      </c>
      <c r="N48" s="37" t="s">
        <v>273</v>
      </c>
      <c r="O48" s="45" t="s">
        <v>69</v>
      </c>
      <c r="P48" s="2">
        <f>SQRT($P$26^2-$P$40^2)</f>
        <v>0</v>
      </c>
    </row>
    <row r="49" spans="1:16" x14ac:dyDescent="0.4">
      <c r="B49" s="12" t="s">
        <v>459</v>
      </c>
      <c r="C49" s="13"/>
      <c r="D49" s="75"/>
      <c r="E49" s="75"/>
      <c r="G49" s="3" t="s">
        <v>76</v>
      </c>
      <c r="H49" s="9" t="s">
        <v>424</v>
      </c>
      <c r="I49" s="11" t="s">
        <v>76</v>
      </c>
      <c r="J49" s="27" t="e">
        <f>$J$10</f>
        <v>#NUM!</v>
      </c>
      <c r="K49" s="27" t="e">
        <f>$C$118+$J$49</f>
        <v>#NUM!</v>
      </c>
      <c r="M49" s="3">
        <f t="shared" si="0"/>
        <v>49</v>
      </c>
      <c r="N49" s="37" t="s">
        <v>293</v>
      </c>
      <c r="O49" s="45" t="s">
        <v>294</v>
      </c>
      <c r="P49" s="2">
        <f>SQRT($P$27^2-$P$42^2)</f>
        <v>0</v>
      </c>
    </row>
    <row r="50" spans="1:16" x14ac:dyDescent="0.4">
      <c r="A50" s="3" t="s">
        <v>302</v>
      </c>
      <c r="B50" s="12" t="s">
        <v>30</v>
      </c>
      <c r="C50" s="13"/>
      <c r="D50" s="75"/>
      <c r="E50" s="75"/>
      <c r="G50" s="3" t="s">
        <v>466</v>
      </c>
      <c r="H50" s="9" t="s">
        <v>423</v>
      </c>
      <c r="I50" s="11" t="s">
        <v>76</v>
      </c>
      <c r="J50" s="27">
        <f>$J$5</f>
        <v>0</v>
      </c>
      <c r="K50" s="27">
        <f>$C$118+$J$50</f>
        <v>-1149.9739999999999</v>
      </c>
      <c r="M50" s="3">
        <f t="shared" si="0"/>
        <v>50</v>
      </c>
      <c r="N50" s="37" t="s">
        <v>298</v>
      </c>
      <c r="O50" s="45" t="s">
        <v>316</v>
      </c>
      <c r="P50" s="2">
        <f>SQRT($P$27^2-$P$43^2)</f>
        <v>0</v>
      </c>
    </row>
    <row r="51" spans="1:16" x14ac:dyDescent="0.4">
      <c r="A51" s="3" t="s">
        <v>303</v>
      </c>
      <c r="B51" s="12" t="s">
        <v>31</v>
      </c>
      <c r="C51" s="13"/>
      <c r="D51" s="75"/>
      <c r="E51" s="75"/>
      <c r="G51" s="3" t="s">
        <v>469</v>
      </c>
      <c r="H51" s="9" t="s">
        <v>4</v>
      </c>
      <c r="I51" s="11" t="s">
        <v>75</v>
      </c>
      <c r="J51" s="27">
        <f>$C$7</f>
        <v>0</v>
      </c>
      <c r="M51" s="3">
        <f t="shared" si="0"/>
        <v>51</v>
      </c>
      <c r="N51" s="37" t="s">
        <v>304</v>
      </c>
      <c r="O51" s="45" t="s">
        <v>306</v>
      </c>
      <c r="P51" s="2" t="e">
        <f>($P$49-$P$50)/$J$196</f>
        <v>#DIV/0!</v>
      </c>
    </row>
    <row r="52" spans="1:16" x14ac:dyDescent="0.4">
      <c r="A52" s="3" t="s">
        <v>313</v>
      </c>
      <c r="B52" s="12" t="s">
        <v>574</v>
      </c>
      <c r="C52" s="29"/>
      <c r="D52" s="75"/>
      <c r="E52" s="75"/>
      <c r="G52" s="3" t="s">
        <v>470</v>
      </c>
      <c r="H52" s="9" t="s">
        <v>429</v>
      </c>
      <c r="I52" s="11" t="s">
        <v>75</v>
      </c>
      <c r="J52" s="27">
        <f>$C$19</f>
        <v>0</v>
      </c>
      <c r="K52" s="5"/>
      <c r="M52" s="3">
        <f t="shared" si="0"/>
        <v>52</v>
      </c>
      <c r="N52" s="37" t="s">
        <v>305</v>
      </c>
      <c r="O52" s="45" t="s">
        <v>307</v>
      </c>
      <c r="P52" s="2" t="e">
        <f>SIN(ATAN($P$51))</f>
        <v>#DIV/0!</v>
      </c>
    </row>
    <row r="53" spans="1:16" x14ac:dyDescent="0.4">
      <c r="B53" s="12" t="s">
        <v>645</v>
      </c>
      <c r="C53" s="29"/>
      <c r="J53" s="5"/>
      <c r="K53" s="5"/>
      <c r="M53" s="3">
        <f t="shared" si="0"/>
        <v>53</v>
      </c>
      <c r="N53" s="37" t="s">
        <v>308</v>
      </c>
      <c r="O53" s="45" t="s">
        <v>309</v>
      </c>
      <c r="P53" s="2" t="e">
        <f>COS(ATAN($P$51))</f>
        <v>#DIV/0!</v>
      </c>
    </row>
    <row r="54" spans="1:16" x14ac:dyDescent="0.4">
      <c r="B54" s="12" t="s">
        <v>647</v>
      </c>
      <c r="C54" s="29"/>
      <c r="H54" s="4" t="s">
        <v>434</v>
      </c>
      <c r="I54" s="6"/>
      <c r="J54" s="5"/>
      <c r="M54" s="3">
        <f t="shared" si="0"/>
        <v>54</v>
      </c>
      <c r="N54" s="37" t="s">
        <v>315</v>
      </c>
      <c r="P54" s="2" t="e">
        <f>2*$P$53/(1+$P$53^2)</f>
        <v>#DIV/0!</v>
      </c>
    </row>
    <row r="55" spans="1:16" x14ac:dyDescent="0.4">
      <c r="B55" s="12" t="s">
        <v>646</v>
      </c>
      <c r="C55" s="86"/>
      <c r="G55" s="3" t="s">
        <v>484</v>
      </c>
      <c r="H55" s="9" t="s">
        <v>374</v>
      </c>
      <c r="I55" s="11" t="s">
        <v>75</v>
      </c>
      <c r="J55" s="57" t="str">
        <f>IF(OR($C$77&lt;&gt;0, $C$81&lt;&gt;0), $C$151, "")</f>
        <v/>
      </c>
      <c r="M55" s="3">
        <f>ROW(M55)</f>
        <v>55</v>
      </c>
      <c r="N55" s="37" t="s">
        <v>310</v>
      </c>
      <c r="O55" s="45" t="s">
        <v>317</v>
      </c>
      <c r="P55" s="2">
        <f>$P$47-$P$50</f>
        <v>0</v>
      </c>
    </row>
    <row r="56" spans="1:16" x14ac:dyDescent="0.4">
      <c r="B56" s="12" t="s">
        <v>648</v>
      </c>
      <c r="C56" s="86"/>
      <c r="G56" s="3" t="s">
        <v>78</v>
      </c>
      <c r="H56" s="9" t="s">
        <v>435</v>
      </c>
      <c r="I56" s="11" t="s">
        <v>78</v>
      </c>
      <c r="J56" s="27" t="e">
        <f ca="1">$P$116</f>
        <v>#REF!</v>
      </c>
      <c r="M56" s="3">
        <f t="shared" si="0"/>
        <v>56</v>
      </c>
      <c r="N56" s="37" t="s">
        <v>311</v>
      </c>
      <c r="P56" s="2" t="e">
        <f>$J$196*$P$52/2</f>
        <v>#DIV/0!</v>
      </c>
    </row>
    <row r="57" spans="1:16" x14ac:dyDescent="0.4">
      <c r="B57" s="12" t="s">
        <v>337</v>
      </c>
      <c r="C57" s="86"/>
      <c r="G57" s="3" t="s">
        <v>76</v>
      </c>
      <c r="H57" s="9" t="s">
        <v>424</v>
      </c>
      <c r="I57" s="11" t="s">
        <v>76</v>
      </c>
      <c r="J57" s="27" t="e">
        <f>$J$10</f>
        <v>#NUM!</v>
      </c>
      <c r="K57" s="27" t="e">
        <f>$C$118+$J$57</f>
        <v>#NUM!</v>
      </c>
      <c r="M57" s="3">
        <f t="shared" si="0"/>
        <v>57</v>
      </c>
      <c r="N57" s="37" t="s">
        <v>312</v>
      </c>
      <c r="O57" s="45" t="s">
        <v>314</v>
      </c>
      <c r="P57" s="2" t="e">
        <f>$P$54*($J$106-$P$56)+$P$55</f>
        <v>#DIV/0!</v>
      </c>
    </row>
    <row r="58" spans="1:16" x14ac:dyDescent="0.4">
      <c r="B58" s="12" t="s">
        <v>338</v>
      </c>
      <c r="C58" s="13"/>
      <c r="G58" s="3" t="s">
        <v>470</v>
      </c>
      <c r="H58" s="9" t="s">
        <v>429</v>
      </c>
      <c r="I58" s="11" t="s">
        <v>75</v>
      </c>
      <c r="J58" s="27">
        <f>$C$19</f>
        <v>0</v>
      </c>
      <c r="K58" s="5"/>
      <c r="M58" s="3">
        <f t="shared" si="0"/>
        <v>58</v>
      </c>
      <c r="N58" s="37" t="s">
        <v>639</v>
      </c>
      <c r="O58" s="45" t="s">
        <v>279</v>
      </c>
      <c r="P58" s="2">
        <f>$J$5-$C$78</f>
        <v>0</v>
      </c>
    </row>
    <row r="59" spans="1:16" x14ac:dyDescent="0.4">
      <c r="B59" s="18"/>
      <c r="C59" s="19"/>
      <c r="J59" s="5"/>
      <c r="K59" s="5"/>
      <c r="M59" s="3">
        <f t="shared" si="0"/>
        <v>59</v>
      </c>
      <c r="N59" s="37" t="s">
        <v>640</v>
      </c>
      <c r="O59" s="45" t="s">
        <v>280</v>
      </c>
      <c r="P59" s="2">
        <f>SQRT($C$7^2-$P$58^2)</f>
        <v>0</v>
      </c>
    </row>
    <row r="60" spans="1:16" x14ac:dyDescent="0.4">
      <c r="B60" s="22" t="s">
        <v>383</v>
      </c>
      <c r="C60" s="71"/>
      <c r="H60" s="70" t="s">
        <v>558</v>
      </c>
      <c r="I60" s="11"/>
      <c r="J60" s="27" t="s">
        <v>559</v>
      </c>
      <c r="K60" s="27" t="s">
        <v>560</v>
      </c>
      <c r="M60" s="3">
        <f t="shared" si="0"/>
        <v>60</v>
      </c>
      <c r="N60" s="37" t="s">
        <v>641</v>
      </c>
      <c r="P60" s="2">
        <f>P59-P34</f>
        <v>0</v>
      </c>
    </row>
    <row r="61" spans="1:16" x14ac:dyDescent="0.4">
      <c r="A61" s="3" t="s">
        <v>83</v>
      </c>
      <c r="B61" s="12" t="s">
        <v>387</v>
      </c>
      <c r="C61" s="13"/>
      <c r="J61" s="5"/>
      <c r="K61" s="5"/>
      <c r="M61" s="3">
        <f t="shared" si="0"/>
        <v>61</v>
      </c>
      <c r="N61" s="37" t="s">
        <v>642</v>
      </c>
      <c r="O61" s="45" t="s">
        <v>555</v>
      </c>
      <c r="P61" s="2">
        <f>$J$4-$C$92</f>
        <v>0</v>
      </c>
    </row>
    <row r="62" spans="1:16" x14ac:dyDescent="0.4">
      <c r="A62" s="3" t="s">
        <v>110</v>
      </c>
      <c r="B62" s="12" t="s">
        <v>388</v>
      </c>
      <c r="C62" s="13"/>
      <c r="H62" s="4" t="s">
        <v>436</v>
      </c>
      <c r="I62" s="6"/>
      <c r="J62" s="5"/>
      <c r="M62" s="3">
        <f t="shared" si="0"/>
        <v>62</v>
      </c>
      <c r="N62" s="37" t="s">
        <v>643</v>
      </c>
      <c r="O62" s="45" t="s">
        <v>556</v>
      </c>
      <c r="P62" s="2">
        <f>SQRT($C$7^2-$P$61^2)</f>
        <v>0</v>
      </c>
    </row>
    <row r="63" spans="1:16" x14ac:dyDescent="0.4">
      <c r="A63" s="3" t="s">
        <v>111</v>
      </c>
      <c r="B63" s="12" t="s">
        <v>389</v>
      </c>
      <c r="C63" s="13"/>
      <c r="G63" s="3" t="s">
        <v>484</v>
      </c>
      <c r="H63" s="9" t="s">
        <v>374</v>
      </c>
      <c r="I63" s="11" t="s">
        <v>75</v>
      </c>
      <c r="J63" s="57" cm="1">
        <f t="array" ref="J63">_xlfn.IFS($C$32=0, $C$147, AND($C$32=1, $C$43&lt;&gt;1), $C$152, AND($C$32=1, $C$43&lt;&gt;2), "")</f>
        <v>110001</v>
      </c>
      <c r="M63" s="3">
        <f t="shared" si="0"/>
        <v>63</v>
      </c>
      <c r="N63" s="37" t="s">
        <v>644</v>
      </c>
      <c r="P63" s="2">
        <f>P62-P31</f>
        <v>0</v>
      </c>
    </row>
    <row r="64" spans="1:16" x14ac:dyDescent="0.4">
      <c r="A64" s="3" t="s">
        <v>209</v>
      </c>
      <c r="B64" s="12" t="s">
        <v>391</v>
      </c>
      <c r="C64" s="13"/>
      <c r="G64" s="3" t="s">
        <v>79</v>
      </c>
      <c r="H64" s="9" t="s">
        <v>57</v>
      </c>
      <c r="I64" s="11" t="s">
        <v>79</v>
      </c>
      <c r="J64" s="27">
        <f>$P$16</f>
        <v>0</v>
      </c>
      <c r="M64" s="3">
        <f t="shared" si="0"/>
        <v>64</v>
      </c>
      <c r="N64" s="37" t="s">
        <v>112</v>
      </c>
      <c r="O64" s="45" t="str">
        <f>IF($C$66&gt;=3, "振分中心-ディンプル1列目間距離", "-")</f>
        <v>-</v>
      </c>
      <c r="P64" s="36">
        <f>$J$4-$C$61</f>
        <v>0</v>
      </c>
    </row>
    <row r="65" spans="1:16" x14ac:dyDescent="0.4">
      <c r="A65" s="3" t="s">
        <v>210</v>
      </c>
      <c r="B65" s="12" t="s">
        <v>392</v>
      </c>
      <c r="C65" s="13"/>
      <c r="G65" s="3" t="s">
        <v>79</v>
      </c>
      <c r="H65" s="9" t="s">
        <v>437</v>
      </c>
      <c r="I65" s="11" t="s">
        <v>79</v>
      </c>
      <c r="J65" s="27">
        <f>$P$22</f>
        <v>0</v>
      </c>
      <c r="M65" s="3">
        <f t="shared" si="0"/>
        <v>65</v>
      </c>
      <c r="N65" s="37" t="s">
        <v>140</v>
      </c>
      <c r="O65" s="45" t="str">
        <f>IF($C$66&gt;=4, "振分中心-ディンプル2列目間距離", "-")</f>
        <v>-</v>
      </c>
      <c r="P65" s="36" t="str">
        <f>IF($C$66&gt;=4,$P$64-1*$C$62, "-")</f>
        <v>-</v>
      </c>
    </row>
    <row r="66" spans="1:16" x14ac:dyDescent="0.4">
      <c r="A66" s="3" t="s">
        <v>87</v>
      </c>
      <c r="B66" s="12" t="s">
        <v>393</v>
      </c>
      <c r="C66" s="51"/>
      <c r="G66" s="3" t="s">
        <v>471</v>
      </c>
      <c r="H66" s="9" t="s">
        <v>82</v>
      </c>
      <c r="I66" s="11" t="s">
        <v>79</v>
      </c>
      <c r="J66" s="27" t="e">
        <f ca="1">$P$112</f>
        <v>#REF!</v>
      </c>
      <c r="L66" s="3"/>
      <c r="M66" s="3">
        <f t="shared" si="0"/>
        <v>66</v>
      </c>
      <c r="N66" s="37" t="s">
        <v>141</v>
      </c>
      <c r="O66" s="45" t="str">
        <f>IF($C$66&gt;=5, "振分中心-ディンプル3列目間距離", "-")</f>
        <v>-</v>
      </c>
      <c r="P66" s="36" t="str">
        <f>IF($C$66&gt;=5,$P$64-2*$C$62, "-")</f>
        <v>-</v>
      </c>
    </row>
    <row r="67" spans="1:16" x14ac:dyDescent="0.4">
      <c r="B67" s="12" t="s">
        <v>394</v>
      </c>
      <c r="C67" s="53"/>
      <c r="G67" s="3" t="s">
        <v>76</v>
      </c>
      <c r="H67" s="9" t="s">
        <v>438</v>
      </c>
      <c r="I67" s="11" t="s">
        <v>76</v>
      </c>
      <c r="J67" s="27" t="e">
        <f>$J$9</f>
        <v>#NUM!</v>
      </c>
      <c r="K67" s="27" t="e">
        <f>$C$118+$J$67</f>
        <v>#NUM!</v>
      </c>
      <c r="M67" s="3">
        <f t="shared" si="0"/>
        <v>67</v>
      </c>
      <c r="N67" s="37" t="s">
        <v>142</v>
      </c>
      <c r="O67" s="45" t="str">
        <f>IF($C$66&gt;=6, "振分中心-ディンプル4列目間距離", "-")</f>
        <v>-</v>
      </c>
      <c r="P67" s="36" t="str">
        <f>IF($C$66&gt;=6,$P$64-3*$C$62, "-")</f>
        <v>-</v>
      </c>
    </row>
    <row r="68" spans="1:16" x14ac:dyDescent="0.4">
      <c r="B68" s="12" t="s">
        <v>453</v>
      </c>
      <c r="C68" s="59"/>
      <c r="G68" s="3" t="s">
        <v>466</v>
      </c>
      <c r="H68" s="9" t="s">
        <v>439</v>
      </c>
      <c r="I68" s="11" t="s">
        <v>76</v>
      </c>
      <c r="J68" s="27">
        <f>$J$4</f>
        <v>0</v>
      </c>
      <c r="K68" s="44"/>
      <c r="M68" s="3">
        <f t="shared" si="0"/>
        <v>68</v>
      </c>
      <c r="N68" s="37" t="s">
        <v>144</v>
      </c>
      <c r="O68" s="45" t="str">
        <f>IF($C$66&gt;=7, "振分中心-ディンプル5列目間距離", "-")</f>
        <v>-</v>
      </c>
      <c r="P68" s="36" t="str">
        <f>IF($C$66&gt;=7,$P$64-4*$C$62, "-")</f>
        <v>-</v>
      </c>
    </row>
    <row r="69" spans="1:16" x14ac:dyDescent="0.4">
      <c r="B69" s="18"/>
      <c r="C69" s="19"/>
      <c r="G69" s="3" t="s">
        <v>467</v>
      </c>
      <c r="H69" s="9" t="s">
        <v>440</v>
      </c>
      <c r="I69" s="11" t="s">
        <v>79</v>
      </c>
      <c r="J69" s="27">
        <f>$P$24</f>
        <v>0</v>
      </c>
      <c r="M69" s="3">
        <f t="shared" si="0"/>
        <v>69</v>
      </c>
      <c r="N69" s="37" t="s">
        <v>143</v>
      </c>
      <c r="O69" s="45" t="str">
        <f>IF($C$66&gt;=8, "振分中心-ディンプル6列目間距離", "-")</f>
        <v>-</v>
      </c>
      <c r="P69" s="36" t="str">
        <f>IF($C$66&gt;=8,$P$64-5*$C$62, "-")</f>
        <v>-</v>
      </c>
    </row>
    <row r="70" spans="1:16" x14ac:dyDescent="0.4">
      <c r="B70" s="4" t="s">
        <v>330</v>
      </c>
      <c r="C70" s="52"/>
      <c r="G70" s="3" t="s">
        <v>468</v>
      </c>
      <c r="H70" s="9" t="s">
        <v>441</v>
      </c>
      <c r="I70" s="11" t="s">
        <v>76</v>
      </c>
      <c r="J70" s="27" t="e" cm="1">
        <f t="array" ref="J70">_xlfn.IFS($C$91=1, $C$92, $C$95=1, $C$96)</f>
        <v>#N/A</v>
      </c>
      <c r="M70" s="3">
        <f t="shared" si="0"/>
        <v>70</v>
      </c>
      <c r="N70" s="37" t="s">
        <v>116</v>
      </c>
      <c r="O70" s="45" t="s">
        <v>396</v>
      </c>
      <c r="P70" s="36">
        <f>$P$64-($C$66-2)*$C$62</f>
        <v>0</v>
      </c>
    </row>
    <row r="71" spans="1:16" x14ac:dyDescent="0.4">
      <c r="B71" s="12" t="s">
        <v>340</v>
      </c>
      <c r="C71" s="13"/>
      <c r="G71" s="3" t="s">
        <v>469</v>
      </c>
      <c r="H71" s="9" t="s">
        <v>4</v>
      </c>
      <c r="I71" s="11" t="s">
        <v>75</v>
      </c>
      <c r="J71" s="27">
        <f>$C$7</f>
        <v>0</v>
      </c>
      <c r="M71" s="3">
        <f t="shared" si="0"/>
        <v>71</v>
      </c>
      <c r="N71" s="37" t="s">
        <v>115</v>
      </c>
      <c r="O71" s="45" t="s">
        <v>397</v>
      </c>
      <c r="P71" s="36">
        <f>$P$64-($C$66-1)*$C$62</f>
        <v>0</v>
      </c>
    </row>
    <row r="72" spans="1:16" x14ac:dyDescent="0.4">
      <c r="B72" s="12" t="s">
        <v>341</v>
      </c>
      <c r="C72" s="52"/>
      <c r="G72" s="3" t="s">
        <v>470</v>
      </c>
      <c r="H72" s="9" t="s">
        <v>30</v>
      </c>
      <c r="I72" s="11" t="s">
        <v>76</v>
      </c>
      <c r="J72" s="27">
        <f>$J$195</f>
        <v>0</v>
      </c>
      <c r="K72" s="60"/>
      <c r="M72" s="3">
        <f t="shared" si="0"/>
        <v>72</v>
      </c>
      <c r="N72" s="37" t="s">
        <v>113</v>
      </c>
      <c r="O72" s="45" t="str">
        <f>IF($C$66&gt;=3,"λj ≦ q &lt; λj+1 の λj", "-")</f>
        <v>-</v>
      </c>
      <c r="P72" s="36" t="str">
        <f ca="1">IF($C$66&gt;=3,LOOKUP($C$61,INDIRECT($P$2&amp;"!$A:$A")),"-")</f>
        <v>-</v>
      </c>
    </row>
    <row r="73" spans="1:16" x14ac:dyDescent="0.4">
      <c r="G73" s="3" t="s">
        <v>494</v>
      </c>
      <c r="H73" s="9" t="s">
        <v>31</v>
      </c>
      <c r="I73" s="11" t="s">
        <v>76</v>
      </c>
      <c r="J73" s="27">
        <f>$J$196</f>
        <v>0</v>
      </c>
      <c r="K73" s="60"/>
      <c r="M73" s="3">
        <f t="shared" si="0"/>
        <v>73</v>
      </c>
      <c r="N73" s="37" t="s">
        <v>145</v>
      </c>
      <c r="O73" s="45" t="str">
        <f>IF($C$66&gt;=4,"λj ≦ q+pz &lt; λj+1 の λj", "-")</f>
        <v>-</v>
      </c>
      <c r="P73" s="36" t="str">
        <f ca="1">IF($C$66&gt;=4,LOOKUP($C$61+$C$62, INDIRECT($P$2&amp;"!$A:$A")),"-")</f>
        <v>-</v>
      </c>
    </row>
    <row r="74" spans="1:16" x14ac:dyDescent="0.4">
      <c r="B74" s="4" t="s">
        <v>339</v>
      </c>
      <c r="C74" s="52"/>
      <c r="G74" s="3" t="s">
        <v>470</v>
      </c>
      <c r="H74" s="9" t="s">
        <v>429</v>
      </c>
      <c r="I74" s="11" t="s">
        <v>75</v>
      </c>
      <c r="J74" s="42">
        <f>$C$19</f>
        <v>0</v>
      </c>
      <c r="K74" s="5"/>
      <c r="M74" s="3">
        <f t="shared" si="0"/>
        <v>74</v>
      </c>
      <c r="N74" s="37" t="s">
        <v>147</v>
      </c>
      <c r="O74" s="45" t="str">
        <f>IF($C$66&gt;=5,"λj ≦ q+2pz &lt; λj+1 の λj", "-")</f>
        <v>-</v>
      </c>
      <c r="P74" s="36" t="str">
        <f ca="1">IF($C$66&gt;=5,LOOKUP($C$61+2*$C$62, INDIRECT($P$2&amp;"!$A:$A")),"-")</f>
        <v>-</v>
      </c>
    </row>
    <row r="75" spans="1:16" x14ac:dyDescent="0.4">
      <c r="B75" s="12" t="s">
        <v>343</v>
      </c>
      <c r="C75" s="13"/>
      <c r="H75" s="70" t="s">
        <v>557</v>
      </c>
      <c r="I75" s="11" t="s">
        <v>79</v>
      </c>
      <c r="J75" s="27" t="s">
        <v>561</v>
      </c>
      <c r="K75" s="27" t="s">
        <v>563</v>
      </c>
      <c r="M75" s="3">
        <f t="shared" si="0"/>
        <v>75</v>
      </c>
      <c r="N75" s="37" t="s">
        <v>149</v>
      </c>
      <c r="O75" s="45" t="str">
        <f>IF($C$66&gt;=6,"λj ≦ q+3pz &lt; λj+1 の λj", "-")</f>
        <v>-</v>
      </c>
      <c r="P75" s="36" t="str">
        <f ca="1">IF($C$66&gt;=6,LOOKUP($C$61+3*$C$62, INDIRECT($P$2&amp;"!$A:$A")),"-")</f>
        <v>-</v>
      </c>
    </row>
    <row r="76" spans="1:16" x14ac:dyDescent="0.4">
      <c r="H76" s="9" t="s">
        <v>564</v>
      </c>
      <c r="I76" s="11" t="s">
        <v>79</v>
      </c>
      <c r="J76" s="32">
        <f>$C$44</f>
        <v>0</v>
      </c>
      <c r="K76" s="5"/>
      <c r="M76" s="3">
        <f t="shared" si="0"/>
        <v>76</v>
      </c>
      <c r="N76" s="37" t="s">
        <v>150</v>
      </c>
      <c r="O76" s="45" t="str">
        <f>IF($C$66&gt;=7,"λj ≦ q+4pz &lt; λj+1 の λj", "-")</f>
        <v>-</v>
      </c>
      <c r="P76" s="36" t="str">
        <f ca="1">IF($C$66&gt;=7,LOOKUP($C$61+4*$C$62, INDIRECT($P$2&amp;"!$A:$A")),"-")</f>
        <v>-</v>
      </c>
    </row>
    <row r="77" spans="1:16" x14ac:dyDescent="0.4">
      <c r="B77" s="4" t="s">
        <v>331</v>
      </c>
      <c r="C77" s="52"/>
      <c r="J77" s="5"/>
      <c r="K77" s="5"/>
      <c r="M77" s="3">
        <f t="shared" si="0"/>
        <v>77</v>
      </c>
      <c r="N77" s="37" t="s">
        <v>151</v>
      </c>
      <c r="O77" s="45" t="str">
        <f>IF($C$66&gt;=8,"λj ≦ q+5pz &lt; λj+1 の λj", "-")</f>
        <v>-</v>
      </c>
      <c r="P77" s="36" t="str">
        <f ca="1">IF($C$66&gt;=8,LOOKUP($C$61+5*$C$62, INDIRECT($P$2&amp;"!$A:$A")),"-")</f>
        <v>-</v>
      </c>
    </row>
    <row r="78" spans="1:16" x14ac:dyDescent="0.4">
      <c r="B78" s="12" t="s">
        <v>344</v>
      </c>
      <c r="C78" s="13"/>
      <c r="H78" s="4" t="s">
        <v>442</v>
      </c>
      <c r="I78" s="6"/>
      <c r="J78" s="5"/>
      <c r="M78" s="3">
        <f t="shared" si="0"/>
        <v>78</v>
      </c>
      <c r="N78" s="37" t="s">
        <v>153</v>
      </c>
      <c r="O78" s="45" t="s">
        <v>155</v>
      </c>
      <c r="P78" s="2" t="e">
        <f ca="1">LOOKUP($C$61+($C$66-2)*$C$62, INDIRECT($P$2&amp;"!$A:$A"))</f>
        <v>#REF!</v>
      </c>
    </row>
    <row r="79" spans="1:16" x14ac:dyDescent="0.4">
      <c r="B79" s="12" t="s">
        <v>345</v>
      </c>
      <c r="C79" s="52"/>
      <c r="G79" s="3" t="s">
        <v>484</v>
      </c>
      <c r="H79" s="9" t="s">
        <v>374</v>
      </c>
      <c r="I79" s="11" t="s">
        <v>75</v>
      </c>
      <c r="J79" s="57">
        <f>IF($C$43&lt;&gt;1, $C$148, "")</f>
        <v>110002</v>
      </c>
      <c r="M79" s="3">
        <f t="shared" si="0"/>
        <v>79</v>
      </c>
      <c r="N79" s="37" t="s">
        <v>152</v>
      </c>
      <c r="O79" s="45" t="s">
        <v>154</v>
      </c>
      <c r="P79" s="2" t="e">
        <f ca="1">LOOKUP($C$61+($C$66-1)*$C$62, INDIRECT($P$2&amp;"!$A:$A"))</f>
        <v>#REF!</v>
      </c>
    </row>
    <row r="80" spans="1:16" x14ac:dyDescent="0.4">
      <c r="G80" s="3" t="s">
        <v>78</v>
      </c>
      <c r="H80" s="9" t="s">
        <v>8</v>
      </c>
      <c r="I80" s="11" t="s">
        <v>78</v>
      </c>
      <c r="J80" s="27">
        <f>$P$17</f>
        <v>0</v>
      </c>
      <c r="M80" s="3">
        <f t="shared" si="0"/>
        <v>80</v>
      </c>
      <c r="N80" s="37" t="s">
        <v>114</v>
      </c>
      <c r="O80" s="45" t="str">
        <f>IF($C$66&gt;=3,"λj ≦ q &lt; λj+1 の λj+1", "-")</f>
        <v>-</v>
      </c>
      <c r="P80" s="2" t="str" cm="1">
        <f t="array" aca="1" ref="P80" ca="1">IF($C$66&gt;=3, INDEX(INDIRECT($P$2&amp;"!$A:$A"), MATCH($P72, INDIRECT($P$2&amp;"!$A:$A"), 0) +1),"-")</f>
        <v>-</v>
      </c>
    </row>
    <row r="81" spans="2:16" x14ac:dyDescent="0.4">
      <c r="B81" s="4" t="s">
        <v>342</v>
      </c>
      <c r="C81" s="52"/>
      <c r="G81" s="3" t="s">
        <v>76</v>
      </c>
      <c r="H81" s="9" t="s">
        <v>438</v>
      </c>
      <c r="I81" s="11" t="s">
        <v>76</v>
      </c>
      <c r="J81" s="27" t="e">
        <f>$J$9</f>
        <v>#NUM!</v>
      </c>
      <c r="K81" s="27" t="e">
        <f>$C$118+$J$81</f>
        <v>#NUM!</v>
      </c>
      <c r="M81" s="3">
        <f t="shared" si="0"/>
        <v>81</v>
      </c>
      <c r="N81" s="37" t="s">
        <v>146</v>
      </c>
      <c r="O81" s="45" t="str">
        <f>IF($C$66&gt;=4,"λj ≦ q+pz &lt; λj+1 の λj+1", "-")</f>
        <v>-</v>
      </c>
      <c r="P81" s="36" t="str" cm="1">
        <f t="array" aca="1" ref="P81" ca="1">IF($C$66&gt;=4, INDEX(INDIRECT($P$2&amp;"!$A:$A"), MATCH($P73, INDIRECT($P$2&amp;"!$A:$A"), 0) +1),"-")</f>
        <v>-</v>
      </c>
    </row>
    <row r="82" spans="2:16" x14ac:dyDescent="0.4">
      <c r="B82" s="12" t="s">
        <v>346</v>
      </c>
      <c r="C82" s="13"/>
      <c r="J82" s="5"/>
      <c r="K82" s="5"/>
      <c r="M82" s="3">
        <f t="shared" si="0"/>
        <v>82</v>
      </c>
      <c r="N82" s="37" t="s">
        <v>148</v>
      </c>
      <c r="O82" s="45" t="str">
        <f>IF($C$66&gt;=5,"λj ≦ q+2pz &lt; λj+1 の λj+1", "-")</f>
        <v>-</v>
      </c>
      <c r="P82" s="36" t="str" cm="1">
        <f t="array" aca="1" ref="P82" ca="1">IF($C$66&gt;=5, INDEX(INDIRECT($P$2&amp;"!$A:$A"), MATCH($P74, INDIRECT($P$2&amp;"!$A:$A"), 0) +1),"-")</f>
        <v>-</v>
      </c>
    </row>
    <row r="83" spans="2:16" x14ac:dyDescent="0.4">
      <c r="H83" s="4" t="s">
        <v>443</v>
      </c>
      <c r="I83" s="6"/>
      <c r="J83" s="5"/>
      <c r="M83" s="3">
        <f t="shared" si="0"/>
        <v>83</v>
      </c>
      <c r="N83" s="37" t="s">
        <v>156</v>
      </c>
      <c r="O83" s="45" t="str">
        <f>IF($C$66&gt;=6,"λj ≦ q+3pz &lt; λj+1 の λj+1", "-")</f>
        <v>-</v>
      </c>
      <c r="P83" s="36" t="str" cm="1">
        <f t="array" aca="1" ref="P83" ca="1">IF($C$66&gt;=6, INDEX(INDIRECT($P$2&amp;"!$A:$A"), MATCH($P75, INDIRECT($P$2&amp;"!$A:$A"), 0) +1),"-")</f>
        <v>-</v>
      </c>
    </row>
    <row r="84" spans="2:16" x14ac:dyDescent="0.4">
      <c r="B84" s="4" t="s">
        <v>332</v>
      </c>
      <c r="C84" s="52"/>
      <c r="G84" s="3" t="s">
        <v>484</v>
      </c>
      <c r="H84" s="9" t="s">
        <v>374</v>
      </c>
      <c r="I84" s="11" t="s">
        <v>75</v>
      </c>
      <c r="J84" s="57">
        <f>$C$150</f>
        <v>130001</v>
      </c>
      <c r="M84" s="3">
        <f t="shared" si="0"/>
        <v>84</v>
      </c>
      <c r="N84" s="37" t="s">
        <v>157</v>
      </c>
      <c r="O84" s="45" t="str">
        <f>IF($C$66&gt;=7,"λj ≦ q+4pz &lt; λj+1 の λj+1", "-")</f>
        <v>-</v>
      </c>
      <c r="P84" s="36" t="str" cm="1">
        <f t="array" aca="1" ref="P84" ca="1">IF($C$66&gt;=7, INDEX(INDIRECT($P$2&amp;"!$A:$A"), MATCH($P76, INDIRECT($P$2&amp;"!$A:$A"), 0) +1),"-")</f>
        <v>-</v>
      </c>
    </row>
    <row r="85" spans="2:16" x14ac:dyDescent="0.4">
      <c r="B85" s="12" t="s">
        <v>353</v>
      </c>
      <c r="C85" s="13"/>
      <c r="G85" s="3" t="s">
        <v>79</v>
      </c>
      <c r="H85" s="9" t="s">
        <v>82</v>
      </c>
      <c r="I85" s="11" t="s">
        <v>79</v>
      </c>
      <c r="J85" s="27" t="e">
        <f ca="1">$P$112</f>
        <v>#REF!</v>
      </c>
      <c r="M85" s="3">
        <f t="shared" si="0"/>
        <v>85</v>
      </c>
      <c r="N85" s="37" t="s">
        <v>158</v>
      </c>
      <c r="O85" s="45" t="str">
        <f>IF($C$66&gt;=8,"λj ≦ q+5pz &lt; λj+1 の λj+1", "-")</f>
        <v>-</v>
      </c>
      <c r="P85" s="36" t="str" cm="1">
        <f t="array" aca="1" ref="P85" ca="1">IF($C$66&gt;=8, INDEX(INDIRECT($P$2&amp;"!$A:$A"), MATCH($P77, INDIRECT($P$2&amp;"!$A:$A"), 0) +1),"-")</f>
        <v>-</v>
      </c>
    </row>
    <row r="86" spans="2:16" x14ac:dyDescent="0.4">
      <c r="B86" s="12" t="s">
        <v>354</v>
      </c>
      <c r="C86" s="52"/>
      <c r="G86" s="3" t="s">
        <v>76</v>
      </c>
      <c r="H86" s="9" t="s">
        <v>438</v>
      </c>
      <c r="I86" s="11" t="s">
        <v>76</v>
      </c>
      <c r="J86" s="27" t="e">
        <f>$J$9</f>
        <v>#NUM!</v>
      </c>
      <c r="K86" s="27" t="e">
        <f>$C$118+$J$86</f>
        <v>#NUM!</v>
      </c>
      <c r="M86" s="3">
        <f t="shared" si="0"/>
        <v>86</v>
      </c>
      <c r="N86" s="37" t="s">
        <v>159</v>
      </c>
      <c r="O86" s="45" t="s">
        <v>161</v>
      </c>
      <c r="P86" s="36" t="e" cm="1">
        <f t="array" aca="1" ref="P86" ca="1">INDEX(INDIRECT($P$2&amp;"!$A:$A"), MATCH($P78, INDIRECT($P$2&amp;"!$A:$A"), 0) +1)</f>
        <v>#REF!</v>
      </c>
    </row>
    <row r="87" spans="2:16" x14ac:dyDescent="0.4">
      <c r="G87" s="3" t="s">
        <v>466</v>
      </c>
      <c r="H87" s="9" t="s">
        <v>439</v>
      </c>
      <c r="I87" s="11" t="s">
        <v>76</v>
      </c>
      <c r="J87" s="27">
        <f>$J$4</f>
        <v>0</v>
      </c>
      <c r="K87" s="44"/>
      <c r="M87" s="3">
        <f t="shared" si="0"/>
        <v>87</v>
      </c>
      <c r="N87" s="37" t="s">
        <v>160</v>
      </c>
      <c r="O87" s="45" t="s">
        <v>88</v>
      </c>
      <c r="P87" s="36" t="e" cm="1">
        <f t="array" aca="1" ref="P87" ca="1">INDEX(INDIRECT($P$2&amp;"!$A:$A"), MATCH($P79, INDIRECT($P$2&amp;"!$A:$A"), 0) +1)</f>
        <v>#REF!</v>
      </c>
    </row>
    <row r="88" spans="2:16" x14ac:dyDescent="0.4">
      <c r="B88" s="4" t="s">
        <v>347</v>
      </c>
      <c r="C88" s="52"/>
      <c r="G88" s="3" t="s">
        <v>469</v>
      </c>
      <c r="H88" s="9" t="s">
        <v>4</v>
      </c>
      <c r="I88" s="11" t="s">
        <v>75</v>
      </c>
      <c r="J88" s="27">
        <f>$C$7</f>
        <v>0</v>
      </c>
      <c r="M88" s="3">
        <f t="shared" si="0"/>
        <v>88</v>
      </c>
      <c r="N88" s="37" t="s">
        <v>89</v>
      </c>
      <c r="O88" s="45" t="str">
        <f>IF($C$66&gt;=3,"q-λj","")</f>
        <v/>
      </c>
      <c r="P88" s="36" t="str">
        <f>IF($C$66&gt;=3,$C$61-$P$72, "-")</f>
        <v>-</v>
      </c>
    </row>
    <row r="89" spans="2:16" x14ac:dyDescent="0.4">
      <c r="B89" s="12" t="s">
        <v>348</v>
      </c>
      <c r="C89" s="13"/>
      <c r="G89" s="3" t="s">
        <v>470</v>
      </c>
      <c r="H89" s="9" t="s">
        <v>429</v>
      </c>
      <c r="I89" s="11" t="s">
        <v>75</v>
      </c>
      <c r="J89" s="27">
        <f>$C$19</f>
        <v>0</v>
      </c>
      <c r="K89" s="5"/>
      <c r="M89" s="3">
        <f t="shared" si="0"/>
        <v>89</v>
      </c>
      <c r="N89" s="37" t="s">
        <v>164</v>
      </c>
      <c r="O89" s="45" t="str">
        <f>IF($C$66&gt;=4,"q+pz-λj","")</f>
        <v/>
      </c>
      <c r="P89" s="36" t="str">
        <f>IF($C$66&gt;=4,$C$61+$C$62-$P$73, "-")</f>
        <v>-</v>
      </c>
    </row>
    <row r="90" spans="2:16" x14ac:dyDescent="0.4">
      <c r="J90" s="5"/>
      <c r="K90" s="5"/>
      <c r="M90" s="3">
        <f t="shared" si="0"/>
        <v>90</v>
      </c>
      <c r="N90" s="37" t="s">
        <v>165</v>
      </c>
      <c r="O90" s="45" t="str">
        <f>IF($C$66&gt;=5,"q+2pz-λj","")</f>
        <v/>
      </c>
      <c r="P90" s="36" t="str">
        <f>IF($C$66&gt;=5,$C$61+2*$C$62-$P$74, "-")</f>
        <v>-</v>
      </c>
    </row>
    <row r="91" spans="2:16" x14ac:dyDescent="0.4">
      <c r="B91" s="4" t="s">
        <v>333</v>
      </c>
      <c r="C91" s="52"/>
      <c r="H91" s="4" t="s">
        <v>444</v>
      </c>
      <c r="I91" s="6"/>
      <c r="J91" s="5"/>
      <c r="M91" s="3">
        <f t="shared" si="0"/>
        <v>91</v>
      </c>
      <c r="N91" s="37" t="s">
        <v>166</v>
      </c>
      <c r="O91" s="45" t="str">
        <f>IF($C$66&gt;=6,"q+3pz-λj","")</f>
        <v/>
      </c>
      <c r="P91" s="36" t="str">
        <f>IF($C$66&gt;=6,$C$61+3*$C$62-$P$75, "-")</f>
        <v>-</v>
      </c>
    </row>
    <row r="92" spans="2:16" x14ac:dyDescent="0.4">
      <c r="B92" s="12" t="s">
        <v>334</v>
      </c>
      <c r="C92" s="13"/>
      <c r="G92" s="3" t="s">
        <v>484</v>
      </c>
      <c r="H92" s="9" t="s">
        <v>374</v>
      </c>
      <c r="I92" s="11" t="s">
        <v>75</v>
      </c>
      <c r="J92" s="57">
        <f>$C$151</f>
        <v>130002</v>
      </c>
      <c r="M92" s="3">
        <f t="shared" si="0"/>
        <v>92</v>
      </c>
      <c r="N92" s="37" t="s">
        <v>167</v>
      </c>
      <c r="O92" s="45" t="str">
        <f>IF($C$66&gt;=7,"q+4pz-λj","-")</f>
        <v>-</v>
      </c>
      <c r="P92" s="36" t="str">
        <f>IF($C$66&gt;=7,$C$61+4*$C$62-$P$76, "-")</f>
        <v>-</v>
      </c>
    </row>
    <row r="93" spans="2:16" x14ac:dyDescent="0.4">
      <c r="B93" s="12" t="s">
        <v>81</v>
      </c>
      <c r="C93" s="52"/>
      <c r="G93" s="3" t="s">
        <v>78</v>
      </c>
      <c r="H93" s="9" t="s">
        <v>445</v>
      </c>
      <c r="I93" s="11" t="s">
        <v>78</v>
      </c>
      <c r="J93" s="27" t="e">
        <f ca="1">$P$113</f>
        <v>#REF!</v>
      </c>
      <c r="M93" s="3">
        <f t="shared" si="0"/>
        <v>93</v>
      </c>
      <c r="N93" s="37" t="s">
        <v>168</v>
      </c>
      <c r="O93" s="45" t="str">
        <f>IF($C$66&gt;=8,"q+5pz-λj","-")</f>
        <v>-</v>
      </c>
      <c r="P93" s="36" t="str">
        <f>IF($C$66&gt;=8,$C$61+5*$C$62-$P$77, "-")</f>
        <v>-</v>
      </c>
    </row>
    <row r="94" spans="2:16" x14ac:dyDescent="0.4">
      <c r="G94" s="3" t="s">
        <v>76</v>
      </c>
      <c r="H94" s="9" t="s">
        <v>438</v>
      </c>
      <c r="I94" s="11" t="s">
        <v>76</v>
      </c>
      <c r="J94" s="27" t="e">
        <f>$J$9</f>
        <v>#NUM!</v>
      </c>
      <c r="K94" s="27" t="e">
        <f>$C$118+$J$94</f>
        <v>#NUM!</v>
      </c>
      <c r="M94" s="3">
        <f t="shared" si="0"/>
        <v>94</v>
      </c>
      <c r="N94" s="37" t="s">
        <v>169</v>
      </c>
      <c r="O94" s="45" t="s">
        <v>169</v>
      </c>
      <c r="P94" s="36" t="e">
        <f ca="1">$C$61+($C$66-2)*$C$62-$P$78</f>
        <v>#REF!</v>
      </c>
    </row>
    <row r="95" spans="2:16" x14ac:dyDescent="0.4">
      <c r="B95" s="4" t="s">
        <v>349</v>
      </c>
      <c r="C95" s="52"/>
      <c r="G95" s="3" t="s">
        <v>470</v>
      </c>
      <c r="H95" s="9" t="s">
        <v>429</v>
      </c>
      <c r="I95" s="11" t="s">
        <v>75</v>
      </c>
      <c r="J95" s="27">
        <f>$C$19</f>
        <v>0</v>
      </c>
      <c r="K95" s="5"/>
      <c r="M95" s="3">
        <f t="shared" si="0"/>
        <v>95</v>
      </c>
      <c r="N95" s="37" t="s">
        <v>91</v>
      </c>
      <c r="O95" s="45" t="s">
        <v>91</v>
      </c>
      <c r="P95" s="36" t="e">
        <f ca="1">$C$61+($C$66-1)*$C$62-$P$79</f>
        <v>#REF!</v>
      </c>
    </row>
    <row r="96" spans="2:16" x14ac:dyDescent="0.4">
      <c r="B96" s="12" t="s">
        <v>350</v>
      </c>
      <c r="C96" s="13"/>
      <c r="J96" s="5"/>
      <c r="K96" s="5"/>
      <c r="M96" s="3">
        <f t="shared" si="0"/>
        <v>96</v>
      </c>
      <c r="N96" s="37" t="s">
        <v>90</v>
      </c>
      <c r="O96" s="45" t="str">
        <f>IF($C$66&gt;=3, "λj+1-q", "-")</f>
        <v>-</v>
      </c>
      <c r="P96" s="36" t="str">
        <f>IF($C$66&gt;=3,$P$80-$C$61, "-")</f>
        <v>-</v>
      </c>
    </row>
    <row r="97" spans="1:16" x14ac:dyDescent="0.4">
      <c r="H97" s="70" t="s">
        <v>570</v>
      </c>
      <c r="I97" s="11" t="s">
        <v>78</v>
      </c>
      <c r="J97" s="27" t="s">
        <v>562</v>
      </c>
      <c r="K97" s="27" t="s">
        <v>571</v>
      </c>
      <c r="M97" s="3">
        <f t="shared" si="0"/>
        <v>97</v>
      </c>
      <c r="N97" s="37" t="s">
        <v>170</v>
      </c>
      <c r="O97" s="45" t="str">
        <f>IF($C$66&gt;=4, "λj+1-q-pz", "-")</f>
        <v>-</v>
      </c>
      <c r="P97" s="36" t="str">
        <f>IF($C$66&gt;=4,$P$81-$C$61-$C$62, "-")</f>
        <v>-</v>
      </c>
    </row>
    <row r="98" spans="1:16" x14ac:dyDescent="0.4">
      <c r="B98" s="4" t="s">
        <v>595</v>
      </c>
      <c r="C98" s="71"/>
      <c r="J98" s="5"/>
      <c r="K98" s="5"/>
      <c r="M98" s="3">
        <f t="shared" ref="M98:M195" si="2">ROW(M98)</f>
        <v>98</v>
      </c>
      <c r="N98" s="37" t="s">
        <v>171</v>
      </c>
      <c r="O98" s="45" t="str">
        <f>IF($C$66&gt;=5, "λj+1-q-2pz", "-")</f>
        <v>-</v>
      </c>
      <c r="P98" s="36" t="str">
        <f>IF($C$66&gt;=5,$P$82-$C$61-2*$C$62, "-")</f>
        <v>-</v>
      </c>
    </row>
    <row r="99" spans="1:16" x14ac:dyDescent="0.4">
      <c r="B99" s="72" t="s">
        <v>578</v>
      </c>
      <c r="C99" s="73"/>
      <c r="H99" s="4" t="s">
        <v>534</v>
      </c>
      <c r="I99" s="6"/>
      <c r="J99" s="5"/>
      <c r="M99" s="3">
        <f t="shared" si="2"/>
        <v>99</v>
      </c>
      <c r="N99" s="37" t="s">
        <v>172</v>
      </c>
      <c r="O99" s="45" t="str">
        <f>IF($C$66&gt;=6, "λj+1-q-3pz", "-")</f>
        <v>-</v>
      </c>
      <c r="P99" s="36" t="str">
        <f>IF($C$66&gt;=6,$P$83-$C$61-3*$C$62, "-")</f>
        <v>-</v>
      </c>
    </row>
    <row r="100" spans="1:16" x14ac:dyDescent="0.4">
      <c r="B100" s="72" t="s">
        <v>579</v>
      </c>
      <c r="C100" s="73"/>
      <c r="G100" s="3" t="s">
        <v>484</v>
      </c>
      <c r="H100" s="9" t="s">
        <v>374</v>
      </c>
      <c r="I100" s="11" t="s">
        <v>75</v>
      </c>
      <c r="J100" s="57" t="str">
        <f>IF(AND($C$47&lt;&gt;0, $C$32&lt;&gt;1), $C$149, "")</f>
        <v/>
      </c>
      <c r="M100" s="3">
        <f t="shared" si="2"/>
        <v>100</v>
      </c>
      <c r="N100" s="37" t="s">
        <v>173</v>
      </c>
      <c r="O100" s="45" t="str">
        <f>IF($C$66&gt;=7, "λj+1-q-4pz", "-")</f>
        <v>-</v>
      </c>
      <c r="P100" s="36" t="str">
        <f>IF($C$66&gt;=7,$P$84-$C$61-4*$C$62, "-")</f>
        <v>-</v>
      </c>
    </row>
    <row r="101" spans="1:16" x14ac:dyDescent="0.4">
      <c r="B101" s="72" t="s">
        <v>580</v>
      </c>
      <c r="C101" s="73"/>
      <c r="G101" s="3" t="s">
        <v>79</v>
      </c>
      <c r="H101" s="9" t="s">
        <v>32</v>
      </c>
      <c r="I101" s="11" t="s">
        <v>79</v>
      </c>
      <c r="J101" s="27">
        <f>IF($C$46=4, "#0", $J$186)</f>
        <v>0</v>
      </c>
      <c r="K101" s="43"/>
      <c r="M101" s="3">
        <f t="shared" si="2"/>
        <v>101</v>
      </c>
      <c r="N101" s="37" t="s">
        <v>174</v>
      </c>
      <c r="O101" s="45" t="str">
        <f>IF($C$66&gt;=8, "λj+1-q-5pz", "-")</f>
        <v>-</v>
      </c>
      <c r="P101" s="36" t="str">
        <f>IF($C$66&gt;=8,$P$85-$C$61-5*$C$62, "-")</f>
        <v>-</v>
      </c>
    </row>
    <row r="102" spans="1:16" x14ac:dyDescent="0.4">
      <c r="B102" s="72" t="s">
        <v>581</v>
      </c>
      <c r="C102" s="73"/>
      <c r="G102" s="3" t="s">
        <v>475</v>
      </c>
      <c r="H102" s="9" t="s">
        <v>57</v>
      </c>
      <c r="I102" s="11" t="s">
        <v>79</v>
      </c>
      <c r="J102" s="27">
        <f>$P$16</f>
        <v>0</v>
      </c>
      <c r="K102" s="60"/>
      <c r="M102" s="3">
        <f t="shared" si="2"/>
        <v>102</v>
      </c>
      <c r="N102" s="37" t="s">
        <v>175</v>
      </c>
      <c r="O102" s="45" t="s">
        <v>175</v>
      </c>
      <c r="P102" s="2" t="e">
        <f ca="1">$P$86-$C$61-($C$66-2)*$C$62</f>
        <v>#REF!</v>
      </c>
    </row>
    <row r="103" spans="1:16" x14ac:dyDescent="0.4">
      <c r="B103" s="72" t="s">
        <v>582</v>
      </c>
      <c r="C103" s="73"/>
      <c r="G103" s="3" t="s">
        <v>76</v>
      </c>
      <c r="H103" s="9" t="s">
        <v>438</v>
      </c>
      <c r="I103" s="11" t="s">
        <v>76</v>
      </c>
      <c r="J103" s="27" t="e">
        <f>$J$9</f>
        <v>#NUM!</v>
      </c>
      <c r="K103" s="27" t="e">
        <f>$C$118+$J$103</f>
        <v>#NUM!</v>
      </c>
      <c r="M103" s="3">
        <f t="shared" si="2"/>
        <v>103</v>
      </c>
      <c r="N103" s="37" t="s">
        <v>117</v>
      </c>
      <c r="O103" s="45" t="s">
        <v>117</v>
      </c>
      <c r="P103" s="2" t="e">
        <f ca="1">$P$87-$C$61-($C$66-1)*$C$62</f>
        <v>#REF!</v>
      </c>
    </row>
    <row r="104" spans="1:16" x14ac:dyDescent="0.4">
      <c r="G104" s="3" t="s">
        <v>470</v>
      </c>
      <c r="H104" s="9" t="s">
        <v>30</v>
      </c>
      <c r="I104" s="11" t="s">
        <v>76</v>
      </c>
      <c r="J104" s="27">
        <f>$J$195</f>
        <v>0</v>
      </c>
      <c r="K104" s="60"/>
      <c r="M104" s="3">
        <f t="shared" si="2"/>
        <v>104</v>
      </c>
      <c r="N104" s="37" t="s">
        <v>176</v>
      </c>
      <c r="O104" s="45" t="str">
        <f>IF($C$66&gt;=3,"1列目湾曲中心X","-")</f>
        <v>-</v>
      </c>
      <c r="P104" s="38" t="str">
        <f>IF($C$66&gt;=3,SQRT($C$7^2-$P$64^2),"-")</f>
        <v>-</v>
      </c>
    </row>
    <row r="105" spans="1:16" x14ac:dyDescent="0.4">
      <c r="B105" s="4" t="s">
        <v>594</v>
      </c>
      <c r="C105" s="71"/>
      <c r="G105" s="3" t="s">
        <v>494</v>
      </c>
      <c r="H105" s="9" t="s">
        <v>31</v>
      </c>
      <c r="I105" s="11" t="s">
        <v>76</v>
      </c>
      <c r="J105" s="27">
        <f>$J$196</f>
        <v>0</v>
      </c>
      <c r="K105" s="60"/>
      <c r="M105" s="3">
        <f t="shared" si="2"/>
        <v>105</v>
      </c>
      <c r="N105" s="37" t="s">
        <v>177</v>
      </c>
      <c r="O105" s="45" t="str">
        <f>IF($C$66&gt;=4,"2列目湾曲中心X","-")</f>
        <v>-</v>
      </c>
      <c r="P105" s="38" t="str">
        <f>IF($C$66&gt;=4,SQRT($C$7^2-$P$65^2),"-")</f>
        <v>-</v>
      </c>
    </row>
    <row r="106" spans="1:16" x14ac:dyDescent="0.4">
      <c r="B106" s="72" t="s">
        <v>596</v>
      </c>
      <c r="C106" s="73"/>
      <c r="G106" s="3" t="s">
        <v>471</v>
      </c>
      <c r="H106" s="9" t="s">
        <v>535</v>
      </c>
      <c r="I106" s="11" t="s">
        <v>79</v>
      </c>
      <c r="J106" s="27">
        <f>$C$52+($D$52+$E$52)/2</f>
        <v>0</v>
      </c>
      <c r="K106" s="60"/>
      <c r="M106" s="3">
        <f t="shared" si="2"/>
        <v>106</v>
      </c>
      <c r="N106" s="37" t="s">
        <v>178</v>
      </c>
      <c r="O106" s="45" t="str">
        <f>IF($C$66&gt;=5,"3列目湾曲中心X","-")</f>
        <v>-</v>
      </c>
      <c r="P106" s="38" t="str">
        <f>IF($C$66&gt;=5,SQRT($C$7^2-$P$66^2),"-")</f>
        <v>-</v>
      </c>
    </row>
    <row r="107" spans="1:16" x14ac:dyDescent="0.4">
      <c r="B107" s="72" t="s">
        <v>597</v>
      </c>
      <c r="C107" s="73"/>
      <c r="H107" s="70" t="s">
        <v>565</v>
      </c>
      <c r="I107" s="11" t="s">
        <v>79</v>
      </c>
      <c r="J107" s="27" t="s">
        <v>566</v>
      </c>
      <c r="K107" s="27" t="s">
        <v>561</v>
      </c>
      <c r="M107" s="3">
        <f t="shared" si="2"/>
        <v>107</v>
      </c>
      <c r="N107" s="37" t="s">
        <v>179</v>
      </c>
      <c r="O107" s="45" t="str">
        <f>IF($C$66&gt;=6,"4列目湾曲中心X","-")</f>
        <v>-</v>
      </c>
      <c r="P107" s="38" t="str">
        <f>IF($C$66&gt;=6,SQRT($C$7^2-$P$67^2),"-")</f>
        <v>-</v>
      </c>
    </row>
    <row r="108" spans="1:16" x14ac:dyDescent="0.4">
      <c r="B108" s="72" t="s">
        <v>598</v>
      </c>
      <c r="C108" s="73"/>
      <c r="J108" s="5"/>
      <c r="K108" s="5"/>
      <c r="M108" s="3">
        <f t="shared" si="2"/>
        <v>108</v>
      </c>
      <c r="N108" s="37" t="s">
        <v>180</v>
      </c>
      <c r="O108" s="45" t="str">
        <f>IF($C$66&gt;=7,"5列目湾曲中心X","-")</f>
        <v>-</v>
      </c>
      <c r="P108" s="38" t="str">
        <f>IF($C$66&gt;=7,SQRT($C$7^2-$P$68^2),"-")</f>
        <v>-</v>
      </c>
    </row>
    <row r="109" spans="1:16" x14ac:dyDescent="0.4">
      <c r="B109" s="72" t="s">
        <v>599</v>
      </c>
      <c r="C109" s="73"/>
      <c r="H109" s="4" t="s">
        <v>553</v>
      </c>
      <c r="I109" s="6"/>
      <c r="J109" s="5"/>
      <c r="M109" s="3">
        <f t="shared" si="2"/>
        <v>109</v>
      </c>
      <c r="N109" s="37" t="s">
        <v>181</v>
      </c>
      <c r="O109" s="45" t="str">
        <f>IF($C$66&gt;=8,"6列目湾曲中心X","-")</f>
        <v>-</v>
      </c>
      <c r="P109" s="38" t="str">
        <f>IF($C$66&gt;=8,SQRT($C$7^2-$P$69^2),"-")</f>
        <v>-</v>
      </c>
    </row>
    <row r="110" spans="1:16" x14ac:dyDescent="0.4">
      <c r="G110" s="3" t="s">
        <v>484</v>
      </c>
      <c r="H110" s="9" t="s">
        <v>374</v>
      </c>
      <c r="I110" s="11" t="s">
        <v>75</v>
      </c>
      <c r="J110" s="57">
        <f>IF($C$43&lt;&gt;1, $C$148, "")</f>
        <v>110002</v>
      </c>
      <c r="M110" s="3">
        <f t="shared" si="2"/>
        <v>110</v>
      </c>
      <c r="N110" s="37" t="s">
        <v>182</v>
      </c>
      <c r="O110" s="45" t="s">
        <v>184</v>
      </c>
      <c r="P110" s="39">
        <f>SQRT($C$7^2-$P$70^2)</f>
        <v>0</v>
      </c>
    </row>
    <row r="111" spans="1:16" x14ac:dyDescent="0.4">
      <c r="B111" s="22" t="s">
        <v>80</v>
      </c>
      <c r="C111" s="25"/>
      <c r="G111" s="3" t="s">
        <v>78</v>
      </c>
      <c r="H111" s="9" t="s">
        <v>8</v>
      </c>
      <c r="I111" s="11" t="s">
        <v>78</v>
      </c>
      <c r="J111" s="27">
        <f>$P$17</f>
        <v>0</v>
      </c>
      <c r="M111" s="3">
        <f t="shared" si="2"/>
        <v>111</v>
      </c>
      <c r="N111" s="37" t="s">
        <v>183</v>
      </c>
      <c r="O111" s="45" t="s">
        <v>185</v>
      </c>
      <c r="P111" s="39">
        <f>SQRT($C$7^2-$P$71^2)</f>
        <v>0</v>
      </c>
    </row>
    <row r="112" spans="1:16" x14ac:dyDescent="0.4">
      <c r="A112" s="3" t="s">
        <v>0</v>
      </c>
      <c r="B112" s="12" t="s">
        <v>335</v>
      </c>
      <c r="C112" s="17">
        <v>330</v>
      </c>
      <c r="G112" s="3" t="s">
        <v>76</v>
      </c>
      <c r="H112" s="9" t="s">
        <v>438</v>
      </c>
      <c r="I112" s="11" t="s">
        <v>76</v>
      </c>
      <c r="J112" s="27" t="e">
        <f>$J$9</f>
        <v>#NUM!</v>
      </c>
      <c r="K112" s="27" t="e">
        <f>$C$118+$J$103</f>
        <v>#NUM!</v>
      </c>
      <c r="M112" s="3">
        <f t="shared" si="2"/>
        <v>112</v>
      </c>
      <c r="N112" s="37" t="s">
        <v>132</v>
      </c>
      <c r="O112" s="46" t="s">
        <v>326</v>
      </c>
      <c r="P112" s="36" t="e">
        <f ca="1">INDEX(INDIRECT($P$2&amp;"!B:B"), MATCH(0, INDIRECT($P$2&amp;"!A:A"), 0))</f>
        <v>#REF!</v>
      </c>
    </row>
    <row r="113" spans="1:16" x14ac:dyDescent="0.4">
      <c r="A113" s="3" t="s">
        <v>1</v>
      </c>
      <c r="B113" s="12" t="s">
        <v>638</v>
      </c>
      <c r="C113" s="17">
        <v>40</v>
      </c>
      <c r="G113" s="3" t="s">
        <v>470</v>
      </c>
      <c r="H113" s="9" t="s">
        <v>30</v>
      </c>
      <c r="I113" s="11" t="s">
        <v>76</v>
      </c>
      <c r="J113" s="27">
        <f>$J$195</f>
        <v>0</v>
      </c>
      <c r="K113" s="60"/>
      <c r="M113" s="3">
        <f>ROW(M113)</f>
        <v>113</v>
      </c>
      <c r="N113" s="37" t="s">
        <v>500</v>
      </c>
      <c r="O113" s="46" t="s">
        <v>501</v>
      </c>
      <c r="P113" s="36" t="e">
        <f ca="1">INDEX(INDIRECT($P$2&amp;"!C:C"), MATCH(0, INDIRECT($P$2&amp;"!A:A"), 0))</f>
        <v>#REF!</v>
      </c>
    </row>
    <row r="114" spans="1:16" x14ac:dyDescent="0.4">
      <c r="A114" s="3" t="s">
        <v>2</v>
      </c>
      <c r="B114" s="12" t="s">
        <v>3</v>
      </c>
      <c r="C114" s="17">
        <v>100</v>
      </c>
      <c r="G114" s="3" t="s">
        <v>494</v>
      </c>
      <c r="H114" s="9" t="s">
        <v>31</v>
      </c>
      <c r="I114" s="11" t="s">
        <v>76</v>
      </c>
      <c r="J114" s="27">
        <f>$J$196</f>
        <v>0</v>
      </c>
      <c r="K114" s="60"/>
      <c r="M114" s="3">
        <f t="shared" si="2"/>
        <v>114</v>
      </c>
      <c r="O114" s="46" t="s">
        <v>524</v>
      </c>
      <c r="P114" s="36" t="e">
        <f ca="1">INDEX(INDIRECT($P$2&amp;"!D:D"), MATCH(0, INDIRECT($P$2&amp;"!A:A"), 0))</f>
        <v>#REF!</v>
      </c>
    </row>
    <row r="115" spans="1:16" x14ac:dyDescent="0.4">
      <c r="A115" s="3" t="s">
        <v>7</v>
      </c>
      <c r="B115" s="12" t="s">
        <v>10</v>
      </c>
      <c r="C115" s="33">
        <v>201.5</v>
      </c>
      <c r="H115" s="70" t="s">
        <v>567</v>
      </c>
      <c r="I115" s="11" t="s">
        <v>78</v>
      </c>
      <c r="J115" s="27" t="s">
        <v>568</v>
      </c>
      <c r="K115" s="27" t="s">
        <v>562</v>
      </c>
      <c r="M115" s="3">
        <f t="shared" si="2"/>
        <v>115</v>
      </c>
      <c r="N115" s="37" t="s">
        <v>325</v>
      </c>
      <c r="O115" s="46" t="s">
        <v>327</v>
      </c>
      <c r="P115" s="2" t="e">
        <f ca="1">INDEX(INDIRECT($P$2&amp;"!B:B"), MATCH(ROUND($J$4+$J$5, 0), INDIRECT($P$2&amp;"!A:A"), 0))</f>
        <v>#REF!</v>
      </c>
    </row>
    <row r="116" spans="1:16" x14ac:dyDescent="0.4">
      <c r="B116" s="12" t="s">
        <v>430</v>
      </c>
      <c r="C116" s="33">
        <v>-739.55499999999995</v>
      </c>
      <c r="J116" s="5"/>
      <c r="K116" s="5"/>
      <c r="M116" s="3">
        <f t="shared" si="2"/>
        <v>116</v>
      </c>
      <c r="N116" s="37" t="s">
        <v>502</v>
      </c>
      <c r="O116" s="46" t="s">
        <v>503</v>
      </c>
      <c r="P116" s="2" t="e">
        <f ca="1">INDEX(INDIRECT($P$2&amp;"!C:C"), MATCH(ROUND($J$4+$J$5, 0), INDIRECT($P$2&amp;"!A:A"), 0))</f>
        <v>#REF!</v>
      </c>
    </row>
    <row r="117" spans="1:16" x14ac:dyDescent="0.4">
      <c r="B117" s="12" t="s">
        <v>16</v>
      </c>
      <c r="C117" s="33">
        <v>-550.01900000000001</v>
      </c>
      <c r="H117" s="28" t="s">
        <v>508</v>
      </c>
      <c r="J117" s="5"/>
      <c r="M117" s="3">
        <f t="shared" si="2"/>
        <v>117</v>
      </c>
      <c r="O117" s="46" t="s">
        <v>525</v>
      </c>
      <c r="P117" s="2" t="e">
        <f ca="1">INDEX(INDIRECT($P$2&amp;"!D:D"), MATCH(ROUND($J$4+$J$5, 0), INDIRECT($P$2&amp;"!A:A"), 0))</f>
        <v>#REF!</v>
      </c>
    </row>
    <row r="118" spans="1:16" x14ac:dyDescent="0.4">
      <c r="B118" s="12" t="s">
        <v>17</v>
      </c>
      <c r="C118" s="33">
        <v>-1149.9739999999999</v>
      </c>
      <c r="G118" s="3" t="s">
        <v>484</v>
      </c>
      <c r="H118" s="9" t="s">
        <v>374</v>
      </c>
      <c r="I118" s="11" t="s">
        <v>75</v>
      </c>
      <c r="J118" s="57">
        <f>$C$155</f>
        <v>210003</v>
      </c>
      <c r="M118" s="3">
        <f t="shared" si="2"/>
        <v>118</v>
      </c>
      <c r="N118" s="37" t="s">
        <v>186</v>
      </c>
      <c r="O118" s="45" t="str">
        <f>IF($C$66&gt;=3,"λj ≦ q &lt; λj+1 の wAj", "-")</f>
        <v>-</v>
      </c>
      <c r="P118" s="36" t="str">
        <f ca="1">IF($C$66&gt;=3, INDEX(INDIRECT($P$2&amp;"!B:B"), MATCH($P$72, INDIRECT($P$2&amp;"!A:A"), 0)),"-")</f>
        <v>-</v>
      </c>
    </row>
    <row r="119" spans="1:16" x14ac:dyDescent="0.4">
      <c r="B119" s="12" t="s">
        <v>41</v>
      </c>
      <c r="C119" s="33">
        <v>7.2999999999999995E-2</v>
      </c>
      <c r="G119" s="3" t="s">
        <v>467</v>
      </c>
      <c r="H119" s="9" t="s">
        <v>429</v>
      </c>
      <c r="I119" s="11" t="s">
        <v>75</v>
      </c>
      <c r="J119" s="27">
        <f>$C$19</f>
        <v>0</v>
      </c>
      <c r="K119" s="5"/>
      <c r="M119" s="3">
        <f t="shared" si="2"/>
        <v>119</v>
      </c>
      <c r="N119" s="37" t="s">
        <v>187</v>
      </c>
      <c r="O119" s="45" t="str">
        <f>IF($C$66&gt;=4,"λj ≦ q+pz &lt; λj+1 の wAj", "-")</f>
        <v>-</v>
      </c>
      <c r="P119" s="36" t="str">
        <f ca="1">IF($C$66&gt;=4, INDEX(INDIRECT($P$2&amp;"!B:B"), MATCH($P$73, INDIRECT($P$2&amp;"!A:A"), 0)),"-")</f>
        <v>-</v>
      </c>
    </row>
    <row r="120" spans="1:16" x14ac:dyDescent="0.4">
      <c r="B120" s="12" t="s">
        <v>320</v>
      </c>
      <c r="C120" s="17">
        <v>257</v>
      </c>
      <c r="G120" s="3" t="s">
        <v>76</v>
      </c>
      <c r="H120" s="9" t="s">
        <v>438</v>
      </c>
      <c r="I120" s="11" t="s">
        <v>76</v>
      </c>
      <c r="J120" s="27" t="e">
        <f>$J$9</f>
        <v>#NUM!</v>
      </c>
      <c r="K120" s="27" t="e">
        <f>$C$118+$J$120</f>
        <v>#NUM!</v>
      </c>
      <c r="M120" s="3">
        <f t="shared" si="2"/>
        <v>120</v>
      </c>
      <c r="N120" s="37" t="s">
        <v>188</v>
      </c>
      <c r="O120" s="45" t="str">
        <f>IF($C$66&gt;=5,"λj ≦ q+2pz &lt; λj+1 の wAj", "-")</f>
        <v>-</v>
      </c>
      <c r="P120" s="36" t="str">
        <f ca="1">IF($C$66&gt;=5, INDEX(INDIRECT($P$2&amp;"!B:B"), MATCH($P$74, INDIRECT($P$2&amp;"!A:A"), 0)),"-")</f>
        <v>-</v>
      </c>
    </row>
    <row r="121" spans="1:16" x14ac:dyDescent="0.4">
      <c r="B121" s="12" t="s">
        <v>321</v>
      </c>
      <c r="C121" s="17">
        <v>247</v>
      </c>
      <c r="G121" s="3" t="s">
        <v>466</v>
      </c>
      <c r="H121" s="9" t="s">
        <v>439</v>
      </c>
      <c r="I121" s="11" t="s">
        <v>76</v>
      </c>
      <c r="J121" s="27">
        <f>$J$4</f>
        <v>0</v>
      </c>
      <c r="K121" s="44"/>
      <c r="M121" s="3">
        <f t="shared" si="2"/>
        <v>121</v>
      </c>
      <c r="N121" s="37" t="s">
        <v>189</v>
      </c>
      <c r="O121" s="45" t="str">
        <f>IF($C$66&gt;=6,"λj ≦ q+3pz &lt; λj+1 の wAj", "-")</f>
        <v>-</v>
      </c>
      <c r="P121" s="36" t="str">
        <f ca="1">IF($C$66&gt;=6, INDEX(INDIRECT($P$2&amp;"!B:B"), MATCH($P$75, INDIRECT($P$2&amp;"!A:A"), 0)),"-")</f>
        <v>-</v>
      </c>
    </row>
    <row r="122" spans="1:16" x14ac:dyDescent="0.4">
      <c r="B122" s="12" t="s">
        <v>408</v>
      </c>
      <c r="C122" s="34">
        <v>8</v>
      </c>
      <c r="G122" s="3" t="s">
        <v>472</v>
      </c>
      <c r="H122" s="9" t="s">
        <v>390</v>
      </c>
      <c r="I122" s="11" t="s">
        <v>79</v>
      </c>
      <c r="J122" s="27">
        <f>$C$64</f>
        <v>0</v>
      </c>
      <c r="M122" s="3">
        <f t="shared" si="2"/>
        <v>122</v>
      </c>
      <c r="N122" s="37" t="s">
        <v>190</v>
      </c>
      <c r="O122" s="45" t="str">
        <f>IF($C$66&gt;=7,"λj ≦ q+4pz &lt; λj+1 の wAj", "-")</f>
        <v>-</v>
      </c>
      <c r="P122" s="36" t="str">
        <f ca="1">IF($C$66&gt;=7, INDEX(INDIRECT($P$2&amp;"!B:B"), MATCH($P$76, INDIRECT($P$2&amp;"!A:A"), 0)),"-")</f>
        <v>-</v>
      </c>
    </row>
    <row r="123" spans="1:16" x14ac:dyDescent="0.4">
      <c r="G123" s="3" t="s">
        <v>473</v>
      </c>
      <c r="H123" s="9" t="s">
        <v>392</v>
      </c>
      <c r="I123" s="11" t="s">
        <v>79</v>
      </c>
      <c r="J123" s="27">
        <f>$C$65</f>
        <v>0</v>
      </c>
      <c r="M123" s="3">
        <f t="shared" si="2"/>
        <v>123</v>
      </c>
      <c r="N123" s="37" t="s">
        <v>191</v>
      </c>
      <c r="O123" s="45" t="str">
        <f>IF($C$66&gt;=8,"λj ≦ q+5pz &lt; λj+1 の wAj", "-")</f>
        <v>-</v>
      </c>
      <c r="P123" s="36" t="str">
        <f ca="1">IF($C$66&gt;=8, INDEX(INDIRECT($P$2&amp;"!B:B"), MATCH($P$77, INDIRECT($P$2&amp;"!A:A"), 0)),"-")</f>
        <v>-</v>
      </c>
    </row>
    <row r="124" spans="1:16" x14ac:dyDescent="0.4">
      <c r="B124" s="4" t="s">
        <v>360</v>
      </c>
      <c r="G124" s="3" t="s">
        <v>460</v>
      </c>
      <c r="H124" s="9" t="s">
        <v>387</v>
      </c>
      <c r="I124" s="11" t="s">
        <v>76</v>
      </c>
      <c r="J124" s="27">
        <f>$C$61</f>
        <v>0</v>
      </c>
      <c r="M124" s="3">
        <f t="shared" si="2"/>
        <v>124</v>
      </c>
      <c r="N124" s="37" t="s">
        <v>192</v>
      </c>
      <c r="O124" s="45" t="s">
        <v>194</v>
      </c>
      <c r="P124" s="36" t="e">
        <f ca="1">INDEX(INDIRECT($P$2&amp;"!B:B"), MATCH($P$78, INDIRECT($P$2&amp;"!A:A"), 0))</f>
        <v>#REF!</v>
      </c>
    </row>
    <row r="125" spans="1:16" x14ac:dyDescent="0.4">
      <c r="B125" s="12" t="s">
        <v>658</v>
      </c>
      <c r="C125" s="58">
        <v>1</v>
      </c>
      <c r="G125" s="3" t="s">
        <v>471</v>
      </c>
      <c r="H125" s="9" t="s">
        <v>389</v>
      </c>
      <c r="I125" s="11" t="s">
        <v>79</v>
      </c>
      <c r="J125" s="27">
        <f>$C$63</f>
        <v>0</v>
      </c>
      <c r="M125" s="3">
        <f t="shared" si="2"/>
        <v>125</v>
      </c>
      <c r="N125" s="37" t="s">
        <v>193</v>
      </c>
      <c r="O125" s="45" t="s">
        <v>195</v>
      </c>
      <c r="P125" s="36" t="e">
        <f ca="1">INDEX(INDIRECT($P$2&amp;"!B:B"), MATCH($P$79, INDIRECT($P$2&amp;"!A:A"), 0))</f>
        <v>#REF!</v>
      </c>
    </row>
    <row r="126" spans="1:16" x14ac:dyDescent="0.4">
      <c r="B126" s="12" t="s">
        <v>361</v>
      </c>
      <c r="C126" s="58">
        <v>2</v>
      </c>
      <c r="G126" s="3" t="s">
        <v>474</v>
      </c>
      <c r="H126" s="9" t="s">
        <v>388</v>
      </c>
      <c r="I126" s="11" t="s">
        <v>76</v>
      </c>
      <c r="J126" s="27">
        <f>$C$62</f>
        <v>0</v>
      </c>
      <c r="M126" s="3">
        <f t="shared" si="2"/>
        <v>126</v>
      </c>
      <c r="N126" s="37" t="s">
        <v>196</v>
      </c>
      <c r="O126" s="45" t="str">
        <f>IF($C$66&gt;=3,"λj ≦ q &lt; λj+1 の wAj+1", "-")</f>
        <v>-</v>
      </c>
      <c r="P126" s="36" t="str">
        <f ca="1">IF($C$66&gt;=3, INDEX(INDIRECT($P$2&amp;"!B:B"), MATCH($P$80, INDIRECT($P$2&amp;"!A:A"), 0)),"-")</f>
        <v>-</v>
      </c>
    </row>
    <row r="127" spans="1:16" x14ac:dyDescent="0.4">
      <c r="B127" s="12" t="s">
        <v>362</v>
      </c>
      <c r="C127" s="58">
        <v>6</v>
      </c>
      <c r="G127" s="3" t="s">
        <v>470</v>
      </c>
      <c r="H127" s="9" t="s">
        <v>393</v>
      </c>
      <c r="I127" s="11" t="s">
        <v>75</v>
      </c>
      <c r="J127" s="57">
        <f>$C$66</f>
        <v>0</v>
      </c>
      <c r="M127" s="3">
        <f t="shared" si="2"/>
        <v>127</v>
      </c>
      <c r="N127" s="37" t="s">
        <v>197</v>
      </c>
      <c r="O127" s="45" t="str">
        <f>IF($C$66&gt;=4,"λj ≦ q+pz &lt; λj+1 の wAj+1", "-")</f>
        <v>-</v>
      </c>
      <c r="P127" s="36" t="str">
        <f ca="1">IF($C$66&gt;=4, INDEX(INDIRECT($P$2&amp;"!B:B"), MATCH($P$81, INDIRECT($P$2&amp;"!A:A"), 0)),"-")</f>
        <v>-</v>
      </c>
    </row>
    <row r="128" spans="1:16" x14ac:dyDescent="0.4">
      <c r="B128" s="12" t="s">
        <v>363</v>
      </c>
      <c r="C128" s="58">
        <v>8</v>
      </c>
      <c r="G128" s="3" t="s">
        <v>475</v>
      </c>
      <c r="H128" s="9" t="s">
        <v>394</v>
      </c>
      <c r="I128" s="11" t="s">
        <v>75</v>
      </c>
      <c r="J128" s="27">
        <f>$C$67</f>
        <v>0</v>
      </c>
      <c r="M128" s="3">
        <f t="shared" si="2"/>
        <v>128</v>
      </c>
      <c r="N128" s="37" t="s">
        <v>198</v>
      </c>
      <c r="O128" s="45" t="str">
        <f>IF($C$66&gt;=5,"λj ≦ q+2pz &lt; λj+1 の wAj+1", "-")</f>
        <v>-</v>
      </c>
      <c r="P128" s="36" t="str">
        <f ca="1">IF($C$66&gt;=5, INDEX(INDIRECT($P$2&amp;"!B:B"), MATCH($P$82, INDIRECT($P$2&amp;"!A:A"), 0)),"-")</f>
        <v>-</v>
      </c>
    </row>
    <row r="129" spans="2:16" x14ac:dyDescent="0.4">
      <c r="B129" s="12" t="s">
        <v>652</v>
      </c>
      <c r="C129" s="58">
        <v>11</v>
      </c>
      <c r="G129" s="3" t="s">
        <v>469</v>
      </c>
      <c r="H129" s="9" t="s">
        <v>4</v>
      </c>
      <c r="I129" s="11" t="s">
        <v>75</v>
      </c>
      <c r="J129" s="27">
        <f>$C$7</f>
        <v>0</v>
      </c>
      <c r="M129" s="3">
        <f t="shared" si="2"/>
        <v>129</v>
      </c>
      <c r="N129" s="37" t="s">
        <v>199</v>
      </c>
      <c r="O129" s="45" t="str">
        <f>IF($C$66&gt;=6,"λj ≦ q+3pz &lt; λj+1 の wAj+1", "-")</f>
        <v>-</v>
      </c>
      <c r="P129" s="36" t="str">
        <f ca="1">IF($C$66&gt;=6, INDEX(INDIRECT($P$2&amp;"!B:B"), MATCH($P$83, INDIRECT($P$2&amp;"!A:A"), 0)),"-")</f>
        <v>-</v>
      </c>
    </row>
    <row r="130" spans="2:16" x14ac:dyDescent="0.4">
      <c r="B130" s="12" t="s">
        <v>653</v>
      </c>
      <c r="C130" s="58">
        <v>12</v>
      </c>
      <c r="G130" s="3" t="s">
        <v>476</v>
      </c>
      <c r="H130" s="9" t="s">
        <v>277</v>
      </c>
      <c r="I130" s="11" t="s">
        <v>77</v>
      </c>
      <c r="J130" s="27" t="e">
        <f>$J$13</f>
        <v>#NUM!</v>
      </c>
      <c r="K130" s="43"/>
      <c r="M130" s="3">
        <f t="shared" si="2"/>
        <v>130</v>
      </c>
      <c r="N130" s="37" t="s">
        <v>200</v>
      </c>
      <c r="O130" s="45" t="str">
        <f>IF($C$66&gt;=7,"λj ≦ q+4pz &lt; λj+1 の wAj+1", "-")</f>
        <v>-</v>
      </c>
      <c r="P130" s="36" t="str">
        <f ca="1">IF($C$66&gt;=7, INDEX(INDIRECT($P$2&amp;"!B:B"), MATCH($P$84, INDIRECT($P$2&amp;"!A:A"), 0)),"-")</f>
        <v>-</v>
      </c>
    </row>
    <row r="131" spans="2:16" x14ac:dyDescent="0.4">
      <c r="B131" s="12" t="s">
        <v>654</v>
      </c>
      <c r="C131" s="58">
        <v>13</v>
      </c>
      <c r="G131" s="3" t="s">
        <v>77</v>
      </c>
      <c r="H131" s="10" t="s">
        <v>403</v>
      </c>
      <c r="I131" s="47" t="s">
        <v>77</v>
      </c>
      <c r="J131" s="27" t="e">
        <f ca="1">-ROUND(DEGREES($P$139),3)</f>
        <v>#VALUE!</v>
      </c>
      <c r="K131" s="5"/>
      <c r="M131" s="3">
        <f t="shared" si="2"/>
        <v>131</v>
      </c>
      <c r="N131" s="37" t="s">
        <v>201</v>
      </c>
      <c r="O131" s="45" t="str">
        <f>IF($C$66&gt;=8,"λj ≦ q+5pz &lt; λj+1 の wAj+1", "-")</f>
        <v>-</v>
      </c>
      <c r="P131" s="36" t="str">
        <f ca="1">IF($C$66&gt;=8, INDEX(INDIRECT($P$2&amp;"!B:B"), MATCH($P$85, INDIRECT($P$2&amp;"!A:A"), 0)),"-")</f>
        <v>-</v>
      </c>
    </row>
    <row r="132" spans="2:16" x14ac:dyDescent="0.4">
      <c r="B132" s="12" t="s">
        <v>364</v>
      </c>
      <c r="C132" s="58">
        <v>16</v>
      </c>
      <c r="J132" s="5"/>
      <c r="K132" s="5"/>
      <c r="M132" s="3">
        <f t="shared" si="2"/>
        <v>132</v>
      </c>
      <c r="N132" s="37" t="s">
        <v>202</v>
      </c>
      <c r="O132" s="45" t="s">
        <v>204</v>
      </c>
      <c r="P132" s="36" t="e">
        <f ca="1">INDEX(INDIRECT($P$2&amp;"!B:B"), MATCH($P$86, INDIRECT($P$2&amp;"!A:A"), 0))</f>
        <v>#REF!</v>
      </c>
    </row>
    <row r="133" spans="2:16" x14ac:dyDescent="0.4">
      <c r="B133" s="12" t="s">
        <v>636</v>
      </c>
      <c r="C133" s="58"/>
      <c r="H133" s="28" t="s">
        <v>509</v>
      </c>
      <c r="J133" s="5"/>
      <c r="M133" s="3">
        <f t="shared" si="2"/>
        <v>133</v>
      </c>
      <c r="N133" s="37" t="s">
        <v>203</v>
      </c>
      <c r="O133" s="45" t="s">
        <v>205</v>
      </c>
      <c r="P133" s="36" t="e">
        <f ca="1">INDEX(INDIRECT($P$2&amp;"!B:B"), MATCH($P$87, INDIRECT($P$2&amp;"!A:A"), 0))</f>
        <v>#REF!</v>
      </c>
    </row>
    <row r="134" spans="2:16" x14ac:dyDescent="0.4">
      <c r="B134" s="12" t="s">
        <v>365</v>
      </c>
      <c r="C134" s="58">
        <v>31</v>
      </c>
      <c r="G134" s="3" t="s">
        <v>467</v>
      </c>
      <c r="H134" s="9" t="s">
        <v>360</v>
      </c>
      <c r="I134" s="11" t="s">
        <v>75</v>
      </c>
      <c r="J134" s="57" t="e" cm="1">
        <f t="array" ref="J134">_xlfn.IFS($C$68&gt;=20, $C$134, $C$68&gt;=6.6, $C$135, $C$68&gt;=15, $C$136)</f>
        <v>#N/A</v>
      </c>
      <c r="K134" s="43"/>
      <c r="M134" s="3">
        <f t="shared" si="2"/>
        <v>134</v>
      </c>
      <c r="N134" s="37" t="s">
        <v>216</v>
      </c>
      <c r="O134" s="45" t="s">
        <v>135</v>
      </c>
      <c r="P134" s="2" t="e">
        <f ca="1">$C$7+$J$327/2</f>
        <v>#REF!</v>
      </c>
    </row>
    <row r="135" spans="2:16" x14ac:dyDescent="0.4">
      <c r="B135" s="12" t="s">
        <v>366</v>
      </c>
      <c r="C135" s="58">
        <v>32</v>
      </c>
      <c r="J135" s="5"/>
      <c r="K135" s="5"/>
      <c r="M135" s="3">
        <f t="shared" si="2"/>
        <v>135</v>
      </c>
      <c r="N135" s="37" t="s">
        <v>217</v>
      </c>
      <c r="O135" s="45" t="s">
        <v>136</v>
      </c>
      <c r="P135" s="2" t="e">
        <f>$C$7+$J$328/2</f>
        <v>#VALUE!</v>
      </c>
    </row>
    <row r="136" spans="2:16" x14ac:dyDescent="0.4">
      <c r="B136" s="12" t="s">
        <v>367</v>
      </c>
      <c r="C136" s="58">
        <v>33</v>
      </c>
      <c r="H136" s="28" t="s">
        <v>510</v>
      </c>
      <c r="J136" s="5"/>
      <c r="M136" s="3">
        <f t="shared" si="2"/>
        <v>136</v>
      </c>
      <c r="N136" s="37" t="s">
        <v>220</v>
      </c>
      <c r="O136" s="45" t="s">
        <v>410</v>
      </c>
      <c r="P136" s="2" t="e">
        <f>SQRT($P$135^2-$P$64^2)</f>
        <v>#VALUE!</v>
      </c>
    </row>
    <row r="137" spans="2:16" x14ac:dyDescent="0.4">
      <c r="B137" s="12" t="s">
        <v>368</v>
      </c>
      <c r="C137" s="58">
        <v>36</v>
      </c>
      <c r="G137" s="3" t="s">
        <v>467</v>
      </c>
      <c r="H137" s="9" t="s">
        <v>360</v>
      </c>
      <c r="I137" s="11" t="s">
        <v>75</v>
      </c>
      <c r="J137" s="57">
        <f>$C$126</f>
        <v>2</v>
      </c>
      <c r="K137" s="43"/>
      <c r="M137" s="3">
        <f t="shared" si="2"/>
        <v>137</v>
      </c>
      <c r="N137" s="37" t="s">
        <v>221</v>
      </c>
      <c r="O137" s="45" t="s">
        <v>410</v>
      </c>
      <c r="P137" s="2" t="e">
        <f ca="1">SQRT($P$134^2-$J$4^2)</f>
        <v>#REF!</v>
      </c>
    </row>
    <row r="138" spans="2:16" ht="15" thickBot="1" x14ac:dyDescent="0.45">
      <c r="B138" s="12" t="s">
        <v>369</v>
      </c>
      <c r="C138" s="58">
        <v>41</v>
      </c>
      <c r="G138" s="3" t="s">
        <v>77</v>
      </c>
      <c r="H138" s="64" t="s">
        <v>532</v>
      </c>
      <c r="I138" s="65" t="s">
        <v>77</v>
      </c>
      <c r="J138" s="66" t="e">
        <f>$J$13</f>
        <v>#NUM!</v>
      </c>
      <c r="K138" s="27" t="e">
        <f>-$C$119+$J$138</f>
        <v>#NUM!</v>
      </c>
      <c r="M138" s="3">
        <f t="shared" si="2"/>
        <v>138</v>
      </c>
      <c r="N138" s="37" t="s">
        <v>118</v>
      </c>
      <c r="O138" s="45" t="s">
        <v>118</v>
      </c>
      <c r="P138" s="2" t="e">
        <f ca="1">IF($P$136&gt;$P$137, ($P$136-$P$137)/$C$61, 0)</f>
        <v>#VALUE!</v>
      </c>
    </row>
    <row r="139" spans="2:16" ht="15" thickTop="1" x14ac:dyDescent="0.4">
      <c r="B139" s="12" t="s">
        <v>637</v>
      </c>
      <c r="C139" s="58">
        <v>50</v>
      </c>
      <c r="G139" s="3" t="s">
        <v>484</v>
      </c>
      <c r="H139" s="67" t="s">
        <v>374</v>
      </c>
      <c r="I139" s="68" t="s">
        <v>75</v>
      </c>
      <c r="J139" s="69">
        <f>$C$156</f>
        <v>410000</v>
      </c>
      <c r="M139" s="3">
        <f t="shared" si="2"/>
        <v>139</v>
      </c>
      <c r="N139" s="37" t="s">
        <v>119</v>
      </c>
      <c r="O139" s="45" t="s">
        <v>451</v>
      </c>
      <c r="P139" s="2" t="e">
        <f ca="1">ATAN($P$138)</f>
        <v>#VALUE!</v>
      </c>
    </row>
    <row r="140" spans="2:16" x14ac:dyDescent="0.4">
      <c r="G140" s="3" t="s">
        <v>76</v>
      </c>
      <c r="H140" s="9" t="s">
        <v>438</v>
      </c>
      <c r="I140" s="11" t="s">
        <v>76</v>
      </c>
      <c r="J140" s="27" t="e">
        <f>$J$9</f>
        <v>#NUM!</v>
      </c>
      <c r="K140" s="27" t="e">
        <f>$C$118+$J$140</f>
        <v>#NUM!</v>
      </c>
      <c r="M140" s="3">
        <f t="shared" si="2"/>
        <v>140</v>
      </c>
      <c r="N140" s="37" t="s">
        <v>119</v>
      </c>
      <c r="O140" s="45" t="s">
        <v>452</v>
      </c>
      <c r="P140" s="2" t="e">
        <f ca="1">-RADIANS($J$131)</f>
        <v>#VALUE!</v>
      </c>
    </row>
    <row r="141" spans="2:16" x14ac:dyDescent="0.4">
      <c r="B141" s="4" t="s">
        <v>448</v>
      </c>
      <c r="G141" s="3" t="s">
        <v>469</v>
      </c>
      <c r="H141" s="9" t="s">
        <v>533</v>
      </c>
      <c r="I141" s="11" t="s">
        <v>75</v>
      </c>
      <c r="J141" s="27" t="e">
        <f ca="1">$P$114</f>
        <v>#REF!</v>
      </c>
      <c r="M141" s="3">
        <f t="shared" si="2"/>
        <v>141</v>
      </c>
      <c r="N141" s="37" t="s">
        <v>282</v>
      </c>
      <c r="O141" s="45" t="s">
        <v>282</v>
      </c>
      <c r="P141" s="2" t="e">
        <f ca="1">SIN($P$140)</f>
        <v>#VALUE!</v>
      </c>
    </row>
    <row r="142" spans="2:16" x14ac:dyDescent="0.4">
      <c r="B142" s="12" t="s">
        <v>446</v>
      </c>
      <c r="C142" s="17">
        <v>40</v>
      </c>
      <c r="J142" s="5"/>
      <c r="K142" s="5"/>
      <c r="M142" s="3">
        <f t="shared" si="2"/>
        <v>142</v>
      </c>
      <c r="N142" s="37" t="s">
        <v>281</v>
      </c>
      <c r="O142" s="45" t="s">
        <v>281</v>
      </c>
      <c r="P142" s="2" t="e">
        <f ca="1">COS($P$140)</f>
        <v>#VALUE!</v>
      </c>
    </row>
    <row r="143" spans="2:16" x14ac:dyDescent="0.4">
      <c r="B143" s="12" t="s">
        <v>447</v>
      </c>
      <c r="C143" s="17">
        <v>32</v>
      </c>
      <c r="H143" s="4" t="s">
        <v>511</v>
      </c>
      <c r="J143" s="25"/>
      <c r="M143" s="3">
        <f t="shared" si="2"/>
        <v>143</v>
      </c>
      <c r="N143" s="37" t="s">
        <v>218</v>
      </c>
      <c r="O143" s="45" t="s">
        <v>85</v>
      </c>
      <c r="P143" s="2" t="e">
        <f>$C$7-$J$328/2</f>
        <v>#VALUE!</v>
      </c>
    </row>
    <row r="144" spans="2:16" x14ac:dyDescent="0.4">
      <c r="B144" s="12" t="s">
        <v>395</v>
      </c>
      <c r="C144" s="17">
        <v>3</v>
      </c>
      <c r="G144" s="3" t="s">
        <v>467</v>
      </c>
      <c r="H144" s="9" t="s">
        <v>360</v>
      </c>
      <c r="I144" s="11" t="s">
        <v>75</v>
      </c>
      <c r="J144" s="57">
        <f>IF($C$33&lt;&gt;1,$C$132,$C$133)</f>
        <v>16</v>
      </c>
      <c r="K144" s="43"/>
      <c r="M144" s="3">
        <f t="shared" si="2"/>
        <v>144</v>
      </c>
      <c r="N144" s="37" t="s">
        <v>219</v>
      </c>
      <c r="O144" s="45" t="s">
        <v>86</v>
      </c>
      <c r="P144" s="2" t="e">
        <f ca="1">$C$7-$J$329/2</f>
        <v>#REF!</v>
      </c>
    </row>
    <row r="145" spans="2:16" x14ac:dyDescent="0.4">
      <c r="G145" s="3" t="s">
        <v>484</v>
      </c>
      <c r="H145" s="9" t="s">
        <v>374</v>
      </c>
      <c r="I145" s="11" t="s">
        <v>75</v>
      </c>
      <c r="J145" s="57">
        <f>$C$157</f>
        <v>420000</v>
      </c>
      <c r="M145" s="3">
        <f t="shared" si="2"/>
        <v>145</v>
      </c>
      <c r="N145" s="37" t="s">
        <v>222</v>
      </c>
      <c r="O145" s="45" t="s">
        <v>414</v>
      </c>
      <c r="P145" s="2" t="e">
        <f ca="1">SQRT($P$144^2-$P$71^2)</f>
        <v>#REF!</v>
      </c>
    </row>
    <row r="146" spans="2:16" x14ac:dyDescent="0.4">
      <c r="B146" s="4" t="s">
        <v>374</v>
      </c>
      <c r="G146" s="3" t="s">
        <v>79</v>
      </c>
      <c r="H146" s="9" t="s">
        <v>454</v>
      </c>
      <c r="I146" s="11" t="s">
        <v>79</v>
      </c>
      <c r="J146" s="27">
        <f>$P$22</f>
        <v>0</v>
      </c>
      <c r="K146" s="43"/>
      <c r="M146" s="3">
        <f t="shared" si="2"/>
        <v>146</v>
      </c>
      <c r="N146" s="37" t="s">
        <v>223</v>
      </c>
      <c r="O146" s="45" t="s">
        <v>414</v>
      </c>
      <c r="P146" s="2" t="e">
        <f>SQRT($P$143^2-$P$64^2)</f>
        <v>#VALUE!</v>
      </c>
    </row>
    <row r="147" spans="2:16" x14ac:dyDescent="0.4">
      <c r="B147" s="12" t="s">
        <v>375</v>
      </c>
      <c r="C147" s="58">
        <v>110001</v>
      </c>
      <c r="G147" s="3" t="s">
        <v>78</v>
      </c>
      <c r="H147" s="9" t="s">
        <v>455</v>
      </c>
      <c r="I147" s="11" t="s">
        <v>78</v>
      </c>
      <c r="J147" s="27">
        <f>$P$23</f>
        <v>0</v>
      </c>
      <c r="K147" s="43"/>
      <c r="M147" s="3">
        <f t="shared" si="2"/>
        <v>147</v>
      </c>
      <c r="N147" s="37" t="s">
        <v>120</v>
      </c>
      <c r="P147" s="2" t="e">
        <f ca="1">($P145-$P146)/($P$64-$P$71)</f>
        <v>#REF!</v>
      </c>
    </row>
    <row r="148" spans="2:16" x14ac:dyDescent="0.4">
      <c r="B148" s="12" t="s">
        <v>376</v>
      </c>
      <c r="C148" s="58">
        <v>110002</v>
      </c>
      <c r="G148" s="3" t="s">
        <v>475</v>
      </c>
      <c r="H148" s="9" t="s">
        <v>57</v>
      </c>
      <c r="I148" s="11" t="s">
        <v>79</v>
      </c>
      <c r="J148" s="27">
        <f>$P$16</f>
        <v>0</v>
      </c>
      <c r="K148" s="60"/>
      <c r="M148" s="3">
        <f t="shared" si="2"/>
        <v>148</v>
      </c>
      <c r="N148" s="37" t="s">
        <v>121</v>
      </c>
      <c r="O148" s="45" t="s">
        <v>92</v>
      </c>
      <c r="P148" s="2" t="e">
        <f ca="1">ATAN($P$147)</f>
        <v>#REF!</v>
      </c>
    </row>
    <row r="149" spans="2:16" x14ac:dyDescent="0.4">
      <c r="B149" s="12" t="s">
        <v>377</v>
      </c>
      <c r="C149" s="58">
        <v>120001</v>
      </c>
      <c r="G149" s="3" t="s">
        <v>477</v>
      </c>
      <c r="H149" s="9" t="s">
        <v>8</v>
      </c>
      <c r="I149" s="11" t="s">
        <v>78</v>
      </c>
      <c r="J149" s="27">
        <f>$P$17</f>
        <v>0</v>
      </c>
      <c r="K149" s="60"/>
      <c r="M149" s="3">
        <f>ROW(M149)</f>
        <v>149</v>
      </c>
      <c r="N149" s="37" t="s">
        <v>123</v>
      </c>
      <c r="O149" s="45" t="s">
        <v>415</v>
      </c>
      <c r="P149" s="2">
        <f>IF(MOD($C$66, 2)=0, $C$64, $C$65)</f>
        <v>0</v>
      </c>
    </row>
    <row r="150" spans="2:16" x14ac:dyDescent="0.4">
      <c r="B150" s="12" t="s">
        <v>378</v>
      </c>
      <c r="C150" s="58">
        <v>130001</v>
      </c>
      <c r="G150" s="3" t="s">
        <v>76</v>
      </c>
      <c r="H150" s="9" t="s">
        <v>438</v>
      </c>
      <c r="I150" s="11" t="s">
        <v>76</v>
      </c>
      <c r="J150" s="27" t="e">
        <f>$J$9</f>
        <v>#NUM!</v>
      </c>
      <c r="K150" s="27" t="e">
        <f>$C$118+$J$150</f>
        <v>#NUM!</v>
      </c>
      <c r="M150" s="3">
        <f t="shared" si="2"/>
        <v>150</v>
      </c>
      <c r="N150" s="37" t="s">
        <v>122</v>
      </c>
      <c r="O150" s="45" t="s">
        <v>416</v>
      </c>
      <c r="P150" s="2">
        <f>IF(MOD($C$66, 2)=0, $C$65, $C$64)</f>
        <v>0</v>
      </c>
    </row>
    <row r="151" spans="2:16" x14ac:dyDescent="0.4">
      <c r="B151" s="12" t="s">
        <v>379</v>
      </c>
      <c r="C151" s="58">
        <v>130002</v>
      </c>
      <c r="G151" s="3" t="s">
        <v>469</v>
      </c>
      <c r="H151" s="9" t="s">
        <v>478</v>
      </c>
      <c r="I151" s="11" t="s">
        <v>75</v>
      </c>
      <c r="J151" s="27">
        <f>$C$40</f>
        <v>0</v>
      </c>
      <c r="K151" s="60"/>
      <c r="M151" s="3">
        <f t="shared" si="2"/>
        <v>151</v>
      </c>
      <c r="N151" s="37" t="s">
        <v>224</v>
      </c>
      <c r="O151" s="45" t="s">
        <v>130</v>
      </c>
      <c r="P151" s="2" t="e">
        <f ca="1">$J$327/2-$J$317-$P$149/2</f>
        <v>#REF!</v>
      </c>
    </row>
    <row r="152" spans="2:16" x14ac:dyDescent="0.4">
      <c r="B152" s="12" t="s">
        <v>380</v>
      </c>
      <c r="C152" s="58">
        <v>140001</v>
      </c>
      <c r="G152" s="3" t="s">
        <v>474</v>
      </c>
      <c r="H152" s="9" t="s">
        <v>358</v>
      </c>
      <c r="I152" s="11" t="s">
        <v>76</v>
      </c>
      <c r="J152" s="27">
        <f>IF($C$35&lt;&gt;1, $J$195+$J$196, $P$25)</f>
        <v>0</v>
      </c>
      <c r="K152" s="60"/>
      <c r="M152" s="3">
        <f t="shared" si="2"/>
        <v>152</v>
      </c>
      <c r="N152" s="37" t="s">
        <v>225</v>
      </c>
      <c r="O152" s="45" t="s">
        <v>131</v>
      </c>
      <c r="P152" s="2" t="e">
        <f ca="1">$J$327/2-$J$318-$P$150/2</f>
        <v>#REF!</v>
      </c>
    </row>
    <row r="153" spans="2:16" x14ac:dyDescent="0.4">
      <c r="B153" s="12" t="s">
        <v>592</v>
      </c>
      <c r="C153" s="58">
        <v>150002</v>
      </c>
      <c r="G153" s="3" t="s">
        <v>470</v>
      </c>
      <c r="H153" s="9" t="s">
        <v>30</v>
      </c>
      <c r="I153" s="11" t="s">
        <v>76</v>
      </c>
      <c r="J153" s="27">
        <f>$J$195</f>
        <v>0</v>
      </c>
      <c r="K153" s="60"/>
      <c r="M153" s="3">
        <f t="shared" si="2"/>
        <v>153</v>
      </c>
      <c r="N153" s="37" t="s">
        <v>227</v>
      </c>
      <c r="O153" s="45" t="str">
        <f>IF($C$66&gt;=3,"λj ≦ q &lt; λj+1 の wBj", "-")</f>
        <v>-</v>
      </c>
      <c r="P153" s="36" t="str">
        <f ca="1">IF($C$66&gt;=3, INDEX(INDIRECT($P$2&amp;"!C:C"), MATCH($P$72, INDIRECT($P$2&amp;"!A:A"), 0)),"-")</f>
        <v>-</v>
      </c>
    </row>
    <row r="154" spans="2:16" x14ac:dyDescent="0.4">
      <c r="B154" s="12" t="s">
        <v>650</v>
      </c>
      <c r="C154" s="58">
        <v>160003</v>
      </c>
      <c r="G154" s="3" t="s">
        <v>466</v>
      </c>
      <c r="H154" s="9" t="s">
        <v>31</v>
      </c>
      <c r="I154" s="11" t="s">
        <v>76</v>
      </c>
      <c r="J154" s="27">
        <f>$J$196</f>
        <v>0</v>
      </c>
      <c r="K154" s="60"/>
      <c r="M154" s="3">
        <f t="shared" si="2"/>
        <v>154</v>
      </c>
      <c r="N154" s="37" t="s">
        <v>228</v>
      </c>
      <c r="O154" s="45" t="str">
        <f>IF($C$66&gt;=4,"λj ≦ q+pz &lt; λj+1 の wBj", "-")</f>
        <v>-</v>
      </c>
      <c r="P154" s="36" t="str">
        <f ca="1">IF($C$66&gt;=4, INDEX(INDIRECT($P$2&amp;"!C:C"), MATCH($P$73, INDIRECT($P$2&amp;"!A:A"), 0)),"-")</f>
        <v>-</v>
      </c>
    </row>
    <row r="155" spans="2:16" x14ac:dyDescent="0.4">
      <c r="B155" s="12" t="s">
        <v>417</v>
      </c>
      <c r="C155" s="58">
        <v>210003</v>
      </c>
      <c r="H155" s="18"/>
      <c r="I155" s="20"/>
      <c r="J155" s="5"/>
      <c r="M155" s="3">
        <f t="shared" si="2"/>
        <v>155</v>
      </c>
      <c r="N155" s="37" t="s">
        <v>229</v>
      </c>
      <c r="O155" s="45" t="str">
        <f>IF($C$66&gt;=5,"λj ≦ q+2pz &lt; λj+1 の wBj", "-")</f>
        <v>-</v>
      </c>
      <c r="P155" s="36" t="str">
        <f ca="1">IF($C$66&gt;=5, INDEX(INDIRECT($P$2&amp;"!C:C"), MATCH($P$74, INDIRECT($P$2&amp;"!A:A"), 0)),"-")</f>
        <v>-</v>
      </c>
    </row>
    <row r="156" spans="2:16" x14ac:dyDescent="0.4">
      <c r="B156" s="12" t="s">
        <v>418</v>
      </c>
      <c r="C156" s="58">
        <v>410000</v>
      </c>
      <c r="H156" s="4" t="s">
        <v>583</v>
      </c>
      <c r="J156" s="25"/>
      <c r="M156" s="3">
        <f t="shared" si="2"/>
        <v>156</v>
      </c>
      <c r="N156" s="37" t="s">
        <v>230</v>
      </c>
      <c r="O156" s="45" t="str">
        <f>IF($C$66&gt;=6,"λj ≦ q+3pz &lt; λj+1 の wBj", "-")</f>
        <v>-</v>
      </c>
      <c r="P156" s="36" t="str">
        <f ca="1">IF($C$66&gt;=6, INDEX(INDIRECT($P$2&amp;"!C:C"), MATCH($P$75, INDIRECT($P$2&amp;"!A:A"), 0)),"-")</f>
        <v>-</v>
      </c>
    </row>
    <row r="157" spans="2:16" x14ac:dyDescent="0.4">
      <c r="B157" s="12" t="s">
        <v>419</v>
      </c>
      <c r="C157" s="58">
        <v>420000</v>
      </c>
      <c r="G157" s="3" t="s">
        <v>467</v>
      </c>
      <c r="H157" s="9" t="s">
        <v>360</v>
      </c>
      <c r="I157" s="11" t="s">
        <v>75</v>
      </c>
      <c r="J157" s="57">
        <f>$C$132</f>
        <v>16</v>
      </c>
      <c r="K157" s="43"/>
      <c r="M157" s="3">
        <f t="shared" si="2"/>
        <v>157</v>
      </c>
      <c r="N157" s="37" t="s">
        <v>231</v>
      </c>
      <c r="O157" s="45" t="str">
        <f>IF($C$66&gt;=7,"λj ≦ q+4pz &lt; λj+1 の wBj", "-")</f>
        <v>-</v>
      </c>
      <c r="P157" s="36" t="str">
        <f ca="1">IF($C$66&gt;=7, INDEX(INDIRECT($P$2&amp;"!C:C"), MATCH($P$76, INDIRECT($P$2&amp;"!A:A"), 0)),"-")</f>
        <v>-</v>
      </c>
    </row>
    <row r="158" spans="2:16" x14ac:dyDescent="0.4">
      <c r="B158" s="12" t="s">
        <v>590</v>
      </c>
      <c r="C158" s="58">
        <v>421000</v>
      </c>
      <c r="G158" s="3" t="s">
        <v>484</v>
      </c>
      <c r="H158" s="9" t="s">
        <v>374</v>
      </c>
      <c r="I158" s="11" t="s">
        <v>75</v>
      </c>
      <c r="J158" s="57" t="str">
        <f>IF($C$98&lt;&gt;0, $C$163, "")</f>
        <v/>
      </c>
      <c r="M158" s="3">
        <f t="shared" si="2"/>
        <v>158</v>
      </c>
      <c r="N158" s="37" t="s">
        <v>232</v>
      </c>
      <c r="O158" s="45" t="str">
        <f>IF($C$66&gt;=8,"λj ≦ q+5pz &lt; λj+1 の wBj", "-")</f>
        <v>-</v>
      </c>
      <c r="P158" s="36" t="str">
        <f ca="1">IF($C$66&gt;=8, INDEX(INDIRECT($P$2&amp;"!C:C"), MATCH($P$77, INDIRECT($P$2&amp;"!A:A"), 0)),"-")</f>
        <v>-</v>
      </c>
    </row>
    <row r="159" spans="2:16" x14ac:dyDescent="0.4">
      <c r="B159" s="12" t="s">
        <v>420</v>
      </c>
      <c r="C159" s="58">
        <v>430000</v>
      </c>
      <c r="G159" s="3" t="s">
        <v>471</v>
      </c>
      <c r="H159" s="9" t="s">
        <v>578</v>
      </c>
      <c r="I159" s="11" t="s">
        <v>79</v>
      </c>
      <c r="J159" s="27">
        <f>$C$99</f>
        <v>0</v>
      </c>
      <c r="M159" s="3">
        <f t="shared" si="2"/>
        <v>159</v>
      </c>
      <c r="N159" s="37" t="s">
        <v>233</v>
      </c>
      <c r="O159" s="45" t="s">
        <v>243</v>
      </c>
      <c r="P159" s="36" t="e">
        <f ca="1">INDEX(INDIRECT($P$2&amp;"!C:C"), MATCH($P$78, INDIRECT($P$2&amp;"!A:A"), 0))</f>
        <v>#REF!</v>
      </c>
    </row>
    <row r="160" spans="2:16" x14ac:dyDescent="0.4">
      <c r="B160" s="12" t="s">
        <v>421</v>
      </c>
      <c r="C160" s="58">
        <v>440000</v>
      </c>
      <c r="G160" s="3" t="s">
        <v>475</v>
      </c>
      <c r="H160" s="9" t="s">
        <v>585</v>
      </c>
      <c r="I160" s="11" t="s">
        <v>79</v>
      </c>
      <c r="J160" s="27">
        <f>$C$100</f>
        <v>0</v>
      </c>
      <c r="M160" s="3">
        <f t="shared" si="2"/>
        <v>160</v>
      </c>
      <c r="N160" s="37" t="s">
        <v>234</v>
      </c>
      <c r="O160" s="45" t="s">
        <v>244</v>
      </c>
      <c r="P160" s="36" t="e">
        <f ca="1">INDEX(INDIRECT($P$2&amp;"!C:C"), MATCH($P$79, INDIRECT($P$2&amp;"!A:A"), 0))</f>
        <v>#REF!</v>
      </c>
    </row>
    <row r="161" spans="2:16" x14ac:dyDescent="0.4">
      <c r="B161" s="12" t="s">
        <v>651</v>
      </c>
      <c r="C161" s="58">
        <v>441000</v>
      </c>
      <c r="G161" s="3" t="s">
        <v>477</v>
      </c>
      <c r="H161" s="9" t="s">
        <v>586</v>
      </c>
      <c r="I161" s="11" t="s">
        <v>78</v>
      </c>
      <c r="J161" s="27">
        <f>$C$101</f>
        <v>0</v>
      </c>
      <c r="M161" s="3">
        <f t="shared" si="2"/>
        <v>161</v>
      </c>
      <c r="N161" s="37" t="s">
        <v>235</v>
      </c>
      <c r="O161" s="45" t="str">
        <f>IF($C$66&gt;=3,"λj ≦ q &lt; λj+1 の wBj+1", "-")</f>
        <v>-</v>
      </c>
      <c r="P161" s="36" t="str">
        <f ca="1">IF($C$66&gt;=3, INDEX(INDIRECT($P$2&amp;"!C:C"), MATCH($P$80, INDIRECT($P$2&amp;"!A:A"), 0)),"-")</f>
        <v>-</v>
      </c>
    </row>
    <row r="162" spans="2:16" x14ac:dyDescent="0.4">
      <c r="B162" s="12" t="s">
        <v>422</v>
      </c>
      <c r="C162" s="58">
        <v>450000</v>
      </c>
      <c r="G162" s="3" t="s">
        <v>466</v>
      </c>
      <c r="H162" s="9" t="s">
        <v>587</v>
      </c>
      <c r="I162" s="11" t="s">
        <v>76</v>
      </c>
      <c r="J162" s="27">
        <f>$C$103</f>
        <v>0</v>
      </c>
      <c r="M162" s="3">
        <f t="shared" si="2"/>
        <v>162</v>
      </c>
      <c r="N162" s="37" t="s">
        <v>236</v>
      </c>
      <c r="O162" s="45" t="str">
        <f>IF($C$66&gt;=4,"λj ≦ q+pz &lt; λj+1 の wBj+1", "-")</f>
        <v>-</v>
      </c>
      <c r="P162" s="36" t="str">
        <f ca="1">IF($C$66&gt;=4, INDEX(INDIRECT($P$2&amp;"!C:C"), MATCH($P$81, INDIRECT($P$2&amp;"!A:A"), 0)),"-")</f>
        <v>-</v>
      </c>
    </row>
    <row r="163" spans="2:16" x14ac:dyDescent="0.4">
      <c r="B163" s="12" t="s">
        <v>584</v>
      </c>
      <c r="C163" s="58">
        <v>460000</v>
      </c>
      <c r="G163" s="3" t="s">
        <v>469</v>
      </c>
      <c r="H163" s="9" t="s">
        <v>588</v>
      </c>
      <c r="I163" s="11" t="s">
        <v>75</v>
      </c>
      <c r="J163" s="27">
        <f>$C$102</f>
        <v>0</v>
      </c>
      <c r="M163" s="3">
        <f t="shared" si="2"/>
        <v>163</v>
      </c>
      <c r="N163" s="37" t="s">
        <v>237</v>
      </c>
      <c r="O163" s="45" t="str">
        <f>IF($C$66&gt;=5,"λj ≦ q+2pz &lt; λj+1 の wBj+1", "-")</f>
        <v>-</v>
      </c>
      <c r="P163" s="36" t="str">
        <f ca="1">IF($C$66&gt;=5, INDEX(INDIRECT($P$2&amp;"!C:C"), MATCH($P$82, INDIRECT($P$2&amp;"!A:A"), 0)),"-")</f>
        <v>-</v>
      </c>
    </row>
    <row r="164" spans="2:16" x14ac:dyDescent="0.4">
      <c r="B164" s="12" t="s">
        <v>601</v>
      </c>
      <c r="C164" s="58">
        <v>470000</v>
      </c>
      <c r="G164" s="3" t="s">
        <v>475</v>
      </c>
      <c r="H164" s="9" t="s">
        <v>57</v>
      </c>
      <c r="I164" s="11" t="s">
        <v>79</v>
      </c>
      <c r="J164" s="27">
        <f>$P$16</f>
        <v>0</v>
      </c>
      <c r="K164" s="60"/>
      <c r="M164" s="3">
        <f t="shared" si="2"/>
        <v>164</v>
      </c>
      <c r="N164" s="37" t="s">
        <v>238</v>
      </c>
      <c r="O164" s="45" t="str">
        <f>IF($C$66&gt;=6,"λj ≦ q+3pz &lt; λj+1 の wBj+1", "-")</f>
        <v>-</v>
      </c>
      <c r="P164" s="36" t="str">
        <f ca="1">IF($C$66&gt;=6, INDEX(INDIRECT($P$2&amp;"!C:C"), MATCH($P$83, INDIRECT($P$2&amp;"!A:A"), 0)),"-")</f>
        <v>-</v>
      </c>
    </row>
    <row r="165" spans="2:16" x14ac:dyDescent="0.4">
      <c r="B165" s="12" t="s">
        <v>655</v>
      </c>
      <c r="C165" s="58">
        <v>900003</v>
      </c>
      <c r="G165" s="3" t="s">
        <v>477</v>
      </c>
      <c r="H165" s="9" t="s">
        <v>8</v>
      </c>
      <c r="I165" s="11" t="s">
        <v>78</v>
      </c>
      <c r="J165" s="27">
        <f>$P$17</f>
        <v>0</v>
      </c>
      <c r="K165" s="60"/>
      <c r="M165" s="3">
        <f t="shared" si="2"/>
        <v>165</v>
      </c>
      <c r="N165" s="37" t="s">
        <v>239</v>
      </c>
      <c r="O165" s="45" t="str">
        <f>IF($C$66&gt;=7,"λj ≦ q+4pz &lt; λj+1 の wBj+1", "-")</f>
        <v>-</v>
      </c>
      <c r="P165" s="36" t="str">
        <f ca="1">IF($C$66&gt;=7, INDEX(INDIRECT($P$2&amp;"!C:C"), MATCH($P$84, INDIRECT($P$2&amp;"!A:A"), 0)),"-")</f>
        <v>-</v>
      </c>
    </row>
    <row r="166" spans="2:16" x14ac:dyDescent="0.4">
      <c r="B166" s="12" t="s">
        <v>656</v>
      </c>
      <c r="C166" s="58">
        <v>910001</v>
      </c>
      <c r="G166" s="3" t="s">
        <v>76</v>
      </c>
      <c r="H166" s="9" t="s">
        <v>438</v>
      </c>
      <c r="I166" s="11" t="s">
        <v>76</v>
      </c>
      <c r="J166" s="27" t="e">
        <f>$J$9</f>
        <v>#NUM!</v>
      </c>
      <c r="K166" s="27" t="e">
        <f>$C$118+$J$150</f>
        <v>#NUM!</v>
      </c>
      <c r="M166" s="3">
        <f t="shared" si="2"/>
        <v>166</v>
      </c>
      <c r="N166" s="37" t="s">
        <v>240</v>
      </c>
      <c r="O166" s="45" t="str">
        <f>IF($C$66&gt;=8,"λj ≦ q+5pz &lt; λj+1 の wBj+1", "-")</f>
        <v>-</v>
      </c>
      <c r="P166" s="36" t="str">
        <f ca="1">IF($C$66&gt;=8, INDEX(INDIRECT($P$2&amp;"!C:C"), MATCH($P$85, INDIRECT($P$2&amp;"!A:A"), 0)),"-")</f>
        <v>-</v>
      </c>
    </row>
    <row r="167" spans="2:16" x14ac:dyDescent="0.4">
      <c r="B167" s="12" t="s">
        <v>657</v>
      </c>
      <c r="C167" s="58">
        <v>910002</v>
      </c>
      <c r="H167" s="18"/>
      <c r="I167" s="20"/>
      <c r="J167" s="5"/>
      <c r="M167" s="3">
        <f t="shared" si="2"/>
        <v>167</v>
      </c>
      <c r="N167" s="37" t="s">
        <v>241</v>
      </c>
      <c r="O167" s="45" t="s">
        <v>245</v>
      </c>
      <c r="P167" s="2" t="e">
        <f ca="1">INDEX(INDIRECT($P$2&amp;"!C:C"), MATCH($P$86, INDIRECT($P$2&amp;"!A:A"), 0))</f>
        <v>#REF!</v>
      </c>
    </row>
    <row r="168" spans="2:16" x14ac:dyDescent="0.4">
      <c r="H168" s="4" t="s">
        <v>600</v>
      </c>
      <c r="J168" s="25"/>
      <c r="M168" s="3">
        <f t="shared" si="2"/>
        <v>168</v>
      </c>
      <c r="N168" s="37" t="s">
        <v>242</v>
      </c>
      <c r="O168" s="45" t="s">
        <v>246</v>
      </c>
      <c r="P168" s="2" t="e">
        <f ca="1">INDEX(INDIRECT($P$2&amp;"!C:C"), MATCH($P$87, INDIRECT($P$2&amp;"!A:A"), 0))</f>
        <v>#REF!</v>
      </c>
    </row>
    <row r="169" spans="2:16" x14ac:dyDescent="0.4">
      <c r="B169" s="4" t="s">
        <v>536</v>
      </c>
      <c r="G169" s="3" t="s">
        <v>467</v>
      </c>
      <c r="H169" s="9" t="s">
        <v>360</v>
      </c>
      <c r="I169" s="11" t="s">
        <v>75</v>
      </c>
      <c r="J169" s="57">
        <f>IF($C$33&lt;&gt;1,$C$132,$C$133)</f>
        <v>16</v>
      </c>
      <c r="K169" s="43"/>
      <c r="M169" s="3">
        <f t="shared" si="2"/>
        <v>169</v>
      </c>
      <c r="N169" s="37" t="s">
        <v>263</v>
      </c>
      <c r="O169" s="46" t="str">
        <f>IF($C$66&gt;=4,"2列目AC内径（水平・めっき含・概算）","-")</f>
        <v>-</v>
      </c>
      <c r="P169" s="36" t="str">
        <f>IF($C$66&gt;=4,($P$89*$P$127+$P$97*$P$119)/($P$81-$P$73)+$C$19*2,"-")</f>
        <v>-</v>
      </c>
    </row>
    <row r="170" spans="2:16" x14ac:dyDescent="0.4">
      <c r="B170" s="12" t="s">
        <v>537</v>
      </c>
      <c r="C170" s="58">
        <v>200</v>
      </c>
      <c r="G170" s="3" t="s">
        <v>484</v>
      </c>
      <c r="H170" s="9" t="s">
        <v>374</v>
      </c>
      <c r="I170" s="11" t="s">
        <v>75</v>
      </c>
      <c r="J170" s="57" t="str">
        <f>IF($C$105&lt;&gt;0, $C$164, "")</f>
        <v/>
      </c>
      <c r="M170" s="3">
        <f t="shared" si="2"/>
        <v>170</v>
      </c>
      <c r="N170" s="37" t="s">
        <v>264</v>
      </c>
      <c r="O170" s="46" t="str">
        <f>IF($C$66&gt;=5,"3列目AC内径（水平・めっき含・概算）","-")</f>
        <v>-</v>
      </c>
      <c r="P170" s="36" t="str">
        <f>IF($C$66&gt;=5,($P$90*$P$128+$P$98*$P$120)/($P$82-$P$74)+$C$19*2,"-")</f>
        <v>-</v>
      </c>
    </row>
    <row r="171" spans="2:16" x14ac:dyDescent="0.4">
      <c r="B171" s="12" t="s">
        <v>538</v>
      </c>
      <c r="C171" s="58">
        <v>300</v>
      </c>
      <c r="G171" s="3" t="s">
        <v>79</v>
      </c>
      <c r="H171" s="9" t="s">
        <v>602</v>
      </c>
      <c r="I171" s="11" t="s">
        <v>79</v>
      </c>
      <c r="J171" s="27">
        <f>$C$106</f>
        <v>0</v>
      </c>
      <c r="K171" s="60"/>
      <c r="M171" s="3">
        <f t="shared" si="2"/>
        <v>171</v>
      </c>
      <c r="N171" s="37" t="s">
        <v>265</v>
      </c>
      <c r="O171" s="46" t="str">
        <f>IF($C$66&gt;=6,"4列目AC内径（水平・めっき含・概算）","-")</f>
        <v>-</v>
      </c>
      <c r="P171" s="36" t="str">
        <f>IF($C$66&gt;=6,($P$91*$P$129+$P$99*$P$121)/($P$83-$P$75)+$C$19*2,"-")</f>
        <v>-</v>
      </c>
    </row>
    <row r="172" spans="2:16" x14ac:dyDescent="0.4">
      <c r="B172" s="12" t="s">
        <v>539</v>
      </c>
      <c r="C172" s="58">
        <v>400</v>
      </c>
      <c r="G172" s="3" t="s">
        <v>78</v>
      </c>
      <c r="H172" s="9" t="s">
        <v>603</v>
      </c>
      <c r="I172" s="11" t="s">
        <v>78</v>
      </c>
      <c r="J172" s="27">
        <f>$C$107</f>
        <v>0</v>
      </c>
      <c r="K172" s="60"/>
      <c r="M172" s="3">
        <f t="shared" si="2"/>
        <v>172</v>
      </c>
      <c r="N172" s="37" t="s">
        <v>266</v>
      </c>
      <c r="O172" s="46" t="str">
        <f>IF($C$66&gt;=7,"5列目AC内径（水平・めっき含・概算）","-")</f>
        <v>-</v>
      </c>
      <c r="P172" s="36" t="str">
        <f>IF($C$66&gt;=7,($P$92*$P$130+$P$100*$P$122)/($P$84-$P$76)+$C$19*2,"-")</f>
        <v>-</v>
      </c>
    </row>
    <row r="173" spans="2:16" x14ac:dyDescent="0.4">
      <c r="B173" s="12" t="s">
        <v>540</v>
      </c>
      <c r="C173" s="58">
        <v>410</v>
      </c>
      <c r="G173" s="3" t="s">
        <v>76</v>
      </c>
      <c r="H173" s="9" t="s">
        <v>438</v>
      </c>
      <c r="I173" s="11" t="s">
        <v>76</v>
      </c>
      <c r="J173" s="27" t="e">
        <f>$J$9</f>
        <v>#NUM!</v>
      </c>
      <c r="K173" s="27" t="e">
        <f>$C$118+$J$150</f>
        <v>#NUM!</v>
      </c>
      <c r="M173" s="3">
        <f t="shared" si="2"/>
        <v>173</v>
      </c>
      <c r="N173" s="37" t="s">
        <v>267</v>
      </c>
      <c r="O173" s="46" t="str">
        <f>IF($C$66&gt;=8,"6列目AC内径（水平・めっき含・概算）","-")</f>
        <v>-</v>
      </c>
      <c r="P173" s="36" t="str">
        <f>IF($C$66&gt;=8,($P$93*$P$131+$P$101*$P$123)/($P$85-$P$77)+$C$19*2,"-")</f>
        <v>-</v>
      </c>
    </row>
    <row r="174" spans="2:16" x14ac:dyDescent="0.4">
      <c r="B174" s="12" t="s">
        <v>541</v>
      </c>
      <c r="C174" s="58">
        <v>420</v>
      </c>
      <c r="G174" s="3" t="s">
        <v>469</v>
      </c>
      <c r="H174" s="9" t="s">
        <v>605</v>
      </c>
      <c r="I174" s="11" t="s">
        <v>75</v>
      </c>
      <c r="J174" s="27">
        <f>$C$109</f>
        <v>0</v>
      </c>
      <c r="K174" s="60"/>
      <c r="M174" s="3">
        <f t="shared" si="2"/>
        <v>174</v>
      </c>
      <c r="N174" s="37" t="s">
        <v>268</v>
      </c>
      <c r="O174" s="46" t="s">
        <v>253</v>
      </c>
      <c r="P174" s="2" t="e">
        <f ca="1">($P$94*$P$132+$P$102*$P$124)/($P$86-$P$78)+$C$19*2</f>
        <v>#REF!</v>
      </c>
    </row>
    <row r="175" spans="2:16" x14ac:dyDescent="0.4">
      <c r="B175" s="12" t="s">
        <v>542</v>
      </c>
      <c r="C175" s="58">
        <v>430</v>
      </c>
      <c r="G175" s="3" t="s">
        <v>474</v>
      </c>
      <c r="H175" s="9" t="s">
        <v>604</v>
      </c>
      <c r="I175" s="11" t="s">
        <v>76</v>
      </c>
      <c r="J175" s="27">
        <f>$C$108</f>
        <v>0</v>
      </c>
      <c r="K175" s="60"/>
      <c r="M175" s="3">
        <f t="shared" si="2"/>
        <v>175</v>
      </c>
      <c r="N175" s="37" t="s">
        <v>212</v>
      </c>
      <c r="O175" s="46" t="s">
        <v>255</v>
      </c>
      <c r="P175" s="2" t="e">
        <f ca="1">INDEX(INDIRECT($P$2&amp;"!C:C"), MATCH(0, INDIRECT($P$2&amp;"!A:A"), 0))+$C$19*2</f>
        <v>#REF!</v>
      </c>
    </row>
    <row r="176" spans="2:16" x14ac:dyDescent="0.4">
      <c r="B176" s="12" t="s">
        <v>543</v>
      </c>
      <c r="C176" s="58">
        <v>440</v>
      </c>
      <c r="J176" s="5"/>
      <c r="M176" s="3">
        <f t="shared" si="2"/>
        <v>176</v>
      </c>
      <c r="N176" s="37" t="s">
        <v>252</v>
      </c>
      <c r="O176" s="46" t="str">
        <f>IF($C$66&gt;=3,"1列目 BD内径（めっき含・概算）","-")</f>
        <v>-</v>
      </c>
      <c r="P176" s="36" t="str">
        <f>IF($C$66&gt;=3,($P$88*$P$161+$P$96*$P$153)/($P$80-$P$72)+$C$19*2,"-")</f>
        <v>-</v>
      </c>
    </row>
    <row r="177" spans="2:16" x14ac:dyDescent="0.4">
      <c r="B177" s="12" t="s">
        <v>544</v>
      </c>
      <c r="C177" s="58">
        <v>450</v>
      </c>
      <c r="H177" s="22" t="s">
        <v>576</v>
      </c>
      <c r="I177" s="54"/>
      <c r="J177" s="25"/>
      <c r="M177" s="3">
        <f t="shared" si="2"/>
        <v>177</v>
      </c>
      <c r="N177" s="37" t="s">
        <v>257</v>
      </c>
      <c r="O177" s="46" t="str">
        <f>IF($C$66&gt;=4,"2列目 BD内径（めっき含・概算）","-")</f>
        <v>-</v>
      </c>
      <c r="P177" s="36" t="str">
        <f>IF($C$66&gt;=4,($P$89*$P$162+$P$97*$P$154)/($P$81-$P$73)+$C$19*2,"-")</f>
        <v>-</v>
      </c>
    </row>
    <row r="178" spans="2:16" x14ac:dyDescent="0.4">
      <c r="B178" s="12" t="s">
        <v>545</v>
      </c>
      <c r="C178" s="58">
        <v>500</v>
      </c>
      <c r="G178" s="3" t="s">
        <v>467</v>
      </c>
      <c r="H178" s="9" t="s">
        <v>360</v>
      </c>
      <c r="I178" s="11" t="s">
        <v>75</v>
      </c>
      <c r="J178" s="57">
        <f>IF($J$196&gt;=7.1, $C$127, $C$128)</f>
        <v>8</v>
      </c>
      <c r="K178" s="43"/>
      <c r="M178" s="3">
        <f t="shared" si="2"/>
        <v>178</v>
      </c>
      <c r="N178" s="37" t="s">
        <v>258</v>
      </c>
      <c r="O178" s="46" t="str">
        <f>IF($C$66&gt;=5,"3列目 BD内径（めっき含・概算）","-")</f>
        <v>-</v>
      </c>
      <c r="P178" s="36" t="str">
        <f>IF($C$66&gt;=5,($P$90*$P$163+$P$98*$P$155)/($P$82-$P$74)+$C$19*2,"-")</f>
        <v>-</v>
      </c>
    </row>
    <row r="179" spans="2:16" ht="15" thickBot="1" x14ac:dyDescent="0.45">
      <c r="B179" s="12" t="s">
        <v>546</v>
      </c>
      <c r="C179" s="58">
        <v>510</v>
      </c>
      <c r="G179" s="3" t="s">
        <v>77</v>
      </c>
      <c r="H179" s="64" t="s">
        <v>532</v>
      </c>
      <c r="I179" s="65" t="s">
        <v>77</v>
      </c>
      <c r="J179" s="66" t="e">
        <f>$J$13</f>
        <v>#NUM!</v>
      </c>
      <c r="K179" s="27" t="e">
        <f>-$C$119+$J$179</f>
        <v>#NUM!</v>
      </c>
      <c r="M179" s="3">
        <f t="shared" si="2"/>
        <v>179</v>
      </c>
      <c r="N179" s="37" t="s">
        <v>259</v>
      </c>
      <c r="O179" s="46" t="str">
        <f>IF($C$66&gt;=6,"4列目 BD内径（めっき含・概算）","-")</f>
        <v>-</v>
      </c>
      <c r="P179" s="36" t="str">
        <f>IF($C$66&gt;=6,($P$91*$P$164+$P$99*$P$156)/($P$83-$P$75)+$C$19*2,"-")</f>
        <v>-</v>
      </c>
    </row>
    <row r="180" spans="2:16" ht="15" thickTop="1" x14ac:dyDescent="0.4">
      <c r="B180" s="12" t="s">
        <v>547</v>
      </c>
      <c r="C180" s="58">
        <v>530</v>
      </c>
      <c r="G180" s="3" t="s">
        <v>484</v>
      </c>
      <c r="H180" s="9" t="s">
        <v>374</v>
      </c>
      <c r="I180" s="11" t="s">
        <v>75</v>
      </c>
      <c r="J180" s="57">
        <f>$C$159</f>
        <v>430000</v>
      </c>
      <c r="M180" s="3">
        <f t="shared" si="2"/>
        <v>180</v>
      </c>
      <c r="N180" s="37" t="s">
        <v>260</v>
      </c>
      <c r="O180" s="46" t="str">
        <f>IF($C$66&gt;=7,"5列目 BD内径（めっき含・概算）","-")</f>
        <v>-</v>
      </c>
      <c r="P180" s="36" t="str">
        <f>IF($C$66&gt;=7,($P$92*$P$165+$P$100*$P$157)/($P$84-$P$76)+$C$19*2,"-")</f>
        <v>-</v>
      </c>
    </row>
    <row r="181" spans="2:16" x14ac:dyDescent="0.4">
      <c r="B181" s="12" t="s">
        <v>548</v>
      </c>
      <c r="C181" s="58">
        <v>540</v>
      </c>
      <c r="G181" s="3" t="s">
        <v>476</v>
      </c>
      <c r="H181" s="10" t="s">
        <v>493</v>
      </c>
      <c r="I181" s="27" t="s">
        <v>75</v>
      </c>
      <c r="J181" s="57">
        <f>$C$32</f>
        <v>0</v>
      </c>
      <c r="K181" s="43"/>
      <c r="M181" s="3">
        <f t="shared" si="2"/>
        <v>181</v>
      </c>
      <c r="N181" s="37" t="s">
        <v>261</v>
      </c>
      <c r="O181" s="46" t="str">
        <f>IF($C$66&gt;=8,"6列目 BD内径（めっき含・概算）","-")</f>
        <v>-</v>
      </c>
      <c r="P181" s="36" t="str">
        <f>IF($C$66&gt;=8,($P$93*$P$166+$P$101*$P$158)/($P$85-$P$77)+$C$19*2,"-")</f>
        <v>-</v>
      </c>
    </row>
    <row r="182" spans="2:16" x14ac:dyDescent="0.4">
      <c r="B182" s="12" t="s">
        <v>381</v>
      </c>
      <c r="C182" s="58">
        <v>650</v>
      </c>
      <c r="G182" s="3" t="s">
        <v>77</v>
      </c>
      <c r="H182" s="10" t="s">
        <v>573</v>
      </c>
      <c r="I182" s="27" t="s">
        <v>75</v>
      </c>
      <c r="J182" s="57">
        <f>$C$47</f>
        <v>0</v>
      </c>
      <c r="K182" s="43"/>
      <c r="M182" s="3">
        <f t="shared" si="2"/>
        <v>182</v>
      </c>
      <c r="N182" s="37" t="s">
        <v>262</v>
      </c>
      <c r="O182" s="46" t="s">
        <v>256</v>
      </c>
      <c r="P182" s="2" t="e">
        <f ca="1">($P$94*$P$167+$P$102*$P$159)/($P$86-$P$78)+$C$19*2</f>
        <v>#REF!</v>
      </c>
    </row>
    <row r="183" spans="2:16" x14ac:dyDescent="0.4">
      <c r="B183" s="12" t="s">
        <v>382</v>
      </c>
      <c r="C183" s="58">
        <v>660</v>
      </c>
      <c r="G183" s="3" t="s">
        <v>474</v>
      </c>
      <c r="H183" s="10" t="s">
        <v>458</v>
      </c>
      <c r="I183" s="27" t="s">
        <v>75</v>
      </c>
      <c r="J183" s="57">
        <f>$C$46</f>
        <v>0</v>
      </c>
      <c r="K183" s="43"/>
      <c r="M183" s="3">
        <f t="shared" si="2"/>
        <v>183</v>
      </c>
    </row>
    <row r="184" spans="2:16" x14ac:dyDescent="0.4">
      <c r="G184" s="3" t="s">
        <v>468</v>
      </c>
      <c r="H184" s="10" t="s">
        <v>456</v>
      </c>
      <c r="I184" s="27" t="s">
        <v>75</v>
      </c>
      <c r="J184" s="27" t="str">
        <f>IF($C$46=2, $C$58, "#0")</f>
        <v>#0</v>
      </c>
      <c r="K184" s="43"/>
      <c r="M184" s="3">
        <f t="shared" si="2"/>
        <v>184</v>
      </c>
    </row>
    <row r="185" spans="2:16" x14ac:dyDescent="0.4">
      <c r="G185" s="3" t="s">
        <v>469</v>
      </c>
      <c r="H185" s="10" t="s">
        <v>457</v>
      </c>
      <c r="I185" s="27" t="s">
        <v>75</v>
      </c>
      <c r="J185" s="27" t="str">
        <f>IF($C$46=1, $C$57, "#0")</f>
        <v>#0</v>
      </c>
      <c r="K185" s="43"/>
      <c r="M185" s="3">
        <f t="shared" si="2"/>
        <v>185</v>
      </c>
    </row>
    <row r="186" spans="2:16" x14ac:dyDescent="0.4">
      <c r="G186" s="3" t="s">
        <v>79</v>
      </c>
      <c r="H186" s="9" t="s">
        <v>32</v>
      </c>
      <c r="I186" s="11" t="s">
        <v>79</v>
      </c>
      <c r="J186" s="27">
        <f>IF($C$46=4, "#0", $C$48+($D$48+$E$48)/2)</f>
        <v>0</v>
      </c>
      <c r="K186" s="43"/>
      <c r="M186" s="3">
        <f t="shared" si="2"/>
        <v>186</v>
      </c>
      <c r="N186" s="37" t="s">
        <v>124</v>
      </c>
      <c r="P186" s="2" t="e">
        <f>#REF!^2+(2*P15)^2</f>
        <v>#REF!</v>
      </c>
    </row>
    <row r="187" spans="2:16" x14ac:dyDescent="0.4">
      <c r="G187" s="3" t="s">
        <v>78</v>
      </c>
      <c r="H187" s="9" t="s">
        <v>459</v>
      </c>
      <c r="I187" s="11" t="s">
        <v>78</v>
      </c>
      <c r="J187" s="27">
        <f>$C$49+($D$49+$E$49)/2</f>
        <v>0</v>
      </c>
      <c r="K187" s="43"/>
      <c r="M187" s="3">
        <f t="shared" si="2"/>
        <v>187</v>
      </c>
      <c r="N187" s="37" t="s">
        <v>125</v>
      </c>
      <c r="O187" s="45" t="s">
        <v>21</v>
      </c>
      <c r="P187" s="2" t="e">
        <f>SQRT(P186)</f>
        <v>#REF!</v>
      </c>
    </row>
    <row r="188" spans="2:16" x14ac:dyDescent="0.4">
      <c r="G188" s="3" t="s">
        <v>475</v>
      </c>
      <c r="H188" s="9" t="s">
        <v>57</v>
      </c>
      <c r="I188" s="11" t="s">
        <v>79</v>
      </c>
      <c r="J188" s="27">
        <f>$P$16</f>
        <v>0</v>
      </c>
      <c r="K188" s="60"/>
      <c r="M188" s="3">
        <f t="shared" si="2"/>
        <v>188</v>
      </c>
      <c r="N188" s="37" t="s">
        <v>49</v>
      </c>
      <c r="O188" s="45" t="s">
        <v>22</v>
      </c>
      <c r="P188" s="2" t="e">
        <f>2*P15/P187</f>
        <v>#REF!</v>
      </c>
    </row>
    <row r="189" spans="2:16" x14ac:dyDescent="0.4">
      <c r="G189" s="3" t="s">
        <v>477</v>
      </c>
      <c r="H189" s="9" t="s">
        <v>8</v>
      </c>
      <c r="I189" s="11" t="s">
        <v>78</v>
      </c>
      <c r="J189" s="27">
        <f>$P$17</f>
        <v>0</v>
      </c>
      <c r="K189" s="60"/>
      <c r="M189" s="3">
        <f t="shared" si="2"/>
        <v>189</v>
      </c>
      <c r="N189" s="37" t="s">
        <v>50</v>
      </c>
      <c r="O189" s="45" t="s">
        <v>23</v>
      </c>
      <c r="P189" s="2" t="e">
        <f>#REF!/P187</f>
        <v>#REF!</v>
      </c>
    </row>
    <row r="190" spans="2:16" x14ac:dyDescent="0.4">
      <c r="G190" s="3" t="s">
        <v>475</v>
      </c>
      <c r="H190" s="9" t="s">
        <v>454</v>
      </c>
      <c r="I190" s="11" t="s">
        <v>79</v>
      </c>
      <c r="J190" s="27">
        <f>$P$22</f>
        <v>0</v>
      </c>
      <c r="K190" s="43"/>
      <c r="M190" s="3">
        <f t="shared" si="2"/>
        <v>190</v>
      </c>
      <c r="N190" s="37" t="s">
        <v>126</v>
      </c>
      <c r="P190" s="2" t="e">
        <f>SQRT(P14^2-(P15-P28)^2)</f>
        <v>#NUM!</v>
      </c>
    </row>
    <row r="191" spans="2:16" x14ac:dyDescent="0.4">
      <c r="G191" s="3" t="s">
        <v>477</v>
      </c>
      <c r="H191" s="9" t="s">
        <v>455</v>
      </c>
      <c r="I191" s="11" t="s">
        <v>78</v>
      </c>
      <c r="J191" s="27">
        <f>$P$23</f>
        <v>0</v>
      </c>
      <c r="K191" s="43"/>
      <c r="M191" s="3">
        <f t="shared" si="2"/>
        <v>191</v>
      </c>
      <c r="N191" s="37" t="s">
        <v>127</v>
      </c>
      <c r="P191" s="2" t="e">
        <f>SQRT(P14^2-(P15+P28)^2)</f>
        <v>#NUM!</v>
      </c>
    </row>
    <row r="192" spans="2:16" x14ac:dyDescent="0.4">
      <c r="G192" s="3" t="s">
        <v>76</v>
      </c>
      <c r="H192" s="9" t="s">
        <v>438</v>
      </c>
      <c r="I192" s="11" t="s">
        <v>76</v>
      </c>
      <c r="J192" s="27" t="e">
        <f>$J$9</f>
        <v>#NUM!</v>
      </c>
      <c r="K192" s="27" t="e">
        <f>$C$118+$J$192</f>
        <v>#NUM!</v>
      </c>
      <c r="M192" s="3">
        <f t="shared" si="2"/>
        <v>192</v>
      </c>
      <c r="N192" s="37" t="s">
        <v>128</v>
      </c>
      <c r="P192" s="2">
        <f>P28*P15</f>
        <v>0</v>
      </c>
    </row>
    <row r="193" spans="7:16" x14ac:dyDescent="0.4">
      <c r="G193" s="3" t="s">
        <v>466</v>
      </c>
      <c r="H193" s="9" t="s">
        <v>439</v>
      </c>
      <c r="I193" s="11" t="s">
        <v>76</v>
      </c>
      <c r="J193" s="27">
        <f>$J$4</f>
        <v>0</v>
      </c>
      <c r="K193" s="44"/>
      <c r="M193" s="3">
        <f t="shared" si="2"/>
        <v>193</v>
      </c>
      <c r="N193" s="37" t="s">
        <v>129</v>
      </c>
      <c r="P193" s="2" t="e">
        <f>SQRT(P14^2-P186/4)</f>
        <v>#REF!</v>
      </c>
    </row>
    <row r="194" spans="7:16" x14ac:dyDescent="0.4">
      <c r="G194" s="3" t="s">
        <v>460</v>
      </c>
      <c r="H194" s="9" t="s">
        <v>4</v>
      </c>
      <c r="I194" s="11" t="s">
        <v>75</v>
      </c>
      <c r="J194" s="27">
        <f>$C$7</f>
        <v>0</v>
      </c>
      <c r="M194" s="3">
        <f t="shared" si="2"/>
        <v>194</v>
      </c>
      <c r="N194" s="37" t="s">
        <v>58</v>
      </c>
      <c r="P194" s="2" t="e">
        <f>P193*P188</f>
        <v>#REF!</v>
      </c>
    </row>
    <row r="195" spans="7:16" x14ac:dyDescent="0.4">
      <c r="G195" s="3" t="s">
        <v>470</v>
      </c>
      <c r="H195" s="9" t="s">
        <v>30</v>
      </c>
      <c r="I195" s="11" t="s">
        <v>76</v>
      </c>
      <c r="J195" s="27">
        <f>$C$50+($D$50+$E$50)/2</f>
        <v>0</v>
      </c>
      <c r="K195" s="60"/>
      <c r="M195" s="3">
        <f t="shared" si="2"/>
        <v>195</v>
      </c>
      <c r="N195" s="37" t="s">
        <v>59</v>
      </c>
      <c r="O195" s="45" t="s">
        <v>19</v>
      </c>
      <c r="P195" s="2" t="e">
        <f>P193*P189</f>
        <v>#REF!</v>
      </c>
    </row>
    <row r="196" spans="7:16" x14ac:dyDescent="0.4">
      <c r="G196" s="3" t="s">
        <v>494</v>
      </c>
      <c r="H196" s="9" t="s">
        <v>31</v>
      </c>
      <c r="I196" s="11" t="s">
        <v>76</v>
      </c>
      <c r="J196" s="27">
        <f>$C$51+($D$51+$E$51)/2</f>
        <v>0</v>
      </c>
      <c r="K196" s="60"/>
      <c r="M196" s="3">
        <f t="shared" ref="M196" si="3">ROW(M196)</f>
        <v>196</v>
      </c>
      <c r="N196" s="37" t="s">
        <v>33</v>
      </c>
      <c r="O196" s="45" t="s">
        <v>18</v>
      </c>
      <c r="P196" s="2" t="e">
        <f>#REF!/2+P13-P194</f>
        <v>#REF!</v>
      </c>
    </row>
    <row r="197" spans="7:16" x14ac:dyDescent="0.4">
      <c r="H197" s="2"/>
      <c r="I197" s="19"/>
      <c r="J197" s="5"/>
      <c r="K197" s="5"/>
    </row>
    <row r="198" spans="7:16" x14ac:dyDescent="0.4">
      <c r="H198" s="28" t="s">
        <v>512</v>
      </c>
      <c r="I198" s="25"/>
      <c r="J198" s="5"/>
      <c r="K198" s="5"/>
    </row>
    <row r="199" spans="7:16" x14ac:dyDescent="0.4">
      <c r="G199" s="3" t="s">
        <v>467</v>
      </c>
      <c r="H199" s="9" t="s">
        <v>360</v>
      </c>
      <c r="I199" s="11" t="s">
        <v>75</v>
      </c>
      <c r="J199" s="57" t="e" cm="1">
        <f t="array" ref="J199">_xlfn.IFS($C$86=15, $C$129, $C$86=30, $C$130, OR($C$86=45, $C$88&lt;&gt;0), $C$131)</f>
        <v>#N/A</v>
      </c>
    </row>
    <row r="200" spans="7:16" ht="15" thickBot="1" x14ac:dyDescent="0.45">
      <c r="G200" s="3" t="s">
        <v>77</v>
      </c>
      <c r="H200" s="64" t="s">
        <v>532</v>
      </c>
      <c r="I200" s="65" t="s">
        <v>77</v>
      </c>
      <c r="J200" s="66" t="e">
        <f>$J$13</f>
        <v>#NUM!</v>
      </c>
      <c r="K200" s="27" t="e">
        <f>-$C$119+$J$200</f>
        <v>#NUM!</v>
      </c>
    </row>
    <row r="201" spans="7:16" ht="15" thickTop="1" x14ac:dyDescent="0.4">
      <c r="G201" s="3" t="s">
        <v>484</v>
      </c>
      <c r="H201" s="9" t="s">
        <v>374</v>
      </c>
      <c r="I201" s="11" t="s">
        <v>75</v>
      </c>
      <c r="J201" s="57">
        <v>440000</v>
      </c>
    </row>
    <row r="202" spans="7:16" x14ac:dyDescent="0.4">
      <c r="G202" s="3" t="s">
        <v>476</v>
      </c>
      <c r="H202" s="10" t="s">
        <v>493</v>
      </c>
      <c r="I202" s="27" t="s">
        <v>75</v>
      </c>
      <c r="J202" s="57">
        <f>$C$32</f>
        <v>0</v>
      </c>
      <c r="K202" s="43"/>
    </row>
    <row r="203" spans="7:16" x14ac:dyDescent="0.4">
      <c r="G203" s="3" t="s">
        <v>77</v>
      </c>
      <c r="H203" s="10" t="s">
        <v>520</v>
      </c>
      <c r="I203" s="27" t="s">
        <v>75</v>
      </c>
      <c r="J203" s="57">
        <f>IF($C$88&lt;&gt;1, 0, 1)</f>
        <v>0</v>
      </c>
      <c r="K203" s="43"/>
    </row>
    <row r="204" spans="7:16" x14ac:dyDescent="0.4">
      <c r="G204" s="3" t="s">
        <v>79</v>
      </c>
      <c r="H204" s="9" t="s">
        <v>454</v>
      </c>
      <c r="I204" s="11" t="s">
        <v>79</v>
      </c>
      <c r="J204" s="27" t="str">
        <f>IF($J$202&lt;&gt;0, $P$22, "#0")</f>
        <v>#0</v>
      </c>
      <c r="K204" s="43"/>
    </row>
    <row r="205" spans="7:16" x14ac:dyDescent="0.4">
      <c r="G205" s="3" t="s">
        <v>78</v>
      </c>
      <c r="H205" s="9" t="s">
        <v>455</v>
      </c>
      <c r="I205" s="11" t="s">
        <v>78</v>
      </c>
      <c r="J205" s="27" t="str">
        <f>IF($J$202&lt;&gt;0, $P$23, "#0")</f>
        <v>#0</v>
      </c>
      <c r="K205" s="43"/>
    </row>
    <row r="206" spans="7:16" x14ac:dyDescent="0.4">
      <c r="G206" s="3" t="s">
        <v>76</v>
      </c>
      <c r="H206" s="9" t="s">
        <v>438</v>
      </c>
      <c r="I206" s="11" t="s">
        <v>76</v>
      </c>
      <c r="J206" s="27" t="e">
        <f>$J$9</f>
        <v>#NUM!</v>
      </c>
      <c r="K206" s="27" t="e">
        <f>$C$118+$J$206</f>
        <v>#NUM!</v>
      </c>
    </row>
    <row r="207" spans="7:16" x14ac:dyDescent="0.4">
      <c r="G207" s="3" t="s">
        <v>466</v>
      </c>
      <c r="H207" s="9" t="s">
        <v>439</v>
      </c>
      <c r="I207" s="11" t="s">
        <v>76</v>
      </c>
      <c r="J207" s="27">
        <f>$J$4</f>
        <v>0</v>
      </c>
      <c r="K207" s="44"/>
    </row>
    <row r="208" spans="7:16" x14ac:dyDescent="0.4">
      <c r="G208" s="3" t="s">
        <v>460</v>
      </c>
      <c r="H208" s="9" t="s">
        <v>4</v>
      </c>
      <c r="I208" s="11" t="s">
        <v>75</v>
      </c>
      <c r="J208" s="27">
        <f>$C$7</f>
        <v>0</v>
      </c>
    </row>
    <row r="209" spans="7:16" x14ac:dyDescent="0.4">
      <c r="G209" s="3" t="s">
        <v>474</v>
      </c>
      <c r="H209" s="9" t="s">
        <v>496</v>
      </c>
      <c r="I209" s="11" t="s">
        <v>75</v>
      </c>
      <c r="J209" s="27">
        <f>IF($C$84&lt;&gt;0,$C$85, $C$89)</f>
        <v>0</v>
      </c>
    </row>
    <row r="210" spans="7:16" x14ac:dyDescent="0.4">
      <c r="G210" s="3" t="s">
        <v>469</v>
      </c>
      <c r="H210" s="9" t="s">
        <v>498</v>
      </c>
      <c r="I210" s="11" t="s">
        <v>75</v>
      </c>
      <c r="J210" s="27">
        <f>IF($C$32&lt;&gt;1, $C$16, $C$40)</f>
        <v>0</v>
      </c>
    </row>
    <row r="211" spans="7:16" x14ac:dyDescent="0.4">
      <c r="H211" s="21"/>
      <c r="J211" s="19"/>
      <c r="K211" s="5"/>
      <c r="N211" s="45"/>
      <c r="O211" s="46"/>
      <c r="P211" s="1"/>
    </row>
    <row r="212" spans="7:16" x14ac:dyDescent="0.4">
      <c r="H212" s="28" t="s">
        <v>513</v>
      </c>
      <c r="I212" s="25"/>
      <c r="J212" s="5"/>
      <c r="K212" s="5"/>
    </row>
    <row r="213" spans="7:16" x14ac:dyDescent="0.4">
      <c r="G213" s="3" t="s">
        <v>467</v>
      </c>
      <c r="H213" s="9" t="s">
        <v>360</v>
      </c>
      <c r="I213" s="11" t="s">
        <v>75</v>
      </c>
      <c r="J213" s="57" t="e" cm="1">
        <f t="array" ref="J213">_xlfn.IFS($C$93=15, $C$129, $C$93=30, $C$130, OR($C$93=45, $C$95&lt;&gt;0), $C$131)</f>
        <v>#N/A</v>
      </c>
    </row>
    <row r="214" spans="7:16" ht="15" thickBot="1" x14ac:dyDescent="0.45">
      <c r="G214" s="3" t="s">
        <v>77</v>
      </c>
      <c r="H214" s="64" t="s">
        <v>532</v>
      </c>
      <c r="I214" s="65" t="s">
        <v>77</v>
      </c>
      <c r="J214" s="66" t="e">
        <f>$J$13</f>
        <v>#NUM!</v>
      </c>
      <c r="K214" s="27" t="e">
        <f>-$C$119+$J$214</f>
        <v>#NUM!</v>
      </c>
    </row>
    <row r="215" spans="7:16" ht="15" thickTop="1" x14ac:dyDescent="0.4">
      <c r="G215" s="3" t="s">
        <v>484</v>
      </c>
      <c r="H215" s="9" t="s">
        <v>374</v>
      </c>
      <c r="I215" s="11" t="s">
        <v>75</v>
      </c>
      <c r="J215" s="57">
        <f>$C$162</f>
        <v>450000</v>
      </c>
    </row>
    <row r="216" spans="7:16" x14ac:dyDescent="0.4">
      <c r="G216" s="3" t="s">
        <v>476</v>
      </c>
      <c r="H216" s="10" t="s">
        <v>606</v>
      </c>
      <c r="I216" s="27" t="s">
        <v>75</v>
      </c>
      <c r="J216" s="57">
        <f>IF($C$105=0, 0, 1)</f>
        <v>0</v>
      </c>
      <c r="K216" s="43"/>
    </row>
    <row r="217" spans="7:16" x14ac:dyDescent="0.4">
      <c r="G217" s="3" t="s">
        <v>77</v>
      </c>
      <c r="H217" s="10" t="s">
        <v>520</v>
      </c>
      <c r="I217" s="27" t="s">
        <v>75</v>
      </c>
      <c r="J217" s="57">
        <f>IF($C$95&lt;&gt;1, 0, 1)</f>
        <v>0</v>
      </c>
      <c r="K217" s="43"/>
    </row>
    <row r="218" spans="7:16" x14ac:dyDescent="0.4">
      <c r="G218" s="3" t="s">
        <v>79</v>
      </c>
      <c r="H218" s="10" t="s">
        <v>607</v>
      </c>
      <c r="I218" s="27" t="s">
        <v>79</v>
      </c>
      <c r="J218" s="57" t="str">
        <f>IF($J$216&lt;&gt;0, $C$106, "#0")</f>
        <v>#0</v>
      </c>
      <c r="K218" s="43"/>
    </row>
    <row r="219" spans="7:16" x14ac:dyDescent="0.4">
      <c r="G219" s="3" t="s">
        <v>78</v>
      </c>
      <c r="H219" s="10" t="s">
        <v>607</v>
      </c>
      <c r="I219" s="27" t="s">
        <v>78</v>
      </c>
      <c r="J219" s="57" t="str">
        <f>IF($J$216&lt;&gt;0, $C$107, "#0")</f>
        <v>#0</v>
      </c>
      <c r="K219" s="43"/>
    </row>
    <row r="220" spans="7:16" x14ac:dyDescent="0.4">
      <c r="G220" s="3" t="s">
        <v>76</v>
      </c>
      <c r="H220" s="9" t="s">
        <v>438</v>
      </c>
      <c r="I220" s="11" t="s">
        <v>76</v>
      </c>
      <c r="J220" s="27" t="e">
        <f>$J$9</f>
        <v>#NUM!</v>
      </c>
      <c r="K220" s="27" t="e">
        <f>$C$118+$J$220</f>
        <v>#NUM!</v>
      </c>
    </row>
    <row r="221" spans="7:16" x14ac:dyDescent="0.4">
      <c r="G221" s="3" t="s">
        <v>466</v>
      </c>
      <c r="H221" s="9" t="s">
        <v>439</v>
      </c>
      <c r="I221" s="11" t="s">
        <v>76</v>
      </c>
      <c r="J221" s="27">
        <f>$J$4</f>
        <v>0</v>
      </c>
      <c r="K221" s="44"/>
    </row>
    <row r="222" spans="7:16" x14ac:dyDescent="0.4">
      <c r="G222" s="3" t="s">
        <v>460</v>
      </c>
      <c r="H222" s="9" t="s">
        <v>4</v>
      </c>
      <c r="I222" s="11" t="s">
        <v>75</v>
      </c>
      <c r="J222" s="27">
        <f>$C$7</f>
        <v>0</v>
      </c>
    </row>
    <row r="223" spans="7:16" x14ac:dyDescent="0.4">
      <c r="G223" s="3" t="s">
        <v>474</v>
      </c>
      <c r="H223" s="9" t="s">
        <v>497</v>
      </c>
      <c r="I223" s="11" t="s">
        <v>75</v>
      </c>
      <c r="J223" s="27">
        <f>IF($C$91&lt;&gt;0,$C$92, $C$96)</f>
        <v>0</v>
      </c>
    </row>
    <row r="224" spans="7:16" x14ac:dyDescent="0.4">
      <c r="G224" s="3" t="s">
        <v>469</v>
      </c>
      <c r="H224" s="9" t="s">
        <v>523</v>
      </c>
      <c r="I224" s="11" t="s">
        <v>75</v>
      </c>
      <c r="J224" s="27" t="e">
        <f ca="1">$P$114</f>
        <v>#REF!</v>
      </c>
    </row>
    <row r="225" spans="7:11" x14ac:dyDescent="0.4">
      <c r="G225" s="3" t="s">
        <v>467</v>
      </c>
      <c r="H225" s="9" t="s">
        <v>429</v>
      </c>
      <c r="I225" s="11" t="s">
        <v>75</v>
      </c>
      <c r="J225" s="27">
        <f>$C$19</f>
        <v>0</v>
      </c>
      <c r="K225" s="5"/>
    </row>
    <row r="226" spans="7:11" x14ac:dyDescent="0.4">
      <c r="H226" s="21"/>
      <c r="J226" s="19"/>
      <c r="K226" s="5"/>
    </row>
    <row r="227" spans="7:11" x14ac:dyDescent="0.4">
      <c r="H227" s="22" t="s">
        <v>515</v>
      </c>
      <c r="I227" s="25"/>
      <c r="J227" s="25"/>
      <c r="K227" s="5"/>
    </row>
    <row r="228" spans="7:11" x14ac:dyDescent="0.4">
      <c r="G228" s="3" t="s">
        <v>467</v>
      </c>
      <c r="H228" s="9" t="s">
        <v>360</v>
      </c>
      <c r="I228" s="11" t="s">
        <v>75</v>
      </c>
      <c r="J228" s="57">
        <f>$C$126</f>
        <v>2</v>
      </c>
      <c r="K228" s="43"/>
    </row>
    <row r="229" spans="7:11" ht="15" thickBot="1" x14ac:dyDescent="0.45">
      <c r="G229" s="3" t="s">
        <v>77</v>
      </c>
      <c r="H229" s="64" t="s">
        <v>532</v>
      </c>
      <c r="I229" s="65" t="s">
        <v>77</v>
      </c>
      <c r="J229" s="66" t="e">
        <f>$J$14</f>
        <v>#NUM!</v>
      </c>
      <c r="K229" s="27" t="e">
        <f>-$C$119+$J$229</f>
        <v>#NUM!</v>
      </c>
    </row>
    <row r="230" spans="7:11" ht="15" thickTop="1" x14ac:dyDescent="0.4">
      <c r="G230" s="3" t="s">
        <v>484</v>
      </c>
      <c r="H230" s="9" t="s">
        <v>374</v>
      </c>
      <c r="I230" s="11" t="s">
        <v>75</v>
      </c>
      <c r="J230" s="57">
        <f>$C$156</f>
        <v>410000</v>
      </c>
    </row>
    <row r="231" spans="7:11" x14ac:dyDescent="0.4">
      <c r="G231" s="3" t="s">
        <v>76</v>
      </c>
      <c r="H231" s="9" t="s">
        <v>424</v>
      </c>
      <c r="I231" s="11" t="s">
        <v>76</v>
      </c>
      <c r="J231" s="27" t="e">
        <f>$J$10</f>
        <v>#NUM!</v>
      </c>
      <c r="K231" s="27" t="e">
        <f>$C$118+$J$231</f>
        <v>#NUM!</v>
      </c>
    </row>
    <row r="232" spans="7:11" x14ac:dyDescent="0.4">
      <c r="G232" s="3" t="s">
        <v>469</v>
      </c>
      <c r="H232" s="9" t="s">
        <v>499</v>
      </c>
      <c r="I232" s="11" t="s">
        <v>75</v>
      </c>
      <c r="J232" s="27" t="e">
        <f ca="1">$P$117</f>
        <v>#REF!</v>
      </c>
    </row>
    <row r="233" spans="7:11" x14ac:dyDescent="0.4">
      <c r="J233" s="5"/>
      <c r="K233" s="5"/>
    </row>
    <row r="234" spans="7:11" x14ac:dyDescent="0.4">
      <c r="H234" s="4" t="s">
        <v>514</v>
      </c>
      <c r="J234" s="5"/>
    </row>
    <row r="235" spans="7:11" x14ac:dyDescent="0.4">
      <c r="G235" s="3" t="s">
        <v>467</v>
      </c>
      <c r="H235" s="9" t="s">
        <v>360</v>
      </c>
      <c r="I235" s="11" t="s">
        <v>75</v>
      </c>
      <c r="J235" s="57">
        <f>IF($C$24&lt;&gt;1,$C$132,$C$133)</f>
        <v>16</v>
      </c>
      <c r="K235" s="43"/>
    </row>
    <row r="236" spans="7:11" ht="15" thickBot="1" x14ac:dyDescent="0.45">
      <c r="G236" s="3" t="s">
        <v>77</v>
      </c>
      <c r="H236" s="64" t="s">
        <v>532</v>
      </c>
      <c r="I236" s="65" t="s">
        <v>77</v>
      </c>
      <c r="J236" s="66" t="e">
        <f>$J$14</f>
        <v>#NUM!</v>
      </c>
      <c r="K236" s="27" t="e">
        <f>-$C$119+$J$261</f>
        <v>#NUM!</v>
      </c>
    </row>
    <row r="237" spans="7:11" ht="15" thickTop="1" x14ac:dyDescent="0.4">
      <c r="G237" s="3" t="s">
        <v>484</v>
      </c>
      <c r="H237" s="9" t="s">
        <v>374</v>
      </c>
      <c r="I237" s="11" t="s">
        <v>75</v>
      </c>
      <c r="J237" s="57">
        <f>$C$157</f>
        <v>420000</v>
      </c>
    </row>
    <row r="238" spans="7:11" x14ac:dyDescent="0.4">
      <c r="G238" s="3" t="s">
        <v>79</v>
      </c>
      <c r="H238" s="9" t="s">
        <v>504</v>
      </c>
      <c r="I238" s="11" t="s">
        <v>79</v>
      </c>
      <c r="J238" s="27">
        <f>$P$18</f>
        <v>0</v>
      </c>
      <c r="K238" s="43"/>
    </row>
    <row r="239" spans="7:11" x14ac:dyDescent="0.4">
      <c r="G239" s="3" t="s">
        <v>78</v>
      </c>
      <c r="H239" s="9" t="s">
        <v>505</v>
      </c>
      <c r="I239" s="11" t="s">
        <v>78</v>
      </c>
      <c r="J239" s="27">
        <f>$P$19</f>
        <v>0</v>
      </c>
      <c r="K239" s="43"/>
    </row>
    <row r="240" spans="7:11" x14ac:dyDescent="0.4">
      <c r="G240" s="3" t="s">
        <v>475</v>
      </c>
      <c r="H240" s="9" t="s">
        <v>57</v>
      </c>
      <c r="I240" s="11" t="s">
        <v>79</v>
      </c>
      <c r="J240" s="27">
        <f>$P$16</f>
        <v>0</v>
      </c>
      <c r="K240" s="60"/>
    </row>
    <row r="241" spans="7:11" x14ac:dyDescent="0.4">
      <c r="G241" s="3" t="s">
        <v>477</v>
      </c>
      <c r="H241" s="9" t="s">
        <v>8</v>
      </c>
      <c r="I241" s="11" t="s">
        <v>78</v>
      </c>
      <c r="J241" s="27">
        <f>$P$17</f>
        <v>0</v>
      </c>
      <c r="K241" s="60"/>
    </row>
    <row r="242" spans="7:11" x14ac:dyDescent="0.4">
      <c r="G242" s="3" t="s">
        <v>76</v>
      </c>
      <c r="H242" s="9" t="s">
        <v>424</v>
      </c>
      <c r="I242" s="11" t="s">
        <v>76</v>
      </c>
      <c r="J242" s="27" t="e">
        <f>$J$10</f>
        <v>#NUM!</v>
      </c>
      <c r="K242" s="27" t="e">
        <f>$C$118+$J$242</f>
        <v>#NUM!</v>
      </c>
    </row>
    <row r="243" spans="7:11" x14ac:dyDescent="0.4">
      <c r="G243" s="3" t="s">
        <v>469</v>
      </c>
      <c r="H243" s="9" t="s">
        <v>506</v>
      </c>
      <c r="I243" s="11" t="s">
        <v>75</v>
      </c>
      <c r="J243" s="27">
        <f>$C$30</f>
        <v>0</v>
      </c>
      <c r="K243" s="60"/>
    </row>
    <row r="244" spans="7:11" x14ac:dyDescent="0.4">
      <c r="G244" s="3" t="s">
        <v>474</v>
      </c>
      <c r="H244" s="9" t="s">
        <v>490</v>
      </c>
      <c r="I244" s="11" t="s">
        <v>76</v>
      </c>
      <c r="J244" s="27">
        <f>$P$21</f>
        <v>0</v>
      </c>
      <c r="K244" s="60"/>
    </row>
    <row r="245" spans="7:11" x14ac:dyDescent="0.4">
      <c r="H245" s="2"/>
      <c r="I245" s="19"/>
      <c r="J245" s="5"/>
      <c r="K245" s="5"/>
    </row>
    <row r="246" spans="7:11" x14ac:dyDescent="0.4">
      <c r="H246" s="4" t="s">
        <v>591</v>
      </c>
      <c r="J246" s="5"/>
    </row>
    <row r="247" spans="7:11" x14ac:dyDescent="0.4">
      <c r="G247" s="3" t="s">
        <v>467</v>
      </c>
      <c r="H247" s="9" t="s">
        <v>360</v>
      </c>
      <c r="I247" s="11" t="s">
        <v>75</v>
      </c>
      <c r="J247" s="57">
        <f>IF($C$24&lt;&gt;1,$C$132,$C$133)</f>
        <v>16</v>
      </c>
      <c r="K247" s="43"/>
    </row>
    <row r="248" spans="7:11" ht="15" thickBot="1" x14ac:dyDescent="0.45">
      <c r="G248" s="3" t="s">
        <v>77</v>
      </c>
      <c r="H248" s="64" t="s">
        <v>532</v>
      </c>
      <c r="I248" s="65" t="s">
        <v>77</v>
      </c>
      <c r="J248" s="66" t="e">
        <f>$J$14</f>
        <v>#NUM!</v>
      </c>
      <c r="K248" s="27" t="e">
        <f>-$C$119+$J$261</f>
        <v>#NUM!</v>
      </c>
    </row>
    <row r="249" spans="7:11" ht="15" thickTop="1" x14ac:dyDescent="0.4">
      <c r="G249" s="3" t="s">
        <v>484</v>
      </c>
      <c r="H249" s="9" t="s">
        <v>374</v>
      </c>
      <c r="I249" s="11" t="s">
        <v>75</v>
      </c>
      <c r="J249" s="57">
        <f>$C$158</f>
        <v>421000</v>
      </c>
    </row>
    <row r="250" spans="7:11" x14ac:dyDescent="0.4">
      <c r="G250" s="3" t="s">
        <v>79</v>
      </c>
      <c r="H250" s="9" t="s">
        <v>504</v>
      </c>
      <c r="I250" s="11" t="s">
        <v>79</v>
      </c>
      <c r="J250" s="27">
        <f>$P$18</f>
        <v>0</v>
      </c>
      <c r="K250" s="43"/>
    </row>
    <row r="251" spans="7:11" x14ac:dyDescent="0.4">
      <c r="G251" s="3" t="s">
        <v>78</v>
      </c>
      <c r="H251" s="9" t="s">
        <v>505</v>
      </c>
      <c r="I251" s="11" t="s">
        <v>78</v>
      </c>
      <c r="J251" s="27">
        <f>$P$19</f>
        <v>0</v>
      </c>
      <c r="K251" s="43"/>
    </row>
    <row r="252" spans="7:11" x14ac:dyDescent="0.4">
      <c r="G252" s="3" t="s">
        <v>475</v>
      </c>
      <c r="H252" s="9" t="s">
        <v>57</v>
      </c>
      <c r="I252" s="11" t="s">
        <v>79</v>
      </c>
      <c r="J252" s="27">
        <f>$P$16</f>
        <v>0</v>
      </c>
      <c r="K252" s="60"/>
    </row>
    <row r="253" spans="7:11" x14ac:dyDescent="0.4">
      <c r="G253" s="3" t="s">
        <v>477</v>
      </c>
      <c r="H253" s="9" t="s">
        <v>8</v>
      </c>
      <c r="I253" s="11" t="s">
        <v>78</v>
      </c>
      <c r="J253" s="27">
        <f>$P$17</f>
        <v>0</v>
      </c>
      <c r="K253" s="43"/>
    </row>
    <row r="254" spans="7:11" x14ac:dyDescent="0.4">
      <c r="G254" s="3" t="s">
        <v>76</v>
      </c>
      <c r="H254" s="9" t="s">
        <v>424</v>
      </c>
      <c r="I254" s="11" t="s">
        <v>76</v>
      </c>
      <c r="J254" s="27" t="e">
        <f>$J$10</f>
        <v>#NUM!</v>
      </c>
      <c r="K254" s="27" t="e">
        <f>$C$118+$J$242</f>
        <v>#NUM!</v>
      </c>
    </row>
    <row r="255" spans="7:11" x14ac:dyDescent="0.4">
      <c r="G255" s="3" t="s">
        <v>460</v>
      </c>
      <c r="H255" s="9" t="s">
        <v>4</v>
      </c>
      <c r="I255" s="11" t="s">
        <v>75</v>
      </c>
      <c r="J255" s="27">
        <f>$C$7</f>
        <v>0</v>
      </c>
    </row>
    <row r="256" spans="7:11" x14ac:dyDescent="0.4">
      <c r="G256" s="3" t="s">
        <v>469</v>
      </c>
      <c r="H256" s="9" t="s">
        <v>506</v>
      </c>
      <c r="I256" s="11" t="s">
        <v>75</v>
      </c>
      <c r="J256" s="27">
        <f>$C$30</f>
        <v>0</v>
      </c>
      <c r="K256" s="60"/>
    </row>
    <row r="257" spans="7:11" x14ac:dyDescent="0.4">
      <c r="G257" s="3" t="s">
        <v>474</v>
      </c>
      <c r="H257" s="9" t="s">
        <v>490</v>
      </c>
      <c r="I257" s="11" t="s">
        <v>76</v>
      </c>
      <c r="J257" s="27">
        <f>$P$21</f>
        <v>0</v>
      </c>
      <c r="K257" s="60"/>
    </row>
    <row r="258" spans="7:11" x14ac:dyDescent="0.4">
      <c r="H258" s="2"/>
      <c r="I258" s="19"/>
      <c r="J258" s="5"/>
      <c r="K258" s="5"/>
    </row>
    <row r="259" spans="7:11" x14ac:dyDescent="0.4">
      <c r="H259" s="28" t="s">
        <v>516</v>
      </c>
      <c r="I259" s="5"/>
      <c r="J259" s="5"/>
      <c r="K259" s="5"/>
    </row>
    <row r="260" spans="7:11" x14ac:dyDescent="0.4">
      <c r="G260" s="3" t="s">
        <v>467</v>
      </c>
      <c r="H260" s="9" t="s">
        <v>360</v>
      </c>
      <c r="I260" s="11" t="s">
        <v>75</v>
      </c>
      <c r="J260" s="57" t="e" cm="1">
        <f t="array" ref="J260">_xlfn.IFS($C$72=15, $C$129, $C$72=30, $C$130, OR($C$72=45, $C$74&lt;&gt;0), $C$131)</f>
        <v>#N/A</v>
      </c>
    </row>
    <row r="261" spans="7:11" ht="15" thickBot="1" x14ac:dyDescent="0.45">
      <c r="G261" s="3" t="s">
        <v>77</v>
      </c>
      <c r="H261" s="64" t="s">
        <v>532</v>
      </c>
      <c r="I261" s="65" t="s">
        <v>77</v>
      </c>
      <c r="J261" s="66" t="e">
        <f>$J$14</f>
        <v>#NUM!</v>
      </c>
      <c r="K261" s="27" t="e">
        <f>-$C$119+$J$261</f>
        <v>#NUM!</v>
      </c>
    </row>
    <row r="262" spans="7:11" ht="15" thickTop="1" x14ac:dyDescent="0.4">
      <c r="G262" s="3" t="s">
        <v>484</v>
      </c>
      <c r="H262" s="9" t="s">
        <v>374</v>
      </c>
      <c r="I262" s="11" t="s">
        <v>75</v>
      </c>
      <c r="J262" s="57">
        <f>$C$160</f>
        <v>440000</v>
      </c>
    </row>
    <row r="263" spans="7:11" x14ac:dyDescent="0.4">
      <c r="G263" s="3" t="s">
        <v>476</v>
      </c>
      <c r="H263" s="10" t="s">
        <v>507</v>
      </c>
      <c r="I263" s="27" t="s">
        <v>75</v>
      </c>
      <c r="J263" s="57">
        <f>$C$23</f>
        <v>0</v>
      </c>
      <c r="K263" s="43"/>
    </row>
    <row r="264" spans="7:11" x14ac:dyDescent="0.4">
      <c r="G264" s="3" t="s">
        <v>77</v>
      </c>
      <c r="H264" s="10" t="s">
        <v>520</v>
      </c>
      <c r="I264" s="27" t="s">
        <v>75</v>
      </c>
      <c r="J264" s="57">
        <f>IF($C$74&lt;&gt;1, 0, 1)</f>
        <v>0</v>
      </c>
      <c r="K264" s="43"/>
    </row>
    <row r="265" spans="7:11" x14ac:dyDescent="0.4">
      <c r="G265" s="3" t="s">
        <v>79</v>
      </c>
      <c r="H265" s="9" t="s">
        <v>504</v>
      </c>
      <c r="I265" s="11" t="s">
        <v>79</v>
      </c>
      <c r="J265" s="27" t="str">
        <f>IF($J$263&lt;&gt;0, $P$18, "#0")</f>
        <v>#0</v>
      </c>
      <c r="K265" s="43"/>
    </row>
    <row r="266" spans="7:11" x14ac:dyDescent="0.4">
      <c r="G266" s="3" t="s">
        <v>78</v>
      </c>
      <c r="H266" s="9" t="s">
        <v>505</v>
      </c>
      <c r="I266" s="11" t="s">
        <v>78</v>
      </c>
      <c r="J266" s="27" t="str">
        <f>IF($J$263&lt;&gt;0, $P$19, "#0")</f>
        <v>#0</v>
      </c>
      <c r="K266" s="43"/>
    </row>
    <row r="267" spans="7:11" x14ac:dyDescent="0.4">
      <c r="G267" s="3" t="s">
        <v>76</v>
      </c>
      <c r="H267" s="9" t="s">
        <v>424</v>
      </c>
      <c r="I267" s="11" t="s">
        <v>76</v>
      </c>
      <c r="J267" s="27" t="e">
        <f>$J$10</f>
        <v>#NUM!</v>
      </c>
      <c r="K267" s="27" t="e">
        <f>$C$118+$J$267</f>
        <v>#NUM!</v>
      </c>
    </row>
    <row r="268" spans="7:11" x14ac:dyDescent="0.4">
      <c r="G268" s="3" t="s">
        <v>466</v>
      </c>
      <c r="H268" s="9" t="s">
        <v>423</v>
      </c>
      <c r="I268" s="11" t="s">
        <v>76</v>
      </c>
      <c r="J268" s="27">
        <f>$J$5</f>
        <v>0</v>
      </c>
      <c r="K268" s="44"/>
    </row>
    <row r="269" spans="7:11" x14ac:dyDescent="0.4">
      <c r="G269" s="3" t="s">
        <v>460</v>
      </c>
      <c r="H269" s="9" t="s">
        <v>4</v>
      </c>
      <c r="I269" s="11" t="s">
        <v>75</v>
      </c>
      <c r="J269" s="27">
        <f>$C$7</f>
        <v>0</v>
      </c>
    </row>
    <row r="270" spans="7:11" x14ac:dyDescent="0.4">
      <c r="G270" s="3" t="s">
        <v>474</v>
      </c>
      <c r="H270" s="9" t="s">
        <v>517</v>
      </c>
      <c r="I270" s="11" t="s">
        <v>75</v>
      </c>
      <c r="J270" s="27">
        <f>IF($C$70&lt;&gt;0,$C$71, $C$75)</f>
        <v>0</v>
      </c>
    </row>
    <row r="271" spans="7:11" x14ac:dyDescent="0.4">
      <c r="G271" s="3" t="s">
        <v>469</v>
      </c>
      <c r="H271" s="9" t="s">
        <v>518</v>
      </c>
      <c r="I271" s="11" t="s">
        <v>75</v>
      </c>
      <c r="J271" s="27">
        <f>IF($C$23&lt;&gt;1, $C$16, $C$30)</f>
        <v>0</v>
      </c>
    </row>
    <row r="272" spans="7:11" x14ac:dyDescent="0.4">
      <c r="H272" s="21"/>
      <c r="J272" s="19"/>
      <c r="K272" s="5"/>
    </row>
    <row r="273" spans="7:11" x14ac:dyDescent="0.4">
      <c r="H273" s="28" t="s">
        <v>519</v>
      </c>
      <c r="I273" s="5"/>
      <c r="J273" s="5"/>
      <c r="K273" s="5"/>
    </row>
    <row r="274" spans="7:11" x14ac:dyDescent="0.4">
      <c r="G274" s="3" t="s">
        <v>467</v>
      </c>
      <c r="H274" s="9" t="s">
        <v>360</v>
      </c>
      <c r="I274" s="11" t="s">
        <v>75</v>
      </c>
      <c r="J274" s="57" t="e" cm="1">
        <f t="array" ref="J274">_xlfn.IFS($C$79=15, $C$129, $C$79=30, $C$130, OR($C$79=45, $C$81&lt;&gt;0), $C$131)</f>
        <v>#N/A</v>
      </c>
    </row>
    <row r="275" spans="7:11" ht="15" thickBot="1" x14ac:dyDescent="0.45">
      <c r="G275" s="3" t="s">
        <v>77</v>
      </c>
      <c r="H275" s="64" t="s">
        <v>532</v>
      </c>
      <c r="I275" s="65" t="s">
        <v>77</v>
      </c>
      <c r="J275" s="66" t="e">
        <f>$J$14</f>
        <v>#NUM!</v>
      </c>
      <c r="K275" s="27" t="e">
        <f>-$C$119+$J$275</f>
        <v>#NUM!</v>
      </c>
    </row>
    <row r="276" spans="7:11" ht="15" thickTop="1" x14ac:dyDescent="0.4">
      <c r="G276" s="3" t="s">
        <v>484</v>
      </c>
      <c r="H276" s="9" t="s">
        <v>374</v>
      </c>
      <c r="I276" s="11" t="s">
        <v>75</v>
      </c>
      <c r="J276" s="57">
        <f>$C$162</f>
        <v>450000</v>
      </c>
    </row>
    <row r="277" spans="7:11" x14ac:dyDescent="0.4">
      <c r="G277" s="3" t="s">
        <v>77</v>
      </c>
      <c r="H277" s="10" t="s">
        <v>520</v>
      </c>
      <c r="I277" s="27" t="s">
        <v>75</v>
      </c>
      <c r="J277" s="57">
        <f>IF($C$81&lt;&gt;1, 0, 1)</f>
        <v>0</v>
      </c>
      <c r="K277" s="43"/>
    </row>
    <row r="278" spans="7:11" x14ac:dyDescent="0.4">
      <c r="G278" s="3" t="s">
        <v>76</v>
      </c>
      <c r="H278" s="9" t="s">
        <v>424</v>
      </c>
      <c r="I278" s="11" t="s">
        <v>76</v>
      </c>
      <c r="J278" s="27" t="e">
        <f>$J$10</f>
        <v>#NUM!</v>
      </c>
      <c r="K278" s="27" t="e">
        <f>$C$118+$J$278</f>
        <v>#NUM!</v>
      </c>
    </row>
    <row r="279" spans="7:11" x14ac:dyDescent="0.4">
      <c r="G279" s="3" t="s">
        <v>466</v>
      </c>
      <c r="H279" s="9" t="s">
        <v>423</v>
      </c>
      <c r="I279" s="11" t="s">
        <v>76</v>
      </c>
      <c r="J279" s="27">
        <f>$J$5</f>
        <v>0</v>
      </c>
      <c r="K279" s="44"/>
    </row>
    <row r="280" spans="7:11" x14ac:dyDescent="0.4">
      <c r="G280" s="3" t="s">
        <v>460</v>
      </c>
      <c r="H280" s="9" t="s">
        <v>4</v>
      </c>
      <c r="I280" s="11" t="s">
        <v>75</v>
      </c>
      <c r="J280" s="27">
        <f>$C$7</f>
        <v>0</v>
      </c>
    </row>
    <row r="281" spans="7:11" x14ac:dyDescent="0.4">
      <c r="G281" s="3" t="s">
        <v>474</v>
      </c>
      <c r="H281" s="9" t="s">
        <v>521</v>
      </c>
      <c r="I281" s="11" t="s">
        <v>75</v>
      </c>
      <c r="J281" s="27">
        <f>IF($C$77&lt;&gt;0,$C$78, $C$82)</f>
        <v>0</v>
      </c>
    </row>
    <row r="282" spans="7:11" x14ac:dyDescent="0.4">
      <c r="G282" s="3" t="s">
        <v>469</v>
      </c>
      <c r="H282" s="9" t="s">
        <v>522</v>
      </c>
      <c r="I282" s="11" t="s">
        <v>75</v>
      </c>
      <c r="J282" s="27" t="e">
        <f ca="1">$P$117</f>
        <v>#REF!</v>
      </c>
    </row>
    <row r="283" spans="7:11" x14ac:dyDescent="0.4">
      <c r="G283" s="3" t="s">
        <v>467</v>
      </c>
      <c r="H283" s="9" t="s">
        <v>429</v>
      </c>
      <c r="I283" s="11" t="s">
        <v>75</v>
      </c>
      <c r="J283" s="27">
        <f>$C$19</f>
        <v>0</v>
      </c>
      <c r="K283" s="5"/>
    </row>
    <row r="284" spans="7:11" x14ac:dyDescent="0.4">
      <c r="H284" s="21"/>
      <c r="J284" s="19"/>
      <c r="K284" s="5"/>
    </row>
    <row r="285" spans="7:11" x14ac:dyDescent="0.4">
      <c r="H285" s="28" t="s">
        <v>577</v>
      </c>
      <c r="I285" s="5"/>
      <c r="J285" s="5"/>
      <c r="K285" s="5"/>
    </row>
    <row r="286" spans="7:11" x14ac:dyDescent="0.4">
      <c r="G286" s="3" t="s">
        <v>467</v>
      </c>
      <c r="H286" s="9" t="s">
        <v>360</v>
      </c>
      <c r="I286" s="11" t="s">
        <v>75</v>
      </c>
      <c r="J286" s="57">
        <f>$C$139</f>
        <v>50</v>
      </c>
    </row>
    <row r="287" spans="7:11" x14ac:dyDescent="0.4">
      <c r="G287" s="3" t="s">
        <v>484</v>
      </c>
      <c r="H287" s="9" t="s">
        <v>374</v>
      </c>
      <c r="I287" s="11" t="s">
        <v>75</v>
      </c>
      <c r="J287" s="57">
        <f>$C$153</f>
        <v>150002</v>
      </c>
    </row>
    <row r="288" spans="7:11" x14ac:dyDescent="0.4">
      <c r="G288" s="3" t="s">
        <v>466</v>
      </c>
      <c r="H288" s="9" t="s">
        <v>438</v>
      </c>
      <c r="I288" s="11" t="s">
        <v>79</v>
      </c>
      <c r="J288" s="27" t="e">
        <f>$J$9</f>
        <v>#NUM!</v>
      </c>
      <c r="K288" s="27" t="e">
        <f>$C$117+$J$288</f>
        <v>#NUM!</v>
      </c>
    </row>
    <row r="289" spans="7:11" x14ac:dyDescent="0.4">
      <c r="G289" s="3" t="s">
        <v>76</v>
      </c>
      <c r="H289" s="9" t="s">
        <v>424</v>
      </c>
      <c r="I289" s="11" t="s">
        <v>79</v>
      </c>
      <c r="J289" s="27" t="e">
        <f>$J$10</f>
        <v>#NUM!</v>
      </c>
      <c r="K289" s="27" t="e">
        <f>$C$117-$J$289</f>
        <v>#NUM!</v>
      </c>
    </row>
    <row r="290" spans="7:11" x14ac:dyDescent="0.4">
      <c r="G290" s="3" t="s">
        <v>467</v>
      </c>
      <c r="H290" s="9" t="s">
        <v>454</v>
      </c>
      <c r="I290" s="11" t="s">
        <v>76</v>
      </c>
      <c r="J290" s="27">
        <f>$P$22</f>
        <v>0</v>
      </c>
      <c r="K290" s="43"/>
    </row>
    <row r="291" spans="7:11" x14ac:dyDescent="0.4">
      <c r="G291" s="3" t="s">
        <v>475</v>
      </c>
      <c r="H291" s="9" t="s">
        <v>455</v>
      </c>
      <c r="I291" s="11" t="s">
        <v>78</v>
      </c>
      <c r="J291" s="27">
        <f>$P$23</f>
        <v>0</v>
      </c>
      <c r="K291" s="43"/>
    </row>
    <row r="292" spans="7:11" x14ac:dyDescent="0.4">
      <c r="G292" s="3" t="s">
        <v>77</v>
      </c>
      <c r="H292" s="9" t="s">
        <v>504</v>
      </c>
      <c r="I292" s="11" t="s">
        <v>76</v>
      </c>
      <c r="J292" s="27">
        <f>$P$18</f>
        <v>0</v>
      </c>
      <c r="K292" s="43"/>
    </row>
    <row r="293" spans="7:11" x14ac:dyDescent="0.4">
      <c r="G293" s="3" t="s">
        <v>468</v>
      </c>
      <c r="H293" s="9" t="s">
        <v>505</v>
      </c>
      <c r="I293" s="11" t="s">
        <v>78</v>
      </c>
      <c r="J293" s="27">
        <f>$P$19</f>
        <v>0</v>
      </c>
      <c r="K293" s="43"/>
    </row>
    <row r="294" spans="7:11" x14ac:dyDescent="0.4">
      <c r="G294" s="3" t="s">
        <v>470</v>
      </c>
      <c r="H294" s="9" t="s">
        <v>30</v>
      </c>
      <c r="I294" s="11" t="s">
        <v>79</v>
      </c>
      <c r="J294" s="27">
        <f>$J$195</f>
        <v>0</v>
      </c>
      <c r="K294" s="60"/>
    </row>
    <row r="295" spans="7:11" x14ac:dyDescent="0.4">
      <c r="G295" s="3" t="s">
        <v>471</v>
      </c>
      <c r="H295" s="9" t="s">
        <v>526</v>
      </c>
      <c r="I295" s="11" t="s">
        <v>76</v>
      </c>
      <c r="J295" s="27">
        <f>$C$44</f>
        <v>0</v>
      </c>
      <c r="K295" s="60"/>
    </row>
    <row r="296" spans="7:11" x14ac:dyDescent="0.4">
      <c r="G296" s="3" t="s">
        <v>474</v>
      </c>
      <c r="H296" s="9" t="s">
        <v>490</v>
      </c>
      <c r="I296" s="11" t="s">
        <v>79</v>
      </c>
      <c r="J296" s="27">
        <f>$P$21</f>
        <v>0</v>
      </c>
      <c r="K296" s="60"/>
    </row>
    <row r="297" spans="7:11" x14ac:dyDescent="0.4">
      <c r="G297" s="3" t="s">
        <v>476</v>
      </c>
      <c r="H297" s="9" t="s">
        <v>483</v>
      </c>
      <c r="I297" s="11" t="s">
        <v>77</v>
      </c>
      <c r="J297" s="27" t="e">
        <f>$J$13</f>
        <v>#NUM!</v>
      </c>
      <c r="K297" s="5"/>
    </row>
    <row r="298" spans="7:11" x14ac:dyDescent="0.4">
      <c r="J298" s="5"/>
    </row>
    <row r="299" spans="7:11" x14ac:dyDescent="0.4">
      <c r="H299" s="30" t="s">
        <v>322</v>
      </c>
      <c r="I299" s="25"/>
      <c r="J299" s="25"/>
    </row>
    <row r="300" spans="7:11" x14ac:dyDescent="0.4">
      <c r="H300" s="9" t="s">
        <v>324</v>
      </c>
      <c r="I300" s="11" t="s">
        <v>78</v>
      </c>
      <c r="J300" s="11"/>
    </row>
    <row r="301" spans="7:11" x14ac:dyDescent="0.4">
      <c r="H301" s="9" t="s">
        <v>323</v>
      </c>
      <c r="I301" s="11" t="s">
        <v>79</v>
      </c>
      <c r="J301" s="11"/>
    </row>
    <row r="302" spans="7:11" x14ac:dyDescent="0.4">
      <c r="J302" s="5"/>
    </row>
    <row r="303" spans="7:11" x14ac:dyDescent="0.4">
      <c r="G303" s="61"/>
      <c r="H303" s="62" t="s">
        <v>528</v>
      </c>
      <c r="I303" s="63"/>
      <c r="J303" s="63"/>
      <c r="K303" s="63"/>
    </row>
    <row r="304" spans="7:11" x14ac:dyDescent="0.4">
      <c r="I304" s="5"/>
      <c r="J304" s="5"/>
      <c r="K304" s="5"/>
    </row>
    <row r="305" spans="2:20" x14ac:dyDescent="0.4">
      <c r="H305" s="30" t="s">
        <v>383</v>
      </c>
      <c r="J305" s="25"/>
    </row>
    <row r="306" spans="2:20" x14ac:dyDescent="0.4">
      <c r="G306" s="3" t="s">
        <v>162</v>
      </c>
      <c r="H306" s="31" t="s">
        <v>384</v>
      </c>
      <c r="I306" s="27" t="s">
        <v>75</v>
      </c>
      <c r="J306" s="40" t="e">
        <f>$C$64/$C$63+1</f>
        <v>#DIV/0!</v>
      </c>
    </row>
    <row r="307" spans="2:20" x14ac:dyDescent="0.4">
      <c r="G307" s="3" t="s">
        <v>163</v>
      </c>
      <c r="H307" s="10" t="s">
        <v>385</v>
      </c>
      <c r="I307" s="27" t="s">
        <v>75</v>
      </c>
      <c r="J307" s="41" t="e">
        <f>$C$65/$C$63+1</f>
        <v>#DIV/0!</v>
      </c>
    </row>
    <row r="308" spans="2:20" x14ac:dyDescent="0.4">
      <c r="H308" s="10" t="s">
        <v>398</v>
      </c>
      <c r="I308" s="27" t="s">
        <v>75</v>
      </c>
      <c r="J308" s="41">
        <f>_xlfn.CEILING.MATH($C$66/2)</f>
        <v>0</v>
      </c>
    </row>
    <row r="309" spans="2:20" x14ac:dyDescent="0.4">
      <c r="H309" s="10" t="s">
        <v>399</v>
      </c>
      <c r="I309" s="11" t="s">
        <v>75</v>
      </c>
      <c r="J309" s="41">
        <f>QUOTIENT($C$66,2)</f>
        <v>0</v>
      </c>
    </row>
    <row r="310" spans="2:20" x14ac:dyDescent="0.4">
      <c r="H310" s="28" t="s">
        <v>400</v>
      </c>
      <c r="I310" s="55"/>
    </row>
    <row r="311" spans="2:20" x14ac:dyDescent="0.4">
      <c r="G311" s="3" t="s">
        <v>206</v>
      </c>
      <c r="H311" s="10" t="str">
        <f>IF($C$66&gt;=3,"ディンプル1列目-トップ端 湾曲中心間X距離", "-")</f>
        <v>-</v>
      </c>
      <c r="I311" s="11" t="s">
        <v>79</v>
      </c>
      <c r="J311" s="27" t="str">
        <f>IF($C$66&gt;=$C$122-5,$P$104-$P$31, "-")</f>
        <v>-</v>
      </c>
    </row>
    <row r="312" spans="2:20" ht="16.5" x14ac:dyDescent="0.4">
      <c r="G312" s="3" t="s">
        <v>207</v>
      </c>
      <c r="H312" s="10" t="str">
        <f>IF($C$66&gt;=4,"ディンプル2列目-トップ端 湾曲中心間X距離", "-")</f>
        <v>-</v>
      </c>
      <c r="I312" s="11" t="s">
        <v>79</v>
      </c>
      <c r="J312" s="27" t="str">
        <f>IF($C$66&gt;=$C122-4,$P$105-$P$31, "-")</f>
        <v>-</v>
      </c>
    </row>
    <row r="313" spans="2:20" s="3" customFormat="1" x14ac:dyDescent="0.4">
      <c r="B313" s="1"/>
      <c r="C313" s="5"/>
      <c r="D313" s="74"/>
      <c r="E313" s="74"/>
      <c r="F313" s="1"/>
      <c r="H313" s="10" t="str">
        <f>IF($C$66&gt;=5,"ディンプル3列目-トップ端 湾曲中心間X距離", "-")</f>
        <v>-</v>
      </c>
      <c r="I313" s="11" t="s">
        <v>79</v>
      </c>
      <c r="J313" s="27" t="str">
        <f>IF($C$66&gt;=$C$122-3,$P$106-$P$31, "-")</f>
        <v>-</v>
      </c>
      <c r="L313" s="1"/>
      <c r="N313" s="37"/>
      <c r="O313" s="45"/>
      <c r="P313" s="2"/>
      <c r="Q313" s="1"/>
      <c r="R313" s="1"/>
      <c r="S313" s="1"/>
      <c r="T313" s="1"/>
    </row>
    <row r="314" spans="2:20" s="3" customFormat="1" x14ac:dyDescent="0.4">
      <c r="B314" s="1"/>
      <c r="C314" s="5"/>
      <c r="D314" s="74"/>
      <c r="E314" s="74"/>
      <c r="F314" s="1"/>
      <c r="H314" s="10" t="str">
        <f>IF($C$66&gt;=6,"ディンプル4列目-トップ端 湾曲中心間X距離", "-")</f>
        <v>-</v>
      </c>
      <c r="I314" s="11" t="s">
        <v>79</v>
      </c>
      <c r="J314" s="27" t="str">
        <f>IF($C$66&gt;=$C$122-2,$P$107-$P$31, "-")</f>
        <v>-</v>
      </c>
      <c r="L314" s="1"/>
      <c r="N314" s="37"/>
      <c r="O314" s="45"/>
      <c r="P314" s="2"/>
      <c r="Q314" s="1"/>
      <c r="R314" s="1"/>
      <c r="S314" s="1"/>
      <c r="T314" s="1"/>
    </row>
    <row r="315" spans="2:20" s="3" customFormat="1" x14ac:dyDescent="0.4">
      <c r="B315" s="1"/>
      <c r="C315" s="5"/>
      <c r="D315" s="74"/>
      <c r="E315" s="74"/>
      <c r="F315" s="1"/>
      <c r="H315" s="10" t="str">
        <f>IF($C$66&gt;=7,"ディンプル5列目-トップ端 湾曲中心間X距離", "-")</f>
        <v>-</v>
      </c>
      <c r="I315" s="11" t="s">
        <v>79</v>
      </c>
      <c r="J315" s="27" t="str">
        <f>IF($C$66&gt;=$C122-1,$P$108-$P$31, "-")</f>
        <v>-</v>
      </c>
      <c r="L315" s="1"/>
      <c r="N315" s="37"/>
      <c r="O315" s="45"/>
      <c r="P315" s="2"/>
      <c r="Q315" s="1"/>
      <c r="R315" s="1"/>
      <c r="S315" s="1"/>
      <c r="T315" s="1"/>
    </row>
    <row r="316" spans="2:20" s="3" customFormat="1" x14ac:dyDescent="0.4">
      <c r="B316" s="1"/>
      <c r="C316" s="5"/>
      <c r="D316" s="74"/>
      <c r="E316" s="74"/>
      <c r="F316" s="1"/>
      <c r="H316" s="10" t="str">
        <f>IF($C$66&gt;=8,"ディンプル6列目-トップ端 湾曲中心間X距離", "-")</f>
        <v>-</v>
      </c>
      <c r="I316" s="11" t="s">
        <v>79</v>
      </c>
      <c r="J316" s="27" t="str">
        <f>IF($C$66&gt;=$C122,$P$109-$P$31, "-")</f>
        <v>-</v>
      </c>
      <c r="L316" s="1"/>
      <c r="N316" s="37"/>
      <c r="O316" s="45"/>
      <c r="P316" s="2"/>
      <c r="Q316" s="1"/>
      <c r="R316" s="1"/>
      <c r="S316" s="1"/>
      <c r="T316" s="1"/>
    </row>
    <row r="317" spans="2:20" s="3" customFormat="1" x14ac:dyDescent="0.4">
      <c r="B317" s="1"/>
      <c r="C317" s="5"/>
      <c r="D317" s="74"/>
      <c r="E317" s="74"/>
      <c r="F317" s="1"/>
      <c r="H317" s="10" t="s">
        <v>401</v>
      </c>
      <c r="I317" s="11" t="s">
        <v>79</v>
      </c>
      <c r="J317" s="27">
        <f>$P$110-$P$31</f>
        <v>0</v>
      </c>
      <c r="L317" s="1"/>
      <c r="N317" s="37"/>
      <c r="O317" s="45"/>
      <c r="P317" s="2"/>
      <c r="Q317" s="1"/>
      <c r="R317" s="1"/>
      <c r="S317" s="1"/>
      <c r="T317" s="1"/>
    </row>
    <row r="318" spans="2:20" s="3" customFormat="1" x14ac:dyDescent="0.4">
      <c r="B318" s="1"/>
      <c r="C318" s="5"/>
      <c r="D318" s="74"/>
      <c r="E318" s="74"/>
      <c r="F318" s="1"/>
      <c r="G318" s="3" t="s">
        <v>208</v>
      </c>
      <c r="H318" s="10" t="s">
        <v>402</v>
      </c>
      <c r="I318" s="11" t="s">
        <v>79</v>
      </c>
      <c r="J318" s="27">
        <f>$P$111-$P$31</f>
        <v>0</v>
      </c>
      <c r="L318" s="1"/>
      <c r="N318" s="37"/>
      <c r="O318" s="45"/>
      <c r="P318" s="2"/>
      <c r="Q318" s="1"/>
      <c r="R318" s="1"/>
      <c r="S318" s="1"/>
      <c r="T318" s="1"/>
    </row>
    <row r="319" spans="2:20" s="3" customFormat="1" x14ac:dyDescent="0.4">
      <c r="B319" s="1"/>
      <c r="C319" s="5"/>
      <c r="D319" s="74"/>
      <c r="E319" s="74"/>
      <c r="F319" s="1"/>
      <c r="G319" s="3" t="s">
        <v>248</v>
      </c>
      <c r="H319" s="9" t="str">
        <f>IF($C$66&gt;=3,"（傾き前）1列目Z座標","-")</f>
        <v>-</v>
      </c>
      <c r="I319" s="11" t="s">
        <v>76</v>
      </c>
      <c r="J319" s="49" t="str">
        <f>IF($C$66&gt;=3,$J$9-$C$61,"-")</f>
        <v>-</v>
      </c>
      <c r="K319" s="27" t="str">
        <f>IF($C$66&gt;=3,$C$118+J319,"-")</f>
        <v>-</v>
      </c>
      <c r="L319" s="1"/>
      <c r="N319" s="37"/>
      <c r="O319" s="45"/>
      <c r="P319" s="2"/>
      <c r="Q319" s="1"/>
      <c r="R319" s="1"/>
      <c r="S319" s="1"/>
      <c r="T319" s="1"/>
    </row>
    <row r="320" spans="2:20" s="3" customFormat="1" x14ac:dyDescent="0.4">
      <c r="B320" s="1"/>
      <c r="C320" s="5"/>
      <c r="D320" s="74"/>
      <c r="E320" s="74"/>
      <c r="F320" s="1"/>
      <c r="G320" s="3" t="s">
        <v>247</v>
      </c>
      <c r="H320" s="9" t="str">
        <f>IF($C$66&gt;=4,"（傾き前）2列目Z座標","-")</f>
        <v>-</v>
      </c>
      <c r="I320" s="11" t="s">
        <v>76</v>
      </c>
      <c r="J320" s="49" t="str">
        <f>IF($C$66&gt;=4,$J$9-$C$61-$C$62,"-")</f>
        <v>-</v>
      </c>
      <c r="K320" s="27" t="str">
        <f>IF($C$66&gt;=4,$C$118+J320,"-")</f>
        <v>-</v>
      </c>
      <c r="L320" s="1"/>
      <c r="N320" s="37"/>
      <c r="O320" s="45"/>
      <c r="P320" s="2"/>
      <c r="Q320" s="1"/>
      <c r="R320" s="1"/>
      <c r="S320" s="1"/>
      <c r="T320" s="1"/>
    </row>
    <row r="321" spans="2:20" s="3" customFormat="1" x14ac:dyDescent="0.4">
      <c r="B321" s="1"/>
      <c r="C321" s="5"/>
      <c r="D321" s="74"/>
      <c r="E321" s="74"/>
      <c r="F321" s="1"/>
      <c r="H321" s="9" t="str">
        <f>IF($C$66&gt;=5,"（傾き前）3列目Z座標","-")</f>
        <v>-</v>
      </c>
      <c r="I321" s="11" t="s">
        <v>76</v>
      </c>
      <c r="J321" s="49" t="str">
        <f>IF($C$66&gt;=5,$J$9-$C$61-2*$C$62,"-")</f>
        <v>-</v>
      </c>
      <c r="K321" s="27" t="str">
        <f>IF($C$66&gt;=5,$C$118+J321,"-")</f>
        <v>-</v>
      </c>
      <c r="L321" s="1"/>
      <c r="N321" s="37"/>
      <c r="O321" s="45"/>
      <c r="P321" s="2"/>
      <c r="Q321" s="1"/>
      <c r="R321" s="1"/>
      <c r="S321" s="1"/>
      <c r="T321" s="1"/>
    </row>
    <row r="322" spans="2:20" s="3" customFormat="1" x14ac:dyDescent="0.4">
      <c r="B322" s="1"/>
      <c r="C322" s="5"/>
      <c r="D322" s="74"/>
      <c r="E322" s="74"/>
      <c r="F322" s="1"/>
      <c r="H322" s="9" t="str">
        <f>IF($C$66&gt;=6,"（傾き前）4列目Z座標","-")</f>
        <v>-</v>
      </c>
      <c r="I322" s="11" t="s">
        <v>76</v>
      </c>
      <c r="J322" s="49" t="str">
        <f>IF($C$66&gt;=6,$J$9-$C$61-3*$C$62,"-")</f>
        <v>-</v>
      </c>
      <c r="K322" s="27" t="str">
        <f>IF($C$66&gt;=6,$C$118+J322,"-")</f>
        <v>-</v>
      </c>
      <c r="L322" s="1"/>
      <c r="N322" s="37"/>
      <c r="O322" s="45"/>
      <c r="P322" s="2"/>
      <c r="Q322" s="1"/>
      <c r="R322" s="1"/>
      <c r="S322" s="1"/>
      <c r="T322" s="1"/>
    </row>
    <row r="323" spans="2:20" s="3" customFormat="1" x14ac:dyDescent="0.4">
      <c r="B323" s="1"/>
      <c r="C323" s="5"/>
      <c r="D323" s="74"/>
      <c r="E323" s="74"/>
      <c r="F323" s="1"/>
      <c r="H323" s="9" t="str">
        <f>IF($C$66&gt;=7,"（傾き前）5列目Z座標","-")</f>
        <v>-</v>
      </c>
      <c r="I323" s="11" t="s">
        <v>76</v>
      </c>
      <c r="J323" s="49" t="str">
        <f>IF($C$66&gt;=7,$J$9-$C$61-4*$C$62,"-")</f>
        <v>-</v>
      </c>
      <c r="K323" s="27" t="str">
        <f>IF($C$66&gt;=7,$C$118+J323,"-")</f>
        <v>-</v>
      </c>
      <c r="L323" s="1"/>
      <c r="N323" s="37"/>
      <c r="O323" s="45"/>
      <c r="P323" s="2"/>
      <c r="Q323" s="1"/>
      <c r="R323" s="1"/>
      <c r="S323" s="1"/>
      <c r="T323" s="1"/>
    </row>
    <row r="324" spans="2:20" s="3" customFormat="1" x14ac:dyDescent="0.4">
      <c r="B324" s="1"/>
      <c r="C324" s="5"/>
      <c r="D324" s="74"/>
      <c r="E324" s="74"/>
      <c r="F324" s="1"/>
      <c r="H324" s="9" t="str">
        <f>IF($C$66&gt;=8,"（傾き前）6列目Z座標","-")</f>
        <v>-</v>
      </c>
      <c r="I324" s="11" t="s">
        <v>76</v>
      </c>
      <c r="J324" s="49" t="str">
        <f>IF($C$66&gt;=8,$J$9-$C$61-5*$C$62,"-")</f>
        <v>-</v>
      </c>
      <c r="K324" s="27" t="str">
        <f>IF($C$66&gt;=8,$C$118+J324,"-")</f>
        <v>-</v>
      </c>
      <c r="L324" s="1"/>
      <c r="N324" s="37"/>
      <c r="O324" s="45"/>
      <c r="P324" s="2"/>
      <c r="Q324" s="1"/>
      <c r="R324" s="1"/>
      <c r="S324" s="1"/>
      <c r="T324" s="1"/>
    </row>
    <row r="325" spans="2:20" s="3" customFormat="1" x14ac:dyDescent="0.4">
      <c r="B325" s="1"/>
      <c r="C325" s="5"/>
      <c r="D325" s="74"/>
      <c r="E325" s="74"/>
      <c r="F325" s="1"/>
      <c r="H325" s="9" t="s">
        <v>249</v>
      </c>
      <c r="I325" s="11" t="s">
        <v>76</v>
      </c>
      <c r="J325" s="49" t="e">
        <f>$J$9-$C$61-($C$66-2)*$C$62</f>
        <v>#NUM!</v>
      </c>
      <c r="K325" s="27" t="e">
        <f>$C$118+J325</f>
        <v>#NUM!</v>
      </c>
      <c r="L325" s="1"/>
      <c r="N325" s="37"/>
      <c r="O325" s="45"/>
      <c r="P325" s="2"/>
      <c r="Q325" s="1"/>
      <c r="R325" s="1"/>
      <c r="S325" s="1"/>
      <c r="T325" s="1"/>
    </row>
    <row r="326" spans="2:20" s="3" customFormat="1" x14ac:dyDescent="0.4">
      <c r="B326" s="1"/>
      <c r="C326" s="5"/>
      <c r="D326" s="74"/>
      <c r="E326" s="74"/>
      <c r="F326" s="1"/>
      <c r="G326" s="3" t="s">
        <v>251</v>
      </c>
      <c r="H326" s="9" t="s">
        <v>250</v>
      </c>
      <c r="I326" s="11" t="s">
        <v>76</v>
      </c>
      <c r="J326" s="49" t="e">
        <f>$J$9-$C$61-($C$66-1)*$C$62</f>
        <v>#NUM!</v>
      </c>
      <c r="K326" s="27" t="e">
        <f>$C$118+J326</f>
        <v>#NUM!</v>
      </c>
      <c r="L326" s="1"/>
      <c r="N326" s="37"/>
      <c r="O326" s="45"/>
      <c r="P326" s="2"/>
      <c r="Q326" s="1"/>
      <c r="R326" s="1"/>
      <c r="S326" s="1"/>
      <c r="T326" s="1"/>
    </row>
    <row r="327" spans="2:20" s="3" customFormat="1" x14ac:dyDescent="0.4">
      <c r="B327" s="1"/>
      <c r="C327" s="5"/>
      <c r="D327" s="74"/>
      <c r="E327" s="74"/>
      <c r="F327" s="1"/>
      <c r="G327" s="3" t="s">
        <v>211</v>
      </c>
      <c r="H327" s="10" t="s">
        <v>214</v>
      </c>
      <c r="I327" s="27" t="s">
        <v>79</v>
      </c>
      <c r="J327" s="27" t="e">
        <f ca="1">$P$112+$C$19*2</f>
        <v>#REF!</v>
      </c>
      <c r="L327" s="1"/>
      <c r="N327" s="37"/>
      <c r="O327" s="45"/>
      <c r="P327" s="2"/>
      <c r="Q327" s="1"/>
      <c r="R327" s="1"/>
      <c r="S327" s="1"/>
      <c r="T327" s="1"/>
    </row>
    <row r="328" spans="2:20" s="3" customFormat="1" x14ac:dyDescent="0.4">
      <c r="B328" s="1"/>
      <c r="C328" s="5"/>
      <c r="D328" s="74"/>
      <c r="E328" s="74"/>
      <c r="F328" s="1"/>
      <c r="G328" s="3" t="s">
        <v>213</v>
      </c>
      <c r="H328" s="10" t="str">
        <f>IF($C$66&gt;=3,"1列目 AC内径（水平・めっき含・概算）","-")</f>
        <v>-</v>
      </c>
      <c r="I328" s="27" t="s">
        <v>79</v>
      </c>
      <c r="J328" s="27" t="str">
        <f>IF($C$66&gt;=3,($P$88*$P$126+$P$96*$P$118)/($P$80-$P$72)+$C$19*2,"-")</f>
        <v>-</v>
      </c>
      <c r="L328" s="1"/>
      <c r="N328" s="37"/>
      <c r="O328" s="45"/>
      <c r="P328" s="2"/>
      <c r="Q328" s="1"/>
      <c r="R328" s="1"/>
      <c r="S328" s="1"/>
      <c r="T328" s="1"/>
    </row>
    <row r="329" spans="2:20" x14ac:dyDescent="0.4">
      <c r="H329" s="10" t="s">
        <v>215</v>
      </c>
      <c r="I329" s="47" t="s">
        <v>79</v>
      </c>
      <c r="J329" s="27" t="e">
        <f ca="1">($P$95*$P$133+$P$103*$P$125)/($P$87-$P$79)+$C$19*2</f>
        <v>#REF!</v>
      </c>
    </row>
    <row r="330" spans="2:20" x14ac:dyDescent="0.4">
      <c r="H330" s="10" t="s">
        <v>404</v>
      </c>
      <c r="I330" s="27" t="s">
        <v>77</v>
      </c>
      <c r="J330" s="27" t="e">
        <f ca="1">$J$13+$J$131</f>
        <v>#NUM!</v>
      </c>
      <c r="K330" s="27" t="e">
        <f ca="1">-$C$119+$J$330</f>
        <v>#NUM!</v>
      </c>
    </row>
    <row r="331" spans="2:20" x14ac:dyDescent="0.4">
      <c r="G331" s="3" t="s">
        <v>226</v>
      </c>
      <c r="H331" s="48" t="s">
        <v>405</v>
      </c>
      <c r="I331" s="11" t="s">
        <v>77</v>
      </c>
      <c r="J331" s="47" t="e">
        <f ca="1">DEGREES($P$148)</f>
        <v>#REF!</v>
      </c>
    </row>
    <row r="332" spans="2:20" x14ac:dyDescent="0.4">
      <c r="G332" s="3" t="s">
        <v>226</v>
      </c>
      <c r="H332" s="48" t="s">
        <v>406</v>
      </c>
      <c r="I332" s="11" t="s">
        <v>77</v>
      </c>
      <c r="J332" s="47" t="e">
        <f ca="1">$J$13+$J$331</f>
        <v>#NUM!</v>
      </c>
      <c r="K332" s="47" t="e">
        <f ca="1">-$C$119+$J$332</f>
        <v>#NUM!</v>
      </c>
    </row>
    <row r="333" spans="2:20" x14ac:dyDescent="0.4">
      <c r="H333" s="10" t="s">
        <v>407</v>
      </c>
      <c r="I333" s="50" t="s">
        <v>79</v>
      </c>
      <c r="J333" s="27" t="e">
        <f ca="1">MIN($P$151, $P$152)</f>
        <v>#REF!</v>
      </c>
    </row>
    <row r="334" spans="2:20" x14ac:dyDescent="0.4">
      <c r="G334" s="3" t="s">
        <v>252</v>
      </c>
      <c r="H334" s="10" t="s">
        <v>292</v>
      </c>
      <c r="I334" s="11" t="s">
        <v>78</v>
      </c>
      <c r="J334" s="27" t="e">
        <f ca="1">($P$88*$P$161+$P$96*$P$153)/($P$80-$P$72)+$C$19*2</f>
        <v>#VALUE!</v>
      </c>
    </row>
    <row r="335" spans="2:20" x14ac:dyDescent="0.4">
      <c r="H335" s="10" t="s">
        <v>254</v>
      </c>
      <c r="I335" s="11" t="s">
        <v>78</v>
      </c>
      <c r="J335" s="27" t="e">
        <f ca="1">($P$95*$P$168+$P$103*$P$160)/($P$87-$P$79)+$C$19*2</f>
        <v>#REF!</v>
      </c>
    </row>
    <row r="336" spans="2:20" x14ac:dyDescent="0.4">
      <c r="H336" s="28" t="s">
        <v>409</v>
      </c>
      <c r="I336" s="55"/>
    </row>
    <row r="337" spans="8:10" x14ac:dyDescent="0.4">
      <c r="H337" s="10" t="str">
        <f>IF($C$66&gt;=3,"ディンプル1列目-トップ端 湾曲中心間X距離", "-")</f>
        <v>-</v>
      </c>
      <c r="I337" s="11" t="s">
        <v>79</v>
      </c>
      <c r="J337" s="27" t="str">
        <f>IF($C$66&gt;=$C$122-5,$J$311*$P$142-$C$61*$P$141, "-")</f>
        <v>-</v>
      </c>
    </row>
    <row r="338" spans="8:10" x14ac:dyDescent="0.4">
      <c r="H338" s="10" t="str">
        <f>IF($C$66&gt;=4,"ディンプル2列目-トップ端 湾曲中心間X距離", "-")</f>
        <v>-</v>
      </c>
      <c r="I338" s="11" t="s">
        <v>79</v>
      </c>
      <c r="J338" s="27" t="str">
        <f>IF($C$66&gt;=$C$122-4,$J$312*$P$142-($C$61+$C62)*$P$141, "-")</f>
        <v>-</v>
      </c>
    </row>
    <row r="339" spans="8:10" x14ac:dyDescent="0.4">
      <c r="H339" s="10" t="str">
        <f>IF($C$66&gt;=5,"ディンプル3列目-トップ端 湾曲中心間X距離", "-")</f>
        <v>-</v>
      </c>
      <c r="I339" s="11" t="s">
        <v>79</v>
      </c>
      <c r="J339" s="27" t="str">
        <f>IF($C$66&gt;=$C$122-3,$J$313*$P$142-($C$61+2*$C$62)*$P$141, "-")</f>
        <v>-</v>
      </c>
    </row>
    <row r="340" spans="8:10" x14ac:dyDescent="0.4">
      <c r="H340" s="10" t="str">
        <f>IF($C$66&gt;=6,"ディンプル4列目-トップ端 湾曲中心間X距離", "-")</f>
        <v>-</v>
      </c>
      <c r="I340" s="11" t="s">
        <v>79</v>
      </c>
      <c r="J340" s="27" t="str">
        <f>IF($C$66&gt;=$C$122-2,$J$314*$P$142-($C$61+3*$C$62)*$P$141, "-")</f>
        <v>-</v>
      </c>
    </row>
    <row r="341" spans="8:10" x14ac:dyDescent="0.4">
      <c r="H341" s="10" t="str">
        <f>IF($C$66&gt;=7,"ディンプル5列目-トップ端 湾曲中心間X距離", "-")</f>
        <v>-</v>
      </c>
      <c r="I341" s="11" t="s">
        <v>79</v>
      </c>
      <c r="J341" s="27" t="str">
        <f>IF($C$66&gt;=$C$122-1,$J$315*$P$142-($C$61+4*$C$62)*$P$141, "-")</f>
        <v>-</v>
      </c>
    </row>
    <row r="342" spans="8:10" x14ac:dyDescent="0.4">
      <c r="H342" s="10" t="str">
        <f>IF($C$66&gt;=8,"ディンプル6列目-トップ端 湾曲中心間X距離", "-")</f>
        <v>-</v>
      </c>
      <c r="I342" s="11" t="s">
        <v>79</v>
      </c>
      <c r="J342" s="27" t="str">
        <f>IF($C$66&gt;=$C$122,$J$316*$P$142-($C$61+5*$C$62)*$P$141, "-")</f>
        <v>-</v>
      </c>
    </row>
    <row r="343" spans="8:10" x14ac:dyDescent="0.4">
      <c r="H343" s="10" t="s">
        <v>401</v>
      </c>
      <c r="I343" s="11" t="s">
        <v>79</v>
      </c>
      <c r="J343" s="27" t="e">
        <f ca="1">$J$317*$P$142-($C$61+($C$66-2)*$C$62)*$P$141</f>
        <v>#VALUE!</v>
      </c>
    </row>
    <row r="344" spans="8:10" x14ac:dyDescent="0.4">
      <c r="H344" s="10" t="s">
        <v>402</v>
      </c>
      <c r="I344" s="11" t="s">
        <v>79</v>
      </c>
      <c r="J344" s="27" t="e">
        <f ca="1">$J$318*$P$142-($C$61+($C$66-1)*$C$62)*$P$141</f>
        <v>#VALUE!</v>
      </c>
    </row>
    <row r="345" spans="8:10" x14ac:dyDescent="0.4">
      <c r="H345" s="10" t="str">
        <f>IF($C$66&gt;=3,"ディンプル1列目-トップ端 湾曲中心間Z距離", "-")</f>
        <v>-</v>
      </c>
      <c r="I345" s="11" t="s">
        <v>76</v>
      </c>
      <c r="J345" s="27" t="str">
        <f>IF($C$66&gt;=$C$122-5,$J$311*$P$141+$C$61*$P$142, "-")</f>
        <v>-</v>
      </c>
    </row>
    <row r="346" spans="8:10" x14ac:dyDescent="0.4">
      <c r="H346" s="10" t="str">
        <f>IF($C$66&gt;=4,"ディンプル2列目-トップ端 湾曲中心間Z距離", "-")</f>
        <v>-</v>
      </c>
      <c r="I346" s="11" t="s">
        <v>76</v>
      </c>
      <c r="J346" s="27" t="str">
        <f>IF($C$66&gt;=$C$122-4,$J$312*$P$141+($C$61+$C$62)*$P$142, "-")</f>
        <v>-</v>
      </c>
    </row>
    <row r="347" spans="8:10" x14ac:dyDescent="0.4">
      <c r="H347" s="10" t="str">
        <f>IF($C$66&gt;=5,"ディンプル3列目-トップ端 湾曲中心間Z距離", "-")</f>
        <v>-</v>
      </c>
      <c r="I347" s="11" t="s">
        <v>76</v>
      </c>
      <c r="J347" s="27" t="str">
        <f>IF($C$66&gt;=$C$122-3,$J$313*$P$141+($C$61+2*$C$62)*$P$142, "-")</f>
        <v>-</v>
      </c>
    </row>
    <row r="348" spans="8:10" x14ac:dyDescent="0.4">
      <c r="H348" s="10" t="str">
        <f>IF($C$66&gt;=6,"ディンプル4列目-トップ端 湾曲中心間Z距離", "-")</f>
        <v>-</v>
      </c>
      <c r="I348" s="11" t="s">
        <v>76</v>
      </c>
      <c r="J348" s="27" t="str">
        <f>IF($C$66&gt;=$C$122-2,$J$314*$P$141+($C$61+3*$C$62)*$P$142, "-")</f>
        <v>-</v>
      </c>
    </row>
    <row r="349" spans="8:10" x14ac:dyDescent="0.4">
      <c r="H349" s="10" t="str">
        <f>IF($C$66&gt;=7,"ディンプル5列目-トップ端 湾曲中心間Z距離", "-")</f>
        <v>-</v>
      </c>
      <c r="I349" s="11" t="s">
        <v>76</v>
      </c>
      <c r="J349" s="27" t="str">
        <f>IF($C$66&gt;=$C$122-1,$J$315*$P$141+($C$61+4*$C$62)*$P$142, "-")</f>
        <v>-</v>
      </c>
    </row>
    <row r="350" spans="8:10" x14ac:dyDescent="0.4">
      <c r="H350" s="10" t="str">
        <f>IF($C$66&gt;=8,"ディンプル6列目-トップ端 湾曲中心間Z距離", "-")</f>
        <v>-</v>
      </c>
      <c r="I350" s="3" t="s">
        <v>76</v>
      </c>
      <c r="J350" s="27" t="str">
        <f>IF($C$66&gt;=$C$122-0,$J$316*$P$141+($C$61+5*$C$62)*$P$142, "-")</f>
        <v>-</v>
      </c>
    </row>
    <row r="351" spans="8:10" x14ac:dyDescent="0.4">
      <c r="H351" s="10" t="s">
        <v>411</v>
      </c>
      <c r="I351" s="11" t="s">
        <v>76</v>
      </c>
      <c r="J351" s="27" t="e">
        <f ca="1">$J$317*$P$141+($C$61+($C$66-2)*$C$62)*$P$142</f>
        <v>#VALUE!</v>
      </c>
    </row>
    <row r="352" spans="8:10" x14ac:dyDescent="0.4">
      <c r="H352" s="10" t="s">
        <v>412</v>
      </c>
      <c r="I352" s="11" t="s">
        <v>76</v>
      </c>
      <c r="J352" s="27" t="e">
        <f ca="1">$J$318*$P$141+($C$61+($C$66-1)*$C$62)*$P$142</f>
        <v>#VALUE!</v>
      </c>
    </row>
    <row r="353" spans="7:11" x14ac:dyDescent="0.4">
      <c r="H353" s="28" t="s">
        <v>413</v>
      </c>
      <c r="I353" s="55"/>
    </row>
    <row r="354" spans="7:11" x14ac:dyDescent="0.4">
      <c r="G354" s="3" t="s">
        <v>283</v>
      </c>
      <c r="H354" s="9" t="s">
        <v>288</v>
      </c>
      <c r="I354" s="11" t="s">
        <v>79</v>
      </c>
      <c r="J354" s="27" t="e">
        <f>$K$24-$C117</f>
        <v>#NUM!</v>
      </c>
      <c r="K354" s="27" t="e">
        <f>$C$117+J354</f>
        <v>#NUM!</v>
      </c>
    </row>
    <row r="355" spans="7:11" x14ac:dyDescent="0.4">
      <c r="G355" s="3" t="s">
        <v>284</v>
      </c>
      <c r="H355" s="9" t="s">
        <v>289</v>
      </c>
      <c r="I355" s="11" t="s">
        <v>76</v>
      </c>
      <c r="J355" s="27" t="e">
        <f>$J$9</f>
        <v>#NUM!</v>
      </c>
      <c r="K355" s="27" t="e">
        <f>$C$118+J355</f>
        <v>#NUM!</v>
      </c>
    </row>
    <row r="356" spans="7:11" x14ac:dyDescent="0.4">
      <c r="G356" s="3" t="s">
        <v>285</v>
      </c>
      <c r="H356" s="9" t="s">
        <v>290</v>
      </c>
      <c r="I356" s="11" t="s">
        <v>79</v>
      </c>
      <c r="J356" s="27" t="e">
        <f ca="1">$J$354*$P$142+$J$355*$P$141</f>
        <v>#NUM!</v>
      </c>
      <c r="K356" s="27" t="e">
        <f ca="1">$C$117+J356</f>
        <v>#NUM!</v>
      </c>
    </row>
    <row r="357" spans="7:11" x14ac:dyDescent="0.4">
      <c r="G357" s="3" t="s">
        <v>286</v>
      </c>
      <c r="H357" s="9" t="s">
        <v>291</v>
      </c>
      <c r="I357" s="50" t="s">
        <v>76</v>
      </c>
      <c r="J357" s="27" t="e">
        <f ca="1">-$J$354*$P$141+$J$355*$P$142</f>
        <v>#NUM!</v>
      </c>
      <c r="K357" s="27" t="e">
        <f ca="1">$C$118+J357</f>
        <v>#NUM!</v>
      </c>
    </row>
    <row r="358" spans="7:11" x14ac:dyDescent="0.4">
      <c r="H358" s="9" t="s">
        <v>287</v>
      </c>
      <c r="I358" s="47" t="s">
        <v>79</v>
      </c>
      <c r="J358" s="27" t="e">
        <f ca="1">$J$356-$J$354</f>
        <v>#NUM!</v>
      </c>
    </row>
    <row r="359" spans="7:11" x14ac:dyDescent="0.4">
      <c r="H359" s="9" t="s">
        <v>659</v>
      </c>
      <c r="I359" s="50" t="s">
        <v>76</v>
      </c>
      <c r="J359" s="27" t="e">
        <f ca="1">$J$357-$J$355</f>
        <v>#NUM!</v>
      </c>
    </row>
  </sheetData>
  <phoneticPr fontId="1"/>
  <conditionalFormatting sqref="B11:C11">
    <cfRule type="expression" dxfId="166" priority="5">
      <formula>$C$6&lt;&gt;1</formula>
    </cfRule>
  </conditionalFormatting>
  <conditionalFormatting sqref="B24:C25 B26:E29 B30:C30">
    <cfRule type="expression" dxfId="165" priority="1">
      <formula>$C$23&lt;&gt;1</formula>
    </cfRule>
  </conditionalFormatting>
  <conditionalFormatting sqref="B26:C26">
    <cfRule type="expression" dxfId="164" priority="43">
      <formula>$C$25&lt;&gt;0</formula>
    </cfRule>
  </conditionalFormatting>
  <conditionalFormatting sqref="B33:C33 B35:C35 B36:E39 B40:C40 G150:K150 G151:J154">
    <cfRule type="expression" dxfId="163" priority="50">
      <formula>$C$32&lt;&gt;1</formula>
    </cfRule>
  </conditionalFormatting>
  <conditionalFormatting sqref="B34:C34">
    <cfRule type="expression" dxfId="162" priority="2">
      <formula>$C$23&lt;&gt;1</formula>
    </cfRule>
  </conditionalFormatting>
  <conditionalFormatting sqref="B43:C43 B44:E44">
    <cfRule type="expression" dxfId="161" priority="143">
      <formula>NOT(AND($C$23=1, $C$32=1))</formula>
    </cfRule>
  </conditionalFormatting>
  <conditionalFormatting sqref="B53:C53">
    <cfRule type="expression" dxfId="160" priority="4">
      <formula>$C$47=1</formula>
    </cfRule>
  </conditionalFormatting>
  <conditionalFormatting sqref="B57:C57">
    <cfRule type="expression" dxfId="159" priority="104">
      <formula>$C$46&lt;&gt;1</formula>
    </cfRule>
  </conditionalFormatting>
  <conditionalFormatting sqref="B58:C58">
    <cfRule type="expression" dxfId="158" priority="103">
      <formula>$C$46&lt;&gt;2</formula>
    </cfRule>
  </conditionalFormatting>
  <conditionalFormatting sqref="B61:C68 H120:K120 H121:J131">
    <cfRule type="expression" dxfId="157" priority="32">
      <formula>$C$60&lt;&gt;1</formula>
    </cfRule>
  </conditionalFormatting>
  <conditionalFormatting sqref="B71:C72">
    <cfRule type="expression" dxfId="156" priority="99">
      <formula>$C$70&lt;&gt;1</formula>
    </cfRule>
  </conditionalFormatting>
  <conditionalFormatting sqref="B75:C75">
    <cfRule type="expression" dxfId="155" priority="90">
      <formula>$C74&lt;&gt;1</formula>
    </cfRule>
  </conditionalFormatting>
  <conditionalFormatting sqref="B78:C79">
    <cfRule type="expression" dxfId="154" priority="98">
      <formula>$C$77&lt;&gt;1</formula>
    </cfRule>
  </conditionalFormatting>
  <conditionalFormatting sqref="B82:C82">
    <cfRule type="expression" dxfId="153" priority="89">
      <formula>$C$81&lt;&gt;1</formula>
    </cfRule>
  </conditionalFormatting>
  <conditionalFormatting sqref="B85:C86">
    <cfRule type="expression" dxfId="152" priority="82">
      <formula>$C$84&lt;&gt;1</formula>
    </cfRule>
  </conditionalFormatting>
  <conditionalFormatting sqref="B89:C89">
    <cfRule type="expression" dxfId="151" priority="88">
      <formula>$C$88&lt;&gt;1</formula>
    </cfRule>
  </conditionalFormatting>
  <conditionalFormatting sqref="B92:C93">
    <cfRule type="expression" dxfId="150" priority="87">
      <formula>$C$91&lt;&gt;1</formula>
    </cfRule>
  </conditionalFormatting>
  <conditionalFormatting sqref="B96:C96">
    <cfRule type="expression" dxfId="149" priority="86">
      <formula>$C$95&lt;&gt;1</formula>
    </cfRule>
  </conditionalFormatting>
  <conditionalFormatting sqref="B99:C103 G166:K166">
    <cfRule type="expression" dxfId="148" priority="45">
      <formula>$C$98&lt;&gt;1</formula>
    </cfRule>
  </conditionalFormatting>
  <conditionalFormatting sqref="B106:C109 G173:K173 G174:J175">
    <cfRule type="expression" dxfId="147" priority="27">
      <formula>$C$105&lt;&gt;1</formula>
    </cfRule>
  </conditionalFormatting>
  <conditionalFormatting sqref="B36:E36">
    <cfRule type="expression" dxfId="146" priority="158">
      <formula>AND($C$23&lt;&gt;0, $C$43&lt;&gt;2)</formula>
    </cfRule>
  </conditionalFormatting>
  <conditionalFormatting sqref="B39:E39">
    <cfRule type="expression" dxfId="145" priority="49">
      <formula>$C$35&lt;&gt;1</formula>
    </cfRule>
  </conditionalFormatting>
  <conditionalFormatting sqref="B48:E48 C49:E49">
    <cfRule type="expression" dxfId="144" priority="106">
      <formula>$C$46=4</formula>
    </cfRule>
  </conditionalFormatting>
  <conditionalFormatting sqref="B52:E52">
    <cfRule type="expression" dxfId="143" priority="149">
      <formula>$C$47=0</formula>
    </cfRule>
  </conditionalFormatting>
  <conditionalFormatting sqref="C7">
    <cfRule type="expression" dxfId="142" priority="142">
      <formula>$C$7&gt;2*P191</formula>
    </cfRule>
  </conditionalFormatting>
  <conditionalFormatting sqref="C9">
    <cfRule type="expression" dxfId="141" priority="135">
      <formula>OR(C9&lt;0, $J$9&lt;364, $J$10&lt;345)</formula>
    </cfRule>
  </conditionalFormatting>
  <conditionalFormatting sqref="C14:C15">
    <cfRule type="expression" dxfId="140" priority="136">
      <formula>$C$14&lt;=0</formula>
    </cfRule>
  </conditionalFormatting>
  <conditionalFormatting sqref="C16">
    <cfRule type="expression" dxfId="139" priority="109">
      <formula>OR($C$16&lt;=0, $C$16&gt;=MIN($C$14, $C$15)/4)</formula>
    </cfRule>
  </conditionalFormatting>
  <conditionalFormatting sqref="C23">
    <cfRule type="expression" dxfId="138" priority="108">
      <formula>OR(ISBLANK($C$23), AND($C$23&lt;&gt;0, $C$23&lt;&gt;1))</formula>
    </cfRule>
  </conditionalFormatting>
  <conditionalFormatting sqref="C24">
    <cfRule type="expression" dxfId="137" priority="74">
      <formula>OR(ISBLANK($C$24), AND($C$24&lt;&gt;0, $C$24&lt;&gt;1))</formula>
    </cfRule>
  </conditionalFormatting>
  <conditionalFormatting sqref="C25">
    <cfRule type="expression" dxfId="136" priority="42">
      <formula>OR(ISBLANK($C$25), AND($C$25&lt;&gt;0, $C$25&lt;&gt;1))</formula>
    </cfRule>
  </conditionalFormatting>
  <conditionalFormatting sqref="C26">
    <cfRule type="expression" dxfId="135" priority="1354">
      <formula>IF($C$23=1,OR($C$26&lt;=0, $C$26&gt;=($C$14-$P$115)/2), $C$26&lt;&gt;"")</formula>
    </cfRule>
  </conditionalFormatting>
  <conditionalFormatting sqref="C27:C28">
    <cfRule type="expression" dxfId="134" priority="139">
      <formula>IF($C$23=1, OR($C$27&lt;=$C$14/2, $C$27&gt;=$C$14), $C$27&lt;&gt;"")</formula>
    </cfRule>
  </conditionalFormatting>
  <conditionalFormatting sqref="C28">
    <cfRule type="expression" dxfId="133" priority="160">
      <formula>IF($C$23=1, $C$28&gt;=$C$15, $C$28&lt;&gt;"")</formula>
    </cfRule>
  </conditionalFormatting>
  <conditionalFormatting sqref="C29">
    <cfRule type="expression" dxfId="132" priority="141">
      <formula>IF($C$23=1,OR($C$29&lt;=0, $C$29&gt;=#REF!/4),$C$29&lt;&gt;"")</formula>
    </cfRule>
  </conditionalFormatting>
  <conditionalFormatting sqref="C30">
    <cfRule type="expression" dxfId="131" priority="73">
      <formula>OR($C$30&lt;1, $C$30&gt;=MIN($C$27, $C$28)/4)</formula>
    </cfRule>
  </conditionalFormatting>
  <conditionalFormatting sqref="C32">
    <cfRule type="expression" dxfId="130" priority="120">
      <formula>OR(ISBLANK($C$32), AND($C$32&lt;&gt;0, $C$32&lt;&gt;1))</formula>
    </cfRule>
  </conditionalFormatting>
  <conditionalFormatting sqref="C33">
    <cfRule type="expression" dxfId="129" priority="100">
      <formula>OR(ISBLANK($C$33), AND($C$33&lt;&gt;0, $C$33&lt;&gt;1))</formula>
    </cfRule>
  </conditionalFormatting>
  <conditionalFormatting sqref="C34">
    <cfRule type="expression" dxfId="128" priority="3">
      <formula>OR(ISBLANK($C$34), AND($C$34&lt;&gt;0, $C$34&lt;&gt;1))</formula>
    </cfRule>
  </conditionalFormatting>
  <conditionalFormatting sqref="C35">
    <cfRule type="expression" dxfId="127" priority="77">
      <formula>OR(ISBLANK($C$35), AND($C$35&lt;&gt;0, $C$35&lt;&gt;1))</formula>
    </cfRule>
  </conditionalFormatting>
  <conditionalFormatting sqref="C36">
    <cfRule type="expression" dxfId="126" priority="1355">
      <formula>IF($C$32=1,OR($C$36&lt;=0, $C$36&gt;=($C$14-$P$112)/2),$C$36&lt;&gt;"")</formula>
    </cfRule>
  </conditionalFormatting>
  <conditionalFormatting sqref="C37:C38">
    <cfRule type="expression" dxfId="125" priority="161">
      <formula>OR($C$37&lt;=$C$14/2, $C$37&gt;=$C$14, $C$37&lt;=$C$48)</formula>
    </cfRule>
  </conditionalFormatting>
  <conditionalFormatting sqref="C38">
    <cfRule type="expression" dxfId="124" priority="162">
      <formula>IF($C$32=1,OR($C$38&lt;=$C$49, $C$38&gt;=$C$15),$C$38&lt;&gt;"")</formula>
    </cfRule>
  </conditionalFormatting>
  <conditionalFormatting sqref="C39">
    <cfRule type="expression" dxfId="123" priority="51">
      <formula>IF($C$32=1,OR($C$39&lt;=0, $C$39&gt;=$C$9/4),$C$39&lt;&gt;"")</formula>
    </cfRule>
  </conditionalFormatting>
  <conditionalFormatting sqref="C40">
    <cfRule type="expression" dxfId="122" priority="119">
      <formula>OR($C$40&lt;=0, $C$40&gt;=MIN($C$37, $C$38)/4, $C$40&lt;1)</formula>
    </cfRule>
  </conditionalFormatting>
  <conditionalFormatting sqref="C43">
    <cfRule type="expression" dxfId="121" priority="155">
      <formula>IF(AND($C$23=1, $C$32=1), AND($C$43&lt;&gt;1, $C$43&lt;&gt;2), $C$43&lt;&gt;"")</formula>
    </cfRule>
  </conditionalFormatting>
  <conditionalFormatting sqref="C44">
    <cfRule type="expression" dxfId="120" priority="154">
      <formula>AND(AND($C$23=1, $C$32=1), OR(ISBLANK($C$44), $C$44&lt;0, $C$44&gt;=$C$27/4))</formula>
    </cfRule>
  </conditionalFormatting>
  <conditionalFormatting sqref="C46">
    <cfRule type="expression" dxfId="119" priority="121">
      <formula>OR(ISBLANK($C$46), AND($C$46&lt;&gt;1, $C$46&lt;&gt;2,$C$46&lt;&gt;3, $C$46&lt;&gt;4))</formula>
    </cfRule>
  </conditionalFormatting>
  <conditionalFormatting sqref="C47">
    <cfRule type="expression" dxfId="118" priority="107">
      <formula>OR(ISBLANK($C$47), AND($C$47&lt;&gt;0, $C$47&lt;&gt;1))</formula>
    </cfRule>
  </conditionalFormatting>
  <conditionalFormatting sqref="C48:C49">
    <cfRule type="expression" dxfId="117" priority="150">
      <formula>IF($C$46&lt;&gt;4,OR($C$48&gt;=$C$14, AND($C$32=1, $C$48&gt;=$C$37),$C$48&lt;=$C$14/2),$C$48&lt;&gt;"")</formula>
    </cfRule>
  </conditionalFormatting>
  <conditionalFormatting sqref="C50">
    <cfRule type="expression" dxfId="116" priority="140">
      <formula>OR($C$50&lt;=0, $C$50&gt;$C$9/2)</formula>
    </cfRule>
  </conditionalFormatting>
  <conditionalFormatting sqref="C51">
    <cfRule type="expression" dxfId="115" priority="147">
      <formula>OR($C$51&lt;=0, $C$51+$C$50&gt;$S$2)</formula>
    </cfRule>
  </conditionalFormatting>
  <conditionalFormatting sqref="C52">
    <cfRule type="expression" dxfId="114" priority="1356">
      <formula>IF($C$47=1,OR($C$52&lt;=0, $C$52&gt;=($C$14-$P$175)/2),$C$52&lt;&gt;"")</formula>
    </cfRule>
  </conditionalFormatting>
  <conditionalFormatting sqref="C57">
    <cfRule type="expression" dxfId="113" priority="105">
      <formula>AND($C$46=1, OR($C$57&lt;=0, $C$57&gt;=MIN($C$48, $C$49)/4), ISBLANK($C$57))</formula>
    </cfRule>
  </conditionalFormatting>
  <conditionalFormatting sqref="C58">
    <cfRule type="expression" dxfId="112" priority="102">
      <formula>IF($C$46=2,OR($C$58&lt;=0, $C$58&gt;=MIN($C$48, $C$49)/4),$C$58&lt;&gt;"")</formula>
    </cfRule>
  </conditionalFormatting>
  <conditionalFormatting sqref="C60">
    <cfRule type="expression" dxfId="111" priority="39">
      <formula>OR(ISBLANK($C$60), AND($C$60&lt;&gt;0, $C$60&lt;&gt;1))</formula>
    </cfRule>
  </conditionalFormatting>
  <conditionalFormatting sqref="C64">
    <cfRule type="expression" dxfId="110" priority="145">
      <formula>OR($C$64&lt;=0, MOD($C$64,$C$63)&lt;&gt;0, $C$64&gt;=#REF!)</formula>
    </cfRule>
  </conditionalFormatting>
  <conditionalFormatting sqref="C66">
    <cfRule type="expression" dxfId="109" priority="144">
      <formula>OR(C66-QUOTIENT(C66,1)&lt;&gt;0, C66&lt;0, C66&gt;$C$122)</formula>
    </cfRule>
  </conditionalFormatting>
  <conditionalFormatting sqref="C68">
    <cfRule type="expression" dxfId="108" priority="79">
      <formula>OR(ISBLANK($C$68), AND($C$68&lt;&gt;20, $C$68&lt;&gt;6.6, $C$68&lt;&gt;15))</formula>
    </cfRule>
  </conditionalFormatting>
  <conditionalFormatting sqref="C70">
    <cfRule type="expression" dxfId="107" priority="118">
      <formula>OR(ISBLANK($C$70), AND($C$70&lt;&gt;0, $C$70&lt;&gt;1), AND($C$74&lt;&gt;0, $C$70=1))</formula>
    </cfRule>
  </conditionalFormatting>
  <conditionalFormatting sqref="C71">
    <cfRule type="expression" dxfId="106" priority="117">
      <formula>IF($C$70=1,OR($C$71&lt;=0, $C$71&gt;=#REF!/4),$C$71&lt;&gt;"")</formula>
    </cfRule>
  </conditionalFormatting>
  <conditionalFormatting sqref="C72">
    <cfRule type="expression" dxfId="105" priority="113">
      <formula>IF($C$70=1,AND($C$72&lt;&gt;15, $C$72&lt;&gt;30, $C$72&lt;&gt;45),$C$72&lt;&gt;"")</formula>
    </cfRule>
  </conditionalFormatting>
  <conditionalFormatting sqref="C74">
    <cfRule type="expression" dxfId="104" priority="97">
      <formula>OR(AND($C$74&lt;&gt;0, $C$74&lt;&gt;1), AND($C$70&lt;&gt;0, $C$74=1))</formula>
    </cfRule>
  </conditionalFormatting>
  <conditionalFormatting sqref="C75">
    <cfRule type="expression" dxfId="103" priority="96">
      <formula>IF($C$74=1,OR($C$75&lt;=0, $C$75&gt;=#REF!/4),$C$75&lt;&gt;"")</formula>
    </cfRule>
  </conditionalFormatting>
  <conditionalFormatting sqref="C77">
    <cfRule type="expression" dxfId="102" priority="115">
      <formula>OR(ISBLANK($C$77), AND($C$77&lt;&gt;0, $C$77&lt;&gt;1), AND($C$81&lt;&gt;0, $C$77=1))</formula>
    </cfRule>
  </conditionalFormatting>
  <conditionalFormatting sqref="C78">
    <cfRule type="expression" dxfId="101" priority="116">
      <formula>IF($C$77=1,OR($C$78&lt;=0, $C$78&gt;=#REF!/4),$C$78&lt;&gt;"")</formula>
    </cfRule>
  </conditionalFormatting>
  <conditionalFormatting sqref="C79">
    <cfRule type="expression" dxfId="100" priority="114">
      <formula>IF($C$77=1,AND($C$79&lt;&gt;15, $C$79&lt;&gt;30, $C$79&lt;&gt;45),$C$79&lt;&gt;"")</formula>
    </cfRule>
  </conditionalFormatting>
  <conditionalFormatting sqref="C81">
    <cfRule type="expression" dxfId="99" priority="95">
      <formula>OR(ISBLANK($C$81), AND($C$81&lt;&gt;0, $C$81&lt;&gt;1), AND($C$77&lt;&gt;0, $C$81=1))</formula>
    </cfRule>
  </conditionalFormatting>
  <conditionalFormatting sqref="C82">
    <cfRule type="expression" dxfId="98" priority="94">
      <formula>IF($C$81=1,OR($C$82&lt;=0, $C$82&gt;=#REF!/4),$C$82&lt;&gt;"")</formula>
    </cfRule>
  </conditionalFormatting>
  <conditionalFormatting sqref="C84">
    <cfRule type="expression" dxfId="97" priority="83">
      <formula>OR(ISBLANK($C$84), AND($C$84&lt;&gt;0, $C$84&lt;&gt;1), AND($C$88&lt;&gt;0, $C$84=1))</formula>
    </cfRule>
  </conditionalFormatting>
  <conditionalFormatting sqref="C85">
    <cfRule type="expression" dxfId="96" priority="85">
      <formula>IF($C$84=1,OR($C$85&lt;=0, $C$85&gt;=$C$9/4),$C$85&lt;&gt;"")</formula>
    </cfRule>
  </conditionalFormatting>
  <conditionalFormatting sqref="C86">
    <cfRule type="expression" dxfId="95" priority="84">
      <formula>IF($C$84=1,AND($C$86&lt;&gt;15, $C$86&lt;&gt;30, $C$86&lt;&gt;45),$C$86&lt;&gt;"")</formula>
    </cfRule>
  </conditionalFormatting>
  <conditionalFormatting sqref="C88">
    <cfRule type="expression" dxfId="94" priority="152">
      <formula>OR(ISBLANK($C$88), AND($C$88&lt;&gt;0, $C$88&lt;&gt;1), AND($C$84&lt;&gt;0, $C$88&lt;&gt;0))</formula>
    </cfRule>
  </conditionalFormatting>
  <conditionalFormatting sqref="C89">
    <cfRule type="expression" dxfId="93" priority="93">
      <formula>IF($C$88=1,OR($C$89&lt;=0, $C$89&gt;=$C$9/4),$C$89&lt;&gt;"")</formula>
    </cfRule>
  </conditionalFormatting>
  <conditionalFormatting sqref="C91">
    <cfRule type="expression" dxfId="92" priority="111">
      <formula>OR(ISBLANK($C$91), AND($C$91&lt;&gt;0, $C$91&lt;&gt;1), AND($C$95&lt;&gt;0, $C$91&lt;&gt;0))</formula>
    </cfRule>
  </conditionalFormatting>
  <conditionalFormatting sqref="C92">
    <cfRule type="expression" dxfId="91" priority="112">
      <formula>IF($C$91=1,OR($C$92&lt;=0, $C$92&gt;=$C9/4),$C$92&lt;&gt;"")</formula>
    </cfRule>
  </conditionalFormatting>
  <conditionalFormatting sqref="C93">
    <cfRule type="expression" dxfId="90" priority="110">
      <formula>IF($C$91=1,AND($C$93&lt;&gt;15, $C$93&lt;&gt;30, $C$93&lt;&gt;45),$C$93&lt;&gt;"")</formula>
    </cfRule>
  </conditionalFormatting>
  <conditionalFormatting sqref="C95">
    <cfRule type="expression" dxfId="89" priority="92">
      <formula>OR(ISBLANK($C$95), AND($C$95&lt;&gt;0, $C$95&lt;&gt;1), AND($C$91&lt;&gt;0, $C$95&lt;&gt;0))</formula>
    </cfRule>
  </conditionalFormatting>
  <conditionalFormatting sqref="C96">
    <cfRule type="expression" dxfId="88" priority="91">
      <formula>IF($C$95=1,OR($C$96&lt;=0, $C$96&gt;=$C$9/4),$C$96&lt;&gt;"")</formula>
    </cfRule>
  </conditionalFormatting>
  <conditionalFormatting sqref="C99">
    <cfRule type="expression" dxfId="87" priority="48">
      <formula>$C$99&gt;=$C$14/2-$C$16</formula>
    </cfRule>
  </conditionalFormatting>
  <conditionalFormatting sqref="C100">
    <cfRule type="expression" dxfId="86" priority="47">
      <formula>$C$99+$C$100&gt;=$C$14/2</formula>
    </cfRule>
  </conditionalFormatting>
  <conditionalFormatting sqref="C101">
    <cfRule type="expression" dxfId="85" priority="1357">
      <formula>$C$101&gt;=($C$15-$P$113)/2</formula>
    </cfRule>
  </conditionalFormatting>
  <conditionalFormatting sqref="C105">
    <cfRule type="expression" dxfId="84" priority="40">
      <formula>OR(ISBLANK($C$105), AND($C$105&lt;&gt;0, $C$105&lt;&gt;1))</formula>
    </cfRule>
  </conditionalFormatting>
  <conditionalFormatting sqref="C112">
    <cfRule type="expression" dxfId="83" priority="138">
      <formula>AND(C112&lt;&gt;330, C112&lt;&gt;270, C112&lt;&gt;250)</formula>
    </cfRule>
  </conditionalFormatting>
  <conditionalFormatting sqref="C113">
    <cfRule type="expression" dxfId="82" priority="137">
      <formula>C113&lt;&gt;40</formula>
    </cfRule>
  </conditionalFormatting>
  <conditionalFormatting sqref="C116">
    <cfRule type="expression" dxfId="81" priority="131">
      <formula>OR(C116&gt;0, ABS(ABS(C116)-740)&gt;=1)</formula>
    </cfRule>
  </conditionalFormatting>
  <conditionalFormatting sqref="C117">
    <cfRule type="expression" dxfId="80" priority="134">
      <formula>OR(C117&gt;0, ABS(ABS(C117)-550)&gt;=1)</formula>
    </cfRule>
  </conditionalFormatting>
  <conditionalFormatting sqref="C118">
    <cfRule type="expression" dxfId="79" priority="132">
      <formula>OR(C118&gt;0, ABS(ABS(C118)-1150)&gt;=1)</formula>
    </cfRule>
  </conditionalFormatting>
  <conditionalFormatting sqref="C119">
    <cfRule type="expression" dxfId="78" priority="133">
      <formula>OR(ABS(C119)&gt;=0.2)</formula>
    </cfRule>
  </conditionalFormatting>
  <conditionalFormatting sqref="C142">
    <cfRule type="expression" dxfId="77" priority="146">
      <formula>OR($C$142&lt;=0, $C$142&gt;=MIN($C$64, $C$65))</formula>
    </cfRule>
  </conditionalFormatting>
  <conditionalFormatting sqref="C143">
    <cfRule type="expression" dxfId="76" priority="123">
      <formula>OR($C$143&lt;=0, $C$143&gt;$C$142)</formula>
    </cfRule>
  </conditionalFormatting>
  <conditionalFormatting sqref="G30:J30">
    <cfRule type="expression" dxfId="75" priority="1652">
      <formula>OR(AND($C$23&lt;&gt;1, $C$70&lt;&gt;1, $C$74&lt;&gt;1), $C$43=2)</formula>
    </cfRule>
  </conditionalFormatting>
  <conditionalFormatting sqref="G31:J31">
    <cfRule type="expression" dxfId="74" priority="1741">
      <formula>$J$30&lt;&gt;$C$147</formula>
    </cfRule>
  </conditionalFormatting>
  <conditionalFormatting sqref="G32:J33 G36:J37 G39:J39">
    <cfRule type="expression" dxfId="73" priority="1668">
      <formula>$J$30&lt;&gt;$C$152</formula>
    </cfRule>
  </conditionalFormatting>
  <conditionalFormatting sqref="G42:J43 G44:K44">
    <cfRule type="expression" dxfId="72" priority="1745">
      <formula>$J$42&lt;&gt;$C$148</formula>
    </cfRule>
  </conditionalFormatting>
  <conditionalFormatting sqref="G63:J66 G67:K67 G68:J71">
    <cfRule type="expression" dxfId="71" priority="179">
      <formula>$J$63=""</formula>
    </cfRule>
  </conditionalFormatting>
  <conditionalFormatting sqref="G64:J64 G72:J73">
    <cfRule type="expression" dxfId="70" priority="1747">
      <formula>$J$63&lt;&gt;$C$147</formula>
    </cfRule>
  </conditionalFormatting>
  <conditionalFormatting sqref="G65:J66 G69:J70 G74:J74">
    <cfRule type="expression" dxfId="69" priority="1670">
      <formula>$J$63&lt;&gt;$C$152</formula>
    </cfRule>
  </conditionalFormatting>
  <conditionalFormatting sqref="G79:J80 G81:K81">
    <cfRule type="expression" dxfId="68" priority="1752">
      <formula>$J$79&lt;&gt;$C$148</formula>
    </cfRule>
  </conditionalFormatting>
  <conditionalFormatting sqref="G84:J85 G86:K86 G87:J89">
    <cfRule type="expression" dxfId="67" priority="1754">
      <formula>$J$84&lt;&gt;$C$150</formula>
    </cfRule>
  </conditionalFormatting>
  <conditionalFormatting sqref="G92:J93 G94:K94 G95:J95">
    <cfRule type="expression" dxfId="66" priority="1757">
      <formula>$J$92&lt;&gt;$C$151</formula>
    </cfRule>
  </conditionalFormatting>
  <conditionalFormatting sqref="G100:J102 G103:K103 G104:J106">
    <cfRule type="expression" dxfId="65" priority="65">
      <formula>NOT($J$100&lt;&gt;"")</formula>
    </cfRule>
  </conditionalFormatting>
  <conditionalFormatting sqref="G110:J111 G112:K112 G113:J114">
    <cfRule type="expression" dxfId="64" priority="1760">
      <formula>OR($J$110&lt;&gt;$C$148, $C$32&lt;&gt;0)</formula>
    </cfRule>
  </conditionalFormatting>
  <conditionalFormatting sqref="G144:J149">
    <cfRule type="expression" dxfId="63" priority="78">
      <formula>$C$32&lt;&gt;1</formula>
    </cfRule>
  </conditionalFormatting>
  <conditionalFormatting sqref="G157:J165">
    <cfRule type="expression" dxfId="62" priority="44">
      <formula>$C$98&lt;&gt;1</formula>
    </cfRule>
  </conditionalFormatting>
  <conditionalFormatting sqref="G169:J172">
    <cfRule type="expression" dxfId="61" priority="28">
      <formula>$C$105&lt;&gt;1</formula>
    </cfRule>
  </conditionalFormatting>
  <conditionalFormatting sqref="G188:J189">
    <cfRule type="expression" dxfId="60" priority="1653">
      <formula>AND($C$32&lt;&gt;0, $C$35&lt;&gt;0)</formula>
    </cfRule>
  </conditionalFormatting>
  <conditionalFormatting sqref="G190:J191">
    <cfRule type="expression" dxfId="59" priority="1587">
      <formula>OR($C$32&lt;&gt;1, AND($C$32&lt;&gt;0, $C$35&lt;&gt;1))</formula>
    </cfRule>
  </conditionalFormatting>
  <conditionalFormatting sqref="G228:J228 G230:J230 G231:K231 G232:J232">
    <cfRule type="expression" dxfId="58" priority="1768">
      <formula>$J$230&lt;&gt;$C$156</formula>
    </cfRule>
  </conditionalFormatting>
  <conditionalFormatting sqref="G235:J235 G236:K236 G237:J241 G242:K242 G243:J244">
    <cfRule type="expression" dxfId="57" priority="72">
      <formula>OR($C$23&lt;&gt;1, AND($C$23&lt;&gt;0, $C$25&lt;&gt;0))</formula>
    </cfRule>
  </conditionalFormatting>
  <conditionalFormatting sqref="G247:J247 G248:K248 G249:J253 G254:K254 G255:J257">
    <cfRule type="expression" dxfId="56" priority="41">
      <formula>$C$25&lt;&gt;1</formula>
    </cfRule>
  </conditionalFormatting>
  <conditionalFormatting sqref="G286:J287 G288:K289 G290:J297">
    <cfRule type="expression" dxfId="55" priority="171">
      <formula>OR($C$23&lt;&gt;1, $C$32&lt;&gt;1)</formula>
    </cfRule>
  </conditionalFormatting>
  <conditionalFormatting sqref="G17:K17">
    <cfRule type="expression" dxfId="54" priority="153">
      <formula>$C$23&lt;&gt;0</formula>
    </cfRule>
  </conditionalFormatting>
  <conditionalFormatting sqref="G18:K18 G22:K22">
    <cfRule type="expression" dxfId="53" priority="1655">
      <formula>OR($C$43&lt;&gt;1, AND($C$23=1, $C$32=0))</formula>
    </cfRule>
  </conditionalFormatting>
  <conditionalFormatting sqref="G19:K19">
    <cfRule type="expression" dxfId="52" priority="1657">
      <formula>OR($C$43&lt;&gt;2, AND($C$23=0, $C$32=1))</formula>
    </cfRule>
  </conditionalFormatting>
  <conditionalFormatting sqref="G21:K21">
    <cfRule type="expression" dxfId="51" priority="151">
      <formula>$C$32&lt;&gt;0</formula>
    </cfRule>
  </conditionalFormatting>
  <conditionalFormatting sqref="G23:K23">
    <cfRule type="expression" dxfId="50" priority="1658">
      <formula>OR($C$32&lt;&gt;1, AND($C$32&lt;&gt;0, $C$23&lt;&gt;0, $C$43&lt;&gt;2))</formula>
    </cfRule>
  </conditionalFormatting>
  <conditionalFormatting sqref="G25:K25">
    <cfRule type="expression" dxfId="49" priority="1659">
      <formula>NOT(AND($C$47&lt;&gt;0,$C$32&lt;&gt;1))</formula>
    </cfRule>
  </conditionalFormatting>
  <conditionalFormatting sqref="G26:K26">
    <cfRule type="expression" dxfId="48" priority="1660">
      <formula>OR($C$32&lt;&gt;0, AND($C$32&lt;&gt;1, $C$47&lt;&gt;0))</formula>
    </cfRule>
  </conditionalFormatting>
  <conditionalFormatting sqref="G242:K242">
    <cfRule type="expression" dxfId="47" priority="101">
      <formula>$C$23&lt;&gt;1</formula>
    </cfRule>
  </conditionalFormatting>
  <conditionalFormatting sqref="H76:J76">
    <cfRule type="expression" dxfId="46" priority="54">
      <formula>NOT($J$42="")</formula>
    </cfRule>
  </conditionalFormatting>
  <conditionalFormatting sqref="H118:J119">
    <cfRule type="expression" dxfId="45" priority="31">
      <formula>$C$60&lt;&gt;1</formula>
    </cfRule>
  </conditionalFormatting>
  <conditionalFormatting sqref="H134:J134">
    <cfRule type="expression" dxfId="44" priority="30">
      <formula>$C$60&lt;&gt;1</formula>
    </cfRule>
  </conditionalFormatting>
  <conditionalFormatting sqref="H60:K60">
    <cfRule type="expression" dxfId="43" priority="57">
      <formula>NOT($J$42="")</formula>
    </cfRule>
  </conditionalFormatting>
  <conditionalFormatting sqref="H75:K76">
    <cfRule type="expression" dxfId="42" priority="56">
      <formula>NOT($J$63="")</formula>
    </cfRule>
  </conditionalFormatting>
  <conditionalFormatting sqref="H97:K97">
    <cfRule type="expression" dxfId="41" priority="55">
      <formula>NOT($J$79="")</formula>
    </cfRule>
  </conditionalFormatting>
  <conditionalFormatting sqref="H107:K107">
    <cfRule type="expression" dxfId="40" priority="1549">
      <formula>AND($C$32&lt;&gt;1, $C$47&lt;&gt;1)</formula>
    </cfRule>
  </conditionalFormatting>
  <conditionalFormatting sqref="H115:K115">
    <cfRule type="expression" dxfId="39" priority="52">
      <formula>NOT($J$110="")</formula>
    </cfRule>
  </conditionalFormatting>
  <conditionalFormatting sqref="I2:I3">
    <cfRule type="expression" dxfId="38" priority="25">
      <formula>I2="Z"</formula>
    </cfRule>
    <cfRule type="expression" dxfId="37" priority="26">
      <formula>I2="B"</formula>
    </cfRule>
    <cfRule type="expression" dxfId="36" priority="24">
      <formula>I2="X"</formula>
    </cfRule>
    <cfRule type="expression" dxfId="35" priority="23">
      <formula>I2="Y"</formula>
    </cfRule>
    <cfRule type="expression" dxfId="34" priority="22">
      <formula>$C$60&lt;&gt;1</formula>
    </cfRule>
  </conditionalFormatting>
  <conditionalFormatting sqref="I4:I5">
    <cfRule type="expression" dxfId="33" priority="8">
      <formula>I4="Y"</formula>
    </cfRule>
    <cfRule type="expression" dxfId="32" priority="9">
      <formula>I4="X"</formula>
    </cfRule>
    <cfRule type="expression" dxfId="31" priority="10">
      <formula>I4="Z"</formula>
    </cfRule>
    <cfRule type="expression" dxfId="30" priority="11">
      <formula>I4="B"</formula>
    </cfRule>
  </conditionalFormatting>
  <conditionalFormatting sqref="I7:I116 I118:I132 I134:I135 I137:I210 I212:I225 I227:I271 I273:I283 I285:I304 I306:I1048576">
    <cfRule type="expression" dxfId="29" priority="1681">
      <formula>I7="X"</formula>
    </cfRule>
    <cfRule type="expression" dxfId="28" priority="1742">
      <formula>I7="Z"</formula>
    </cfRule>
    <cfRule type="expression" dxfId="27" priority="1749">
      <formula>I7="B"</formula>
    </cfRule>
  </conditionalFormatting>
  <conditionalFormatting sqref="I7:I116 I137:I210 I285:I304 I227:I271 I118:I132 I134:I135 I212:I225 I273:I283 I306:I1048576">
    <cfRule type="expression" dxfId="26" priority="1673">
      <formula>I7="Y"</formula>
    </cfRule>
  </conditionalFormatting>
  <conditionalFormatting sqref="J10">
    <cfRule type="expression" dxfId="25" priority="1688">
      <formula>$J$10&lt;=$C$112</formula>
    </cfRule>
  </conditionalFormatting>
  <conditionalFormatting sqref="J11">
    <cfRule type="expression" dxfId="24" priority="67">
      <formula>$J$11&lt;=0</formula>
    </cfRule>
  </conditionalFormatting>
  <conditionalFormatting sqref="J12">
    <cfRule type="expression" dxfId="23" priority="66">
      <formula>$J$12&lt;=0</formula>
    </cfRule>
  </conditionalFormatting>
  <conditionalFormatting sqref="J30">
    <cfRule type="expression" dxfId="22" priority="1763">
      <formula>AND($J$30&lt;&gt;$C$147, $J$30&lt;&gt;$C$152)</formula>
    </cfRule>
  </conditionalFormatting>
  <conditionalFormatting sqref="J47">
    <cfRule type="expression" dxfId="21" priority="1764">
      <formula>$J$47&lt;&gt;$C$150</formula>
    </cfRule>
  </conditionalFormatting>
  <conditionalFormatting sqref="J55">
    <cfRule type="expression" dxfId="20" priority="1765">
      <formula>$J$55&lt;&gt;$C$151</formula>
    </cfRule>
  </conditionalFormatting>
  <conditionalFormatting sqref="J100">
    <cfRule type="expression" dxfId="19" priority="1766">
      <formula>$J$100&lt;&gt;$C$149</formula>
    </cfRule>
  </conditionalFormatting>
  <conditionalFormatting sqref="J118">
    <cfRule type="expression" dxfId="18" priority="189">
      <formula>OR($J$118&lt;&gt;#REF!, #REF!&lt;&gt;#REF!, #REF!&lt;&gt;$J$118)</formula>
    </cfRule>
  </conditionalFormatting>
  <conditionalFormatting sqref="J145 J158 J170">
    <cfRule type="expression" dxfId="17" priority="1772">
      <formula>$J$145&lt;&gt;$C$157</formula>
    </cfRule>
  </conditionalFormatting>
  <conditionalFormatting sqref="J180">
    <cfRule type="expression" dxfId="16" priority="1775">
      <formula>$J$180&lt;&gt;$C$159</formula>
    </cfRule>
  </conditionalFormatting>
  <conditionalFormatting sqref="J201">
    <cfRule type="expression" dxfId="15" priority="1776">
      <formula>$J$201&lt;&gt;$C$160</formula>
    </cfRule>
  </conditionalFormatting>
  <conditionalFormatting sqref="J215">
    <cfRule type="expression" dxfId="14" priority="1793">
      <formula>$J$215&lt;&gt;$C$162</formula>
    </cfRule>
  </conditionalFormatting>
  <conditionalFormatting sqref="J237">
    <cfRule type="expression" dxfId="13" priority="1777">
      <formula>$C$23&lt;&gt;1</formula>
    </cfRule>
    <cfRule type="expression" dxfId="12" priority="1778">
      <formula>$J$237&lt;&gt;$C$157</formula>
    </cfRule>
  </conditionalFormatting>
  <conditionalFormatting sqref="J249">
    <cfRule type="expression" dxfId="11" priority="1779">
      <formula>$J$249&lt;&gt;$C$158</formula>
    </cfRule>
  </conditionalFormatting>
  <conditionalFormatting sqref="J262">
    <cfRule type="expression" dxfId="10" priority="1780">
      <formula>$J$262&lt;&gt;$C$160</formula>
    </cfRule>
  </conditionalFormatting>
  <conditionalFormatting sqref="J287 J276">
    <cfRule type="expression" dxfId="9" priority="1794">
      <formula>$J$276&lt;&gt;$C$162</formula>
    </cfRule>
  </conditionalFormatting>
  <conditionalFormatting sqref="J306">
    <cfRule type="expression" dxfId="8" priority="130">
      <formula>OR($J$306&lt;=1, INT($J$306)&lt;&gt;$J$306)</formula>
    </cfRule>
  </conditionalFormatting>
  <conditionalFormatting sqref="J307">
    <cfRule type="expression" dxfId="7" priority="122">
      <formula>OR($J$307&lt;0, INT($J$307)&lt;&gt;$J$307)</formula>
    </cfRule>
  </conditionalFormatting>
  <conditionalFormatting sqref="J308">
    <cfRule type="expression" dxfId="6" priority="127">
      <formula>OR($J$308&lt;1, INT($J$308)&lt;&gt;$J$308)</formula>
    </cfRule>
  </conditionalFormatting>
  <conditionalFormatting sqref="J309">
    <cfRule type="expression" dxfId="5" priority="126">
      <formula>OR($J$309&lt;0, INT($J$309)&lt;&gt;$J$309)</formula>
    </cfRule>
  </conditionalFormatting>
  <conditionalFormatting sqref="J333">
    <cfRule type="expression" dxfId="4" priority="1767">
      <formula>$J$333&lt;=$C$143/2+$C$144</formula>
    </cfRule>
  </conditionalFormatting>
  <conditionalFormatting sqref="J137:K137 J138 J139:K139 K140 J141:K141 J179 J200 J214 J229 J236 J261 J275">
    <cfRule type="expression" dxfId="3" priority="1781">
      <formula>$J$139&lt;&gt;$C$156</formula>
    </cfRule>
  </conditionalFormatting>
  <conditionalFormatting sqref="P2">
    <cfRule type="expression" dxfId="2" priority="128">
      <formula>ISERROR(INDIRECT($P$2&amp;"!$G$45"))</formula>
    </cfRule>
  </conditionalFormatting>
  <conditionalFormatting sqref="P115:P117 J337:J352">
    <cfRule type="expression" dxfId="1" priority="125">
      <formula>$J$309&lt;0</formula>
    </cfRule>
  </conditionalFormatting>
  <conditionalFormatting sqref="P169:P182">
    <cfRule type="expression" dxfId="0" priority="124">
      <formula>$J$309&lt;0</formula>
    </cfRule>
  </conditionalFormatting>
  <dataValidations count="23">
    <dataValidation imeMode="disabled" allowBlank="1" showInputMessage="1" showErrorMessage="1" sqref="P169:P182 J7:K7 C140:C141 I7:I14 P2:Q2 J9:K14 C87 C31 C109:C121 C89:C90 C80 C82:C83 C73 C75:C76 C94 C69 C17:C18 C92 C71 C78 C85 C168:C169 C96:C97 P115:P117 C45 C36:C42 C184:C1048576 C104 C4 P3 C145:C146 I2:I5 J4:K5 C7:C9 C12:C13 I15:K1048576 C48:C59 C20:C22 C123:C124 D2:E1048576" xr:uid="{635549F6-268E-43F2-AE63-BB478DCAB838}"/>
    <dataValidation type="whole" imeMode="disabled" allowBlank="1" showInputMessage="1" showErrorMessage="1" sqref="C79 C72 C93 C86" xr:uid="{CDD2FFF9-8634-4F4E-923F-6070EC3F8531}">
      <formula1>15</formula1>
      <formula2>45</formula2>
    </dataValidation>
    <dataValidation type="decimal" imeMode="disabled" operator="greaterThanOrEqual" allowBlank="1" showInputMessage="1" showErrorMessage="1" sqref="C19" xr:uid="{1E56B6D6-73BD-4C05-B881-2B3B55F042D7}">
      <formula1>0</formula1>
    </dataValidation>
    <dataValidation type="whole" imeMode="disabled" allowBlank="1" showInputMessage="1" showErrorMessage="1" sqref="C74 C77 C81 C84 C88 C91 C95 C98 C23:C25 C105 C60 C47 C70 C5:C6 C10 C32:C35" xr:uid="{367276B8-8324-422A-8730-F86FA2256ECC}">
      <formula1>0</formula1>
      <formula2>1</formula2>
    </dataValidation>
    <dataValidation type="decimal" imeMode="disabled" operator="greaterThan" allowBlank="1" showInputMessage="1" showErrorMessage="1" sqref="C67:C68 C61:C65 C14:C16 C99:C103 C106:C108 C142:C144 C26:C30" xr:uid="{A19F090C-92D9-404D-8DD9-E6C35385216D}">
      <formula1>0</formula1>
    </dataValidation>
    <dataValidation type="whole" imeMode="disabled" allowBlank="1" showInputMessage="1" showErrorMessage="1" sqref="C43" xr:uid="{AC60FE7D-CC85-414E-BD22-C7B7138C36ED}">
      <formula1>1</formula1>
      <formula2>2</formula2>
    </dataValidation>
    <dataValidation type="whole" imeMode="disabled" operator="greaterThanOrEqual" allowBlank="1" showInputMessage="1" showErrorMessage="1" sqref="C122" xr:uid="{8C134B45-4E00-45C7-AD68-84B8956B5D75}">
      <formula1>8</formula1>
    </dataValidation>
    <dataValidation type="whole" imeMode="disabled" allowBlank="1" showInputMessage="1" showErrorMessage="1" sqref="C46" xr:uid="{FF913C26-88BF-41A2-B855-7D17B3F38D5E}">
      <formula1>1</formula1>
      <formula2>4</formula2>
    </dataValidation>
    <dataValidation type="whole" imeMode="disabled" allowBlank="1" showInputMessage="1" showErrorMessage="1" sqref="C66" xr:uid="{D6E4E4B2-6B22-408D-826F-50F984C326AB}">
      <formula1>1</formula1>
      <formula2>$C$122</formula2>
    </dataValidation>
    <dataValidation type="whole" imeMode="disabled" allowBlank="1" showInputMessage="1" showErrorMessage="1" sqref="C139" xr:uid="{0990AC0C-4757-417E-881B-8A51FB5F9B33}">
      <formula1>49</formula1>
      <formula2>50</formula2>
    </dataValidation>
    <dataValidation type="whole" imeMode="disabled" allowBlank="1" showInputMessage="1" showErrorMessage="1" sqref="C138" xr:uid="{481CDE56-7979-4176-9518-000E5FAB1174}">
      <formula1>41</formula1>
      <formula2>45</formula2>
    </dataValidation>
    <dataValidation type="whole" imeMode="disabled" allowBlank="1" showInputMessage="1" showErrorMessage="1" sqref="C137" xr:uid="{DE888194-A4A5-4E6E-A7BF-38BBD9359605}">
      <formula1>36</formula1>
      <formula2>40</formula2>
    </dataValidation>
    <dataValidation type="whole" imeMode="disabled" allowBlank="1" showInputMessage="1" showErrorMessage="1" sqref="C134:C136" xr:uid="{CD5F9925-C541-4B84-9754-04CB883A5010}">
      <formula1>31</formula1>
      <formula2>35</formula2>
    </dataValidation>
    <dataValidation type="whole" imeMode="disabled" allowBlank="1" showInputMessage="1" showErrorMessage="1" sqref="C132:C133" xr:uid="{42ACA5FA-039A-4D94-99BF-D42DE54F822C}">
      <formula1>16</formula1>
      <formula2>20</formula2>
    </dataValidation>
    <dataValidation type="whole" imeMode="disabled" allowBlank="1" showInputMessage="1" showErrorMessage="1" sqref="C129:C131" xr:uid="{6A675574-FDDD-4AA6-834D-95F931DF1739}">
      <formula1>11</formula1>
      <formula2>15</formula2>
    </dataValidation>
    <dataValidation type="whole" imeMode="disabled" allowBlank="1" showInputMessage="1" showErrorMessage="1" sqref="C127:C128" xr:uid="{6204E7BF-B0CD-4D0D-AD7B-333AC62DDC69}">
      <formula1>6</formula1>
      <formula2>10</formula2>
    </dataValidation>
    <dataValidation type="whole" imeMode="disabled" allowBlank="1" showInputMessage="1" showErrorMessage="1" sqref="C126" xr:uid="{6A464913-D6D3-4E3E-82A5-4F60CB63E6BD}">
      <formula1>2</formula1>
      <formula2>5</formula2>
    </dataValidation>
    <dataValidation type="whole" imeMode="disabled" allowBlank="1" showInputMessage="1" showErrorMessage="1" sqref="C170:C183" xr:uid="{167B9FB8-0A42-4224-B541-DFF262EF6157}">
      <formula1>1</formula1>
      <formula2>999</formula2>
    </dataValidation>
    <dataValidation type="decimal" imeMode="disabled" allowBlank="1" showInputMessage="1" showErrorMessage="1" sqref="C44" xr:uid="{415435AE-F63D-4EDE-AEBE-A6579D4A9CF0}">
      <formula1>0</formula1>
      <formula2>$C$27/4</formula2>
    </dataValidation>
    <dataValidation type="whole" imeMode="disabled" allowBlank="1" showInputMessage="1" showErrorMessage="1" sqref="C2" xr:uid="{7CD95DE3-475C-40FA-BBFF-7E7FABEF573B}">
      <formula1>0</formula1>
      <formula2>9999</formula2>
    </dataValidation>
    <dataValidation type="decimal" imeMode="disabled" operator="greaterThan" allowBlank="1" showInputMessage="1" showErrorMessage="1" sqref="C11" xr:uid="{72D71579-D1A8-4581-92E6-38DF5E913D97}">
      <formula1>375</formula1>
    </dataValidation>
    <dataValidation type="whole" imeMode="disabled" allowBlank="1" showInputMessage="1" showErrorMessage="1" sqref="C147:C167" xr:uid="{6EDCDE29-68E7-452F-9A24-F9C342BFB834}">
      <formula1>0</formula1>
      <formula2>99999999</formula2>
    </dataValidation>
    <dataValidation type="whole" imeMode="disabled" allowBlank="1" showInputMessage="1" showErrorMessage="1" sqref="C125" xr:uid="{5F890FBE-EDF5-439D-8716-46A0F4913A40}">
      <formula1>1</formula1>
      <formula2>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2024-07-31T10:27:39Z</dcterms:modified>
</cp:coreProperties>
</file>