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C38E7585-D12D-40EE-B014-C3B29BF3CED5}" xr6:coauthVersionLast="47" xr6:coauthVersionMax="47" xr10:uidLastSave="{00000000-0000-0000-0000-000000000000}"/>
  <bookViews>
    <workbookView xWindow="28680" yWindow="-120" windowWidth="37710" windowHeight="21840" tabRatio="638" xr2:uid="{331D296A-DE97-4357-9338-22F5C8F49D08}"/>
  </bookViews>
  <sheets>
    <sheet name="position_2414" sheetId="21" r:id="rId1"/>
    <sheet name="e0S002" sheetId="23" r:id="rId2"/>
    <sheet name="position_1916" sheetId="22" r:id="rId3"/>
    <sheet name="e00937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1" l="1"/>
  <c r="H238" i="21"/>
  <c r="H237" i="21"/>
  <c r="H241" i="21"/>
  <c r="H240" i="21"/>
  <c r="H239" i="21"/>
  <c r="H234" i="21"/>
  <c r="H233" i="21"/>
  <c r="H230" i="21"/>
  <c r="H229" i="21"/>
  <c r="H228" i="21"/>
  <c r="H227" i="21"/>
  <c r="H226" i="21"/>
  <c r="H223" i="21"/>
  <c r="H222" i="21"/>
  <c r="H219" i="21"/>
  <c r="D2" i="23"/>
  <c r="D30" i="23"/>
  <c r="K97" i="21"/>
  <c r="K94" i="21"/>
  <c r="K95" i="21"/>
  <c r="K96" i="21"/>
  <c r="K98" i="21"/>
  <c r="K99" i="21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H217" i="21"/>
  <c r="H216" i="21"/>
  <c r="H215" i="21"/>
  <c r="H211" i="21"/>
  <c r="H210" i="21"/>
  <c r="H209" i="21" a="1"/>
  <c r="H209" i="21" s="1"/>
  <c r="H206" i="21"/>
  <c r="H205" i="21"/>
  <c r="H204" i="21"/>
  <c r="H203" i="21"/>
  <c r="H201" i="21"/>
  <c r="H200" i="21"/>
  <c r="H199" i="21"/>
  <c r="H198" i="21"/>
  <c r="H197" i="21"/>
  <c r="H196" i="21"/>
  <c r="H195" i="21"/>
  <c r="H194" i="21" a="1"/>
  <c r="H194" i="21" s="1"/>
  <c r="H190" i="21"/>
  <c r="H191" i="21"/>
  <c r="H188" i="21"/>
  <c r="H187" i="21"/>
  <c r="H186" i="21"/>
  <c r="H185" i="21"/>
  <c r="H184" i="21"/>
  <c r="H183" i="21"/>
  <c r="H176" i="21"/>
  <c r="H180" i="21"/>
  <c r="H104" i="21"/>
  <c r="H175" i="21"/>
  <c r="H164" i="21"/>
  <c r="H150" i="21"/>
  <c r="K93" i="21"/>
  <c r="H172" i="21"/>
  <c r="H170" i="21"/>
  <c r="H169" i="21"/>
  <c r="H168" i="21"/>
  <c r="H149" i="21"/>
  <c r="H158" i="21"/>
  <c r="H163" i="21"/>
  <c r="H162" i="21" a="1"/>
  <c r="H162" i="21" s="1"/>
  <c r="H159" i="21"/>
  <c r="H157" i="21"/>
  <c r="H156" i="21"/>
  <c r="H154" i="21"/>
  <c r="H153" i="21"/>
  <c r="H152" i="21"/>
  <c r="H66" i="21"/>
  <c r="H151" i="21"/>
  <c r="H147" i="21" a="1"/>
  <c r="H147" i="21" s="1"/>
  <c r="H23" i="21"/>
  <c r="H48" i="21"/>
  <c r="H40" i="21"/>
  <c r="H35" i="21"/>
  <c r="H130" i="21"/>
  <c r="H129" i="21"/>
  <c r="K2" i="21"/>
  <c r="H122" i="21"/>
  <c r="H144" i="21"/>
  <c r="H143" i="21"/>
  <c r="H142" i="21"/>
  <c r="H141" i="21"/>
  <c r="H139" i="21"/>
  <c r="H138" i="21"/>
  <c r="H137" i="21"/>
  <c r="H136" i="21"/>
  <c r="H135" i="21"/>
  <c r="H134" i="21"/>
  <c r="H131" i="21"/>
  <c r="H133" i="21"/>
  <c r="H132" i="21"/>
  <c r="H116" i="21"/>
  <c r="H125" i="21"/>
  <c r="H124" i="21"/>
  <c r="H123" i="21"/>
  <c r="H120" i="21"/>
  <c r="H119" i="21"/>
  <c r="H118" i="21"/>
  <c r="H117" i="21"/>
  <c r="H108" i="21"/>
  <c r="H112" i="21"/>
  <c r="H107" i="21"/>
  <c r="H103" i="21" a="1"/>
  <c r="H103" i="21" s="1"/>
  <c r="H85" i="21"/>
  <c r="K119" i="21"/>
  <c r="K120" i="21"/>
  <c r="K113" i="22"/>
  <c r="K114" i="22"/>
  <c r="H98" i="21"/>
  <c r="H97" i="21"/>
  <c r="H96" i="21"/>
  <c r="H95" i="21"/>
  <c r="H94" i="21"/>
  <c r="H93" i="21"/>
  <c r="H90" i="21"/>
  <c r="H88" i="21"/>
  <c r="H79" i="21"/>
  <c r="H82" i="21"/>
  <c r="H71" i="21"/>
  <c r="H76" i="21"/>
  <c r="H75" i="21"/>
  <c r="H74" i="21"/>
  <c r="H67" i="21"/>
  <c r="H54" i="21" a="1"/>
  <c r="H54" i="21" s="1"/>
  <c r="H63" i="21"/>
  <c r="H62" i="21"/>
  <c r="H61" i="21" a="1"/>
  <c r="H61" i="21" s="1"/>
  <c r="H60" i="21"/>
  <c r="H59" i="21"/>
  <c r="H56" i="21"/>
  <c r="H55" i="21"/>
  <c r="H51" i="21"/>
  <c r="H45" i="21"/>
  <c r="H44" i="21"/>
  <c r="H43" i="21"/>
  <c r="I43" i="21" s="1"/>
  <c r="H36" i="21"/>
  <c r="H20" i="21"/>
  <c r="I20" i="21" s="1"/>
  <c r="H32" i="21"/>
  <c r="H30" i="21" a="1"/>
  <c r="H30" i="21" s="1"/>
  <c r="H29" i="21"/>
  <c r="H25" i="21"/>
  <c r="H24" i="21"/>
  <c r="H31" i="21"/>
  <c r="H28" i="21"/>
  <c r="F294" i="21"/>
  <c r="F293" i="21"/>
  <c r="F292" i="21"/>
  <c r="F291" i="21"/>
  <c r="F290" i="21"/>
  <c r="F289" i="21"/>
  <c r="F286" i="21"/>
  <c r="F285" i="21"/>
  <c r="F284" i="21"/>
  <c r="F283" i="21"/>
  <c r="F282" i="21"/>
  <c r="F281" i="21"/>
  <c r="F260" i="21"/>
  <c r="F259" i="21"/>
  <c r="F258" i="21"/>
  <c r="F257" i="21"/>
  <c r="F256" i="21"/>
  <c r="F255" i="21"/>
  <c r="M49" i="21"/>
  <c r="M48" i="21"/>
  <c r="M47" i="21"/>
  <c r="M46" i="21"/>
  <c r="M45" i="21"/>
  <c r="M44" i="21"/>
  <c r="H128" i="21"/>
  <c r="H115" i="21"/>
  <c r="K92" i="21" l="1"/>
  <c r="K154" i="21"/>
  <c r="K155" i="21"/>
  <c r="F30" i="23"/>
  <c r="E30" i="23"/>
  <c r="C30" i="23"/>
  <c r="M30" i="23" s="1"/>
  <c r="I30" i="23"/>
  <c r="J30" i="23"/>
  <c r="K30" i="23"/>
  <c r="L30" i="23"/>
  <c r="N30" i="23"/>
  <c r="G30" i="23" l="1"/>
  <c r="C53" i="21"/>
  <c r="C52" i="21"/>
  <c r="N2" i="21"/>
  <c r="C3" i="23"/>
  <c r="M3" i="23" s="1"/>
  <c r="C4" i="23"/>
  <c r="M4" i="23" s="1"/>
  <c r="C5" i="23"/>
  <c r="F5" i="23" s="1"/>
  <c r="C6" i="23"/>
  <c r="C7" i="23"/>
  <c r="M7" i="23" s="1"/>
  <c r="C8" i="23"/>
  <c r="M8" i="23" s="1"/>
  <c r="C9" i="23"/>
  <c r="C10" i="23"/>
  <c r="F11" i="23" s="1"/>
  <c r="G11" i="23" s="1"/>
  <c r="C11" i="23"/>
  <c r="M11" i="23" s="1"/>
  <c r="C12" i="23"/>
  <c r="M12" i="23" s="1"/>
  <c r="C13" i="23"/>
  <c r="C14" i="23"/>
  <c r="M14" i="23" s="1"/>
  <c r="C15" i="23"/>
  <c r="M15" i="23" s="1"/>
  <c r="C16" i="23"/>
  <c r="C17" i="23"/>
  <c r="F18" i="23" s="1"/>
  <c r="C18" i="23"/>
  <c r="C19" i="23"/>
  <c r="M19" i="23" s="1"/>
  <c r="C20" i="23"/>
  <c r="F21" i="23" s="1"/>
  <c r="C21" i="23"/>
  <c r="C22" i="23"/>
  <c r="M22" i="23" s="1"/>
  <c r="C23" i="23"/>
  <c r="M23" i="23" s="1"/>
  <c r="C24" i="23"/>
  <c r="C25" i="23"/>
  <c r="C26" i="23"/>
  <c r="C27" i="23"/>
  <c r="F27" i="23" s="1"/>
  <c r="C28" i="23"/>
  <c r="F28" i="23" s="1"/>
  <c r="C29" i="23"/>
  <c r="C2" i="23"/>
  <c r="F3" i="23" s="1"/>
  <c r="M29" i="23"/>
  <c r="L29" i="23"/>
  <c r="K29" i="23"/>
  <c r="J29" i="23"/>
  <c r="I29" i="23"/>
  <c r="E29" i="23"/>
  <c r="N29" i="23"/>
  <c r="L28" i="23"/>
  <c r="K28" i="23"/>
  <c r="J28" i="23"/>
  <c r="I28" i="23"/>
  <c r="E28" i="23"/>
  <c r="N28" i="23"/>
  <c r="M27" i="23"/>
  <c r="L27" i="23"/>
  <c r="K27" i="23"/>
  <c r="J27" i="23"/>
  <c r="I27" i="23"/>
  <c r="E27" i="23"/>
  <c r="N27" i="23"/>
  <c r="M26" i="23"/>
  <c r="L26" i="23"/>
  <c r="K26" i="23"/>
  <c r="J26" i="23"/>
  <c r="I26" i="23"/>
  <c r="E26" i="23"/>
  <c r="N26" i="23"/>
  <c r="M25" i="23"/>
  <c r="L25" i="23"/>
  <c r="K25" i="23"/>
  <c r="J25" i="23"/>
  <c r="I25" i="23"/>
  <c r="E25" i="23"/>
  <c r="N25" i="23"/>
  <c r="M24" i="23"/>
  <c r="L24" i="23"/>
  <c r="K24" i="23"/>
  <c r="J24" i="23"/>
  <c r="I24" i="23"/>
  <c r="E24" i="23"/>
  <c r="N24" i="23"/>
  <c r="L23" i="23"/>
  <c r="K23" i="23"/>
  <c r="J23" i="23"/>
  <c r="I23" i="23"/>
  <c r="E23" i="23"/>
  <c r="N23" i="23"/>
  <c r="L22" i="23"/>
  <c r="K22" i="23"/>
  <c r="J22" i="23"/>
  <c r="I22" i="23"/>
  <c r="E22" i="23"/>
  <c r="N22" i="23"/>
  <c r="L21" i="23"/>
  <c r="K21" i="23"/>
  <c r="J21" i="23"/>
  <c r="I21" i="23"/>
  <c r="E21" i="23"/>
  <c r="N21" i="23"/>
  <c r="N20" i="23"/>
  <c r="L20" i="23"/>
  <c r="K20" i="23"/>
  <c r="J20" i="23"/>
  <c r="I20" i="23"/>
  <c r="E20" i="23"/>
  <c r="L19" i="23"/>
  <c r="K19" i="23"/>
  <c r="J19" i="23"/>
  <c r="I19" i="23"/>
  <c r="E19" i="23"/>
  <c r="N19" i="23"/>
  <c r="L18" i="23"/>
  <c r="K18" i="23"/>
  <c r="J18" i="23"/>
  <c r="I18" i="23"/>
  <c r="E18" i="23"/>
  <c r="N18" i="23"/>
  <c r="L17" i="23"/>
  <c r="K17" i="23"/>
  <c r="J17" i="23"/>
  <c r="I17" i="23"/>
  <c r="E17" i="23"/>
  <c r="N17" i="23"/>
  <c r="L16" i="23"/>
  <c r="K16" i="23"/>
  <c r="J16" i="23"/>
  <c r="I16" i="23"/>
  <c r="E16" i="23"/>
  <c r="N16" i="23"/>
  <c r="L15" i="23"/>
  <c r="K15" i="23"/>
  <c r="J15" i="23"/>
  <c r="I15" i="23"/>
  <c r="E15" i="23"/>
  <c r="N15" i="23"/>
  <c r="L14" i="23"/>
  <c r="K14" i="23"/>
  <c r="J14" i="23"/>
  <c r="I14" i="23"/>
  <c r="E14" i="23"/>
  <c r="N14" i="23"/>
  <c r="L13" i="23"/>
  <c r="K13" i="23"/>
  <c r="J13" i="23"/>
  <c r="I13" i="23"/>
  <c r="E13" i="23"/>
  <c r="N13" i="23"/>
  <c r="L12" i="23"/>
  <c r="K12" i="23"/>
  <c r="J12" i="23"/>
  <c r="I12" i="23"/>
  <c r="E12" i="23"/>
  <c r="N12" i="23"/>
  <c r="L11" i="23"/>
  <c r="K11" i="23"/>
  <c r="J11" i="23"/>
  <c r="I11" i="23"/>
  <c r="E11" i="23"/>
  <c r="N11" i="23"/>
  <c r="L10" i="23"/>
  <c r="K10" i="23"/>
  <c r="J10" i="23"/>
  <c r="I10" i="23"/>
  <c r="E10" i="23"/>
  <c r="N10" i="23"/>
  <c r="L9" i="23"/>
  <c r="K9" i="23"/>
  <c r="J9" i="23"/>
  <c r="I9" i="23"/>
  <c r="E9" i="23"/>
  <c r="N9" i="23"/>
  <c r="L8" i="23"/>
  <c r="K8" i="23"/>
  <c r="J8" i="23"/>
  <c r="I8" i="23"/>
  <c r="E8" i="23"/>
  <c r="N8" i="23"/>
  <c r="L7" i="23"/>
  <c r="K7" i="23"/>
  <c r="J7" i="23"/>
  <c r="I7" i="23"/>
  <c r="E7" i="23"/>
  <c r="N7" i="23"/>
  <c r="L6" i="23"/>
  <c r="K6" i="23"/>
  <c r="J6" i="23"/>
  <c r="I6" i="23"/>
  <c r="E6" i="23"/>
  <c r="N6" i="23"/>
  <c r="M5" i="23"/>
  <c r="L5" i="23"/>
  <c r="K5" i="23"/>
  <c r="J5" i="23"/>
  <c r="I5" i="23"/>
  <c r="E5" i="23"/>
  <c r="N5" i="23"/>
  <c r="L4" i="23"/>
  <c r="K4" i="23"/>
  <c r="J4" i="23"/>
  <c r="I4" i="23"/>
  <c r="F4" i="23"/>
  <c r="E4" i="23"/>
  <c r="N4" i="23"/>
  <c r="L3" i="23"/>
  <c r="K3" i="23"/>
  <c r="J3" i="23"/>
  <c r="I3" i="23"/>
  <c r="E3" i="23"/>
  <c r="N3" i="23"/>
  <c r="M2" i="23"/>
  <c r="L2" i="23"/>
  <c r="K2" i="23"/>
  <c r="J2" i="23"/>
  <c r="I2" i="23"/>
  <c r="N2" i="23"/>
  <c r="K169" i="22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N154" i="22"/>
  <c r="M154" i="22"/>
  <c r="K154" i="22"/>
  <c r="N153" i="22"/>
  <c r="M153" i="22"/>
  <c r="K153" i="22"/>
  <c r="M152" i="22"/>
  <c r="K152" i="22"/>
  <c r="M151" i="22"/>
  <c r="K151" i="22"/>
  <c r="M150" i="22"/>
  <c r="K150" i="22"/>
  <c r="M149" i="22"/>
  <c r="K149" i="22"/>
  <c r="K148" i="22"/>
  <c r="K147" i="22"/>
  <c r="N146" i="22"/>
  <c r="M146" i="22"/>
  <c r="K146" i="22"/>
  <c r="N145" i="22"/>
  <c r="M145" i="22"/>
  <c r="K145" i="22"/>
  <c r="M144" i="22"/>
  <c r="K144" i="22"/>
  <c r="M143" i="22"/>
  <c r="K143" i="22"/>
  <c r="M142" i="22"/>
  <c r="K142" i="22"/>
  <c r="K141" i="22"/>
  <c r="K140" i="22"/>
  <c r="N139" i="22"/>
  <c r="M139" i="22"/>
  <c r="K139" i="22"/>
  <c r="N138" i="22"/>
  <c r="M138" i="22"/>
  <c r="K138" i="22"/>
  <c r="M137" i="22"/>
  <c r="K137" i="22"/>
  <c r="M136" i="22"/>
  <c r="K136" i="22"/>
  <c r="M135" i="22"/>
  <c r="K135" i="22"/>
  <c r="M134" i="22"/>
  <c r="K134" i="22"/>
  <c r="K133" i="22"/>
  <c r="K132" i="22"/>
  <c r="N131" i="22"/>
  <c r="M131" i="22"/>
  <c r="K131" i="22"/>
  <c r="N130" i="22"/>
  <c r="M130" i="22"/>
  <c r="K130" i="22"/>
  <c r="M129" i="22"/>
  <c r="K129" i="22"/>
  <c r="M128" i="22"/>
  <c r="K128" i="22"/>
  <c r="M127" i="22"/>
  <c r="K127" i="22"/>
  <c r="M126" i="22"/>
  <c r="K126" i="22"/>
  <c r="K125" i="22"/>
  <c r="K124" i="22"/>
  <c r="N123" i="22"/>
  <c r="K123" i="22"/>
  <c r="N122" i="22"/>
  <c r="K122" i="22"/>
  <c r="K121" i="22"/>
  <c r="K120" i="22"/>
  <c r="K119" i="22"/>
  <c r="K118" i="22"/>
  <c r="K117" i="22"/>
  <c r="K116" i="22"/>
  <c r="K115" i="22"/>
  <c r="K112" i="22"/>
  <c r="K111" i="22"/>
  <c r="K110" i="22"/>
  <c r="K109" i="22"/>
  <c r="K108" i="22"/>
  <c r="K107" i="22"/>
  <c r="K106" i="22"/>
  <c r="K105" i="22"/>
  <c r="N104" i="22"/>
  <c r="M104" i="22"/>
  <c r="K104" i="22"/>
  <c r="N103" i="22"/>
  <c r="M103" i="22"/>
  <c r="K103" i="22"/>
  <c r="M102" i="22"/>
  <c r="K102" i="22"/>
  <c r="M101" i="22"/>
  <c r="K101" i="22"/>
  <c r="M100" i="22"/>
  <c r="K100" i="22"/>
  <c r="M99" i="22"/>
  <c r="K99" i="22"/>
  <c r="K98" i="22"/>
  <c r="H98" i="22"/>
  <c r="K97" i="22"/>
  <c r="N96" i="22"/>
  <c r="M96" i="22"/>
  <c r="K96" i="22"/>
  <c r="N95" i="22"/>
  <c r="M95" i="22"/>
  <c r="K95" i="22"/>
  <c r="M94" i="22"/>
  <c r="K94" i="22"/>
  <c r="H94" i="22"/>
  <c r="F94" i="22"/>
  <c r="M93" i="22"/>
  <c r="K93" i="22"/>
  <c r="H93" i="22"/>
  <c r="F93" i="22"/>
  <c r="M92" i="22"/>
  <c r="K92" i="22"/>
  <c r="F92" i="22"/>
  <c r="M91" i="22"/>
  <c r="K91" i="22"/>
  <c r="F91" i="22"/>
  <c r="K90" i="22"/>
  <c r="F90" i="22"/>
  <c r="K89" i="22"/>
  <c r="F89" i="22"/>
  <c r="N88" i="22"/>
  <c r="M88" i="22"/>
  <c r="K88" i="22"/>
  <c r="N87" i="22"/>
  <c r="M87" i="22"/>
  <c r="K87" i="22"/>
  <c r="M86" i="22"/>
  <c r="K86" i="22"/>
  <c r="H86" i="22"/>
  <c r="F86" i="22"/>
  <c r="M85" i="22"/>
  <c r="K85" i="22"/>
  <c r="H85" i="22"/>
  <c r="F85" i="22"/>
  <c r="M84" i="22"/>
  <c r="K84" i="22"/>
  <c r="F84" i="22"/>
  <c r="M83" i="22"/>
  <c r="K83" i="22"/>
  <c r="F83" i="22"/>
  <c r="K82" i="22"/>
  <c r="F82" i="22"/>
  <c r="K81" i="22"/>
  <c r="F81" i="22"/>
  <c r="N80" i="22"/>
  <c r="M80" i="22"/>
  <c r="K80" i="22"/>
  <c r="N79" i="22"/>
  <c r="M79" i="22"/>
  <c r="K79" i="22"/>
  <c r="M78" i="22"/>
  <c r="K78" i="22"/>
  <c r="M77" i="22"/>
  <c r="K77" i="22"/>
  <c r="M76" i="22"/>
  <c r="K76" i="22"/>
  <c r="M75" i="22"/>
  <c r="K75" i="22"/>
  <c r="K74" i="22"/>
  <c r="K73" i="22"/>
  <c r="N72" i="22"/>
  <c r="M72" i="22"/>
  <c r="K72" i="22"/>
  <c r="N71" i="22"/>
  <c r="M71" i="22"/>
  <c r="K71" i="22"/>
  <c r="F71" i="22"/>
  <c r="M70" i="22"/>
  <c r="K70" i="22"/>
  <c r="M69" i="22"/>
  <c r="K69" i="22"/>
  <c r="M68" i="22"/>
  <c r="K68" i="22"/>
  <c r="M67" i="22"/>
  <c r="K67" i="22"/>
  <c r="I67" i="22"/>
  <c r="H67" i="22"/>
  <c r="F67" i="22"/>
  <c r="K66" i="22"/>
  <c r="I66" i="22"/>
  <c r="H66" i="22"/>
  <c r="F66" i="22"/>
  <c r="K65" i="22"/>
  <c r="F65" i="22"/>
  <c r="N64" i="22" a="1"/>
  <c r="N64" i="22" s="1"/>
  <c r="M64" i="22"/>
  <c r="K64" i="22"/>
  <c r="F64" i="22"/>
  <c r="N63" i="22" a="1"/>
  <c r="N63" i="22" s="1"/>
  <c r="M63" i="22"/>
  <c r="K63" i="22"/>
  <c r="F63" i="22"/>
  <c r="M62" i="22"/>
  <c r="K62" i="22"/>
  <c r="F62" i="22"/>
  <c r="M61" i="22"/>
  <c r="K61" i="22"/>
  <c r="C61" i="22"/>
  <c r="N9" i="22" s="1"/>
  <c r="M60" i="22"/>
  <c r="K60" i="22"/>
  <c r="M59" i="22"/>
  <c r="K59" i="22"/>
  <c r="H59" i="22"/>
  <c r="F59" i="22"/>
  <c r="K58" i="22"/>
  <c r="H58" i="22"/>
  <c r="F58" i="22"/>
  <c r="K57" i="22"/>
  <c r="F57" i="22"/>
  <c r="N56" i="22"/>
  <c r="M56" i="22"/>
  <c r="K56" i="22"/>
  <c r="F56" i="22"/>
  <c r="N55" i="22"/>
  <c r="M55" i="22"/>
  <c r="K55" i="22"/>
  <c r="F55" i="22"/>
  <c r="M54" i="22"/>
  <c r="K54" i="22"/>
  <c r="F54" i="22"/>
  <c r="M53" i="22"/>
  <c r="K53" i="22"/>
  <c r="M52" i="22"/>
  <c r="K52" i="22"/>
  <c r="H52" i="22"/>
  <c r="M51" i="22"/>
  <c r="K51" i="22"/>
  <c r="H51" i="22"/>
  <c r="K50" i="22"/>
  <c r="H50" i="22"/>
  <c r="K49" i="22"/>
  <c r="H49" i="22"/>
  <c r="N48" i="22"/>
  <c r="M48" i="22"/>
  <c r="K48" i="22"/>
  <c r="H48" i="22"/>
  <c r="N47" i="22"/>
  <c r="M47" i="22"/>
  <c r="K47" i="22"/>
  <c r="M46" i="22"/>
  <c r="K46" i="22"/>
  <c r="M45" i="22"/>
  <c r="K45" i="22"/>
  <c r="M44" i="22"/>
  <c r="K44" i="22"/>
  <c r="N43" i="22"/>
  <c r="N46" i="22" s="1"/>
  <c r="N86" i="22" s="1"/>
  <c r="M43" i="22"/>
  <c r="K43" i="22"/>
  <c r="K42" i="22"/>
  <c r="K41" i="22"/>
  <c r="C41" i="22"/>
  <c r="H23" i="22" s="1"/>
  <c r="N40" i="22"/>
  <c r="N41" i="22" s="1"/>
  <c r="N42" i="22" s="1"/>
  <c r="K40" i="22"/>
  <c r="K39" i="22"/>
  <c r="K38" i="22"/>
  <c r="K37" i="22"/>
  <c r="K36" i="22"/>
  <c r="H36" i="22"/>
  <c r="K35" i="22"/>
  <c r="K34" i="22"/>
  <c r="K33" i="22"/>
  <c r="K32" i="22"/>
  <c r="K31" i="22"/>
  <c r="N30" i="22"/>
  <c r="K30" i="22"/>
  <c r="K29" i="22"/>
  <c r="K28" i="22"/>
  <c r="N27" i="22"/>
  <c r="K27" i="22"/>
  <c r="K26" i="22"/>
  <c r="N25" i="22"/>
  <c r="N26" i="22" s="1"/>
  <c r="K25" i="22"/>
  <c r="N24" i="22"/>
  <c r="K24" i="22"/>
  <c r="N23" i="22"/>
  <c r="K23" i="22"/>
  <c r="Q22" i="22"/>
  <c r="K22" i="22"/>
  <c r="Q21" i="22"/>
  <c r="K21" i="22"/>
  <c r="K20" i="22"/>
  <c r="K19" i="22"/>
  <c r="H19" i="22"/>
  <c r="N18" i="22"/>
  <c r="K18" i="22"/>
  <c r="K17" i="22"/>
  <c r="Q16" i="22"/>
  <c r="K16" i="22"/>
  <c r="N15" i="22"/>
  <c r="K15" i="22"/>
  <c r="K14" i="22"/>
  <c r="K13" i="22"/>
  <c r="N12" i="22"/>
  <c r="K12" i="22"/>
  <c r="N11" i="22"/>
  <c r="N16" i="22" s="1"/>
  <c r="K11" i="22"/>
  <c r="H11" i="22"/>
  <c r="N10" i="22"/>
  <c r="N20" i="22" s="1"/>
  <c r="K10" i="22"/>
  <c r="K9" i="22"/>
  <c r="K8" i="22"/>
  <c r="Q7" i="22"/>
  <c r="K7" i="22"/>
  <c r="K6" i="22"/>
  <c r="K5" i="22"/>
  <c r="K4" i="22"/>
  <c r="K3" i="22"/>
  <c r="K2" i="22"/>
  <c r="K43" i="21"/>
  <c r="K44" i="21"/>
  <c r="K45" i="21"/>
  <c r="K40" i="21"/>
  <c r="K41" i="21"/>
  <c r="K42" i="21"/>
  <c r="N10" i="21"/>
  <c r="K176" i="21"/>
  <c r="K175" i="21"/>
  <c r="K174" i="21"/>
  <c r="K173" i="21"/>
  <c r="K172" i="21"/>
  <c r="K171" i="21"/>
  <c r="K170" i="21"/>
  <c r="K169" i="21"/>
  <c r="K168" i="21"/>
  <c r="K167" i="21"/>
  <c r="K166" i="21"/>
  <c r="K165" i="21"/>
  <c r="K164" i="21"/>
  <c r="K163" i="21"/>
  <c r="K162" i="21"/>
  <c r="M161" i="21"/>
  <c r="K161" i="21"/>
  <c r="M160" i="21"/>
  <c r="K160" i="21"/>
  <c r="M159" i="21"/>
  <c r="K159" i="21"/>
  <c r="M158" i="21"/>
  <c r="K158" i="21"/>
  <c r="M157" i="21"/>
  <c r="K157" i="21"/>
  <c r="M156" i="21"/>
  <c r="K156" i="21"/>
  <c r="M153" i="21"/>
  <c r="K153" i="21"/>
  <c r="M152" i="21"/>
  <c r="K152" i="21"/>
  <c r="M151" i="21"/>
  <c r="K151" i="21"/>
  <c r="M150" i="21"/>
  <c r="K150" i="21"/>
  <c r="M149" i="21"/>
  <c r="K149" i="21"/>
  <c r="K148" i="21"/>
  <c r="K147" i="21"/>
  <c r="M146" i="21"/>
  <c r="K146" i="21"/>
  <c r="M145" i="21"/>
  <c r="K145" i="21"/>
  <c r="M144" i="21"/>
  <c r="K144" i="21"/>
  <c r="M143" i="21"/>
  <c r="K143" i="21"/>
  <c r="M142" i="21"/>
  <c r="K142" i="21"/>
  <c r="M141" i="21"/>
  <c r="K141" i="21"/>
  <c r="K140" i="21"/>
  <c r="K139" i="21"/>
  <c r="M138" i="21"/>
  <c r="K138" i="21"/>
  <c r="M137" i="21"/>
  <c r="K137" i="21"/>
  <c r="M136" i="21"/>
  <c r="K136" i="21"/>
  <c r="M135" i="21"/>
  <c r="K135" i="21"/>
  <c r="M134" i="21"/>
  <c r="K134" i="21"/>
  <c r="M133" i="21"/>
  <c r="K133" i="21"/>
  <c r="K132" i="21"/>
  <c r="K131" i="21"/>
  <c r="K130" i="21"/>
  <c r="K129" i="21"/>
  <c r="K128" i="21"/>
  <c r="K127" i="21"/>
  <c r="K126" i="21"/>
  <c r="K125" i="21"/>
  <c r="K124" i="21"/>
  <c r="K123" i="21"/>
  <c r="K122" i="21"/>
  <c r="K121" i="21"/>
  <c r="K118" i="21"/>
  <c r="K117" i="21"/>
  <c r="K116" i="21"/>
  <c r="K115" i="21"/>
  <c r="K114" i="21"/>
  <c r="K113" i="21"/>
  <c r="K112" i="21"/>
  <c r="M111" i="21"/>
  <c r="K111" i="21"/>
  <c r="M110" i="21"/>
  <c r="K110" i="21"/>
  <c r="M109" i="21"/>
  <c r="K109" i="21"/>
  <c r="M108" i="21"/>
  <c r="K108" i="21"/>
  <c r="M107" i="21"/>
  <c r="K107" i="21"/>
  <c r="M106" i="21"/>
  <c r="K106" i="21"/>
  <c r="K105" i="21"/>
  <c r="K104" i="21"/>
  <c r="M103" i="21"/>
  <c r="K103" i="21"/>
  <c r="M102" i="21"/>
  <c r="K102" i="21"/>
  <c r="M101" i="21"/>
  <c r="K101" i="21"/>
  <c r="M100" i="21"/>
  <c r="K100" i="21"/>
  <c r="M99" i="21"/>
  <c r="M98" i="21"/>
  <c r="K91" i="21"/>
  <c r="K90" i="21"/>
  <c r="M89" i="21"/>
  <c r="K89" i="21"/>
  <c r="M88" i="21"/>
  <c r="K88" i="21"/>
  <c r="M87" i="21"/>
  <c r="K87" i="21"/>
  <c r="M86" i="21"/>
  <c r="K86" i="21"/>
  <c r="M85" i="21"/>
  <c r="K85" i="21"/>
  <c r="M84" i="21"/>
  <c r="K84" i="21"/>
  <c r="K83" i="21"/>
  <c r="K82" i="21"/>
  <c r="M81" i="21"/>
  <c r="K81" i="21"/>
  <c r="M80" i="21"/>
  <c r="K80" i="21"/>
  <c r="M79" i="21"/>
  <c r="K79" i="21"/>
  <c r="M78" i="21"/>
  <c r="K78" i="21"/>
  <c r="M77" i="21"/>
  <c r="K77" i="21"/>
  <c r="M76" i="21"/>
  <c r="K76" i="21"/>
  <c r="K75" i="21"/>
  <c r="K74" i="21"/>
  <c r="M73" i="21"/>
  <c r="K73" i="21"/>
  <c r="F272" i="21"/>
  <c r="M72" i="21"/>
  <c r="K72" i="21"/>
  <c r="M71" i="21"/>
  <c r="K71" i="21"/>
  <c r="M70" i="21"/>
  <c r="K70" i="21"/>
  <c r="M69" i="21"/>
  <c r="K69" i="21"/>
  <c r="H268" i="21"/>
  <c r="I268" i="21" s="1"/>
  <c r="F268" i="21"/>
  <c r="M68" i="21"/>
  <c r="K68" i="21"/>
  <c r="H267" i="21"/>
  <c r="I267" i="21" s="1"/>
  <c r="F267" i="21"/>
  <c r="K67" i="21"/>
  <c r="F266" i="21"/>
  <c r="K66" i="21"/>
  <c r="F265" i="21"/>
  <c r="M65" i="21"/>
  <c r="K65" i="21"/>
  <c r="F264" i="21"/>
  <c r="M64" i="21"/>
  <c r="K64" i="21"/>
  <c r="F263" i="21"/>
  <c r="M63" i="21"/>
  <c r="K63" i="21"/>
  <c r="M62" i="21"/>
  <c r="K62" i="21"/>
  <c r="M61" i="21"/>
  <c r="K61" i="21"/>
  <c r="M60" i="21"/>
  <c r="K60" i="21"/>
  <c r="K59" i="21"/>
  <c r="K58" i="21"/>
  <c r="M57" i="21"/>
  <c r="K57" i="21"/>
  <c r="M56" i="21"/>
  <c r="K56" i="21"/>
  <c r="M55" i="21"/>
  <c r="K55" i="21"/>
  <c r="M54" i="21"/>
  <c r="K54" i="21"/>
  <c r="M53" i="21"/>
  <c r="K53" i="21"/>
  <c r="H253" i="21"/>
  <c r="M52" i="21"/>
  <c r="K52" i="21"/>
  <c r="H252" i="21"/>
  <c r="K51" i="21"/>
  <c r="K50" i="21"/>
  <c r="N49" i="21"/>
  <c r="N89" i="21" s="1"/>
  <c r="H260" i="21" s="1"/>
  <c r="K49" i="21"/>
  <c r="N48" i="21"/>
  <c r="N88" i="21" s="1"/>
  <c r="H259" i="21" s="1"/>
  <c r="K48" i="21"/>
  <c r="K47" i="21"/>
  <c r="K46" i="21"/>
  <c r="N44" i="21"/>
  <c r="N47" i="21" s="1"/>
  <c r="N87" i="21" s="1"/>
  <c r="N41" i="21"/>
  <c r="N42" i="21" s="1"/>
  <c r="K39" i="21"/>
  <c r="K38" i="21"/>
  <c r="K37" i="21"/>
  <c r="K36" i="21"/>
  <c r="K35" i="21"/>
  <c r="K34" i="21"/>
  <c r="K33" i="21"/>
  <c r="K32" i="21"/>
  <c r="K31" i="21"/>
  <c r="K30" i="21"/>
  <c r="K29" i="21"/>
  <c r="N28" i="21"/>
  <c r="K28" i="21"/>
  <c r="K27" i="21"/>
  <c r="N26" i="21"/>
  <c r="N27" i="21" s="1"/>
  <c r="K26" i="21"/>
  <c r="K25" i="21"/>
  <c r="N24" i="21"/>
  <c r="N25" i="21" s="1"/>
  <c r="K24" i="21"/>
  <c r="K23" i="21"/>
  <c r="K22" i="21"/>
  <c r="K21" i="21"/>
  <c r="K20" i="21"/>
  <c r="N19" i="21"/>
  <c r="K19" i="21"/>
  <c r="K18" i="21"/>
  <c r="Q16" i="21"/>
  <c r="K17" i="21"/>
  <c r="N16" i="21"/>
  <c r="K16" i="21"/>
  <c r="K15" i="21"/>
  <c r="K14" i="21"/>
  <c r="N13" i="21"/>
  <c r="K13" i="21"/>
  <c r="N12" i="21"/>
  <c r="K12" i="21"/>
  <c r="N11" i="21"/>
  <c r="N21" i="21" s="1"/>
  <c r="K11" i="21"/>
  <c r="K10" i="21"/>
  <c r="K9" i="21"/>
  <c r="Q7" i="21"/>
  <c r="K8" i="21"/>
  <c r="K7" i="21"/>
  <c r="K6" i="21"/>
  <c r="K5" i="21"/>
  <c r="K4" i="21"/>
  <c r="K3" i="21"/>
  <c r="N57" i="21"/>
  <c r="N65" i="21" a="1"/>
  <c r="N138" i="21"/>
  <c r="N56" i="21"/>
  <c r="N103" i="21"/>
  <c r="N102" i="21"/>
  <c r="N64" i="21" a="1"/>
  <c r="N137" i="21"/>
  <c r="N97" i="21"/>
  <c r="N95" i="21"/>
  <c r="N93" i="21"/>
  <c r="N92" i="21"/>
  <c r="H41" i="21"/>
  <c r="N96" i="21"/>
  <c r="N94" i="21"/>
  <c r="H271" i="21" l="1"/>
  <c r="H218" i="21"/>
  <c r="H171" i="21"/>
  <c r="H213" i="21"/>
  <c r="H212" i="21"/>
  <c r="H178" i="21"/>
  <c r="H177" i="21"/>
  <c r="H49" i="21"/>
  <c r="H166" i="21"/>
  <c r="H87" i="21"/>
  <c r="H80" i="21"/>
  <c r="H110" i="21"/>
  <c r="H26" i="21"/>
  <c r="H165" i="21"/>
  <c r="H86" i="21"/>
  <c r="H57" i="21"/>
  <c r="H72" i="21"/>
  <c r="H109" i="21"/>
  <c r="N64" i="21"/>
  <c r="N72" i="21"/>
  <c r="N65" i="21"/>
  <c r="N73" i="21"/>
  <c r="N29" i="22"/>
  <c r="N31" i="22"/>
  <c r="N32" i="22"/>
  <c r="H57" i="22"/>
  <c r="N19" i="22"/>
  <c r="N8" i="22"/>
  <c r="Q22" i="21"/>
  <c r="H92" i="21"/>
  <c r="Q21" i="21"/>
  <c r="H91" i="21"/>
  <c r="N130" i="21"/>
  <c r="N129" i="21"/>
  <c r="H251" i="21"/>
  <c r="H250" i="21"/>
  <c r="F8" i="23"/>
  <c r="G28" i="23"/>
  <c r="F25" i="23"/>
  <c r="G5" i="23"/>
  <c r="F7" i="23"/>
  <c r="F10" i="23"/>
  <c r="F6" i="23"/>
  <c r="G8" i="23"/>
  <c r="M6" i="23"/>
  <c r="F26" i="23"/>
  <c r="G26" i="23" s="1"/>
  <c r="F22" i="23"/>
  <c r="G22" i="23" s="1"/>
  <c r="F19" i="23"/>
  <c r="G19" i="23" s="1"/>
  <c r="G3" i="23"/>
  <c r="F24" i="23"/>
  <c r="M17" i="23"/>
  <c r="G10" i="23"/>
  <c r="G4" i="23"/>
  <c r="G18" i="23"/>
  <c r="M21" i="23"/>
  <c r="M18" i="23"/>
  <c r="F20" i="23"/>
  <c r="G20" i="23" s="1"/>
  <c r="M10" i="23"/>
  <c r="G24" i="23"/>
  <c r="G27" i="23"/>
  <c r="F17" i="23"/>
  <c r="G17" i="23" s="1"/>
  <c r="F14" i="23"/>
  <c r="G14" i="23" s="1"/>
  <c r="F29" i="23"/>
  <c r="G29" i="23" s="1"/>
  <c r="F9" i="23"/>
  <c r="G9" i="23" s="1"/>
  <c r="M28" i="23"/>
  <c r="F13" i="23"/>
  <c r="G13" i="23" s="1"/>
  <c r="G25" i="23"/>
  <c r="F12" i="23"/>
  <c r="G12" i="23" s="1"/>
  <c r="G7" i="23"/>
  <c r="M9" i="23"/>
  <c r="M20" i="23"/>
  <c r="F16" i="23"/>
  <c r="G16" i="23" s="1"/>
  <c r="F15" i="23"/>
  <c r="G15" i="23" s="1"/>
  <c r="F23" i="23"/>
  <c r="G23" i="23" s="1"/>
  <c r="G21" i="23"/>
  <c r="M13" i="23"/>
  <c r="M16" i="23"/>
  <c r="G6" i="23"/>
  <c r="N165" i="22"/>
  <c r="N159" i="22"/>
  <c r="N160" i="22" s="1"/>
  <c r="N162" i="22" s="1"/>
  <c r="N22" i="22"/>
  <c r="N163" i="22"/>
  <c r="N37" i="22"/>
  <c r="N33" i="22"/>
  <c r="N83" i="22"/>
  <c r="H54" i="22" s="1"/>
  <c r="N17" i="22"/>
  <c r="I98" i="22"/>
  <c r="N7" i="22"/>
  <c r="N164" i="22"/>
  <c r="H45" i="22"/>
  <c r="N166" i="22"/>
  <c r="N28" i="22"/>
  <c r="N49" i="22"/>
  <c r="N89" i="22" s="1"/>
  <c r="H60" i="22" s="1"/>
  <c r="N50" i="22"/>
  <c r="N90" i="22" s="1"/>
  <c r="H61" i="22" s="1"/>
  <c r="N44" i="22"/>
  <c r="N84" i="22" s="1"/>
  <c r="H55" i="22" s="1"/>
  <c r="N45" i="22"/>
  <c r="N85" i="22" s="1"/>
  <c r="H56" i="22" s="1"/>
  <c r="N33" i="21"/>
  <c r="N43" i="21"/>
  <c r="N172" i="21"/>
  <c r="N20" i="21"/>
  <c r="N23" i="21" s="1"/>
  <c r="N32" i="21"/>
  <c r="H258" i="21"/>
  <c r="N17" i="21"/>
  <c r="N30" i="21"/>
  <c r="N29" i="21"/>
  <c r="N31" i="21"/>
  <c r="N166" i="21"/>
  <c r="N167" i="21" s="1"/>
  <c r="N169" i="21" s="1"/>
  <c r="N18" i="21"/>
  <c r="N50" i="21"/>
  <c r="N90" i="21" s="1"/>
  <c r="H261" i="21" s="1"/>
  <c r="N9" i="21"/>
  <c r="N51" i="21"/>
  <c r="N91" i="21" s="1"/>
  <c r="H262" i="21" s="1"/>
  <c r="N45" i="21"/>
  <c r="N85" i="21" s="1"/>
  <c r="H256" i="21" s="1"/>
  <c r="N46" i="21"/>
  <c r="N86" i="21" s="1"/>
  <c r="H257" i="21" s="1"/>
  <c r="N84" i="21"/>
  <c r="H255" i="21" s="1"/>
  <c r="N110" i="21"/>
  <c r="N145" i="21"/>
  <c r="N146" i="21"/>
  <c r="N111" i="21"/>
  <c r="N55" i="21"/>
  <c r="N136" i="21"/>
  <c r="N101" i="21"/>
  <c r="N63" i="21" a="1"/>
  <c r="N51" i="22"/>
  <c r="N54" i="22"/>
  <c r="N52" i="21"/>
  <c r="N148" i="22"/>
  <c r="N53" i="22"/>
  <c r="H18" i="22" a="1"/>
  <c r="N91" i="22"/>
  <c r="N58" i="22"/>
  <c r="N58" i="21"/>
  <c r="N53" i="21"/>
  <c r="N155" i="21"/>
  <c r="N61" i="21" a="1"/>
  <c r="N57" i="22"/>
  <c r="N129" i="22"/>
  <c r="N59" i="21"/>
  <c r="N54" i="21"/>
  <c r="N62" i="22" a="1"/>
  <c r="H22" i="22"/>
  <c r="N60" i="21" a="1"/>
  <c r="N52" i="22"/>
  <c r="N93" i="22"/>
  <c r="N61" i="22" a="1"/>
  <c r="N134" i="21"/>
  <c r="N99" i="21"/>
  <c r="N135" i="21"/>
  <c r="N62" i="21" a="1"/>
  <c r="N92" i="22"/>
  <c r="N127" i="22"/>
  <c r="N60" i="22" a="1"/>
  <c r="N131" i="21" l="1"/>
  <c r="N81" i="21"/>
  <c r="N161" i="21" s="1"/>
  <c r="N80" i="21"/>
  <c r="N152" i="21" s="1"/>
  <c r="N60" i="22"/>
  <c r="H70" i="22"/>
  <c r="N73" i="22"/>
  <c r="N61" i="22"/>
  <c r="N69" i="22"/>
  <c r="N68" i="22"/>
  <c r="N62" i="22"/>
  <c r="N67" i="22"/>
  <c r="H18" i="22"/>
  <c r="N74" i="22"/>
  <c r="N70" i="22"/>
  <c r="N35" i="22"/>
  <c r="N36" i="22" s="1"/>
  <c r="N34" i="22"/>
  <c r="N38" i="22" s="1"/>
  <c r="Q15" i="22"/>
  <c r="H32" i="22"/>
  <c r="N168" i="22"/>
  <c r="Q2" i="22" s="1"/>
  <c r="Q6" i="22"/>
  <c r="N161" i="22"/>
  <c r="N167" i="22" s="1"/>
  <c r="N21" i="22"/>
  <c r="N13" i="22"/>
  <c r="N34" i="21"/>
  <c r="N36" i="21" s="1"/>
  <c r="N37" i="21" s="1"/>
  <c r="N63" i="21"/>
  <c r="N60" i="21"/>
  <c r="N61" i="21"/>
  <c r="N62" i="21"/>
  <c r="N75" i="21"/>
  <c r="N71" i="21"/>
  <c r="N68" i="21"/>
  <c r="N69" i="21"/>
  <c r="N74" i="21"/>
  <c r="N70" i="21"/>
  <c r="N22" i="21"/>
  <c r="N173" i="21"/>
  <c r="N170" i="21"/>
  <c r="N8" i="21"/>
  <c r="N171" i="21"/>
  <c r="N38" i="21"/>
  <c r="N168" i="21"/>
  <c r="Q15" i="21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44" i="21"/>
  <c r="N109" i="21"/>
  <c r="N65" i="22" a="1"/>
  <c r="N66" i="21" a="1"/>
  <c r="N140" i="21"/>
  <c r="N98" i="21"/>
  <c r="N142" i="21"/>
  <c r="N104" i="21"/>
  <c r="N139" i="21"/>
  <c r="N94" i="22"/>
  <c r="N98" i="22"/>
  <c r="N135" i="22"/>
  <c r="N126" i="22"/>
  <c r="N133" i="22"/>
  <c r="N100" i="22"/>
  <c r="N66" i="22" a="1"/>
  <c r="N97" i="22"/>
  <c r="N105" i="21"/>
  <c r="N106" i="21"/>
  <c r="N100" i="21"/>
  <c r="N128" i="22"/>
  <c r="N67" i="21" a="1"/>
  <c r="N136" i="22"/>
  <c r="N59" i="22" a="1"/>
  <c r="N141" i="21"/>
  <c r="N143" i="21"/>
  <c r="N108" i="21"/>
  <c r="N101" i="22"/>
  <c r="N137" i="22"/>
  <c r="N102" i="22"/>
  <c r="N107" i="21"/>
  <c r="N133" i="21"/>
  <c r="N132" i="22"/>
  <c r="N65" i="22" l="1"/>
  <c r="N160" i="21"/>
  <c r="N153" i="21"/>
  <c r="N59" i="22"/>
  <c r="N75" i="22" s="1"/>
  <c r="N66" i="22"/>
  <c r="N82" i="22" s="1"/>
  <c r="N66" i="21"/>
  <c r="N82" i="21" s="1"/>
  <c r="N132" i="21"/>
  <c r="Q9" i="22"/>
  <c r="Q12" i="22"/>
  <c r="Q10" i="22"/>
  <c r="R10" i="22" s="1"/>
  <c r="Q11" i="22"/>
  <c r="R11" i="22" s="1"/>
  <c r="N169" i="22"/>
  <c r="Q19" i="22" s="1"/>
  <c r="R19" i="22" s="1"/>
  <c r="Q8" i="22"/>
  <c r="R8" i="22" s="1"/>
  <c r="Q17" i="22"/>
  <c r="R17" i="22" s="1"/>
  <c r="Q14" i="22"/>
  <c r="R14" i="22" s="1"/>
  <c r="N78" i="22"/>
  <c r="N152" i="22" s="1"/>
  <c r="N77" i="22"/>
  <c r="N143" i="22" s="1"/>
  <c r="Q3" i="22"/>
  <c r="Q4" i="22"/>
  <c r="R2" i="22"/>
  <c r="N39" i="22"/>
  <c r="N14" i="22"/>
  <c r="N3" i="22" s="1"/>
  <c r="N4" i="22" s="1"/>
  <c r="H7" i="22" s="1"/>
  <c r="N2" i="22" s="1"/>
  <c r="H35" i="22"/>
  <c r="I35" i="22" s="1"/>
  <c r="Q23" i="22"/>
  <c r="N125" i="22"/>
  <c r="N124" i="22"/>
  <c r="N107" i="22"/>
  <c r="N110" i="22" s="1"/>
  <c r="N76" i="22"/>
  <c r="N150" i="22" s="1"/>
  <c r="N81" i="22"/>
  <c r="N67" i="21"/>
  <c r="N83" i="21" s="1"/>
  <c r="N35" i="21"/>
  <c r="N39" i="21" s="1"/>
  <c r="N40" i="21" s="1"/>
  <c r="Q6" i="21"/>
  <c r="N78" i="21"/>
  <c r="N150" i="21" s="1"/>
  <c r="N114" i="21"/>
  <c r="N117" i="21" s="1"/>
  <c r="N14" i="21"/>
  <c r="N175" i="21"/>
  <c r="Q2" i="21" s="1"/>
  <c r="N174" i="21"/>
  <c r="N176" i="21" s="1"/>
  <c r="N76" i="21"/>
  <c r="H272" i="21" s="1"/>
  <c r="N79" i="21"/>
  <c r="N151" i="21" s="1"/>
  <c r="Q23" i="21"/>
  <c r="N77" i="21"/>
  <c r="N149" i="21" s="1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G24" i="19"/>
  <c r="G14" i="19"/>
  <c r="G12" i="19"/>
  <c r="G20" i="19"/>
  <c r="G28" i="19"/>
  <c r="G26" i="19"/>
  <c r="G34" i="19"/>
  <c r="N141" i="22"/>
  <c r="N99" i="22"/>
  <c r="N105" i="22"/>
  <c r="N140" i="22"/>
  <c r="N148" i="21"/>
  <c r="N134" i="22"/>
  <c r="N147" i="21"/>
  <c r="N112" i="21"/>
  <c r="H18" i="21" l="1"/>
  <c r="I18" i="21" s="1"/>
  <c r="N149" i="22"/>
  <c r="N151" i="22"/>
  <c r="H71" i="22"/>
  <c r="N108" i="22" s="1"/>
  <c r="N109" i="22" s="1"/>
  <c r="N111" i="22" s="1"/>
  <c r="N112" i="22" s="1"/>
  <c r="H73" i="22" s="1"/>
  <c r="N113" i="22" s="1"/>
  <c r="N142" i="22"/>
  <c r="N155" i="22"/>
  <c r="N147" i="22"/>
  <c r="H79" i="22"/>
  <c r="H77" i="22"/>
  <c r="R9" i="22"/>
  <c r="N144" i="22"/>
  <c r="Q20" i="22"/>
  <c r="R20" i="22" s="1"/>
  <c r="R3" i="22"/>
  <c r="Q5" i="22"/>
  <c r="H8" i="22"/>
  <c r="I8" i="22" s="1"/>
  <c r="H78" i="22"/>
  <c r="Q18" i="22"/>
  <c r="R18" i="22" s="1"/>
  <c r="Q13" i="22"/>
  <c r="R13" i="22" s="1"/>
  <c r="R12" i="22"/>
  <c r="H277" i="21"/>
  <c r="Q19" i="21"/>
  <c r="R19" i="21" s="1"/>
  <c r="N156" i="21"/>
  <c r="H278" i="21"/>
  <c r="N154" i="21"/>
  <c r="H279" i="21"/>
  <c r="N162" i="21"/>
  <c r="N159" i="21"/>
  <c r="N157" i="21"/>
  <c r="N15" i="21"/>
  <c r="N4" i="21" s="1"/>
  <c r="N5" i="21" s="1"/>
  <c r="H7" i="21" s="1"/>
  <c r="N158" i="21"/>
  <c r="N123" i="21"/>
  <c r="N126" i="21" s="1"/>
  <c r="N115" i="21"/>
  <c r="N116" i="21" s="1"/>
  <c r="N118" i="21" s="1"/>
  <c r="N119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106" i="22"/>
  <c r="N113" i="21"/>
  <c r="H72" i="22" l="1"/>
  <c r="N117" i="22" s="1"/>
  <c r="N118" i="22" s="1"/>
  <c r="H273" i="21"/>
  <c r="N124" i="21" s="1"/>
  <c r="N125" i="21" s="1"/>
  <c r="N127" i="21" s="1"/>
  <c r="N128" i="21" s="1"/>
  <c r="H275" i="21" s="1"/>
  <c r="N3" i="21"/>
  <c r="H99" i="21"/>
  <c r="H100" i="21"/>
  <c r="N120" i="21" s="1"/>
  <c r="N116" i="22"/>
  <c r="N119" i="22" s="1"/>
  <c r="I7" i="22"/>
  <c r="Q24" i="22"/>
  <c r="Q25" i="22"/>
  <c r="Q25" i="21"/>
  <c r="R9" i="21"/>
  <c r="Q24" i="21"/>
  <c r="Q18" i="21"/>
  <c r="R18" i="21" s="1"/>
  <c r="R12" i="21"/>
  <c r="Q13" i="21"/>
  <c r="R13" i="21" s="1"/>
  <c r="Q20" i="21"/>
  <c r="R20" i="21" s="1"/>
  <c r="Q5" i="21"/>
  <c r="R3" i="21"/>
  <c r="N120" i="22" l="1"/>
  <c r="N121" i="22" s="1"/>
  <c r="H75" i="22" s="1"/>
  <c r="H76" i="22" s="1"/>
  <c r="I76" i="22" s="1"/>
  <c r="N121" i="21"/>
  <c r="N122" i="21"/>
  <c r="N114" i="22"/>
  <c r="N115" i="22"/>
  <c r="H74" i="22"/>
  <c r="I74" i="22" s="1"/>
  <c r="H8" i="21"/>
  <c r="I8" i="21" s="1"/>
  <c r="I7" i="21"/>
  <c r="N6" i="22"/>
  <c r="N5" i="22"/>
  <c r="H3" i="22" s="1"/>
  <c r="H292" i="21"/>
  <c r="H284" i="21"/>
  <c r="H276" i="21"/>
  <c r="I276" i="21" s="1"/>
  <c r="H274" i="21"/>
  <c r="I274" i="21" s="1"/>
  <c r="H285" i="21" l="1"/>
  <c r="H286" i="21"/>
  <c r="H293" i="21"/>
  <c r="H294" i="21"/>
  <c r="H282" i="21"/>
  <c r="H290" i="21"/>
  <c r="H288" i="21"/>
  <c r="H283" i="21"/>
  <c r="H281" i="21"/>
  <c r="H287" i="21"/>
  <c r="H296" i="21"/>
  <c r="H291" i="21"/>
  <c r="H289" i="21"/>
  <c r="H295" i="21"/>
  <c r="H84" i="22"/>
  <c r="H87" i="22"/>
  <c r="H88" i="22"/>
  <c r="H82" i="22"/>
  <c r="H81" i="22"/>
  <c r="H92" i="22"/>
  <c r="H91" i="22"/>
  <c r="H95" i="22"/>
  <c r="H83" i="22"/>
  <c r="H96" i="22"/>
  <c r="H90" i="22"/>
  <c r="H89" i="22"/>
  <c r="H63" i="22"/>
  <c r="I63" i="22" s="1"/>
  <c r="H40" i="22"/>
  <c r="I40" i="22" s="1"/>
  <c r="H62" i="22"/>
  <c r="I62" i="22" s="1"/>
  <c r="H65" i="22"/>
  <c r="I65" i="22" s="1"/>
  <c r="H31" i="22"/>
  <c r="I31" i="22" s="1"/>
  <c r="H69" i="22"/>
  <c r="I69" i="22" s="1"/>
  <c r="H4" i="22"/>
  <c r="H68" i="22"/>
  <c r="I68" i="22" s="1"/>
  <c r="H64" i="22"/>
  <c r="I64" i="22" s="1"/>
  <c r="H29" i="22"/>
  <c r="I3" i="22"/>
  <c r="H25" i="22"/>
  <c r="I25" i="22" s="1"/>
  <c r="H5" i="22"/>
  <c r="H41" i="22"/>
  <c r="I41" i="22" s="1"/>
  <c r="H99" i="22"/>
  <c r="H33" i="22"/>
  <c r="I33" i="22" s="1"/>
  <c r="H24" i="22"/>
  <c r="H13" i="22"/>
  <c r="H15" i="22"/>
  <c r="I15" i="22" s="1"/>
  <c r="H14" i="22"/>
  <c r="I14" i="22" s="1"/>
  <c r="H12" i="22"/>
  <c r="I12" i="22" s="1"/>
  <c r="N6" i="21"/>
  <c r="N7" i="21"/>
  <c r="H224" i="21" l="1"/>
  <c r="H235" i="21"/>
  <c r="H167" i="21"/>
  <c r="H140" i="21"/>
  <c r="H155" i="21"/>
  <c r="I155" i="21" s="1"/>
  <c r="H111" i="21"/>
  <c r="I111" i="21" s="1"/>
  <c r="H121" i="21"/>
  <c r="H89" i="21"/>
  <c r="I89" i="21" s="1"/>
  <c r="H73" i="21"/>
  <c r="I73" i="21" s="1"/>
  <c r="H81" i="21"/>
  <c r="I3" i="21"/>
  <c r="H68" i="21"/>
  <c r="I68" i="21" s="1"/>
  <c r="H17" i="21"/>
  <c r="H13" i="21" s="1"/>
  <c r="H20" i="22"/>
  <c r="I13" i="22"/>
  <c r="H37" i="22"/>
  <c r="I37" i="22" s="1"/>
  <c r="I24" i="22"/>
  <c r="I99" i="22"/>
  <c r="H101" i="22"/>
  <c r="H100" i="22"/>
  <c r="H30" i="22"/>
  <c r="I30" i="22" s="1"/>
  <c r="I29" i="22"/>
  <c r="H26" i="22"/>
  <c r="I26" i="22" s="1"/>
  <c r="H6" i="22"/>
  <c r="I4" i="22"/>
  <c r="H43" i="22"/>
  <c r="I43" i="22" s="1"/>
  <c r="H42" i="22"/>
  <c r="I42" i="22" s="1"/>
  <c r="H14" i="21"/>
  <c r="I14" i="21" s="1"/>
  <c r="H11" i="21"/>
  <c r="H12" i="21" s="1"/>
  <c r="H16" i="21" s="1"/>
  <c r="H19" i="21"/>
  <c r="H15" i="21"/>
  <c r="I15" i="21" s="1"/>
  <c r="H270" i="21"/>
  <c r="I270" i="21" s="1"/>
  <c r="H299" i="21"/>
  <c r="H263" i="21"/>
  <c r="I263" i="21" s="1"/>
  <c r="H5" i="21"/>
  <c r="H266" i="21"/>
  <c r="I266" i="21" s="1"/>
  <c r="H265" i="21"/>
  <c r="I265" i="21" s="1"/>
  <c r="H269" i="21"/>
  <c r="I269" i="21" s="1"/>
  <c r="H4" i="21"/>
  <c r="H264" i="21"/>
  <c r="I264" i="21" s="1"/>
  <c r="I235" i="21" l="1"/>
  <c r="I224" i="21"/>
  <c r="H225" i="21"/>
  <c r="H236" i="21"/>
  <c r="H202" i="21"/>
  <c r="H214" i="21"/>
  <c r="I214" i="21" s="1"/>
  <c r="I167" i="21"/>
  <c r="H179" i="21"/>
  <c r="I179" i="21" s="1"/>
  <c r="H189" i="21"/>
  <c r="I140" i="21"/>
  <c r="I17" i="21"/>
  <c r="I13" i="21"/>
  <c r="I121" i="21"/>
  <c r="I81" i="21"/>
  <c r="H50" i="21"/>
  <c r="H58" i="21"/>
  <c r="I58" i="21" s="1"/>
  <c r="H37" i="21"/>
  <c r="H42" i="21"/>
  <c r="I4" i="21"/>
  <c r="I11" i="21"/>
  <c r="I19" i="21"/>
  <c r="H298" i="21" s="1"/>
  <c r="H27" i="21"/>
  <c r="H21" i="22"/>
  <c r="I20" i="22"/>
  <c r="H102" i="22"/>
  <c r="I100" i="22"/>
  <c r="H103" i="22"/>
  <c r="I101" i="22"/>
  <c r="H6" i="21"/>
  <c r="I299" i="21"/>
  <c r="I236" i="21" l="1"/>
  <c r="I225" i="21"/>
  <c r="I202" i="21"/>
  <c r="I189" i="21"/>
  <c r="I12" i="21"/>
  <c r="I50" i="21"/>
  <c r="I37" i="21"/>
  <c r="I27" i="21"/>
  <c r="I42" i="21"/>
  <c r="I298" i="21"/>
  <c r="H301" i="21"/>
  <c r="H303" i="21" s="1"/>
  <c r="H300" i="21"/>
  <c r="I300" i="21" s="1"/>
  <c r="I21" i="22"/>
  <c r="H34" i="22"/>
  <c r="I34" i="22" s="1"/>
  <c r="I16" i="21" l="1"/>
  <c r="H302" i="21"/>
  <c r="I30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<sst xmlns="http://schemas.openxmlformats.org/spreadsheetml/2006/main" count="1704" uniqueCount="669">
  <si>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</si>
  <si>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</si>
  <si>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</si>
  <si>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</si>
  <si>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</si>
  <si>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</si>
  <si>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</si>
  <si>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</si>
  <si>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</si>
  <si>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</si>
  <si>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</si>
  <si>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</si>
  <si>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</si>
  <si>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</si>
  <si>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</si>
  <si>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</si>
  <si>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</si>
  <si>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</si>
  <si>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</si>
  <si>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</si>
  <si>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</si>
  <si>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</si>
  <si>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</si>
  <si>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</si>
  <si>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</si>
  <si>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</si>
  <si>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</si>
  <si>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</si>
  <si>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</si>
  <si>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</si>
  <si>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</si>
  <si>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</si>
  <si>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</si>
  <si>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</si>
  <si>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</si>
  <si>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</si>
  <si>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</si>
  <si>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</si>
  <si>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</si>
  <si>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</si>
  <si>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</si>
  <si>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</si>
  <si>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</si>
  <si>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</si>
  <si>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</si>
  <si>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</si>
  <si>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</si>
  <si>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</si>
  <si>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</si>
  <si>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</si>
  <si>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</si>
  <si>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</si>
  <si>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</si>
  <si>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</si>
  <si>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</si>
  <si>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</si>
  <si>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</si>
  <si>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</si>
  <si>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</si>
  <si>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</si>
  <si>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</si>
  <si>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</si>
  <si>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</si>
  <si>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</si>
  <si>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</si>
  <si>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</si>
  <si>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</si>
  <si>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</si>
  <si>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</si>
  <si>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</si>
  <si>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</si>
  <si>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</si>
  <si>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</si>
  <si>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</si>
  <si>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</si>
  <si>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</si>
  <si>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</si>
  <si>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</si>
  <si>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</si>
  <si>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</si>
  <si>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</si>
  <si>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</si>
  <si>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</si>
  <si>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</si>
  <si>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</si>
  <si>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</si>
  <si>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</si>
  <si>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</si>
  <si>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</si>
  <si>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</si>
  <si>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</si>
  <si>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</si>
  <si>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</si>
  <si>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</si>
  <si>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</si>
  <si>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</si>
  <si>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</si>
  <si>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</si>
  <si>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</si>
  <si>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</si>
  <si>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</si>
  <si>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</si>
  <si>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</si>
  <si>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</si>
  <si>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</si>
  <si>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</si>
  <si>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</si>
  <si>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</si>
  <si>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</si>
  <si>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</si>
  <si>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</si>
  <si>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</si>
  <si>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</si>
  <si>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</si>
  <si>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</si>
  <si>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</si>
  <si>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</si>
  <si>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</si>
  <si>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</si>
  <si>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</si>
  <si>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</si>
  <si>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</si>
  <si>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</si>
  <si>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</si>
  <si>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</si>
  <si>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</si>
  <si>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</si>
  <si>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</si>
  <si>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</si>
  <si>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</si>
  <si>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</si>
  <si>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</si>
  <si>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</si>
  <si>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</si>
  <si>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</si>
  <si>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</si>
  <si>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</si>
  <si>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</si>
  <si>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</si>
  <si>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</si>
  <si>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</si>
  <si>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</si>
  <si>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</si>
  <si>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</si>
  <si>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</si>
  <si>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</si>
  <si>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</si>
  <si>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</si>
  <si>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</si>
  <si>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</si>
  <si>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</si>
  <si>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</si>
  <si>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</si>
  <si>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</si>
  <si>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</si>
  <si>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</si>
  <si>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</si>
  <si>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</si>
  <si>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</si>
  <si>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</si>
  <si>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</si>
  <si>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</si>
  <si>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</si>
  <si>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</si>
  <si>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</si>
  <si>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</si>
  <si>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</si>
  <si>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</si>
  <si>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</si>
  <si>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</si>
  <si>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</si>
  <si>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</si>
  <si>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</si>
  <si>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</si>
  <si>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</si>
  <si>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</si>
  <si>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</si>
  <si>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</si>
  <si>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</si>
  <si>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</si>
  <si>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</si>
  <si>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</si>
  <si>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</si>
  <si>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</si>
  <si>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</si>
  <si>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</si>
  <si>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</si>
  <si>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</si>
  <si>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</si>
  <si>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</si>
  <si>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</si>
  <si>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</si>
  <si>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</si>
  <si>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</si>
  <si>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</si>
  <si>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</si>
  <si>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</si>
  <si>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</si>
  <si>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</si>
  <si>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</si>
  <si>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</si>
  <si>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</si>
  <si>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</si>
  <si>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</si>
  <si>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</si>
  <si>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</si>
  <si>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</si>
  <si>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</si>
  <si>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</si>
  <si>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</si>
  <si>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</si>
  <si>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</si>
  <si>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</si>
  <si>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</si>
  <si>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</si>
  <si>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</si>
  <si>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</si>
  <si>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</si>
  <si>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</si>
  <si>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</si>
  <si>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</si>
  <si>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</si>
  <si>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</si>
  <si>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</si>
  <si>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</si>
  <si>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</si>
  <si>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</si>
  <si>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</si>
  <si>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</si>
  <si>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</si>
  <si>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</si>
  <si>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</si>
  <si>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</si>
  <si>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</si>
  <si>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</si>
  <si>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</si>
  <si>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</si>
  <si>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</si>
  <si>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</si>
  <si>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</si>
  <si>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</si>
  <si>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</si>
  <si>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</si>
  <si>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</si>
  <si>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</si>
  <si>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</si>
  <si>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</si>
  <si>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</si>
  <si>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</si>
  <si>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</si>
  <si>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</si>
  <si>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</si>
  <si>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</si>
  <si>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</si>
  <si>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</si>
  <si>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</si>
  <si>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</si>
  <si>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</si>
  <si>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</si>
  <si>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</si>
  <si>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</si>
  <si>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</si>
  <si>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</si>
  <si>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</si>
  <si>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</si>
  <si>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</si>
  <si>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</si>
  <si>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</si>
  <si>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</si>
  <si>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</si>
  <si>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</si>
  <si>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</si>
  <si>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</si>
  <si>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</si>
  <si>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</si>
  <si>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</si>
  <si>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</si>
  <si>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</si>
  <si>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</si>
  <si>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</si>
  <si>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</si>
  <si>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</si>
  <si>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</si>
  <si>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</si>
  <si>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</si>
  <si>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</si>
  <si>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</si>
  <si>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</si>
  <si>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</si>
  <si>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</si>
  <si>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</si>
  <si>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</si>
  <si>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</si>
  <si>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</si>
  <si>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</si>
  <si>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</si>
  <si>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</si>
  <si>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</si>
  <si>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</si>
  <si>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</si>
  <si>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</si>
  <si>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</si>
  <si>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</si>
  <si>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</si>
  <si>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</si>
  <si>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</si>
  <si>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</si>
  <si>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</si>
  <si>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</si>
  <si>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</si>
  <si>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</si>
  <si>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</si>
  <si>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</si>
  <si>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</si>
  <si>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</si>
  <si>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</si>
  <si>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</si>
  <si>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</si>
  <si>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</si>
  <si>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</si>
  <si>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</si>
  <si>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</si>
  <si>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</si>
  <si>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</si>
  <si>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</si>
  <si>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</si>
  <si>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</si>
  <si>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</si>
  <si>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</si>
  <si>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</si>
  <si>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</si>
  <si>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</si>
  <si>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</si>
  <si>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</si>
  <si>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</si>
  <si>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</si>
  <si>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</si>
  <si>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</si>
  <si>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</si>
  <si>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</si>
  <si>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</si>
  <si>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</si>
  <si>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</si>
  <si>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</si>
  <si>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</si>
  <si>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</si>
  <si>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</si>
  <si>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</si>
  <si>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</si>
  <si>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</si>
  <si>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</si>
  <si>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</si>
  <si>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</si>
  <si>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</si>
  <si>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</si>
  <si>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</si>
  <si>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</si>
  <si>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</si>
  <si>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</si>
  <si>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</si>
  <si>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</si>
  <si>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</si>
  <si>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</si>
  <si>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</si>
  <si>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</si>
  <si>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</si>
  <si>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</si>
  <si>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</si>
  <si>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</si>
  <si>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</si>
  <si>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</si>
  <si>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</si>
  <si>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</si>
  <si>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</si>
  <si>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</si>
  <si>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</si>
  <si>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</si>
  <si>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</si>
  <si>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</si>
  <si>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</si>
  <si>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</si>
  <si>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</si>
  <si>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</si>
  <si>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</si>
  <si>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</si>
  <si>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</si>
  <si>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</si>
  <si>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</si>
  <si>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</si>
  <si>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</si>
  <si>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</si>
  <si>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</si>
  <si>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</si>
  <si>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</si>
  <si>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</si>
  <si>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</si>
  <si>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</si>
  <si>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</si>
  <si>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</si>
  <si>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</si>
  <si>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</si>
  <si>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</si>
  <si>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</si>
  <si>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</si>
  <si>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</si>
  <si>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</si>
  <si>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</si>
  <si>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</si>
  <si>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</si>
  <si>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</si>
  <si>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</si>
  <si>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</si>
  <si>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</si>
  <si>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</si>
  <si>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</si>
  <si>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</si>
  <si>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</si>
  <si>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</si>
  <si>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</si>
  <si>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</si>
  <si>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</si>
  <si>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</si>
  <si>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</si>
  <si>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</si>
  <si>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</si>
  <si>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</si>
  <si>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</si>
  <si>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</si>
  <si>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</si>
  <si>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</si>
  <si>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</si>
  <si>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</si>
  <si>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</si>
  <si>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</si>
  <si>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</si>
  <si>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</si>
  <si>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</si>
  <si>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</si>
  <si>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</si>
  <si>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</si>
  <si>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</si>
  <si>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</si>
  <si>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</si>
  <si>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</si>
  <si>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</si>
  <si>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</si>
  <si>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</si>
  <si>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eS002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</si>
  <si>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</si>
  <si>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</si>
  <si>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</si>
  <si>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</si>
  <si>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</si>
  <si>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</si>
  <si>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</si>
  <si>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</si>
  <si>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</si>
  <si>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</si>
  <si>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</si>
  <si>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中心基準(1:Bot, 2:Top)</t>
    <rPh sb="0" eb="2">
      <t>チュウシン</t>
    </rPh>
    <rPh sb="2" eb="4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</si>
  <si>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</si>
  <si>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</si>
  <si>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</si>
  <si>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</si>
  <si>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</si>
  <si>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</si>
  <si>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</si>
  <si>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</si>
  <si>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</si>
  <si>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</si>
  <si>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</si>
  <si>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</si>
  <si>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</si>
  <si>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</si>
  <si>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A側溝深さ（公差指定時）</t>
    <rPh sb="1" eb="2">
      <t>ガワ</t>
    </rPh>
    <rPh sb="2" eb="3">
      <t>ミゾ</t>
    </rPh>
    <rPh sb="3" eb="4">
      <t>フカ</t>
    </rPh>
    <rPh sb="6" eb="8">
      <t>コウサ</t>
    </rPh>
    <rPh sb="8" eb="10">
      <t>シテイ</t>
    </rPh>
    <rPh sb="10" eb="11">
      <t>ジ</t>
    </rPh>
    <phoneticPr fontId="1"/>
  </si>
  <si>
    <t>G55 ボトム端 湾曲中心X</t>
    <rPh sb="9" eb="13">
      <t>ワンキョク</t>
    </rPh>
    <phoneticPr fontId="1"/>
  </si>
  <si>
    <t xml:space="preserve">G57 トップ端 湾曲中心X </t>
    <rPh sb="7" eb="8">
      <t>タン</t>
    </rPh>
    <phoneticPr fontId="1"/>
  </si>
  <si>
    <t>トップ 外C面取 長さ</t>
    <rPh sb="4" eb="5">
      <t>ソト</t>
    </rPh>
    <rPh sb="6" eb="8">
      <t>メントリ</t>
    </rPh>
    <rPh sb="9" eb="10">
      <t>ナガ</t>
    </rPh>
    <phoneticPr fontId="1"/>
  </si>
  <si>
    <t>トップ 外C面取 角度(deg)</t>
    <rPh sb="4" eb="5">
      <t>ソト</t>
    </rPh>
    <rPh sb="6" eb="8">
      <t>メントリ</t>
    </rPh>
    <rPh sb="9" eb="11">
      <t>カクド</t>
    </rPh>
    <phoneticPr fontId="1"/>
  </si>
  <si>
    <t>トップ外削 コーナーR</t>
    <rPh sb="3" eb="4">
      <t>ガイ</t>
    </rPh>
    <phoneticPr fontId="1"/>
  </si>
  <si>
    <t>トップ外削 AC径</t>
    <rPh sb="3" eb="5">
      <t>ガイサク</t>
    </rPh>
    <rPh sb="8" eb="9">
      <t>ケイ</t>
    </rPh>
    <phoneticPr fontId="1"/>
  </si>
  <si>
    <t>トップ外削 BD径</t>
    <rPh sb="3" eb="5">
      <t>ガイサク</t>
    </rPh>
    <rPh sb="8" eb="9">
      <t>ケイ</t>
    </rPh>
    <phoneticPr fontId="1"/>
  </si>
  <si>
    <t>トップ外削長</t>
    <rPh sb="3" eb="5">
      <t>ガイサク</t>
    </rPh>
    <rPh sb="5" eb="6">
      <t>チョウ</t>
    </rPh>
    <phoneticPr fontId="1"/>
  </si>
  <si>
    <t>トップ外削 A側面肉厚（トップ基準時）</t>
    <rPh sb="3" eb="5">
      <t>ガイサク</t>
    </rPh>
    <rPh sb="7" eb="8">
      <t>ガワ</t>
    </rPh>
    <rPh sb="8" eb="9">
      <t>メン</t>
    </rPh>
    <rPh sb="9" eb="11">
      <t>ニクアツ</t>
    </rPh>
    <rPh sb="15" eb="17">
      <t>キジュン</t>
    </rPh>
    <rPh sb="17" eb="18">
      <t>ジ</t>
    </rPh>
    <phoneticPr fontId="1"/>
  </si>
  <si>
    <t>工具番号</t>
    <rPh sb="0" eb="2">
      <t>コウグ</t>
    </rPh>
    <rPh sb="2" eb="4">
      <t>バンゴウ</t>
    </rPh>
    <phoneticPr fontId="1"/>
  </si>
  <si>
    <t>端面用 フェイスミル</t>
    <rPh sb="0" eb="2">
      <t>タンメン</t>
    </rPh>
    <rPh sb="2" eb="3">
      <t>ヨウ</t>
    </rPh>
    <phoneticPr fontId="1"/>
  </si>
  <si>
    <t>外削用 テーパエンドミル</t>
    <rPh sb="0" eb="2">
      <t>ガイサク</t>
    </rPh>
    <rPh sb="2" eb="3">
      <t>ヨウ</t>
    </rPh>
    <phoneticPr fontId="1"/>
  </si>
  <si>
    <t>溝用 サイドカッター Φ100×t7</t>
    <rPh sb="0" eb="1">
      <t>ミゾ</t>
    </rPh>
    <rPh sb="1" eb="2">
      <t>ヨウ</t>
    </rPh>
    <phoneticPr fontId="1"/>
  </si>
  <si>
    <t>溝用 サイドカッター Φ75×t5</t>
    <rPh sb="0" eb="1">
      <t>ミゾ</t>
    </rPh>
    <rPh sb="1" eb="2">
      <t>ヨウ</t>
    </rPh>
    <phoneticPr fontId="1"/>
  </si>
  <si>
    <t>C面取用 テーパエンドミル Φ4×15°</t>
    <rPh sb="1" eb="3">
      <t>メントリ</t>
    </rPh>
    <rPh sb="3" eb="4">
      <t>ヨウ</t>
    </rPh>
    <phoneticPr fontId="1"/>
  </si>
  <si>
    <t>C面取用 テーパエンドミル Φ0.8×30°</t>
    <rPh sb="1" eb="3">
      <t>メントリ</t>
    </rPh>
    <rPh sb="3" eb="4">
      <t>ヨウ</t>
    </rPh>
    <phoneticPr fontId="1"/>
  </si>
  <si>
    <t>C面取用 テーパエンドミル Φ2×45°</t>
    <rPh sb="1" eb="3">
      <t>メントリ</t>
    </rPh>
    <rPh sb="3" eb="4">
      <t>ヨウ</t>
    </rPh>
    <phoneticPr fontId="1"/>
  </si>
  <si>
    <t>外削用 スクエアエンドミル Φ20</t>
    <rPh sb="0" eb="2">
      <t>ガイサク</t>
    </rPh>
    <rPh sb="2" eb="3">
      <t>ヨウ</t>
    </rPh>
    <phoneticPr fontId="1"/>
  </si>
  <si>
    <t>ディンプル用 Tスロットカッター Φ40×R20</t>
    <rPh sb="5" eb="6">
      <t>ヨウ</t>
    </rPh>
    <phoneticPr fontId="1"/>
  </si>
  <si>
    <t>ディンプル用 Tスロットカッター Φ40×R6.6</t>
    <rPh sb="5" eb="6">
      <t>ヨウ</t>
    </rPh>
    <phoneticPr fontId="1"/>
  </si>
  <si>
    <t>ディンプル用 Tスロットカッター Φ30×R15</t>
    <rPh sb="5" eb="6">
      <t>ヨウ</t>
    </rPh>
    <phoneticPr fontId="1"/>
  </si>
  <si>
    <t>ディンプル用 アングルヘッド 10in</t>
    <rPh sb="5" eb="6">
      <t>ヨウ</t>
    </rPh>
    <phoneticPr fontId="1"/>
  </si>
  <si>
    <t>逃し溝用 アングルヘッド 15.5in</t>
    <rPh sb="0" eb="1">
      <t>ニガ</t>
    </rPh>
    <rPh sb="3" eb="4">
      <t>ヨウ</t>
    </rPh>
    <phoneticPr fontId="1"/>
  </si>
  <si>
    <t>計測用 タッチセンサープローブ Φ10×300</t>
    <rPh sb="0" eb="2">
      <t>ケイソク</t>
    </rPh>
    <rPh sb="2" eb="3">
      <t>ヨウ</t>
    </rPh>
    <phoneticPr fontId="1"/>
  </si>
  <si>
    <t>テーパ有無（0:無, 1:有）</t>
    <rPh sb="3" eb="5">
      <t>ウム</t>
    </rPh>
    <phoneticPr fontId="1"/>
  </si>
  <si>
    <t>G54 ボトム端 外径中心X</t>
    <rPh sb="7" eb="8">
      <t>タン</t>
    </rPh>
    <rPh sb="9" eb="11">
      <t>ガイケイ</t>
    </rPh>
    <phoneticPr fontId="1"/>
  </si>
  <si>
    <t>G56 トップ端 外径中心X</t>
    <rPh sb="7" eb="8">
      <t>タン</t>
    </rPh>
    <rPh sb="9" eb="11">
      <t>ガイケイ</t>
    </rPh>
    <rPh sb="11" eb="13">
      <t>チュウシン</t>
    </rPh>
    <phoneticPr fontId="1"/>
  </si>
  <si>
    <t>G56 トップ外削中心（ボトム基準）</t>
    <rPh sb="7" eb="9">
      <t>ガイサク</t>
    </rPh>
    <rPh sb="15" eb="17">
      <t>キジュン</t>
    </rPh>
    <phoneticPr fontId="1"/>
  </si>
  <si>
    <t>G56 トップ外削中心（トップ基準）</t>
    <rPh sb="7" eb="9">
      <t>ガイサク</t>
    </rPh>
    <rPh sb="9" eb="11">
      <t>チュウシン</t>
    </rPh>
    <rPh sb="15" eb="17">
      <t>キジュン</t>
    </rPh>
    <phoneticPr fontId="1"/>
  </si>
  <si>
    <t>G54-57 外径中心Y</t>
    <rPh sb="7" eb="9">
      <t>ガイケイ</t>
    </rPh>
    <rPh sb="9" eb="11">
      <t>チ</t>
    </rPh>
    <phoneticPr fontId="1"/>
  </si>
  <si>
    <t>平行角度 ボトム側</t>
    <rPh sb="0" eb="2">
      <t>ヘイコウ</t>
    </rPh>
    <rPh sb="2" eb="4">
      <t>カクド</t>
    </rPh>
    <rPh sb="8" eb="9">
      <t>ガワ</t>
    </rPh>
    <phoneticPr fontId="1"/>
  </si>
  <si>
    <t>原点設定</t>
    <rPh sb="0" eb="2">
      <t>ゲンテン</t>
    </rPh>
    <rPh sb="2" eb="4">
      <t>セッテイ</t>
    </rPh>
    <phoneticPr fontId="1"/>
  </si>
  <si>
    <t>A側溝深さ公差 有無（0:無, 1:有）</t>
    <rPh sb="1" eb="2">
      <t>ガワ</t>
    </rPh>
    <rPh sb="2" eb="3">
      <t>ミゾ</t>
    </rPh>
    <rPh sb="3" eb="4">
      <t>フカ</t>
    </rPh>
    <rPh sb="5" eb="7">
      <t>コウサ</t>
    </rPh>
    <rPh sb="8" eb="10">
      <t>ウム</t>
    </rPh>
    <rPh sb="13" eb="14">
      <t>ム</t>
    </rPh>
    <rPh sb="18" eb="19">
      <t>ユウ</t>
    </rPh>
    <phoneticPr fontId="1"/>
  </si>
  <si>
    <t>プログラム番号</t>
    <rPh sb="5" eb="7">
      <t>バンゴウ</t>
    </rPh>
    <phoneticPr fontId="1"/>
  </si>
  <si>
    <t>測定 外側中心X（両側）</t>
    <rPh sb="0" eb="2">
      <t>ソクテイ</t>
    </rPh>
    <rPh sb="3" eb="5">
      <t>ソトガワ</t>
    </rPh>
    <rPh sb="5" eb="7">
      <t>チュウシン</t>
    </rPh>
    <rPh sb="9" eb="11">
      <t>リョウガワ</t>
    </rPh>
    <phoneticPr fontId="1"/>
  </si>
  <si>
    <t>測定 外側中心Y</t>
    <rPh sb="0" eb="2">
      <t>ソクテイ</t>
    </rPh>
    <rPh sb="3" eb="5">
      <t>ソトガワ</t>
    </rPh>
    <rPh sb="5" eb="7">
      <t>チュウシン</t>
    </rPh>
    <phoneticPr fontId="1"/>
  </si>
  <si>
    <t>測定 溝中心X（片側）</t>
    <rPh sb="0" eb="2">
      <t>ソクテイ</t>
    </rPh>
    <rPh sb="3" eb="4">
      <t>ミゾ</t>
    </rPh>
    <rPh sb="4" eb="6">
      <t>チュウシン</t>
    </rPh>
    <rPh sb="8" eb="10">
      <t>カタガワ</t>
    </rPh>
    <phoneticPr fontId="1"/>
  </si>
  <si>
    <t>測定 内側中心X</t>
    <rPh sb="0" eb="2">
      <t>ソクテイ</t>
    </rPh>
    <rPh sb="3" eb="5">
      <t>ウチガワ</t>
    </rPh>
    <rPh sb="5" eb="7">
      <t>チュウシン</t>
    </rPh>
    <phoneticPr fontId="1"/>
  </si>
  <si>
    <t>測定 内側中心Y</t>
    <rPh sb="0" eb="2">
      <t>ソクテイ</t>
    </rPh>
    <rPh sb="3" eb="5">
      <t>ウチガワ</t>
    </rPh>
    <rPh sb="5" eb="7">
      <t>チュウシン</t>
    </rPh>
    <phoneticPr fontId="1"/>
  </si>
  <si>
    <t>測定 外削中心X（片側）</t>
    <rPh sb="0" eb="2">
      <t>ソクテイ</t>
    </rPh>
    <rPh sb="3" eb="5">
      <t>ガイサク</t>
    </rPh>
    <rPh sb="5" eb="7">
      <t>チュウシン</t>
    </rPh>
    <rPh sb="9" eb="11">
      <t>カタガワ</t>
    </rPh>
    <phoneticPr fontId="1"/>
  </si>
  <si>
    <t>測定 通り芯X</t>
    <rPh sb="0" eb="2">
      <t>ソクテイ</t>
    </rPh>
    <rPh sb="3" eb="4">
      <t>トオ</t>
    </rPh>
    <rPh sb="5" eb="6">
      <t>シン</t>
    </rPh>
    <phoneticPr fontId="1"/>
  </si>
  <si>
    <t>測定 通り芯Y</t>
    <rPh sb="0" eb="2">
      <t>ソクテイ</t>
    </rPh>
    <rPh sb="3" eb="4">
      <t>トオ</t>
    </rPh>
    <rPh sb="5" eb="6">
      <t>シン</t>
    </rPh>
    <phoneticPr fontId="1"/>
  </si>
  <si>
    <t>ディンプル</t>
    <phoneticPr fontId="1"/>
  </si>
  <si>
    <t>ディンプル１列目個数</t>
    <rPh sb="6" eb="8">
      <t>レツメ</t>
    </rPh>
    <rPh sb="8" eb="10">
      <t>コスウ</t>
    </rPh>
    <phoneticPr fontId="1"/>
  </si>
  <si>
    <t>ディンプル２列目個数</t>
    <rPh sb="6" eb="8">
      <t>レツメ</t>
    </rPh>
    <rPh sb="8" eb="10">
      <t>コスウ</t>
    </rPh>
    <phoneticPr fontId="1"/>
  </si>
  <si>
    <t>ディンプル加工用傾き角（度）</t>
    <rPh sb="5" eb="8">
      <t>カコウヨウ</t>
    </rPh>
    <rPh sb="8" eb="9">
      <t>カタム</t>
    </rPh>
    <rPh sb="10" eb="11">
      <t>カク</t>
    </rPh>
    <rPh sb="12" eb="13">
      <t>ド</t>
    </rPh>
    <phoneticPr fontId="1"/>
  </si>
  <si>
    <t>トップ端-ディンプル１列目間距離</t>
    <rPh sb="3" eb="4">
      <t>タン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</si>
  <si>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ディンプルピッチ鉛直</t>
    <rPh sb="8" eb="10">
      <t>エンチョク</t>
    </rPh>
    <phoneticPr fontId="1"/>
  </si>
  <si>
    <t>ディンプルピッチ水平</t>
    <rPh sb="8" eb="10">
      <t>スイヘイ</t>
    </rPh>
    <phoneticPr fontId="1"/>
  </si>
  <si>
    <t>ディンプル１列目（奇数列）長さ</t>
  </si>
  <si>
    <t>ディンプル１列目（奇数列）長さ</t>
    <rPh sb="6" eb="8">
      <t>レツメ</t>
    </rPh>
    <rPh sb="9" eb="11">
      <t>キスウ</t>
    </rPh>
    <rPh sb="11" eb="12">
      <t>レツ</t>
    </rPh>
    <rPh sb="13" eb="14">
      <t>ナガ</t>
    </rPh>
    <phoneticPr fontId="1"/>
  </si>
  <si>
    <t>ディンプル２列目（偶数列）長さ</t>
    <rPh sb="6" eb="8">
      <t>レツメ</t>
    </rPh>
    <rPh sb="9" eb="11">
      <t>グウスウ</t>
    </rPh>
    <rPh sb="11" eb="12">
      <t>レツ</t>
    </rPh>
    <rPh sb="13" eb="14">
      <t>ナガ</t>
    </rPh>
    <phoneticPr fontId="1"/>
  </si>
  <si>
    <t>ディンプル列数</t>
    <rPh sb="5" eb="6">
      <t>レツ</t>
    </rPh>
    <rPh sb="6" eb="7">
      <t>スウ</t>
    </rPh>
    <phoneticPr fontId="1"/>
  </si>
  <si>
    <t>ディンプル深さ</t>
    <rPh sb="5" eb="6">
      <t>フカ</t>
    </rPh>
    <phoneticPr fontId="1"/>
  </si>
  <si>
    <t>工具-A側ディンプル 余裕代</t>
    <rPh sb="0" eb="2">
      <t>コウグ</t>
    </rPh>
    <rPh sb="4" eb="5">
      <t>ガワ</t>
    </rPh>
    <rPh sb="11" eb="13">
      <t>ヨユウ</t>
    </rPh>
    <rPh sb="13" eb="14">
      <t>ダイ</t>
    </rPh>
    <phoneticPr fontId="1"/>
  </si>
  <si>
    <t>振分中心-ディンプルm-1列目間距離</t>
    <rPh sb="0" eb="2">
      <t>フリワケ</t>
    </rPh>
    <rPh sb="2" eb="4">
      <t>チュウシン</t>
    </rPh>
    <rPh sb="13" eb="14">
      <t>レツ</t>
    </rPh>
    <rPh sb="14" eb="15">
      <t>メ</t>
    </rPh>
    <rPh sb="15" eb="16">
      <t>カン</t>
    </rPh>
    <rPh sb="16" eb="18">
      <t>キョリ</t>
    </rPh>
    <phoneticPr fontId="1"/>
  </si>
  <si>
    <t>振分中心-ディンプルm列目間距離</t>
    <rPh sb="0" eb="2">
      <t>フリワケ</t>
    </rPh>
    <rPh sb="2" eb="4">
      <t>チュウシン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</si>
  <si>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 奇数列の数</t>
    <rPh sb="6" eb="8">
      <t>キスウ</t>
    </rPh>
    <rPh sb="8" eb="9">
      <t>レツ</t>
    </rPh>
    <rPh sb="10" eb="11">
      <t>カズ</t>
    </rPh>
    <phoneticPr fontId="1"/>
  </si>
  <si>
    <t>ディンプル 偶数列の数</t>
    <rPh sb="6" eb="8">
      <t>グウスウ</t>
    </rPh>
    <rPh sb="8" eb="9">
      <t>レツ</t>
    </rPh>
    <rPh sb="9" eb="10">
      <t>スウレツ</t>
    </rPh>
    <rPh sb="10" eb="11">
      <t>カズ</t>
    </rPh>
    <phoneticPr fontId="1"/>
  </si>
  <si>
    <t>ディンプル（傾き前）</t>
    <rPh sb="6" eb="7">
      <t>カタム</t>
    </rPh>
    <rPh sb="8" eb="9">
      <t>マエ</t>
    </rPh>
    <phoneticPr fontId="1"/>
  </si>
  <si>
    <t>ディンプルm-1列目-トップ端 湾曲中心間X距離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</si>
  <si>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湾曲中心間X距離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</si>
  <si>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ディンプル加工用傾き角A（deg,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</si>
  <si>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ディンプル加工用傾き角A（deg,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</si>
  <si>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ディンプル加工用傾き角C（deg,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</si>
  <si>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ディンプル加工用傾き角C（deg,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</si>
  <si>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A内面トップ端-ディンプル間 最近X距離</t>
    <rPh sb="1" eb="3">
      <t>ナイメン</t>
    </rPh>
    <rPh sb="6" eb="7">
      <t>タン</t>
    </rPh>
    <rPh sb="13" eb="14">
      <t>カン</t>
    </rPh>
    <rPh sb="15" eb="17">
      <t>サイキン</t>
    </rPh>
    <rPh sb="18" eb="20">
      <t>キョリ</t>
    </rPh>
    <phoneticPr fontId="1"/>
  </si>
  <si>
    <t>ディンプル列（全明細中）最大数</t>
    <rPh sb="5" eb="6">
      <t>レツ</t>
    </rPh>
    <rPh sb="7" eb="8">
      <t>ゼン</t>
    </rPh>
    <rPh sb="8" eb="10">
      <t>メイサイ</t>
    </rPh>
    <rPh sb="10" eb="11">
      <t>チュウ</t>
    </rPh>
    <rPh sb="12" eb="15">
      <t>サイダイスウ</t>
    </rPh>
    <phoneticPr fontId="1"/>
  </si>
  <si>
    <t>ディンプル（傾き後）</t>
    <rPh sb="6" eb="7">
      <t>カタム</t>
    </rPh>
    <rPh sb="8" eb="9">
      <t>ゴ</t>
    </rPh>
    <phoneticPr fontId="1"/>
  </si>
  <si>
    <t>Aディンプル トップ端-1列目間用</t>
    <rPh sb="10" eb="11">
      <t>タン</t>
    </rPh>
    <rPh sb="13" eb="15">
      <t>レツメ</t>
    </rPh>
    <rPh sb="15" eb="16">
      <t>カン</t>
    </rPh>
    <rPh sb="16" eb="17">
      <t>ヨウ</t>
    </rPh>
    <phoneticPr fontId="1"/>
  </si>
  <si>
    <t>ディンプルm-1列目-トップ端 湾曲中心間Z距離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</si>
  <si>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湾曲中心間Z距離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</si>
  <si>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ディンプル（その他）</t>
    <rPh sb="8" eb="9">
      <t>タ</t>
    </rPh>
    <phoneticPr fontId="1"/>
  </si>
  <si>
    <t>Cディンプル 1列目-m列目間用</t>
    <rPh sb="8" eb="10">
      <t>レツメ</t>
    </rPh>
    <rPh sb="12" eb="14">
      <t>レツメ</t>
    </rPh>
    <rPh sb="14" eb="15">
      <t>カン</t>
    </rPh>
    <rPh sb="15" eb="16">
      <t>ヨウ</t>
    </rPh>
    <phoneticPr fontId="1"/>
  </si>
  <si>
    <t>ディンプルm-1列目の長さ</t>
    <rPh sb="8" eb="9">
      <t>レツ</t>
    </rPh>
    <rPh sb="9" eb="10">
      <t>メ</t>
    </rPh>
    <rPh sb="11" eb="12">
      <t>ナガ</t>
    </rPh>
    <phoneticPr fontId="1"/>
  </si>
  <si>
    <t>ディンプルm列目の長さ</t>
    <rPh sb="6" eb="7">
      <t>レツ</t>
    </rPh>
    <rPh sb="7" eb="8">
      <t>メ</t>
    </rPh>
    <rPh sb="9" eb="10">
      <t>ナガ</t>
    </rPh>
    <phoneticPr fontId="1"/>
  </si>
  <si>
    <t>ディンプル 移動 各列の中心上</t>
    <rPh sb="6" eb="8">
      <t>イドウ</t>
    </rPh>
    <rPh sb="9" eb="11">
      <t>カクレツ</t>
    </rPh>
    <rPh sb="12" eb="14">
      <t>チュウシン</t>
    </rPh>
    <rPh sb="14" eb="15">
      <t>ジョウ</t>
    </rPh>
    <phoneticPr fontId="1"/>
  </si>
  <si>
    <t>加工 端面 コーナーR 右回り1周</t>
  </si>
  <si>
    <t>加工 外削 コーナーR 左回り1周</t>
  </si>
  <si>
    <t>加工 溝 左回り1周</t>
  </si>
  <si>
    <t>加工 外面取 コーナーR 左回り1周</t>
  </si>
  <si>
    <t>加工 内面取 コーナーR 左回り1周</t>
  </si>
  <si>
    <t>ボトム振分長</t>
    <rPh sb="3" eb="5">
      <t>フリワケ</t>
    </rPh>
    <rPh sb="5" eb="6">
      <t>チョウ</t>
    </rPh>
    <phoneticPr fontId="1"/>
  </si>
  <si>
    <t>ボトム再振分長</t>
    <rPh sb="3" eb="4">
      <t>サイ</t>
    </rPh>
    <rPh sb="4" eb="6">
      <t>フリワケ</t>
    </rPh>
    <rPh sb="6" eb="7">
      <t>チョウ</t>
    </rPh>
    <phoneticPr fontId="1"/>
  </si>
  <si>
    <t>ボトム AC外削径</t>
    <rPh sb="6" eb="7">
      <t>ガイ</t>
    </rPh>
    <rPh sb="7" eb="8">
      <t>サク</t>
    </rPh>
    <rPh sb="8" eb="9">
      <t>ケイ</t>
    </rPh>
    <phoneticPr fontId="1"/>
  </si>
  <si>
    <t>G54 X ボトム外側中心X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</si>
  <si>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A側肉厚</t>
    <rPh sb="5" eb="6">
      <t>ガワ</t>
    </rPh>
    <rPh sb="6" eb="8">
      <t>ニクアツ</t>
    </rPh>
    <phoneticPr fontId="1"/>
  </si>
  <si>
    <t>ボトム 内面取長</t>
    <rPh sb="4" eb="5">
      <t>ウチ</t>
    </rPh>
    <rPh sb="5" eb="7">
      <t>メントリ</t>
    </rPh>
    <rPh sb="7" eb="8">
      <t>チョウ</t>
    </rPh>
    <phoneticPr fontId="1"/>
  </si>
  <si>
    <t>内面 めっき膜厚</t>
    <rPh sb="0" eb="2">
      <t>ナイメン</t>
    </rPh>
    <phoneticPr fontId="1"/>
  </si>
  <si>
    <t>ジグの底 機械座標Y</t>
    <rPh sb="3" eb="4">
      <t>ソコ</t>
    </rPh>
    <rPh sb="5" eb="7">
      <t>キカイ</t>
    </rPh>
    <rPh sb="7" eb="9">
      <t>ザヒョウ</t>
    </rPh>
    <phoneticPr fontId="1"/>
  </si>
  <si>
    <t>テーブル基準</t>
    <rPh sb="4" eb="6">
      <t>キジュン</t>
    </rPh>
    <phoneticPr fontId="1"/>
  </si>
  <si>
    <t>G54 Y ボトム外側中心Y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</si>
  <si>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G55 X ボトム内側中心X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</si>
  <si>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G55 Y ボトム内側中心Y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</si>
  <si>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ボトム端 BD内径</t>
    <rPh sb="3" eb="4">
      <t>タン</t>
    </rPh>
    <rPh sb="7" eb="9">
      <t>ナイケイ</t>
    </rPh>
    <phoneticPr fontId="1"/>
  </si>
  <si>
    <t>G56 X トップ外側中心X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</si>
  <si>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AC外削径</t>
    <rPh sb="6" eb="7">
      <t>ガイ</t>
    </rPh>
    <rPh sb="7" eb="8">
      <t>サク</t>
    </rPh>
    <rPh sb="8" eb="9">
      <t>ケイ</t>
    </rPh>
    <phoneticPr fontId="1"/>
  </si>
  <si>
    <t>トップ再振分長</t>
    <rPh sb="3" eb="4">
      <t>サイ</t>
    </rPh>
    <rPh sb="4" eb="6">
      <t>フリワケ</t>
    </rPh>
    <rPh sb="6" eb="7">
      <t>チョウ</t>
    </rPh>
    <phoneticPr fontId="1"/>
  </si>
  <si>
    <t>トップ振分長</t>
    <rPh sb="3" eb="5">
      <t>フリワケ</t>
    </rPh>
    <rPh sb="5" eb="6">
      <t>チョウ</t>
    </rPh>
    <phoneticPr fontId="1"/>
  </si>
  <si>
    <t>トップ A側肉厚</t>
    <rPh sb="5" eb="6">
      <t>ガワ</t>
    </rPh>
    <rPh sb="6" eb="8">
      <t>ニクアツ</t>
    </rPh>
    <phoneticPr fontId="1"/>
  </si>
  <si>
    <t>トップ 内面取長</t>
    <rPh sb="4" eb="5">
      <t>ウチ</t>
    </rPh>
    <rPh sb="5" eb="7">
      <t>メントリ</t>
    </rPh>
    <rPh sb="7" eb="8">
      <t>チョウ</t>
    </rPh>
    <phoneticPr fontId="1"/>
  </si>
  <si>
    <t>G56 Y トップ外側中心Y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</si>
  <si>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G57 X トップ内側中心X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</si>
  <si>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G57 Y トップ内側中心Y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</si>
  <si>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トップ端 BD内径</t>
    <rPh sb="3" eb="4">
      <t>タン</t>
    </rPh>
    <rPh sb="7" eb="9">
      <t>ナイケイ</t>
    </rPh>
    <phoneticPr fontId="1"/>
  </si>
  <si>
    <t>工具T31（刃）直径</t>
    <rPh sb="0" eb="2">
      <t>コウグ</t>
    </rPh>
    <rPh sb="6" eb="7">
      <t>ハ</t>
    </rPh>
    <rPh sb="8" eb="10">
      <t>チョッケイ</t>
    </rPh>
    <phoneticPr fontId="1"/>
  </si>
  <si>
    <t>工具T31（シャンク）直径</t>
    <rPh sb="0" eb="2">
      <t>コウグ</t>
    </rPh>
    <rPh sb="11" eb="13">
      <t>チョッケイ</t>
    </rPh>
    <phoneticPr fontId="1"/>
  </si>
  <si>
    <t>工具 その他</t>
    <rPh sb="0" eb="2">
      <t>コウグ</t>
    </rPh>
    <rPh sb="5" eb="6">
      <t>タ</t>
    </rPh>
    <phoneticPr fontId="1"/>
  </si>
  <si>
    <t>振分長・傾き角・内径テーパ</t>
    <rPh sb="0" eb="2">
      <t>フリワケ</t>
    </rPh>
    <rPh sb="2" eb="3">
      <t>チョウ</t>
    </rPh>
    <rPh sb="4" eb="5">
      <t>カタム</t>
    </rPh>
    <rPh sb="6" eb="7">
      <t>カク</t>
    </rPh>
    <rPh sb="8" eb="10">
      <t>ナイケイ</t>
    </rPh>
    <phoneticPr fontId="1"/>
  </si>
  <si>
    <t>内径テーパ#</t>
    <rPh sb="0" eb="2">
      <t>ナイケイ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</si>
  <si>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[rad]（理論値）</t>
    </r>
    <rPh sb="9" eb="12">
      <t>リロンチ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</si>
  <si>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[rad]（近似値）</t>
    </r>
    <rPh sb="9" eb="12">
      <t>キンジチ</t>
    </rPh>
    <phoneticPr fontId="1"/>
  </si>
  <si>
    <t>ディンプル半径（工具小半径）</t>
    <rPh sb="5" eb="7">
      <t>ハンケイ</t>
    </rPh>
    <rPh sb="8" eb="10">
      <t>コウグ</t>
    </rPh>
    <rPh sb="10" eb="11">
      <t>ショウ</t>
    </rPh>
    <rPh sb="11" eb="13">
      <t>ハンケイ</t>
    </rPh>
    <phoneticPr fontId="1"/>
  </si>
  <si>
    <t>トップ 外削AC径</t>
    <rPh sb="4" eb="5">
      <t>ガイ</t>
    </rPh>
    <rPh sb="5" eb="6">
      <t>サク</t>
    </rPh>
    <rPh sb="8" eb="9">
      <t>ケイ</t>
    </rPh>
    <phoneticPr fontId="1"/>
  </si>
  <si>
    <t>トップ 外削BD径</t>
    <rPh sb="4" eb="5">
      <t>ガイ</t>
    </rPh>
    <rPh sb="5" eb="6">
      <t>サク</t>
    </rPh>
    <rPh sb="8" eb="9">
      <t>ケイ</t>
    </rPh>
    <phoneticPr fontId="1"/>
  </si>
  <si>
    <t>溝コーナーC</t>
    <rPh sb="0" eb="1">
      <t>ミゾ</t>
    </rPh>
    <phoneticPr fontId="1"/>
  </si>
  <si>
    <t>溝コーナーR</t>
    <rPh sb="0" eb="1">
      <t>ミゾ</t>
    </rPh>
    <phoneticPr fontId="1"/>
  </si>
  <si>
    <t>溝タイプ</t>
    <rPh sb="0" eb="1">
      <t>ミゾ</t>
    </rPh>
    <phoneticPr fontId="1"/>
  </si>
  <si>
    <t>溝BD径</t>
    <rPh sb="0" eb="1">
      <t>ミゾ</t>
    </rPh>
    <rPh sb="3" eb="4">
      <t>ケイ</t>
    </rPh>
    <phoneticPr fontId="1"/>
  </si>
  <si>
    <t>Q</t>
    <phoneticPr fontId="1"/>
  </si>
  <si>
    <t>P1</t>
    <phoneticPr fontId="1"/>
  </si>
  <si>
    <t>P1-4</t>
    <phoneticPr fontId="1"/>
  </si>
  <si>
    <t>P2</t>
    <phoneticPr fontId="1"/>
  </si>
  <si>
    <t>P3</t>
    <phoneticPr fontId="1"/>
  </si>
  <si>
    <t>P4</t>
    <phoneticPr fontId="1"/>
  </si>
  <si>
    <t>W</t>
    <phoneticPr fontId="1"/>
  </si>
  <si>
    <t>T</t>
    <phoneticPr fontId="1"/>
  </si>
  <si>
    <t>C</t>
    <phoneticPr fontId="1"/>
  </si>
  <si>
    <t>R</t>
    <phoneticPr fontId="1"/>
  </si>
  <si>
    <t>M</t>
    <phoneticPr fontId="1"/>
  </si>
  <si>
    <t>I</t>
    <phoneticPr fontId="1"/>
  </si>
  <si>
    <t>F</t>
    <phoneticPr fontId="1"/>
  </si>
  <si>
    <t>S</t>
    <phoneticPr fontId="1"/>
  </si>
  <si>
    <t>K</t>
    <phoneticPr fontId="1"/>
  </si>
  <si>
    <t>U</t>
    <phoneticPr fontId="1"/>
  </si>
  <si>
    <t>A</t>
    <phoneticPr fontId="1"/>
  </si>
  <si>
    <t>V</t>
    <phoneticPr fontId="1"/>
  </si>
  <si>
    <t>トップ外削 コーナーR</t>
    <rPh sb="3" eb="5">
      <t>ガイサク</t>
    </rPh>
    <phoneticPr fontId="1"/>
  </si>
  <si>
    <t>トップ再振分長（θ:0.001度単位）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</si>
  <si>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ボトム再振分長（θ:0.001度単位）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</si>
  <si>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トップ再張出長（θ:0.001度単位）</t>
    <rPh sb="3" eb="4">
      <t>サイ</t>
    </rPh>
    <rPh sb="4" eb="6">
      <t>ハリダシ</t>
    </rPh>
    <rPh sb="6" eb="7">
      <t>チョウ</t>
    </rPh>
    <phoneticPr fontId="1"/>
  </si>
  <si>
    <t>ボトム再張出長（θ:0.001度単位）</t>
    <rPh sb="3" eb="4">
      <t>サイ</t>
    </rPh>
    <rPh sb="4" eb="6">
      <t>ハリダシ</t>
    </rPh>
    <rPh sb="6" eb="7">
      <t>チョウ</t>
    </rPh>
    <phoneticPr fontId="1"/>
  </si>
  <si>
    <t>平行角度 トップ側</t>
    <rPh sb="0" eb="2">
      <t>ヘイコウ</t>
    </rPh>
    <rPh sb="2" eb="4">
      <t>カクド</t>
    </rPh>
    <rPh sb="8" eb="9">
      <t>ガワ</t>
    </rPh>
    <phoneticPr fontId="1"/>
  </si>
  <si>
    <t>P</t>
    <phoneticPr fontId="1"/>
  </si>
  <si>
    <t>G56 溝中心X（A溝深さ基準 外削なし）</t>
    <rPh sb="4" eb="5">
      <t>ミゾ</t>
    </rPh>
    <rPh sb="5" eb="7">
      <t>チュウシン</t>
    </rPh>
    <rPh sb="10" eb="11">
      <t>ミゾ</t>
    </rPh>
    <rPh sb="11" eb="12">
      <t>フカ</t>
    </rPh>
    <rPh sb="13" eb="15">
      <t>キジュン</t>
    </rPh>
    <rPh sb="16" eb="18">
      <t>ガイサク</t>
    </rPh>
    <phoneticPr fontId="1"/>
  </si>
  <si>
    <t>G54 ボトム外削中心（ボトム基準）</t>
    <rPh sb="7" eb="9">
      <t>ガイサク</t>
    </rPh>
    <rPh sb="15" eb="17">
      <t>キジュン</t>
    </rPh>
    <phoneticPr fontId="1"/>
  </si>
  <si>
    <t>G54 ボトム外削中心（トップ基準）</t>
    <rPh sb="7" eb="9">
      <t>ガイサク</t>
    </rPh>
    <rPh sb="9" eb="11">
      <t>チュウシン</t>
    </rPh>
    <rPh sb="15" eb="17">
      <t>キジュン</t>
    </rPh>
    <phoneticPr fontId="1"/>
  </si>
  <si>
    <t>外形 コーナーR</t>
    <rPh sb="0" eb="2">
      <t>ガイケイ</t>
    </rPh>
    <phoneticPr fontId="1"/>
  </si>
  <si>
    <t>外形</t>
    <rPh sb="0" eb="2">
      <t>ガイ</t>
    </rPh>
    <phoneticPr fontId="1"/>
  </si>
  <si>
    <t>内形</t>
    <rPh sb="0" eb="1">
      <t>ウチ</t>
    </rPh>
    <rPh sb="1" eb="2">
      <t>ケイ</t>
    </rPh>
    <phoneticPr fontId="1"/>
  </si>
  <si>
    <t>ボトム外削長</t>
    <rPh sb="3" eb="5">
      <t>ガイサク</t>
    </rPh>
    <rPh sb="5" eb="6">
      <t>チョウ</t>
    </rPh>
    <phoneticPr fontId="1"/>
  </si>
  <si>
    <t>ボトム外削A側面肉厚（ボトム基準時）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</si>
  <si>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ボトム外削 コーナーR</t>
    <rPh sb="3" eb="4">
      <t>ガイ</t>
    </rPh>
    <phoneticPr fontId="1"/>
  </si>
  <si>
    <t>トップ外削の有無</t>
    <rPh sb="3" eb="5">
      <t>ガイサク</t>
    </rPh>
    <rPh sb="6" eb="8">
      <t>ウム</t>
    </rPh>
    <phoneticPr fontId="1"/>
  </si>
  <si>
    <t>H</t>
    <phoneticPr fontId="1"/>
  </si>
  <si>
    <t>中心湾曲の有無（0:無, 1:有）</t>
    <rPh sb="0" eb="2">
      <t>チュウシン</t>
    </rPh>
    <rPh sb="2" eb="4">
      <t>ワンキョク</t>
    </rPh>
    <rPh sb="5" eb="7">
      <t>ウム</t>
    </rPh>
    <phoneticPr fontId="1"/>
  </si>
  <si>
    <t>トップ外 C or R 面取長</t>
    <rPh sb="3" eb="4">
      <t>ソト</t>
    </rPh>
    <rPh sb="12" eb="14">
      <t>メントリ</t>
    </rPh>
    <rPh sb="14" eb="15">
      <t>チョウ</t>
    </rPh>
    <phoneticPr fontId="1"/>
  </si>
  <si>
    <t>トップ内 C or R 面取長</t>
    <rPh sb="3" eb="4">
      <t>ウチ</t>
    </rPh>
    <rPh sb="12" eb="14">
      <t>メントリ</t>
    </rPh>
    <rPh sb="14" eb="15">
      <t>チョウ</t>
    </rPh>
    <phoneticPr fontId="1"/>
  </si>
  <si>
    <t>トップ外面取 コーナーR</t>
    <rPh sb="3" eb="4">
      <t>ソト</t>
    </rPh>
    <rPh sb="4" eb="6">
      <t>メントリ</t>
    </rPh>
    <phoneticPr fontId="1"/>
  </si>
  <si>
    <t>内形 コーナーR</t>
    <rPh sb="0" eb="1">
      <t>ウチ</t>
    </rPh>
    <rPh sb="1" eb="2">
      <t>ケイ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</si>
  <si>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</si>
  <si>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t>トップ端 BD内径</t>
    <rPh sb="3" eb="4">
      <t>タン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</si>
  <si>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Bb</t>
    </r>
    <phoneticPr fontId="1"/>
  </si>
  <si>
    <t>ボトム端 BD内径</t>
    <rPh sb="3" eb="4">
      <t>タン</t>
    </rPh>
    <phoneticPr fontId="1"/>
  </si>
  <si>
    <t>外形 コーナーR</t>
    <rPh sb="0" eb="2">
      <t>ガイ</t>
    </rPh>
    <phoneticPr fontId="1"/>
  </si>
  <si>
    <t>ボトム 外削AC径</t>
    <rPh sb="4" eb="5">
      <t>ガイ</t>
    </rPh>
    <rPh sb="5" eb="6">
      <t>サク</t>
    </rPh>
    <rPh sb="8" eb="9">
      <t>ケイ</t>
    </rPh>
    <phoneticPr fontId="1"/>
  </si>
  <si>
    <t>ボトム 外削BD径</t>
    <rPh sb="4" eb="5">
      <t>ガイ</t>
    </rPh>
    <rPh sb="5" eb="6">
      <t>サク</t>
    </rPh>
    <rPh sb="8" eb="9">
      <t>ケイ</t>
    </rPh>
    <phoneticPr fontId="1"/>
  </si>
  <si>
    <t>ボトム外削 コーナーR</t>
    <rPh sb="3" eb="5">
      <t>ガイサク</t>
    </rPh>
    <phoneticPr fontId="1"/>
  </si>
  <si>
    <t>ボトム外削の有無</t>
    <rPh sb="3" eb="5">
      <t>ガイサク</t>
    </rPh>
    <rPh sb="6" eb="8">
      <t>ウム</t>
    </rPh>
    <phoneticPr fontId="1"/>
  </si>
  <si>
    <t>G57 ディンプル 測定</t>
    <rPh sb="10" eb="12">
      <t>ソクテイ</t>
    </rPh>
    <phoneticPr fontId="1"/>
  </si>
  <si>
    <t>G57 ディンプル 加工</t>
    <rPh sb="10" eb="12">
      <t>カコウ</t>
    </rPh>
    <phoneticPr fontId="1"/>
  </si>
  <si>
    <t>G57 トップ端面</t>
    <rPh sb="7" eb="9">
      <t>タンメン</t>
    </rPh>
    <phoneticPr fontId="1"/>
  </si>
  <si>
    <t>G56 トップ外削</t>
    <rPh sb="7" eb="9">
      <t>ガイサク</t>
    </rPh>
    <phoneticPr fontId="1"/>
  </si>
  <si>
    <t>G56 溝</t>
    <rPh sb="4" eb="5">
      <t>ミゾ</t>
    </rPh>
    <phoneticPr fontId="1"/>
  </si>
  <si>
    <t>G56 トップ端 外C面取</t>
    <rPh sb="7" eb="8">
      <t>タン</t>
    </rPh>
    <rPh sb="9" eb="10">
      <t>ソト</t>
    </rPh>
    <rPh sb="11" eb="13">
      <t>メントリ</t>
    </rPh>
    <phoneticPr fontId="1"/>
  </si>
  <si>
    <t>G57 トップ端 内C面取</t>
    <rPh sb="7" eb="8">
      <t>タン</t>
    </rPh>
    <rPh sb="9" eb="10">
      <t>ウチ</t>
    </rPh>
    <rPh sb="11" eb="13">
      <t>メントリ</t>
    </rPh>
    <phoneticPr fontId="1"/>
  </si>
  <si>
    <t>G54 ボトム外削</t>
    <rPh sb="7" eb="9">
      <t>ガイサク</t>
    </rPh>
    <phoneticPr fontId="1"/>
  </si>
  <si>
    <t>G55 ボトム端面</t>
    <rPh sb="7" eb="9">
      <t>タンメン</t>
    </rPh>
    <phoneticPr fontId="1"/>
  </si>
  <si>
    <t>G54 ボトム端 外C面取</t>
    <rPh sb="7" eb="8">
      <t>タン</t>
    </rPh>
    <rPh sb="9" eb="10">
      <t>ソト</t>
    </rPh>
    <rPh sb="11" eb="13">
      <t>メントリ</t>
    </rPh>
    <phoneticPr fontId="1"/>
  </si>
  <si>
    <t>ボトム外 C or R 面取長</t>
    <rPh sb="3" eb="4">
      <t>ソト</t>
    </rPh>
    <rPh sb="12" eb="14">
      <t>メントリ</t>
    </rPh>
    <rPh sb="14" eb="15">
      <t>チョウ</t>
    </rPh>
    <phoneticPr fontId="1"/>
  </si>
  <si>
    <t>ボトム外面取 コーナーR</t>
    <rPh sb="3" eb="4">
      <t>ソト</t>
    </rPh>
    <rPh sb="4" eb="6">
      <t>メントリ</t>
    </rPh>
    <phoneticPr fontId="1"/>
  </si>
  <si>
    <t>G55 ボトム端 内C面取</t>
    <rPh sb="7" eb="8">
      <t>タン</t>
    </rPh>
    <rPh sb="9" eb="10">
      <t>ウチ</t>
    </rPh>
    <rPh sb="11" eb="13">
      <t>メントリ</t>
    </rPh>
    <phoneticPr fontId="1"/>
  </si>
  <si>
    <t>面取種類 (0:C, 1:R)</t>
    <rPh sb="0" eb="2">
      <t>メントリ</t>
    </rPh>
    <rPh sb="2" eb="4">
      <t>シュルイ</t>
    </rPh>
    <phoneticPr fontId="1"/>
  </si>
  <si>
    <t>ボトム内 C or R 面取長</t>
    <rPh sb="3" eb="4">
      <t>ウチ</t>
    </rPh>
    <rPh sb="12" eb="14">
      <t>メントリ</t>
    </rPh>
    <rPh sb="14" eb="15">
      <t>チョウ</t>
    </rPh>
    <phoneticPr fontId="1"/>
  </si>
  <si>
    <t>ボトム内面 コーナーR</t>
    <rPh sb="3" eb="4">
      <t>ウチ</t>
    </rPh>
    <rPh sb="4" eb="5">
      <t>メン</t>
    </rPh>
    <phoneticPr fontId="1"/>
  </si>
  <si>
    <t>トップ内面 コーナーR</t>
    <rPh sb="3" eb="4">
      <t>ウチ</t>
    </rPh>
    <rPh sb="4" eb="5">
      <t>メン</t>
    </rPh>
    <phoneticPr fontId="1"/>
  </si>
  <si>
    <t>トップ端 内面 コーナーR</t>
    <rPh sb="3" eb="4">
      <t>タン</t>
    </rPh>
    <rPh sb="5" eb="7">
      <t>ナイメン</t>
    </rPh>
    <phoneticPr fontId="1"/>
  </si>
  <si>
    <t>ボトム端 内面 コーナーR</t>
    <rPh sb="3" eb="4">
      <t>タン</t>
    </rPh>
    <rPh sb="5" eb="7">
      <t>ナイメン</t>
    </rPh>
    <phoneticPr fontId="1"/>
  </si>
  <si>
    <t>G54 通り芯X 測定</t>
    <rPh sb="4" eb="5">
      <t>トオ</t>
    </rPh>
    <rPh sb="6" eb="7">
      <t>シン</t>
    </rPh>
    <rPh sb="9" eb="11">
      <t>ソクテイ</t>
    </rPh>
    <phoneticPr fontId="1"/>
  </si>
  <si>
    <t>通り芯X</t>
    <rPh sb="0" eb="1">
      <t>トオ</t>
    </rPh>
    <phoneticPr fontId="1"/>
  </si>
  <si>
    <t>通り芯 AC方向</t>
    <rPh sb="0" eb="1">
      <t>トオ</t>
    </rPh>
    <rPh sb="2" eb="3">
      <t>シン</t>
    </rPh>
    <rPh sb="6" eb="8">
      <t>ホウコウ</t>
    </rPh>
    <phoneticPr fontId="1"/>
  </si>
  <si>
    <t>G54 通り芯Y 測定</t>
    <rPh sb="4" eb="5">
      <t>トオ</t>
    </rPh>
    <rPh sb="6" eb="7">
      <t>シン</t>
    </rPh>
    <rPh sb="9" eb="11">
      <t>ソクテイ</t>
    </rPh>
    <phoneticPr fontId="1"/>
  </si>
  <si>
    <t>以下 確認用</t>
    <rPh sb="0" eb="2">
      <t>イカ</t>
    </rPh>
    <rPh sb="3" eb="5">
      <t>カクニン</t>
    </rPh>
    <rPh sb="5" eb="6">
      <t>ヨウ</t>
    </rPh>
    <phoneticPr fontId="1"/>
  </si>
  <si>
    <t>cosθ'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</si>
</sst>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_ "/>
    <numFmt numFmtId="178" formatCode="0.0_ "/>
    <numFmt numFmtId="179" formatCode="0_ "/>
    <numFmt numFmtId="180" formatCode="0.000"/>
    <numFmt numFmtId="181" formatCode="0_);[Red]\(0\)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81" fontId="2" fillId="4" borderId="9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179" fontId="2" fillId="3" borderId="18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>
      <alignment vertical="center"/>
    </xf>
    <xf numFmtId="177" fontId="2" fillId="5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18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303"/>
  <sheetViews>
    <sheetView tabSelected="1" workbookViewId="0">
      <selection activeCell="L8" sqref="L8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3.375" style="1" bestFit="1" customWidth="1"/>
    <col min="7" max="7" width="2.375" style="3" bestFit="1" customWidth="1"/>
    <col min="8" max="8" width="10.37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1.375" style="45" bestFit="1" customWidth="1"/>
    <col min="13" max="13" width="30.125" style="54" bestFit="1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583</v>
      </c>
      <c r="G2" s="6"/>
      <c r="H2" s="45" t="s">
        <v>565</v>
      </c>
      <c r="I2" s="3" t="s">
        <v>98</v>
      </c>
      <c r="K2" s="3">
        <f t="shared" ref="K2:K77" si="0">ROW(K2)</f>
        <v>2</v>
      </c>
      <c r="L2" s="2"/>
      <c r="M2" s="2" t="s">
        <v>584</v>
      </c>
      <c r="N2" s="5" t="str">
        <f>IF(LEFT($C$15, 1)="e", "e" &amp; RIGHT("00000" &amp; MID($C$15, 2, LEN($C$15) - 1), 5), RIGHT("00000" &amp; $C$15, 5))</f>
        <v>e0S002</v>
      </c>
      <c r="O2" s="3"/>
      <c r="P2" s="9" t="s">
        <v>58</v>
      </c>
      <c r="Q2" s="10" t="e">
        <f>C5+N175</f>
        <v>#REF!</v>
      </c>
      <c r="R2" s="10" t="e">
        <f>C93+Q2</f>
        <v>#REF!</v>
      </c>
    </row>
    <row r="3" spans="1:18" ht="15" thickTop="1" x14ac:dyDescent="0.4">
      <c r="B3" s="72" t="s">
        <v>630</v>
      </c>
      <c r="C3" s="73">
        <v>1</v>
      </c>
      <c r="E3" s="3" t="s">
        <v>226</v>
      </c>
      <c r="F3" s="9" t="s">
        <v>613</v>
      </c>
      <c r="G3" s="13" t="s">
        <v>123</v>
      </c>
      <c r="H3" s="30">
        <f>IF($C$5+$N$14*$N$6&gt;=$C$87+70, $C$5+$N$14*$N$6, $C$87+70)</f>
        <v>400</v>
      </c>
      <c r="I3" s="30">
        <f>$C$93+$H$3</f>
        <v>-749.97399999999993</v>
      </c>
      <c r="K3" s="3">
        <f>ROW(K3)</f>
        <v>3</v>
      </c>
      <c r="L3" s="45" t="s">
        <v>369</v>
      </c>
      <c r="M3" s="54" t="s">
        <v>80</v>
      </c>
      <c r="N3" s="2">
        <f>-RADIANS($H$7)</f>
        <v>0</v>
      </c>
      <c r="P3" s="9" t="s">
        <v>59</v>
      </c>
      <c r="Q3" s="10" t="e">
        <f>C5+C6-Q2</f>
        <v>#REF!</v>
      </c>
      <c r="R3" s="10" t="e">
        <f>C93+Q3</f>
        <v>#REF!</v>
      </c>
    </row>
    <row r="4" spans="1:18" x14ac:dyDescent="0.4">
      <c r="A4" s="3" t="s">
        <v>155</v>
      </c>
      <c r="B4" s="14" t="s">
        <v>5</v>
      </c>
      <c r="C4" s="15">
        <v>5932.95</v>
      </c>
      <c r="E4" s="3" t="s">
        <v>227</v>
      </c>
      <c r="F4" s="9" t="s">
        <v>614</v>
      </c>
      <c r="G4" s="13" t="s">
        <v>123</v>
      </c>
      <c r="H4" s="30">
        <f>$C$5+$C$6-$H$3</f>
        <v>400</v>
      </c>
      <c r="I4" s="30">
        <f>$C$93+$H$4</f>
        <v>-749.97399999999993</v>
      </c>
      <c r="K4" s="3">
        <f t="shared" si="0"/>
        <v>4</v>
      </c>
      <c r="L4" s="45" t="s">
        <v>370</v>
      </c>
      <c r="M4" s="54" t="s">
        <v>81</v>
      </c>
      <c r="N4" s="2">
        <f>ASIN($N$15)</f>
        <v>0</v>
      </c>
      <c r="P4" s="9" t="s">
        <v>60</v>
      </c>
      <c r="Q4" s="10" t="e">
        <f>Q2-C87</f>
        <v>#REF!</v>
      </c>
    </row>
    <row r="5" spans="1:18" x14ac:dyDescent="0.4">
      <c r="A5" s="3" t="s">
        <v>156</v>
      </c>
      <c r="B5" s="14" t="s">
        <v>7</v>
      </c>
      <c r="C5" s="15">
        <v>400</v>
      </c>
      <c r="F5" s="9" t="s">
        <v>615</v>
      </c>
      <c r="G5" s="13" t="s">
        <v>123</v>
      </c>
      <c r="H5" s="30">
        <f>$H$3-$C$87</f>
        <v>70</v>
      </c>
      <c r="K5" s="3">
        <f t="shared" si="0"/>
        <v>5</v>
      </c>
      <c r="L5" s="45" t="s">
        <v>371</v>
      </c>
      <c r="M5" s="54" t="s">
        <v>228</v>
      </c>
      <c r="N5" s="2">
        <f>DEGREES($N$4)</f>
        <v>0</v>
      </c>
      <c r="P5" s="9" t="s">
        <v>61</v>
      </c>
      <c r="Q5" s="10" t="e">
        <f>Q3-C87</f>
        <v>#REF!</v>
      </c>
    </row>
    <row r="6" spans="1:18" x14ac:dyDescent="0.4">
      <c r="A6" s="3" t="s">
        <v>157</v>
      </c>
      <c r="B6" s="14" t="s">
        <v>8</v>
      </c>
      <c r="C6" s="15">
        <v>400</v>
      </c>
      <c r="D6" s="2"/>
      <c r="F6" s="9" t="s">
        <v>616</v>
      </c>
      <c r="G6" s="13" t="s">
        <v>123</v>
      </c>
      <c r="H6" s="50">
        <f>$H$4-$C$87</f>
        <v>70</v>
      </c>
      <c r="K6" s="3">
        <f t="shared" si="0"/>
        <v>6</v>
      </c>
      <c r="L6" s="45" t="s">
        <v>83</v>
      </c>
      <c r="N6" s="2">
        <f>SIN($N$3)</f>
        <v>0</v>
      </c>
      <c r="P6" s="17" t="s">
        <v>28</v>
      </c>
      <c r="Q6" s="18">
        <f>N170-N171</f>
        <v>0</v>
      </c>
    </row>
    <row r="7" spans="1:18" x14ac:dyDescent="0.4">
      <c r="B7" s="21"/>
      <c r="C7" s="22"/>
      <c r="D7" s="16"/>
      <c r="E7" s="3" t="s">
        <v>124</v>
      </c>
      <c r="F7" s="9" t="s">
        <v>617</v>
      </c>
      <c r="G7" s="13" t="s">
        <v>124</v>
      </c>
      <c r="H7" s="30">
        <f>-ROUND($N$5,3)</f>
        <v>0</v>
      </c>
      <c r="I7" s="30">
        <f>-$C$94+$H$7</f>
        <v>-7.2999999999999995E-2</v>
      </c>
      <c r="K7" s="3">
        <f t="shared" si="0"/>
        <v>7</v>
      </c>
      <c r="L7" s="45" t="s">
        <v>668</v>
      </c>
      <c r="N7" s="2">
        <f>COS($N$3)</f>
        <v>1</v>
      </c>
      <c r="P7" s="17" t="s">
        <v>73</v>
      </c>
      <c r="Q7" s="18">
        <f>C91+C10/2</f>
        <v>-663.6</v>
      </c>
    </row>
    <row r="8" spans="1:18" x14ac:dyDescent="0.4">
      <c r="B8" s="25" t="s">
        <v>623</v>
      </c>
      <c r="C8" s="26"/>
      <c r="E8" s="3" t="s">
        <v>124</v>
      </c>
      <c r="F8" s="9" t="s">
        <v>505</v>
      </c>
      <c r="G8" s="13" t="s">
        <v>124</v>
      </c>
      <c r="H8" s="30">
        <f>180-$H$7</f>
        <v>180</v>
      </c>
      <c r="I8" s="30">
        <f>-$C$94+$H$8</f>
        <v>179.92699999999999</v>
      </c>
      <c r="K8" s="3">
        <f t="shared" si="0"/>
        <v>8</v>
      </c>
      <c r="L8" s="45" t="s">
        <v>158</v>
      </c>
      <c r="N8" s="2">
        <f>SQRT($N$9^2-$N$10^2)</f>
        <v>5748.1969262108623</v>
      </c>
      <c r="P8" s="9" t="s">
        <v>62</v>
      </c>
      <c r="Q8" s="10" t="e">
        <f>-C90+(N17+N18)/2+#REF!/2-N174</f>
        <v>#REF!</v>
      </c>
      <c r="R8" s="10" t="e">
        <f t="shared" ref="R8:R14" si="1">$C$92+Q8</f>
        <v>#REF!</v>
      </c>
    </row>
    <row r="9" spans="1:18" x14ac:dyDescent="0.4">
      <c r="B9" s="14" t="s">
        <v>74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159</v>
      </c>
      <c r="M9" s="54" t="s">
        <v>18</v>
      </c>
      <c r="N9" s="2">
        <f>$N$11-$C$89</f>
        <v>5756.55</v>
      </c>
      <c r="P9" s="9" t="s">
        <v>16</v>
      </c>
      <c r="Q9" s="10" t="e">
        <f>-C90+N16+#REF!/2-N174</f>
        <v>#REF!</v>
      </c>
      <c r="R9" s="10" t="e">
        <f t="shared" si="1"/>
        <v>#REF!</v>
      </c>
    </row>
    <row r="10" spans="1:18" x14ac:dyDescent="0.4">
      <c r="B10" s="14" t="s">
        <v>11</v>
      </c>
      <c r="C10" s="15">
        <v>152.80000000000001</v>
      </c>
      <c r="F10" s="25" t="s">
        <v>506</v>
      </c>
      <c r="G10" s="27"/>
      <c r="H10" s="28"/>
      <c r="K10" s="3">
        <f t="shared" si="0"/>
        <v>10</v>
      </c>
      <c r="L10" s="45" t="s">
        <v>12</v>
      </c>
      <c r="M10" s="54" t="s">
        <v>77</v>
      </c>
      <c r="N10" s="2">
        <f>$C$87-$C$88/2</f>
        <v>310</v>
      </c>
      <c r="P10" s="9" t="s">
        <v>63</v>
      </c>
      <c r="Q10" s="10" t="e">
        <f>C90-(N20+N21)/2-#REF!/2+N174</f>
        <v>#REF!</v>
      </c>
      <c r="R10" s="10" t="e">
        <f t="shared" si="1"/>
        <v>#REF!</v>
      </c>
    </row>
    <row r="11" spans="1:18" x14ac:dyDescent="0.4">
      <c r="B11" s="14" t="s">
        <v>622</v>
      </c>
      <c r="C11" s="15">
        <v>12</v>
      </c>
      <c r="E11" s="3" t="s">
        <v>595</v>
      </c>
      <c r="F11" s="9" t="s">
        <v>500</v>
      </c>
      <c r="G11" s="13" t="s">
        <v>126</v>
      </c>
      <c r="H11" s="30">
        <f>$N$14*$N$7-$N$23</f>
        <v>30.248552825517436</v>
      </c>
      <c r="I11" s="30">
        <f>$C$92+$H$11</f>
        <v>-519.77044717448257</v>
      </c>
      <c r="K11" s="3">
        <f t="shared" si="0"/>
        <v>11</v>
      </c>
      <c r="L11" s="45" t="s">
        <v>160</v>
      </c>
      <c r="M11" s="54" t="s">
        <v>9</v>
      </c>
      <c r="N11" s="2">
        <f>$C$4-$C$9/2</f>
        <v>5856.55</v>
      </c>
      <c r="P11" s="9" t="s">
        <v>19</v>
      </c>
      <c r="Q11" s="10" t="e">
        <f>C90-N19-#REF!/2+N174</f>
        <v>#REF!</v>
      </c>
      <c r="R11" s="10" t="e">
        <f t="shared" si="1"/>
        <v>#REF!</v>
      </c>
    </row>
    <row r="12" spans="1:18" x14ac:dyDescent="0.4">
      <c r="B12" s="21"/>
      <c r="C12" s="22"/>
      <c r="E12" s="3" t="s">
        <v>595</v>
      </c>
      <c r="F12" s="9" t="s">
        <v>620</v>
      </c>
      <c r="G12" s="13" t="s">
        <v>126</v>
      </c>
      <c r="H12" s="30">
        <f ca="1">$H$11-$N$43-$H$177/2-$C$14-$C$20+$C$29/2</f>
        <v>-37.41660778350149</v>
      </c>
      <c r="I12" s="30">
        <f ca="1">$C$92+$H$12</f>
        <v>-587.4356077835015</v>
      </c>
      <c r="K12" s="3">
        <f t="shared" si="0"/>
        <v>12</v>
      </c>
      <c r="L12" s="45" t="s">
        <v>161</v>
      </c>
      <c r="M12" s="54" t="s">
        <v>17</v>
      </c>
      <c r="N12" s="2">
        <f>$C$4+$C$9/2</f>
        <v>6009.3499999999995</v>
      </c>
      <c r="P12" s="9" t="s">
        <v>71</v>
      </c>
      <c r="Q12" s="10" t="e">
        <f>C90-(N20+N21)/2-#REF!/2+N174-#REF!/2-C20+C21/2</f>
        <v>#REF!</v>
      </c>
      <c r="R12" s="10" t="e">
        <f t="shared" si="1"/>
        <v>#REF!</v>
      </c>
    </row>
    <row r="13" spans="1:18" x14ac:dyDescent="0.4">
      <c r="B13" s="25" t="s">
        <v>624</v>
      </c>
      <c r="C13" s="28"/>
      <c r="E13" s="3" t="s">
        <v>595</v>
      </c>
      <c r="F13" s="9" t="s">
        <v>621</v>
      </c>
      <c r="G13" s="13" t="s">
        <v>126</v>
      </c>
      <c r="H13" s="30">
        <f>$H$17+$C$36</f>
        <v>-30.248552825517436</v>
      </c>
      <c r="I13" s="30">
        <f>$C$92+$H$17</f>
        <v>-580.26755282551744</v>
      </c>
      <c r="K13" s="3">
        <f t="shared" si="0"/>
        <v>13</v>
      </c>
      <c r="L13" s="45" t="s">
        <v>162</v>
      </c>
      <c r="M13" s="54" t="s">
        <v>378</v>
      </c>
      <c r="N13" s="2">
        <f>($C$6-$C$5)/2</f>
        <v>0</v>
      </c>
      <c r="P13" s="9" t="s">
        <v>66</v>
      </c>
      <c r="Q13" s="10" t="e">
        <f>-Q12+C36</f>
        <v>#REF!</v>
      </c>
      <c r="R13" s="10" t="e">
        <f t="shared" si="1"/>
        <v>#REF!</v>
      </c>
    </row>
    <row r="14" spans="1:18" x14ac:dyDescent="0.4">
      <c r="A14" s="3" t="s">
        <v>217</v>
      </c>
      <c r="B14" s="14" t="s">
        <v>20</v>
      </c>
      <c r="C14" s="15">
        <v>0.08</v>
      </c>
      <c r="E14" s="3" t="s">
        <v>597</v>
      </c>
      <c r="F14" s="9" t="s">
        <v>475</v>
      </c>
      <c r="G14" s="13" t="s">
        <v>126</v>
      </c>
      <c r="H14" s="30">
        <f>$N$14*$N$7-$N$19</f>
        <v>30.246301152824344</v>
      </c>
      <c r="I14" s="30">
        <f>$C$92+$H$14</f>
        <v>-519.77269884717566</v>
      </c>
      <c r="K14" s="3">
        <f t="shared" si="0"/>
        <v>14</v>
      </c>
      <c r="L14" s="45" t="s">
        <v>78</v>
      </c>
      <c r="M14" s="54" t="s">
        <v>94</v>
      </c>
      <c r="N14" s="2">
        <f>$C$90+$N$8</f>
        <v>5949.6969262108623</v>
      </c>
      <c r="P14" s="9" t="s">
        <v>67</v>
      </c>
      <c r="Q14" s="10" t="e">
        <f>-C90+(N17+N18)/2+#REF!/2-N174+#REF!/2+C28-C29/2</f>
        <v>#REF!</v>
      </c>
      <c r="R14" s="10" t="e">
        <f t="shared" si="1"/>
        <v>#REF!</v>
      </c>
    </row>
    <row r="15" spans="1:18" x14ac:dyDescent="0.4">
      <c r="B15" s="14" t="s">
        <v>218</v>
      </c>
      <c r="C15" s="39" t="s">
        <v>447</v>
      </c>
      <c r="E15" s="3" t="s">
        <v>598</v>
      </c>
      <c r="F15" s="9" t="s">
        <v>501</v>
      </c>
      <c r="G15" s="13" t="s">
        <v>126</v>
      </c>
      <c r="H15" s="30">
        <f>$N$22-$N$14*$N$7</f>
        <v>-30.248552825517436</v>
      </c>
      <c r="I15" s="30">
        <f>$C$92+$H$15</f>
        <v>-580.26755282551744</v>
      </c>
      <c r="K15" s="3">
        <f t="shared" si="0"/>
        <v>15</v>
      </c>
      <c r="L15" s="45" t="s">
        <v>163</v>
      </c>
      <c r="M15" s="54" t="s">
        <v>83</v>
      </c>
      <c r="N15" s="2">
        <f>$N$13/$N$14</f>
        <v>0</v>
      </c>
      <c r="P15" s="10" t="s">
        <v>48</v>
      </c>
      <c r="Q15" s="10">
        <f>N29-N16</f>
        <v>1.8616595521061754</v>
      </c>
    </row>
    <row r="16" spans="1:18" x14ac:dyDescent="0.4">
      <c r="B16" s="14" t="s">
        <v>634</v>
      </c>
      <c r="C16" s="15">
        <v>4</v>
      </c>
      <c r="E16" s="3" t="s">
        <v>598</v>
      </c>
      <c r="F16" s="9" t="s">
        <v>502</v>
      </c>
      <c r="G16" s="13" t="s">
        <v>126</v>
      </c>
      <c r="H16" s="30">
        <f ca="1">-$H$12+$C$36</f>
        <v>37.41660778350149</v>
      </c>
      <c r="I16" s="30">
        <f ca="1">$C$92+$H$16</f>
        <v>-512.60239221649852</v>
      </c>
      <c r="K16" s="3">
        <f t="shared" si="0"/>
        <v>16</v>
      </c>
      <c r="L16" s="45" t="s">
        <v>164</v>
      </c>
      <c r="M16" s="54" t="s">
        <v>32</v>
      </c>
      <c r="N16" s="2">
        <f>SQRT($C$4^2-$C$5^2)</f>
        <v>5919.450625058038</v>
      </c>
      <c r="P16" s="10" t="s">
        <v>49</v>
      </c>
      <c r="Q16" s="18">
        <f>C42+C43/2</f>
        <v>28.575000000000003</v>
      </c>
    </row>
    <row r="17" spans="2:18" x14ac:dyDescent="0.4">
      <c r="E17" s="3" t="s">
        <v>598</v>
      </c>
      <c r="F17" s="9" t="s">
        <v>503</v>
      </c>
      <c r="G17" s="13" t="s">
        <v>126</v>
      </c>
      <c r="H17" s="30">
        <f>-$N$14*$N$7+$N$22+$H$117/2+$C$28-$C$29/2</f>
        <v>-30.248552825517436</v>
      </c>
      <c r="I17" s="30">
        <f>$C$92+$H$17</f>
        <v>-580.26755282551744</v>
      </c>
      <c r="K17" s="3">
        <f t="shared" si="0"/>
        <v>17</v>
      </c>
      <c r="L17" s="45" t="s">
        <v>165</v>
      </c>
      <c r="M17" s="54" t="s">
        <v>33</v>
      </c>
      <c r="N17" s="2">
        <f>SQRT($N$12^2-$C$5^2)</f>
        <v>5996.0226335880343</v>
      </c>
      <c r="P17" s="10" t="s">
        <v>51</v>
      </c>
      <c r="Q17" s="10" t="e">
        <f>N29-C90+#REF!/2-N174</f>
        <v>#REF!</v>
      </c>
      <c r="R17" s="10" t="e">
        <f>$C$92+Q17</f>
        <v>#REF!</v>
      </c>
    </row>
    <row r="18" spans="2:18" x14ac:dyDescent="0.4">
      <c r="B18" s="4" t="s">
        <v>434</v>
      </c>
      <c r="C18" s="63">
        <v>0</v>
      </c>
      <c r="E18" s="3" t="s">
        <v>598</v>
      </c>
      <c r="F18" s="10" t="s">
        <v>619</v>
      </c>
      <c r="G18" s="30" t="s">
        <v>126</v>
      </c>
      <c r="H18" s="30">
        <f>$N$30-$N$40-$C$40/2-$N$14</f>
        <v>48.16135027564269</v>
      </c>
      <c r="I18" s="30">
        <f>$C$92+$H$18</f>
        <v>-501.85764972435732</v>
      </c>
      <c r="K18" s="3">
        <f t="shared" si="0"/>
        <v>18</v>
      </c>
      <c r="L18" s="45" t="s">
        <v>166</v>
      </c>
      <c r="M18" s="54" t="s">
        <v>34</v>
      </c>
      <c r="N18" s="2">
        <f>SQRT($N$11^2-$C$5^2)</f>
        <v>5842.8741131826555</v>
      </c>
      <c r="P18" s="10" t="s">
        <v>46</v>
      </c>
      <c r="Q18" s="10" t="e">
        <f>-Q12+C36</f>
        <v>#REF!</v>
      </c>
      <c r="R18" s="10" t="e">
        <f>$C$92+Q18</f>
        <v>#REF!</v>
      </c>
    </row>
    <row r="19" spans="2:18" x14ac:dyDescent="0.4">
      <c r="B19" s="14" t="s">
        <v>499</v>
      </c>
      <c r="C19" s="67"/>
      <c r="E19" s="3" t="s">
        <v>599</v>
      </c>
      <c r="F19" s="9" t="s">
        <v>476</v>
      </c>
      <c r="G19" s="13" t="s">
        <v>126</v>
      </c>
      <c r="H19" s="30">
        <f>$N$16-$N$14*$N$7</f>
        <v>-30.246301152824344</v>
      </c>
      <c r="I19" s="30">
        <f>$C$92+$H$19</f>
        <v>-580.26530115282435</v>
      </c>
      <c r="K19" s="3">
        <f t="shared" si="0"/>
        <v>19</v>
      </c>
      <c r="L19" s="45" t="s">
        <v>167</v>
      </c>
      <c r="M19" s="54" t="s">
        <v>35</v>
      </c>
      <c r="N19" s="2">
        <f>SQRT($C$4^2-$C$6^2)</f>
        <v>5919.450625058038</v>
      </c>
      <c r="P19" s="10" t="s">
        <v>45</v>
      </c>
      <c r="Q19" s="10" t="e">
        <f>N30-C44-C40/2+N176-N14</f>
        <v>#REF!</v>
      </c>
      <c r="R19" s="10" t="e">
        <f>$C$92+Q19</f>
        <v>#REF!</v>
      </c>
    </row>
    <row r="20" spans="2:18" x14ac:dyDescent="0.4">
      <c r="B20" s="14" t="s">
        <v>626</v>
      </c>
      <c r="C20" s="33"/>
      <c r="E20" s="3" t="s">
        <v>596</v>
      </c>
      <c r="F20" s="9" t="s">
        <v>504</v>
      </c>
      <c r="G20" s="13" t="s">
        <v>125</v>
      </c>
      <c r="H20" s="30">
        <f>$C$10/2</f>
        <v>76.400000000000006</v>
      </c>
      <c r="I20" s="30">
        <f>$C$91+$H$20</f>
        <v>-663.6</v>
      </c>
      <c r="K20" s="3">
        <f t="shared" si="0"/>
        <v>20</v>
      </c>
      <c r="L20" s="45" t="s">
        <v>168</v>
      </c>
      <c r="M20" s="54" t="s">
        <v>36</v>
      </c>
      <c r="N20" s="2">
        <f>SQRT($N$12^2-$C$6^2)</f>
        <v>5996.0226335880343</v>
      </c>
      <c r="P20" s="10" t="s">
        <v>47</v>
      </c>
      <c r="Q20" s="10" t="e">
        <f>Q3-Q16</f>
        <v>#REF!</v>
      </c>
      <c r="R20" s="10" t="e">
        <f>C93+Q20</f>
        <v>#REF!</v>
      </c>
    </row>
    <row r="21" spans="2:18" x14ac:dyDescent="0.4">
      <c r="B21" s="14" t="s">
        <v>451</v>
      </c>
      <c r="C21" s="33"/>
      <c r="H21" s="5"/>
      <c r="I21" s="5"/>
      <c r="K21" s="3">
        <f t="shared" si="0"/>
        <v>21</v>
      </c>
      <c r="L21" s="45" t="s">
        <v>169</v>
      </c>
      <c r="M21" s="54" t="s">
        <v>37</v>
      </c>
      <c r="N21" s="2">
        <f>SQRT($N$11^2-$C$6^2)</f>
        <v>5842.8741131826555</v>
      </c>
      <c r="P21" s="10" t="s">
        <v>518</v>
      </c>
      <c r="Q21" s="29">
        <f>$C$52/$C$51+1</f>
        <v>9</v>
      </c>
    </row>
    <row r="22" spans="2:18" x14ac:dyDescent="0.4">
      <c r="B22" s="14" t="s">
        <v>452</v>
      </c>
      <c r="C22" s="33"/>
      <c r="F22" s="25" t="s">
        <v>560</v>
      </c>
      <c r="G22" s="27"/>
      <c r="H22" s="28"/>
      <c r="K22" s="3">
        <f t="shared" si="0"/>
        <v>22</v>
      </c>
      <c r="L22" s="45" t="s">
        <v>363</v>
      </c>
      <c r="M22" s="54" t="s">
        <v>90</v>
      </c>
      <c r="N22" s="2">
        <f>($N$17+$N$18)/2</f>
        <v>5919.4483733853449</v>
      </c>
      <c r="P22" s="10" t="s">
        <v>519</v>
      </c>
      <c r="Q22" s="29">
        <f>$C$53/$C$51+1</f>
        <v>8</v>
      </c>
    </row>
    <row r="23" spans="2:18" x14ac:dyDescent="0.4">
      <c r="B23" s="14" t="s">
        <v>625</v>
      </c>
      <c r="C23" s="33"/>
      <c r="E23" s="3" t="s">
        <v>618</v>
      </c>
      <c r="F23" s="9" t="s">
        <v>508</v>
      </c>
      <c r="G23" s="13" t="s">
        <v>117</v>
      </c>
      <c r="H23" s="68">
        <f>IF(OR($C$18=0, AND($C$18=1, $C$35=2)), $C$121, $C$126)</f>
        <v>110001</v>
      </c>
      <c r="K23" s="3">
        <f t="shared" si="0"/>
        <v>23</v>
      </c>
      <c r="L23" s="45" t="s">
        <v>364</v>
      </c>
      <c r="M23" s="54" t="s">
        <v>89</v>
      </c>
      <c r="N23" s="2">
        <f>($N$20+$N$21)/2</f>
        <v>5919.4483733853449</v>
      </c>
      <c r="P23" s="10" t="s">
        <v>520</v>
      </c>
      <c r="Q23" s="10">
        <f ca="1">DEGREES($N$68)</f>
        <v>458.36623610465858</v>
      </c>
    </row>
    <row r="24" spans="2:18" x14ac:dyDescent="0.4">
      <c r="B24" s="14" t="s">
        <v>627</v>
      </c>
      <c r="C24" s="33"/>
      <c r="E24" s="3" t="s">
        <v>126</v>
      </c>
      <c r="F24" s="9" t="s">
        <v>74</v>
      </c>
      <c r="G24" s="13" t="s">
        <v>126</v>
      </c>
      <c r="H24" s="30">
        <f>$C$9</f>
        <v>152.80000000000001</v>
      </c>
      <c r="K24" s="3">
        <f t="shared" si="0"/>
        <v>24</v>
      </c>
      <c r="L24" s="45" t="s">
        <v>170</v>
      </c>
      <c r="M24" s="54" t="s">
        <v>88</v>
      </c>
      <c r="N24" s="2">
        <f>$C$42+$C$43/2</f>
        <v>28.575000000000003</v>
      </c>
      <c r="P24" s="10" t="s">
        <v>69</v>
      </c>
      <c r="Q24" s="10" t="e">
        <f ca="1">Q9*$N$115+Q2*$N$76</f>
        <v>#REF!</v>
      </c>
    </row>
    <row r="25" spans="2:18" x14ac:dyDescent="0.4">
      <c r="B25" s="21"/>
      <c r="C25" s="21"/>
      <c r="E25" s="3" t="s">
        <v>126</v>
      </c>
      <c r="F25" s="9" t="s">
        <v>559</v>
      </c>
      <c r="G25" s="13" t="s">
        <v>126</v>
      </c>
      <c r="H25" s="30">
        <f>$C$21</f>
        <v>0</v>
      </c>
      <c r="K25" s="3">
        <f t="shared" si="0"/>
        <v>25</v>
      </c>
      <c r="L25" s="45" t="s">
        <v>171</v>
      </c>
      <c r="M25" s="54" t="s">
        <v>43</v>
      </c>
      <c r="N25" s="2">
        <f>$C$5-$N$24</f>
        <v>371.42500000000001</v>
      </c>
      <c r="P25" s="10" t="s">
        <v>70</v>
      </c>
      <c r="Q25" s="10" t="e">
        <f ca="1">-Q$9*$N$76+Q$2*$N$115</f>
        <v>#REF!</v>
      </c>
    </row>
    <row r="26" spans="2:18" x14ac:dyDescent="0.4">
      <c r="B26" s="25" t="s">
        <v>435</v>
      </c>
      <c r="C26" s="63">
        <v>0</v>
      </c>
      <c r="E26" s="3" t="s">
        <v>605</v>
      </c>
      <c r="F26" s="9" t="s">
        <v>141</v>
      </c>
      <c r="G26" s="13" t="s">
        <v>126</v>
      </c>
      <c r="H26" s="30">
        <f ca="1">$N$95</f>
        <v>134.1</v>
      </c>
      <c r="K26" s="3">
        <f t="shared" si="0"/>
        <v>26</v>
      </c>
      <c r="L26" s="45" t="s">
        <v>411</v>
      </c>
      <c r="M26" s="54" t="s">
        <v>413</v>
      </c>
      <c r="N26" s="2">
        <f>$C$42+$C$43</f>
        <v>33.1</v>
      </c>
    </row>
    <row r="27" spans="2:18" x14ac:dyDescent="0.4">
      <c r="B27" s="14" t="s">
        <v>499</v>
      </c>
      <c r="C27" s="67"/>
      <c r="E27" s="3" t="s">
        <v>123</v>
      </c>
      <c r="F27" s="9" t="s">
        <v>558</v>
      </c>
      <c r="G27" s="13" t="s">
        <v>123</v>
      </c>
      <c r="H27" s="30">
        <f>$H$4</f>
        <v>400</v>
      </c>
      <c r="I27" s="30">
        <f>$C$93+$H$27</f>
        <v>-749.97399999999993</v>
      </c>
      <c r="K27" s="3">
        <f t="shared" si="0"/>
        <v>27</v>
      </c>
      <c r="L27" s="45" t="s">
        <v>412</v>
      </c>
      <c r="M27" s="54" t="s">
        <v>416</v>
      </c>
      <c r="N27" s="2">
        <f>$C$5-$N$26</f>
        <v>366.9</v>
      </c>
      <c r="P27" s="2"/>
    </row>
    <row r="28" spans="2:18" x14ac:dyDescent="0.4">
      <c r="B28" s="14" t="s">
        <v>483</v>
      </c>
      <c r="C28" s="33"/>
      <c r="E28" s="3" t="s">
        <v>600</v>
      </c>
      <c r="F28" s="9" t="s">
        <v>557</v>
      </c>
      <c r="G28" s="13" t="s">
        <v>123</v>
      </c>
      <c r="H28" s="30">
        <f>$C$6</f>
        <v>400</v>
      </c>
      <c r="I28" s="53"/>
      <c r="K28" s="3">
        <f t="shared" si="0"/>
        <v>28</v>
      </c>
      <c r="L28" s="45" t="s">
        <v>415</v>
      </c>
      <c r="M28" s="54" t="s">
        <v>417</v>
      </c>
      <c r="N28" s="2">
        <f>$C$5-$C$42</f>
        <v>375.95</v>
      </c>
      <c r="P28" s="2"/>
    </row>
    <row r="29" spans="2:18" x14ac:dyDescent="0.4">
      <c r="B29" s="14" t="s">
        <v>480</v>
      </c>
      <c r="C29" s="33"/>
      <c r="E29" s="3" t="s">
        <v>601</v>
      </c>
      <c r="F29" s="9" t="s">
        <v>561</v>
      </c>
      <c r="G29" s="13" t="s">
        <v>126</v>
      </c>
      <c r="H29" s="30">
        <f>$C$20</f>
        <v>0</v>
      </c>
      <c r="K29" s="3">
        <f t="shared" si="0"/>
        <v>29</v>
      </c>
      <c r="L29" s="45" t="s">
        <v>365</v>
      </c>
      <c r="M29" s="54" t="s">
        <v>44</v>
      </c>
      <c r="N29" s="2">
        <f>SQRT($C$4^2-$N$25^2)</f>
        <v>5921.3122846101442</v>
      </c>
    </row>
    <row r="30" spans="2:18" x14ac:dyDescent="0.4">
      <c r="B30" s="14" t="s">
        <v>481</v>
      </c>
      <c r="C30" s="33"/>
      <c r="E30" s="3" t="s">
        <v>602</v>
      </c>
      <c r="F30" s="9" t="s">
        <v>562</v>
      </c>
      <c r="G30" s="13" t="s">
        <v>123</v>
      </c>
      <c r="H30" s="30" cm="1">
        <f t="array" ref="H30">_xlfn.IFS($C$65=1, $C$66, $C$69=1, $C$70)</f>
        <v>8</v>
      </c>
      <c r="K30" s="3">
        <f t="shared" si="0"/>
        <v>30</v>
      </c>
      <c r="L30" s="45" t="s">
        <v>366</v>
      </c>
      <c r="M30" s="54" t="s">
        <v>92</v>
      </c>
      <c r="N30" s="2">
        <f>SQRT($N$12^2-$N$25^2)</f>
        <v>5997.8605262105748</v>
      </c>
    </row>
    <row r="31" spans="2:18" x14ac:dyDescent="0.4">
      <c r="B31" s="14" t="s">
        <v>482</v>
      </c>
      <c r="C31" s="33"/>
      <c r="E31" s="3" t="s">
        <v>603</v>
      </c>
      <c r="F31" s="9" t="s">
        <v>5</v>
      </c>
      <c r="G31" s="13" t="s">
        <v>117</v>
      </c>
      <c r="H31" s="30">
        <f>$C$4</f>
        <v>5932.95</v>
      </c>
      <c r="K31" s="3">
        <f t="shared" si="0"/>
        <v>31</v>
      </c>
      <c r="L31" s="45" t="s">
        <v>367</v>
      </c>
      <c r="M31" s="54" t="s">
        <v>93</v>
      </c>
      <c r="N31" s="2">
        <f>SQRT($N$11^2-$N$25^2)</f>
        <v>5844.76016375993</v>
      </c>
    </row>
    <row r="32" spans="2:18" x14ac:dyDescent="0.4">
      <c r="B32" s="14" t="s">
        <v>479</v>
      </c>
      <c r="C32" s="33"/>
      <c r="E32" s="3" t="s">
        <v>604</v>
      </c>
      <c r="F32" s="9" t="s">
        <v>563</v>
      </c>
      <c r="G32" s="13" t="s">
        <v>117</v>
      </c>
      <c r="H32" s="30">
        <f>$C$14</f>
        <v>0.08</v>
      </c>
      <c r="I32" s="5"/>
      <c r="K32" s="3">
        <f t="shared" si="0"/>
        <v>32</v>
      </c>
      <c r="L32" s="45" t="s">
        <v>409</v>
      </c>
      <c r="M32" s="54" t="s">
        <v>410</v>
      </c>
      <c r="N32" s="2">
        <f>SQRT($N$12^2-$N$27^2)</f>
        <v>5998.1390291072776</v>
      </c>
    </row>
    <row r="33" spans="1:16" x14ac:dyDescent="0.4">
      <c r="H33" s="5"/>
      <c r="I33" s="5"/>
      <c r="K33" s="3">
        <f t="shared" si="0"/>
        <v>33</v>
      </c>
      <c r="L33" s="45" t="s">
        <v>414</v>
      </c>
      <c r="M33" s="54" t="s">
        <v>432</v>
      </c>
      <c r="N33" s="2">
        <f>SQRT($N$12^2-$N$28^2)</f>
        <v>5997.5785964003826</v>
      </c>
    </row>
    <row r="34" spans="1:16" x14ac:dyDescent="0.4">
      <c r="B34" s="4" t="s">
        <v>114</v>
      </c>
      <c r="F34" s="4" t="s">
        <v>566</v>
      </c>
      <c r="G34" s="6"/>
      <c r="H34" s="5"/>
      <c r="K34" s="3">
        <f t="shared" si="0"/>
        <v>34</v>
      </c>
      <c r="L34" s="45" t="s">
        <v>420</v>
      </c>
      <c r="M34" s="54" t="s">
        <v>422</v>
      </c>
      <c r="N34" s="2">
        <f>($N$32-$N$33)/$C$43</f>
        <v>6.192626595524546E-2</v>
      </c>
    </row>
    <row r="35" spans="1:16" x14ac:dyDescent="0.4">
      <c r="B35" s="14" t="s">
        <v>459</v>
      </c>
      <c r="C35" s="62"/>
      <c r="E35" s="3" t="s">
        <v>618</v>
      </c>
      <c r="F35" s="9" t="s">
        <v>508</v>
      </c>
      <c r="G35" s="13" t="s">
        <v>117</v>
      </c>
      <c r="H35" s="68">
        <f>IF($C$35&lt;&gt;2, $C$122, "")</f>
        <v>110002</v>
      </c>
      <c r="K35" s="3">
        <f t="shared" si="0"/>
        <v>35</v>
      </c>
      <c r="L35" s="45" t="s">
        <v>421</v>
      </c>
      <c r="M35" s="54" t="s">
        <v>423</v>
      </c>
      <c r="N35" s="2">
        <f>SIN(ATAN($N$34))</f>
        <v>6.1807867024424826E-2</v>
      </c>
    </row>
    <row r="36" spans="1:16" x14ac:dyDescent="0.4">
      <c r="B36" s="14" t="s">
        <v>665</v>
      </c>
      <c r="C36" s="33"/>
      <c r="E36" s="3" t="s">
        <v>125</v>
      </c>
      <c r="F36" s="9" t="s">
        <v>11</v>
      </c>
      <c r="G36" s="13" t="s">
        <v>125</v>
      </c>
      <c r="H36" s="30">
        <f>$C$10</f>
        <v>152.80000000000001</v>
      </c>
      <c r="K36" s="3">
        <f t="shared" si="0"/>
        <v>36</v>
      </c>
      <c r="L36" s="45" t="s">
        <v>424</v>
      </c>
      <c r="M36" s="54" t="s">
        <v>425</v>
      </c>
      <c r="N36" s="2">
        <f>COS(ATAN($N$34))</f>
        <v>0.99808806604121414</v>
      </c>
    </row>
    <row r="37" spans="1:16" x14ac:dyDescent="0.4">
      <c r="E37" s="3" t="s">
        <v>123</v>
      </c>
      <c r="F37" s="9" t="s">
        <v>558</v>
      </c>
      <c r="G37" s="13" t="s">
        <v>123</v>
      </c>
      <c r="H37" s="30">
        <f>$H$4</f>
        <v>400</v>
      </c>
      <c r="I37" s="30">
        <f>$C$93+$H$37</f>
        <v>-749.97399999999993</v>
      </c>
      <c r="K37" s="3">
        <f t="shared" si="0"/>
        <v>37</v>
      </c>
      <c r="L37" s="45" t="s">
        <v>431</v>
      </c>
      <c r="N37" s="2">
        <f>2*$N$36/(1+$N$36^2)</f>
        <v>0.9999981687563988</v>
      </c>
    </row>
    <row r="38" spans="1:16" x14ac:dyDescent="0.4">
      <c r="B38" s="25" t="s">
        <v>111</v>
      </c>
      <c r="C38" s="63">
        <v>4</v>
      </c>
      <c r="H38" s="5"/>
      <c r="I38" s="5"/>
      <c r="K38" s="3">
        <f>ROW(K38)</f>
        <v>38</v>
      </c>
      <c r="L38" s="45" t="s">
        <v>426</v>
      </c>
      <c r="M38" s="54" t="s">
        <v>433</v>
      </c>
      <c r="N38" s="2">
        <f>$N$30-$N$33</f>
        <v>0.28192981019219587</v>
      </c>
    </row>
    <row r="39" spans="1:16" x14ac:dyDescent="0.4">
      <c r="B39" s="14" t="s">
        <v>507</v>
      </c>
      <c r="C39" s="63">
        <v>0</v>
      </c>
      <c r="D39" s="16"/>
      <c r="F39" s="4" t="s">
        <v>567</v>
      </c>
      <c r="G39" s="6"/>
      <c r="H39" s="5"/>
      <c r="K39" s="3">
        <f t="shared" si="0"/>
        <v>39</v>
      </c>
      <c r="L39" s="45" t="s">
        <v>427</v>
      </c>
      <c r="N39" s="2">
        <f>$C$43*$N$35/2</f>
        <v>0.27968059828552239</v>
      </c>
    </row>
    <row r="40" spans="1:16" x14ac:dyDescent="0.4">
      <c r="B40" s="14" t="s">
        <v>41</v>
      </c>
      <c r="C40" s="15"/>
      <c r="D40" s="16"/>
      <c r="E40" s="3" t="s">
        <v>618</v>
      </c>
      <c r="F40" s="9" t="s">
        <v>508</v>
      </c>
      <c r="G40" s="13" t="s">
        <v>117</v>
      </c>
      <c r="H40" s="68">
        <f>IF(OR($C$65&lt;&gt;0, $C$69&lt;&gt;0), $C$124, "")</f>
        <v>130001</v>
      </c>
      <c r="K40" s="3">
        <f t="shared" si="0"/>
        <v>40</v>
      </c>
      <c r="L40" s="45" t="s">
        <v>428</v>
      </c>
      <c r="M40" s="54" t="s">
        <v>430</v>
      </c>
      <c r="N40" s="2">
        <f>$N$37*($C$44-$N$39)+$N$38</f>
        <v>2.2497240699794752E-3</v>
      </c>
      <c r="P40" s="2"/>
    </row>
    <row r="41" spans="1:16" x14ac:dyDescent="0.4">
      <c r="B41" s="14" t="s">
        <v>593</v>
      </c>
      <c r="C41" s="15">
        <v>147.80000000000001</v>
      </c>
      <c r="E41" s="3" t="s">
        <v>126</v>
      </c>
      <c r="F41" s="9" t="s">
        <v>141</v>
      </c>
      <c r="G41" s="13" t="s">
        <v>126</v>
      </c>
      <c r="H41" s="30">
        <f ca="1">INDEX(INDIRECT($N$2&amp;"!B:B"), MATCH($C$5+$C$6, INDIRECT($N$2&amp;"!A:A"), 0))</f>
        <v>134.1</v>
      </c>
      <c r="K41" s="3">
        <f t="shared" si="0"/>
        <v>41</v>
      </c>
      <c r="L41" s="45" t="s">
        <v>405</v>
      </c>
      <c r="M41" s="54" t="s">
        <v>382</v>
      </c>
      <c r="N41" s="2">
        <f>$C$6-$C$66</f>
        <v>392</v>
      </c>
    </row>
    <row r="42" spans="1:16" x14ac:dyDescent="0.4">
      <c r="A42" s="3" t="s">
        <v>418</v>
      </c>
      <c r="B42" s="14" t="s">
        <v>38</v>
      </c>
      <c r="C42" s="15">
        <v>24.05</v>
      </c>
      <c r="D42" s="2"/>
      <c r="E42" s="3" t="s">
        <v>123</v>
      </c>
      <c r="F42" s="9" t="s">
        <v>558</v>
      </c>
      <c r="G42" s="13" t="s">
        <v>123</v>
      </c>
      <c r="H42" s="30">
        <f>$H$4</f>
        <v>400</v>
      </c>
      <c r="I42" s="30">
        <f>$C$93+$H$42</f>
        <v>-749.97399999999993</v>
      </c>
      <c r="K42" s="3">
        <f t="shared" si="0"/>
        <v>42</v>
      </c>
      <c r="L42" s="45" t="s">
        <v>406</v>
      </c>
      <c r="M42" s="54" t="s">
        <v>383</v>
      </c>
      <c r="N42" s="2">
        <f>SQRT($C$4^2-$N$41^2)</f>
        <v>5919.9857856670569</v>
      </c>
    </row>
    <row r="43" spans="1:16" x14ac:dyDescent="0.4">
      <c r="A43" s="3" t="s">
        <v>419</v>
      </c>
      <c r="B43" s="14" t="s">
        <v>39</v>
      </c>
      <c r="C43" s="15">
        <v>9.0500000000000007</v>
      </c>
      <c r="D43" s="2"/>
      <c r="E43" s="3" t="s">
        <v>600</v>
      </c>
      <c r="F43" s="9" t="s">
        <v>557</v>
      </c>
      <c r="G43" s="13" t="s">
        <v>123</v>
      </c>
      <c r="H43" s="30">
        <f>$C$6</f>
        <v>400</v>
      </c>
      <c r="I43" s="30">
        <f>$C$93+$H$43</f>
        <v>-749.97399999999993</v>
      </c>
      <c r="K43" s="3">
        <f t="shared" si="0"/>
        <v>43</v>
      </c>
      <c r="L43" s="45" t="s">
        <v>446</v>
      </c>
      <c r="N43" s="2">
        <f>N42-N19</f>
        <v>0.5351606090189307</v>
      </c>
    </row>
    <row r="44" spans="1:16" x14ac:dyDescent="0.4">
      <c r="A44" s="3" t="s">
        <v>429</v>
      </c>
      <c r="B44" s="14" t="s">
        <v>474</v>
      </c>
      <c r="C44" s="15"/>
      <c r="D44" s="2"/>
      <c r="E44" s="3" t="s">
        <v>603</v>
      </c>
      <c r="F44" s="9" t="s">
        <v>5</v>
      </c>
      <c r="G44" s="13" t="s">
        <v>117</v>
      </c>
      <c r="H44" s="30">
        <f>$C$4</f>
        <v>5932.95</v>
      </c>
      <c r="K44" s="3">
        <f t="shared" si="0"/>
        <v>44</v>
      </c>
      <c r="L44" s="45" t="s">
        <v>174</v>
      </c>
      <c r="M44" s="54" t="str">
        <f>IF($C$54&gt;=3, "振分中心-ディンプル1列目間距離", "-")</f>
        <v>振分中心-ディンプル1列目間距離</v>
      </c>
      <c r="N44" s="44">
        <f>$C$5-$C$49</f>
        <v>267</v>
      </c>
    </row>
    <row r="45" spans="1:16" x14ac:dyDescent="0.4">
      <c r="B45" s="14" t="s">
        <v>460</v>
      </c>
      <c r="C45" s="15"/>
      <c r="D45" s="2"/>
      <c r="E45" s="3" t="s">
        <v>604</v>
      </c>
      <c r="F45" s="9" t="s">
        <v>563</v>
      </c>
      <c r="G45" s="13" t="s">
        <v>117</v>
      </c>
      <c r="H45" s="30">
        <f>$C$14</f>
        <v>0.08</v>
      </c>
      <c r="I45" s="5"/>
      <c r="K45" s="3">
        <f t="shared" si="0"/>
        <v>45</v>
      </c>
      <c r="L45" s="45" t="s">
        <v>229</v>
      </c>
      <c r="M45" s="54" t="str">
        <f>IF($C$54&gt;=4, "振分中心-ディンプル2列目間距離", "-")</f>
        <v>振分中心-ディンプル2列目間距離</v>
      </c>
      <c r="N45" s="44">
        <f>IF($C$54&gt;=4,$N$44-1*$C$50, "-")</f>
        <v>247</v>
      </c>
    </row>
    <row r="46" spans="1:16" x14ac:dyDescent="0.4">
      <c r="B46" s="14" t="s">
        <v>461</v>
      </c>
      <c r="C46" s="15"/>
      <c r="H46" s="5"/>
      <c r="I46" s="5"/>
      <c r="K46" s="3">
        <f t="shared" si="0"/>
        <v>46</v>
      </c>
      <c r="L46" s="45" t="s">
        <v>230</v>
      </c>
      <c r="M46" s="54" t="str">
        <f>IF($C$54&gt;=5, "振分中心-ディンプル3列目間距離", "-")</f>
        <v>振分中心-ディンプル3列目間距離</v>
      </c>
      <c r="N46" s="44">
        <f>IF($C$54&gt;=5,$N$44-2*$C$50, "-")</f>
        <v>227</v>
      </c>
    </row>
    <row r="47" spans="1:16" x14ac:dyDescent="0.4">
      <c r="B47" s="21"/>
      <c r="C47" s="22"/>
      <c r="F47" s="4" t="s">
        <v>568</v>
      </c>
      <c r="G47" s="6"/>
      <c r="H47" s="5"/>
      <c r="K47" s="3">
        <f t="shared" si="0"/>
        <v>47</v>
      </c>
      <c r="L47" s="45" t="s">
        <v>231</v>
      </c>
      <c r="M47" s="54" t="str">
        <f>IF($C$54&gt;=6, "振分中心-ディンプル4列目間距離", "-")</f>
        <v>-</v>
      </c>
      <c r="N47" s="44" t="str">
        <f>IF($C$54&gt;=6,$N$44-3*$C$50, "-")</f>
        <v>-</v>
      </c>
    </row>
    <row r="48" spans="1:16" x14ac:dyDescent="0.4">
      <c r="B48" s="25" t="s">
        <v>517</v>
      </c>
      <c r="C48" s="28"/>
      <c r="E48" s="3" t="s">
        <v>618</v>
      </c>
      <c r="F48" s="9" t="s">
        <v>508</v>
      </c>
      <c r="G48" s="13" t="s">
        <v>117</v>
      </c>
      <c r="H48" s="68">
        <f>IF(OR($C$65&lt;&gt;0, $C$69&lt;&gt;0), $C$125, "")</f>
        <v>130002</v>
      </c>
      <c r="K48" s="3">
        <f t="shared" si="0"/>
        <v>48</v>
      </c>
      <c r="L48" s="45" t="s">
        <v>233</v>
      </c>
      <c r="M48" s="54" t="str">
        <f>IF($C$54&gt;=7, "振分中心-ディンプル5列目間距離", "-")</f>
        <v>-</v>
      </c>
      <c r="N48" s="44" t="str">
        <f>IF($C$54&gt;=7,$N$44-4*$C$50, "-")</f>
        <v>-</v>
      </c>
    </row>
    <row r="49" spans="1:14" x14ac:dyDescent="0.4">
      <c r="A49" s="3" t="s">
        <v>140</v>
      </c>
      <c r="B49" s="14" t="s">
        <v>521</v>
      </c>
      <c r="C49" s="15">
        <v>133</v>
      </c>
      <c r="E49" s="3" t="s">
        <v>125</v>
      </c>
      <c r="F49" s="9" t="s">
        <v>569</v>
      </c>
      <c r="G49" s="13" t="s">
        <v>125</v>
      </c>
      <c r="H49" s="30">
        <f ca="1">$N$96</f>
        <v>134.1</v>
      </c>
      <c r="K49" s="3">
        <f t="shared" si="0"/>
        <v>49</v>
      </c>
      <c r="L49" s="45" t="s">
        <v>232</v>
      </c>
      <c r="M49" s="54" t="str">
        <f>IF($C$54&gt;=8, "振分中心-ディンプル6列目間距離", "-")</f>
        <v>-</v>
      </c>
      <c r="N49" s="44" t="str">
        <f>IF($C$54&gt;=8,$N$44-5*$C$50, "-")</f>
        <v>-</v>
      </c>
    </row>
    <row r="50" spans="1:14" x14ac:dyDescent="0.4">
      <c r="A50" s="3" t="s">
        <v>172</v>
      </c>
      <c r="B50" s="14" t="s">
        <v>522</v>
      </c>
      <c r="C50" s="15">
        <v>20</v>
      </c>
      <c r="E50" s="3" t="s">
        <v>123</v>
      </c>
      <c r="F50" s="9" t="s">
        <v>558</v>
      </c>
      <c r="G50" s="13" t="s">
        <v>123</v>
      </c>
      <c r="H50" s="30">
        <f>$H$4</f>
        <v>400</v>
      </c>
      <c r="I50" s="30">
        <f>$C$93+$H$50</f>
        <v>-749.97399999999993</v>
      </c>
      <c r="K50" s="3">
        <f t="shared" si="0"/>
        <v>50</v>
      </c>
      <c r="L50" s="45" t="s">
        <v>178</v>
      </c>
      <c r="M50" s="54" t="s">
        <v>530</v>
      </c>
      <c r="N50" s="44">
        <f>$N$44-($C$54-2)*$C$50</f>
        <v>207</v>
      </c>
    </row>
    <row r="51" spans="1:14" x14ac:dyDescent="0.4">
      <c r="A51" s="3" t="s">
        <v>173</v>
      </c>
      <c r="B51" s="14" t="s">
        <v>523</v>
      </c>
      <c r="C51" s="15">
        <v>11.6</v>
      </c>
      <c r="E51" s="3" t="s">
        <v>604</v>
      </c>
      <c r="F51" s="9" t="s">
        <v>563</v>
      </c>
      <c r="G51" s="13" t="s">
        <v>117</v>
      </c>
      <c r="H51" s="30">
        <f>$C$14</f>
        <v>0.08</v>
      </c>
      <c r="I51" s="5"/>
      <c r="K51" s="3">
        <f t="shared" si="0"/>
        <v>51</v>
      </c>
      <c r="L51" s="45" t="s">
        <v>177</v>
      </c>
      <c r="M51" s="54" t="s">
        <v>531</v>
      </c>
      <c r="N51" s="44">
        <f>$N$44-($C$54-1)*$C$50</f>
        <v>187</v>
      </c>
    </row>
    <row r="52" spans="1:14" x14ac:dyDescent="0.4">
      <c r="A52" s="3" t="s">
        <v>300</v>
      </c>
      <c r="B52" s="14" t="s">
        <v>525</v>
      </c>
      <c r="C52" s="15">
        <f>116-11.6*2</f>
        <v>92.8</v>
      </c>
      <c r="H52" s="5"/>
      <c r="I52" s="5"/>
      <c r="K52" s="3">
        <f t="shared" si="0"/>
        <v>52</v>
      </c>
      <c r="L52" s="45" t="s">
        <v>175</v>
      </c>
      <c r="M52" s="54" t="str">
        <f>IF($C$54&gt;=3,"λj ≦ q &lt; λj+1 の λj", "-")</f>
        <v>λj ≦ q &lt; λj+1 の λj</v>
      </c>
      <c r="N52" s="44">
        <f ca="1">IF($C$54&gt;=3,LOOKUP($C$49,INDIRECT($N$2&amp;"!$A:$A")),"-")</f>
        <v>125</v>
      </c>
    </row>
    <row r="53" spans="1:14" x14ac:dyDescent="0.4">
      <c r="A53" s="3" t="s">
        <v>301</v>
      </c>
      <c r="B53" s="14" t="s">
        <v>526</v>
      </c>
      <c r="C53" s="15">
        <f>104.4-11.6*2</f>
        <v>81.2</v>
      </c>
      <c r="F53" s="4" t="s">
        <v>570</v>
      </c>
      <c r="G53" s="6"/>
      <c r="H53" s="5"/>
      <c r="K53" s="3">
        <f t="shared" si="0"/>
        <v>53</v>
      </c>
      <c r="L53" s="45" t="s">
        <v>234</v>
      </c>
      <c r="M53" s="54" t="str">
        <f>IF($C$54&gt;=4,"λj ≦ q+pz &lt; λj+1 の λj", "-")</f>
        <v>λj ≦ q+pz &lt; λj+1 の λj</v>
      </c>
      <c r="N53" s="44">
        <f ca="1">IF($C$54&gt;=4,LOOKUP($C$49+$C$50, INDIRECT($N$2&amp;"!$A:$A")),"-")</f>
        <v>150</v>
      </c>
    </row>
    <row r="54" spans="1:14" x14ac:dyDescent="0.4">
      <c r="A54" s="3" t="s">
        <v>144</v>
      </c>
      <c r="B54" s="14" t="s">
        <v>527</v>
      </c>
      <c r="C54" s="62">
        <v>5</v>
      </c>
      <c r="E54" s="3" t="s">
        <v>618</v>
      </c>
      <c r="F54" s="9" t="s">
        <v>508</v>
      </c>
      <c r="G54" s="13" t="s">
        <v>117</v>
      </c>
      <c r="H54" s="68" cm="1">
        <f t="array" ref="H54">_xlfn.IFS($C$26=0, $C$121, AND($C$26=1, $C$35&lt;&gt;1), $C$126, AND($C$26=1, $C$35&lt;&gt;2), "")</f>
        <v>110001</v>
      </c>
      <c r="K54" s="3">
        <f t="shared" si="0"/>
        <v>54</v>
      </c>
      <c r="L54" s="45" t="s">
        <v>236</v>
      </c>
      <c r="M54" s="54" t="str">
        <f>IF($C$54&gt;=5,"λj ≦ q+2pz &lt; λj+1 の λj", "-")</f>
        <v>λj ≦ q+2pz &lt; λj+1 の λj</v>
      </c>
      <c r="N54" s="44">
        <f ca="1">IF($C$54&gt;=5,LOOKUP($C$49+2*$C$50, INDIRECT($N$2&amp;"!$A:$A")),"-")</f>
        <v>150</v>
      </c>
    </row>
    <row r="55" spans="1:14" x14ac:dyDescent="0.4">
      <c r="B55" s="14" t="s">
        <v>528</v>
      </c>
      <c r="C55" s="64">
        <v>0.31</v>
      </c>
      <c r="E55" s="3" t="s">
        <v>126</v>
      </c>
      <c r="F55" s="9" t="s">
        <v>74</v>
      </c>
      <c r="G55" s="13" t="s">
        <v>126</v>
      </c>
      <c r="H55" s="30">
        <f>$C$9</f>
        <v>152.80000000000001</v>
      </c>
      <c r="K55" s="3">
        <f t="shared" si="0"/>
        <v>55</v>
      </c>
      <c r="L55" s="45" t="s">
        <v>238</v>
      </c>
      <c r="M55" s="54" t="str">
        <f>IF($C$54&gt;=6,"λj ≦ q+3pz &lt; λj+1 の λj", "-")</f>
        <v>-</v>
      </c>
      <c r="N55" s="44" t="str">
        <f ca="1">IF($C$54&gt;=6,LOOKUP($C$49+3*$C$50, INDIRECT($N$2&amp;"!$A:$A")),"-")</f>
        <v>-</v>
      </c>
    </row>
    <row r="56" spans="1:14" x14ac:dyDescent="0.4">
      <c r="B56" s="14" t="s">
        <v>587</v>
      </c>
      <c r="C56" s="70">
        <v>20</v>
      </c>
      <c r="E56" s="3" t="s">
        <v>126</v>
      </c>
      <c r="F56" s="9" t="s">
        <v>571</v>
      </c>
      <c r="G56" s="13" t="s">
        <v>126</v>
      </c>
      <c r="H56" s="30">
        <f>$C$29</f>
        <v>0</v>
      </c>
      <c r="K56" s="3">
        <f t="shared" si="0"/>
        <v>56</v>
      </c>
      <c r="L56" s="45" t="s">
        <v>239</v>
      </c>
      <c r="M56" s="54" t="str">
        <f>IF($C$54&gt;=7,"λj ≦ q+4pz &lt; λj+1 の λj", "-")</f>
        <v>-</v>
      </c>
      <c r="N56" s="44" t="str">
        <f ca="1">IF($C$54&gt;=7,LOOKUP($C$49+4*$C$50, INDIRECT($N$2&amp;"!$A:$A")),"-")</f>
        <v>-</v>
      </c>
    </row>
    <row r="57" spans="1:14" x14ac:dyDescent="0.4">
      <c r="B57" s="21"/>
      <c r="C57" s="22"/>
      <c r="E57" s="3" t="s">
        <v>605</v>
      </c>
      <c r="F57" s="9" t="s">
        <v>139</v>
      </c>
      <c r="G57" s="13" t="s">
        <v>126</v>
      </c>
      <c r="H57" s="30">
        <f ca="1">$N$92</f>
        <v>135.578</v>
      </c>
      <c r="K57" s="3">
        <f t="shared" si="0"/>
        <v>57</v>
      </c>
      <c r="L57" s="45" t="s">
        <v>240</v>
      </c>
      <c r="M57" s="54" t="str">
        <f>IF($C$54&gt;=8,"λj ≦ q+5pz &lt; λj+1 の λj", "-")</f>
        <v>-</v>
      </c>
      <c r="N57" s="44" t="str">
        <f ca="1">IF($C$54&gt;=8,LOOKUP($C$49+5*$C$50, INDIRECT($N$2&amp;"!$A:$A")),"-")</f>
        <v>-</v>
      </c>
    </row>
    <row r="58" spans="1:14" x14ac:dyDescent="0.4">
      <c r="B58" s="4" t="s">
        <v>453</v>
      </c>
      <c r="C58" s="63">
        <v>0</v>
      </c>
      <c r="E58" s="3" t="s">
        <v>123</v>
      </c>
      <c r="F58" s="9" t="s">
        <v>572</v>
      </c>
      <c r="G58" s="13" t="s">
        <v>123</v>
      </c>
      <c r="H58" s="30">
        <f>$H$4</f>
        <v>400</v>
      </c>
      <c r="I58" s="30">
        <f>$C$93+$H$58</f>
        <v>-749.97399999999993</v>
      </c>
      <c r="K58" s="3">
        <f t="shared" si="0"/>
        <v>58</v>
      </c>
      <c r="L58" s="45" t="s">
        <v>242</v>
      </c>
      <c r="M58" s="54" t="s">
        <v>244</v>
      </c>
      <c r="N58" s="2">
        <f ca="1">LOOKUP($C$49+($C$54-2)*$C$50, INDIRECT($N$2&amp;"!$A:$A"))</f>
        <v>175</v>
      </c>
    </row>
    <row r="59" spans="1:14" x14ac:dyDescent="0.4">
      <c r="B59" s="14" t="s">
        <v>463</v>
      </c>
      <c r="C59" s="15"/>
      <c r="E59" s="3" t="s">
        <v>600</v>
      </c>
      <c r="F59" s="9" t="s">
        <v>573</v>
      </c>
      <c r="G59" s="13" t="s">
        <v>123</v>
      </c>
      <c r="H59" s="30">
        <f>$C$6</f>
        <v>400</v>
      </c>
      <c r="I59" s="53"/>
      <c r="K59" s="3">
        <f t="shared" si="0"/>
        <v>59</v>
      </c>
      <c r="L59" s="45" t="s">
        <v>241</v>
      </c>
      <c r="M59" s="54" t="s">
        <v>243</v>
      </c>
      <c r="N59" s="2">
        <f ca="1">LOOKUP($C$49+($C$54-1)*$C$50, INDIRECT($N$2&amp;"!$A:$A"))</f>
        <v>200</v>
      </c>
    </row>
    <row r="60" spans="1:14" x14ac:dyDescent="0.4">
      <c r="B60" s="14" t="s">
        <v>464</v>
      </c>
      <c r="C60" s="63"/>
      <c r="E60" s="3" t="s">
        <v>601</v>
      </c>
      <c r="F60" s="9" t="s">
        <v>574</v>
      </c>
      <c r="G60" s="13" t="s">
        <v>126</v>
      </c>
      <c r="H60" s="30">
        <f>$C$28</f>
        <v>0</v>
      </c>
      <c r="K60" s="3">
        <f t="shared" si="0"/>
        <v>60</v>
      </c>
      <c r="L60" s="45" t="s">
        <v>176</v>
      </c>
      <c r="M60" s="54" t="str">
        <f>IF($C$54&gt;=3,"λj ≦ q &lt; λj+1 の λj+1", "-")</f>
        <v>λj ≦ q &lt; λj+1 の λj+1</v>
      </c>
      <c r="N60" s="2" cm="1">
        <f t="array" aca="1" ref="N60" ca="1">IF($C$54&gt;=3, INDEX(INDIRECT($N$2&amp;"!$A:$A"), MATCH($N52, INDIRECT($N$2&amp;"!$A:$A"), 0) +1),"-")</f>
        <v>150</v>
      </c>
    </row>
    <row r="61" spans="1:14" x14ac:dyDescent="0.4">
      <c r="E61" s="3" t="s">
        <v>602</v>
      </c>
      <c r="F61" s="9" t="s">
        <v>575</v>
      </c>
      <c r="G61" s="13" t="s">
        <v>123</v>
      </c>
      <c r="H61" s="30" cm="1">
        <f t="array" ref="H61">_xlfn.IFS($C$79=1, $C$80, $C$83=1, $C$84)</f>
        <v>1</v>
      </c>
      <c r="K61" s="3">
        <f t="shared" si="0"/>
        <v>61</v>
      </c>
      <c r="L61" s="45" t="s">
        <v>235</v>
      </c>
      <c r="M61" s="54" t="str">
        <f>IF($C$54&gt;=4,"λj ≦ q+pz &lt; λj+1 の λj+1", "-")</f>
        <v>λj ≦ q+pz &lt; λj+1 の λj+1</v>
      </c>
      <c r="N61" s="44" cm="1">
        <f t="array" aca="1" ref="N61" ca="1">IF($C$54&gt;=4, INDEX(INDIRECT($N$2&amp;"!$A:$A"), MATCH($N53, INDIRECT($N$2&amp;"!$A:$A"), 0) +1),"-")</f>
        <v>175</v>
      </c>
    </row>
    <row r="62" spans="1:14" x14ac:dyDescent="0.4">
      <c r="B62" s="4" t="s">
        <v>462</v>
      </c>
      <c r="C62" s="63">
        <v>1</v>
      </c>
      <c r="E62" s="3" t="s">
        <v>603</v>
      </c>
      <c r="F62" s="9" t="s">
        <v>5</v>
      </c>
      <c r="G62" s="13" t="s">
        <v>117</v>
      </c>
      <c r="H62" s="30">
        <f>$C$4</f>
        <v>5932.95</v>
      </c>
      <c r="K62" s="3">
        <f t="shared" si="0"/>
        <v>62</v>
      </c>
      <c r="L62" s="45" t="s">
        <v>237</v>
      </c>
      <c r="M62" s="54" t="str">
        <f>IF($C$54&gt;=5,"λj ≦ q+2pz &lt; λj+1 の λj+1", "-")</f>
        <v>λj ≦ q+2pz &lt; λj+1 の λj+1</v>
      </c>
      <c r="N62" s="44" cm="1">
        <f t="array" aca="1" ref="N62" ca="1">IF($C$54&gt;=5, INDEX(INDIRECT($N$2&amp;"!$A:$A"), MATCH($N54, INDIRECT($N$2&amp;"!$A:$A"), 0) +1),"-")</f>
        <v>175</v>
      </c>
    </row>
    <row r="63" spans="1:14" x14ac:dyDescent="0.4">
      <c r="B63" s="14" t="s">
        <v>466</v>
      </c>
      <c r="C63" s="15">
        <v>1.5</v>
      </c>
      <c r="E63" s="3" t="s">
        <v>604</v>
      </c>
      <c r="F63" s="9" t="s">
        <v>563</v>
      </c>
      <c r="G63" s="13" t="s">
        <v>117</v>
      </c>
      <c r="H63" s="30">
        <f>$C$14</f>
        <v>0.08</v>
      </c>
      <c r="I63" s="5"/>
      <c r="K63" s="3">
        <f t="shared" si="0"/>
        <v>63</v>
      </c>
      <c r="L63" s="45" t="s">
        <v>245</v>
      </c>
      <c r="M63" s="54" t="str">
        <f>IF($C$54&gt;=6,"λj ≦ q+3pz &lt; λj+1 の λj+1", "-")</f>
        <v>-</v>
      </c>
      <c r="N63" s="44" t="str" cm="1">
        <f t="array" aca="1" ref="N63" ca="1">IF($C$54&gt;=6, INDEX(INDIRECT($N$2&amp;"!$A:$A"), MATCH($N55, INDIRECT($N$2&amp;"!$A:$A"), 0) +1),"-")</f>
        <v>-</v>
      </c>
    </row>
    <row r="64" spans="1:14" x14ac:dyDescent="0.4">
      <c r="H64" s="5"/>
      <c r="I64" s="5"/>
      <c r="K64" s="3">
        <f t="shared" si="0"/>
        <v>64</v>
      </c>
      <c r="L64" s="45" t="s">
        <v>246</v>
      </c>
      <c r="M64" s="54" t="str">
        <f>IF($C$54&gt;=7,"λj ≦ q+4pz &lt; λj+1 の λj+1", "-")</f>
        <v>-</v>
      </c>
      <c r="N64" s="44" t="str" cm="1">
        <f t="array" aca="1" ref="N64" ca="1">IF($C$54&gt;=7, INDEX(INDIRECT($N$2&amp;"!$A:$A"), MATCH($N56, INDIRECT($N$2&amp;"!$A:$A"), 0) +1),"-")</f>
        <v>-</v>
      </c>
    </row>
    <row r="65" spans="2:14" x14ac:dyDescent="0.4">
      <c r="B65" s="4" t="s">
        <v>454</v>
      </c>
      <c r="C65" s="63">
        <v>1</v>
      </c>
      <c r="F65" s="4" t="s">
        <v>576</v>
      </c>
      <c r="G65" s="6"/>
      <c r="H65" s="5"/>
      <c r="K65" s="3">
        <f t="shared" si="0"/>
        <v>65</v>
      </c>
      <c r="L65" s="45" t="s">
        <v>247</v>
      </c>
      <c r="M65" s="54" t="str">
        <f>IF($C$54&gt;=8,"λj ≦ q+5pz &lt; λj+1 の λj+1", "-")</f>
        <v>-</v>
      </c>
      <c r="N65" s="44" t="str" cm="1">
        <f t="array" aca="1" ref="N65" ca="1">IF($C$54&gt;=8, INDEX(INDIRECT($N$2&amp;"!$A:$A"), MATCH($N57, INDIRECT($N$2&amp;"!$A:$A"), 0) +1),"-")</f>
        <v>-</v>
      </c>
    </row>
    <row r="66" spans="2:14" x14ac:dyDescent="0.4">
      <c r="B66" s="14" t="s">
        <v>467</v>
      </c>
      <c r="C66" s="15">
        <v>8</v>
      </c>
      <c r="E66" s="3" t="s">
        <v>618</v>
      </c>
      <c r="F66" s="9" t="s">
        <v>508</v>
      </c>
      <c r="G66" s="13" t="s">
        <v>117</v>
      </c>
      <c r="H66" s="68">
        <f>IF($C$35&lt;&gt;1, $C$122, "")</f>
        <v>110002</v>
      </c>
      <c r="J66" s="3"/>
      <c r="K66" s="3">
        <f t="shared" si="0"/>
        <v>66</v>
      </c>
      <c r="L66" s="45" t="s">
        <v>248</v>
      </c>
      <c r="M66" s="54" t="s">
        <v>250</v>
      </c>
      <c r="N66" s="44" cm="1">
        <f t="array" aca="1" ref="N66" ca="1">INDEX(INDIRECT($N$2&amp;"!$A:$A"), MATCH($N58, INDIRECT($N$2&amp;"!$A:$A"), 0) +1)</f>
        <v>200</v>
      </c>
    </row>
    <row r="67" spans="2:14" x14ac:dyDescent="0.4">
      <c r="B67" s="14" t="s">
        <v>468</v>
      </c>
      <c r="C67" s="63">
        <v>30</v>
      </c>
      <c r="E67" s="3" t="s">
        <v>125</v>
      </c>
      <c r="F67" s="9" t="s">
        <v>11</v>
      </c>
      <c r="G67" s="13" t="s">
        <v>125</v>
      </c>
      <c r="H67" s="30">
        <f>$C$10</f>
        <v>152.80000000000001</v>
      </c>
      <c r="K67" s="3">
        <f t="shared" si="0"/>
        <v>67</v>
      </c>
      <c r="L67" s="45" t="s">
        <v>249</v>
      </c>
      <c r="M67" s="54" t="s">
        <v>145</v>
      </c>
      <c r="N67" s="44" cm="1">
        <f t="array" aca="1" ref="N67" ca="1">INDEX(INDIRECT($N$2&amp;"!$A:$A"), MATCH($N59, INDIRECT($N$2&amp;"!$A:$A"), 0) +1)</f>
        <v>225</v>
      </c>
    </row>
    <row r="68" spans="2:14" x14ac:dyDescent="0.4">
      <c r="E68" s="3" t="s">
        <v>123</v>
      </c>
      <c r="F68" s="9" t="s">
        <v>572</v>
      </c>
      <c r="G68" s="13" t="s">
        <v>123</v>
      </c>
      <c r="H68" s="30">
        <f>$H$3</f>
        <v>400</v>
      </c>
      <c r="I68" s="30">
        <f>$C$93+$H$68</f>
        <v>-749.97399999999993</v>
      </c>
      <c r="K68" s="3">
        <f t="shared" si="0"/>
        <v>68</v>
      </c>
      <c r="L68" s="45" t="s">
        <v>146</v>
      </c>
      <c r="M68" s="54" t="str">
        <f>IF($C$54&gt;=3,"q-λj","")</f>
        <v>q-λj</v>
      </c>
      <c r="N68" s="44">
        <f ca="1">IF($C$54&gt;=3,$C$49-$N$52, "-")</f>
        <v>8</v>
      </c>
    </row>
    <row r="69" spans="2:14" x14ac:dyDescent="0.4">
      <c r="B69" s="4" t="s">
        <v>465</v>
      </c>
      <c r="C69" s="63">
        <v>0</v>
      </c>
      <c r="H69" s="5"/>
      <c r="I69" s="5"/>
      <c r="K69" s="3">
        <f t="shared" si="0"/>
        <v>69</v>
      </c>
      <c r="L69" s="45" t="s">
        <v>253</v>
      </c>
      <c r="M69" s="54" t="str">
        <f>IF($C$54&gt;=4,"q+pz-λj","")</f>
        <v>q+pz-λj</v>
      </c>
      <c r="N69" s="44">
        <f ca="1">IF($C$54&gt;=4,$C$49+$C$50-$N$53, "-")</f>
        <v>3</v>
      </c>
    </row>
    <row r="70" spans="2:14" x14ac:dyDescent="0.4">
      <c r="B70" s="14" t="s">
        <v>469</v>
      </c>
      <c r="C70" s="15"/>
      <c r="F70" s="4" t="s">
        <v>577</v>
      </c>
      <c r="G70" s="6"/>
      <c r="H70" s="5"/>
      <c r="K70" s="3">
        <f t="shared" si="0"/>
        <v>70</v>
      </c>
      <c r="L70" s="45" t="s">
        <v>254</v>
      </c>
      <c r="M70" s="54" t="str">
        <f>IF($C$54&gt;=5,"q+2pz-λj","")</f>
        <v>q+2pz-λj</v>
      </c>
      <c r="N70" s="44">
        <f ca="1">IF($C$54&gt;=5,$C$49+2*$C$50-$N$54, "-")</f>
        <v>23</v>
      </c>
    </row>
    <row r="71" spans="2:14" x14ac:dyDescent="0.4">
      <c r="E71" s="3" t="s">
        <v>618</v>
      </c>
      <c r="F71" s="9" t="s">
        <v>508</v>
      </c>
      <c r="G71" s="13" t="s">
        <v>117</v>
      </c>
      <c r="H71" s="68">
        <f>$C$124</f>
        <v>130001</v>
      </c>
      <c r="K71" s="3">
        <f t="shared" si="0"/>
        <v>71</v>
      </c>
      <c r="L71" s="45" t="s">
        <v>255</v>
      </c>
      <c r="M71" s="54" t="str">
        <f>IF($C$54&gt;=6,"q+3pz-λj","")</f>
        <v/>
      </c>
      <c r="N71" s="44" t="str">
        <f>IF($C$54&gt;=6,$C$49+3*$C$50-$N$55, "-")</f>
        <v>-</v>
      </c>
    </row>
    <row r="72" spans="2:14" x14ac:dyDescent="0.4">
      <c r="B72" s="4" t="s">
        <v>455</v>
      </c>
      <c r="C72" s="63">
        <v>0</v>
      </c>
      <c r="E72" s="3" t="s">
        <v>126</v>
      </c>
      <c r="F72" s="9" t="s">
        <v>139</v>
      </c>
      <c r="G72" s="13" t="s">
        <v>126</v>
      </c>
      <c r="H72" s="30">
        <f ca="1">$N$92</f>
        <v>135.578</v>
      </c>
      <c r="K72" s="3">
        <f t="shared" si="0"/>
        <v>72</v>
      </c>
      <c r="L72" s="45" t="s">
        <v>256</v>
      </c>
      <c r="M72" s="54" t="str">
        <f>IF($C$54&gt;=7,"q+4pz-λj","-")</f>
        <v>-</v>
      </c>
      <c r="N72" s="44" t="str">
        <f>IF($C$54&gt;=7,$C$49+4*$C$50-$N$56, "-")</f>
        <v>-</v>
      </c>
    </row>
    <row r="73" spans="2:14" x14ac:dyDescent="0.4">
      <c r="B73" s="14" t="s">
        <v>477</v>
      </c>
      <c r="C73" s="15">
        <v>1</v>
      </c>
      <c r="E73" s="3" t="s">
        <v>123</v>
      </c>
      <c r="F73" s="9" t="s">
        <v>572</v>
      </c>
      <c r="G73" s="13" t="s">
        <v>123</v>
      </c>
      <c r="H73" s="30">
        <f>$H$3</f>
        <v>400</v>
      </c>
      <c r="I73" s="30">
        <f>$C$93+$H$73</f>
        <v>-749.97399999999993</v>
      </c>
      <c r="K73" s="3">
        <f t="shared" si="0"/>
        <v>73</v>
      </c>
      <c r="L73" s="45" t="s">
        <v>257</v>
      </c>
      <c r="M73" s="54" t="str">
        <f>IF($C$54&gt;=8,"q+5pz-λj","-")</f>
        <v>-</v>
      </c>
      <c r="N73" s="44" t="str">
        <f>IF($C$54&gt;=8,$C$49+5*$C$50-$N$57, "-")</f>
        <v>-</v>
      </c>
    </row>
    <row r="74" spans="2:14" x14ac:dyDescent="0.4">
      <c r="B74" s="14" t="s">
        <v>478</v>
      </c>
      <c r="C74" s="63">
        <v>45</v>
      </c>
      <c r="E74" s="3" t="s">
        <v>600</v>
      </c>
      <c r="F74" s="9" t="s">
        <v>573</v>
      </c>
      <c r="G74" s="13" t="s">
        <v>123</v>
      </c>
      <c r="H74" s="30">
        <f>$C$5</f>
        <v>400</v>
      </c>
      <c r="I74" s="53"/>
      <c r="K74" s="3">
        <f t="shared" si="0"/>
        <v>74</v>
      </c>
      <c r="L74" s="45" t="s">
        <v>258</v>
      </c>
      <c r="M74" s="54" t="s">
        <v>258</v>
      </c>
      <c r="N74" s="44">
        <f ca="1">$C$49+($C$54-2)*$C$50-$N$58</f>
        <v>18</v>
      </c>
    </row>
    <row r="75" spans="2:14" x14ac:dyDescent="0.4">
      <c r="E75" s="3" t="s">
        <v>603</v>
      </c>
      <c r="F75" s="9" t="s">
        <v>5</v>
      </c>
      <c r="G75" s="13" t="s">
        <v>117</v>
      </c>
      <c r="H75" s="30">
        <f>$C$4</f>
        <v>5932.95</v>
      </c>
      <c r="K75" s="3">
        <f t="shared" si="0"/>
        <v>75</v>
      </c>
      <c r="L75" s="45" t="s">
        <v>148</v>
      </c>
      <c r="M75" s="54" t="s">
        <v>148</v>
      </c>
      <c r="N75" s="44">
        <f ca="1">$C$49+($C$54-1)*$C$50-$N$59</f>
        <v>13</v>
      </c>
    </row>
    <row r="76" spans="2:14" x14ac:dyDescent="0.4">
      <c r="B76" s="4" t="s">
        <v>470</v>
      </c>
      <c r="C76" s="63">
        <v>0</v>
      </c>
      <c r="E76" s="3" t="s">
        <v>604</v>
      </c>
      <c r="F76" s="9" t="s">
        <v>563</v>
      </c>
      <c r="G76" s="13" t="s">
        <v>117</v>
      </c>
      <c r="H76" s="30">
        <f>$C$14</f>
        <v>0.08</v>
      </c>
      <c r="I76" s="5"/>
      <c r="K76" s="3">
        <f t="shared" si="0"/>
        <v>76</v>
      </c>
      <c r="L76" s="45" t="s">
        <v>147</v>
      </c>
      <c r="M76" s="54" t="str">
        <f>IF($C$54&gt;=3, "λj+1-q", "-")</f>
        <v>λj+1-q</v>
      </c>
      <c r="N76" s="44">
        <f ca="1">IF($C$54&gt;=3,$N$60-$C$49, "-")</f>
        <v>17</v>
      </c>
    </row>
    <row r="77" spans="2:14" x14ac:dyDescent="0.4">
      <c r="B77" s="14" t="s">
        <v>471</v>
      </c>
      <c r="C77" s="15"/>
      <c r="H77" s="5"/>
      <c r="I77" s="5"/>
      <c r="K77" s="3">
        <f t="shared" si="0"/>
        <v>77</v>
      </c>
      <c r="L77" s="45" t="s">
        <v>259</v>
      </c>
      <c r="M77" s="54" t="str">
        <f>IF($C$54&gt;=4, "λj+1-q-pz", "-")</f>
        <v>λj+1-q-pz</v>
      </c>
      <c r="N77" s="44">
        <f ca="1">IF($C$54&gt;=4,$N$61-$C$49-$C$50, "-")</f>
        <v>22</v>
      </c>
    </row>
    <row r="78" spans="2:14" x14ac:dyDescent="0.4">
      <c r="F78" s="4" t="s">
        <v>578</v>
      </c>
      <c r="G78" s="6"/>
      <c r="H78" s="5"/>
      <c r="K78" s="3">
        <f t="shared" ref="K78:K175" si="2">ROW(K78)</f>
        <v>78</v>
      </c>
      <c r="L78" s="45" t="s">
        <v>260</v>
      </c>
      <c r="M78" s="54" t="str">
        <f>IF($C$54&gt;=5, "λj+1-q-2pz", "-")</f>
        <v>λj+1-q-2pz</v>
      </c>
      <c r="N78" s="44">
        <f ca="1">IF($C$54&gt;=5,$N$62-$C$49-2*$C$50, "-")</f>
        <v>2</v>
      </c>
    </row>
    <row r="79" spans="2:14" x14ac:dyDescent="0.4">
      <c r="B79" s="4" t="s">
        <v>456</v>
      </c>
      <c r="C79" s="63">
        <v>1</v>
      </c>
      <c r="E79" s="3" t="s">
        <v>618</v>
      </c>
      <c r="F79" s="9" t="s">
        <v>508</v>
      </c>
      <c r="G79" s="13" t="s">
        <v>117</v>
      </c>
      <c r="H79" s="68">
        <f>$C$125</f>
        <v>130002</v>
      </c>
      <c r="K79" s="3">
        <f t="shared" si="2"/>
        <v>79</v>
      </c>
      <c r="L79" s="45" t="s">
        <v>261</v>
      </c>
      <c r="M79" s="54" t="str">
        <f>IF($C$54&gt;=6, "λj+1-q-3pz", "-")</f>
        <v>-</v>
      </c>
      <c r="N79" s="44" t="str">
        <f>IF($C$54&gt;=6,$N$63-$C$49-3*$C$50, "-")</f>
        <v>-</v>
      </c>
    </row>
    <row r="80" spans="2:14" x14ac:dyDescent="0.4">
      <c r="B80" s="14" t="s">
        <v>457</v>
      </c>
      <c r="C80" s="15">
        <v>1</v>
      </c>
      <c r="E80" s="3" t="s">
        <v>125</v>
      </c>
      <c r="F80" s="9" t="s">
        <v>579</v>
      </c>
      <c r="G80" s="13" t="s">
        <v>125</v>
      </c>
      <c r="H80" s="30">
        <f ca="1">$N$93</f>
        <v>135.578</v>
      </c>
      <c r="K80" s="3">
        <f t="shared" si="2"/>
        <v>80</v>
      </c>
      <c r="L80" s="45" t="s">
        <v>262</v>
      </c>
      <c r="M80" s="54" t="str">
        <f>IF($C$54&gt;=7, "λj+1-q-4pz", "-")</f>
        <v>-</v>
      </c>
      <c r="N80" s="44" t="str">
        <f>IF($C$54&gt;=7,$N$64-$C$49-4*$C$50, "-")</f>
        <v>-</v>
      </c>
    </row>
    <row r="81" spans="1:14" x14ac:dyDescent="0.4">
      <c r="B81" s="14" t="s">
        <v>132</v>
      </c>
      <c r="C81" s="63">
        <v>45</v>
      </c>
      <c r="E81" s="3" t="s">
        <v>123</v>
      </c>
      <c r="F81" s="9" t="s">
        <v>572</v>
      </c>
      <c r="G81" s="13" t="s">
        <v>123</v>
      </c>
      <c r="H81" s="30">
        <f>$H$3</f>
        <v>400</v>
      </c>
      <c r="I81" s="30">
        <f>$C$93+$H$81</f>
        <v>-749.97399999999993</v>
      </c>
      <c r="K81" s="3">
        <f t="shared" si="2"/>
        <v>81</v>
      </c>
      <c r="L81" s="45" t="s">
        <v>263</v>
      </c>
      <c r="M81" s="54" t="str">
        <f>IF($C$54&gt;=8, "λj+1-q-5pz", "-")</f>
        <v>-</v>
      </c>
      <c r="N81" s="44" t="str">
        <f>IF($C$54&gt;=8,$N$65-$C$49-5*$C$50, "-")</f>
        <v>-</v>
      </c>
    </row>
    <row r="82" spans="1:14" x14ac:dyDescent="0.4">
      <c r="E82" s="3" t="s">
        <v>604</v>
      </c>
      <c r="F82" s="9" t="s">
        <v>563</v>
      </c>
      <c r="G82" s="13" t="s">
        <v>117</v>
      </c>
      <c r="H82" s="30">
        <f>$C$14</f>
        <v>0.08</v>
      </c>
      <c r="I82" s="5"/>
      <c r="K82" s="3">
        <f t="shared" si="2"/>
        <v>82</v>
      </c>
      <c r="L82" s="45" t="s">
        <v>264</v>
      </c>
      <c r="M82" s="54" t="s">
        <v>264</v>
      </c>
      <c r="N82" s="2">
        <f ca="1">$N$66-$C$49-($C$54-2)*$C$50</f>
        <v>7</v>
      </c>
    </row>
    <row r="83" spans="1:14" x14ac:dyDescent="0.4">
      <c r="B83" s="4" t="s">
        <v>472</v>
      </c>
      <c r="C83" s="63">
        <v>0</v>
      </c>
      <c r="H83" s="5"/>
      <c r="I83" s="5"/>
      <c r="K83" s="3">
        <f t="shared" si="2"/>
        <v>83</v>
      </c>
      <c r="L83" s="45" t="s">
        <v>179</v>
      </c>
      <c r="M83" s="54" t="s">
        <v>179</v>
      </c>
      <c r="N83" s="2">
        <f ca="1">$N$67-$C$49-($C$54-1)*$C$50</f>
        <v>12</v>
      </c>
    </row>
    <row r="84" spans="1:14" x14ac:dyDescent="0.4">
      <c r="B84" s="14" t="s">
        <v>473</v>
      </c>
      <c r="C84" s="15"/>
      <c r="F84" s="32" t="s">
        <v>644</v>
      </c>
      <c r="H84" s="5"/>
      <c r="K84" s="3">
        <f t="shared" si="2"/>
        <v>84</v>
      </c>
      <c r="L84" s="45" t="s">
        <v>267</v>
      </c>
      <c r="M84" s="54" t="str">
        <f>IF($C$54&gt;=3,"1列目湾曲中心X","-")</f>
        <v>1列目湾曲中心X</v>
      </c>
      <c r="N84" s="46">
        <f>IF($C$54&gt;=3,SQRT($C$4^2-$N$44^2),"-")</f>
        <v>5926.9390668792939</v>
      </c>
    </row>
    <row r="85" spans="1:14" x14ac:dyDescent="0.4">
      <c r="E85" s="3" t="s">
        <v>618</v>
      </c>
      <c r="F85" s="9" t="s">
        <v>508</v>
      </c>
      <c r="G85" s="13" t="s">
        <v>117</v>
      </c>
      <c r="H85" s="68">
        <f>$C$129</f>
        <v>210003</v>
      </c>
      <c r="K85" s="3">
        <f t="shared" si="2"/>
        <v>85</v>
      </c>
      <c r="L85" s="45" t="s">
        <v>268</v>
      </c>
      <c r="M85" s="54" t="str">
        <f>IF($C$54&gt;=4,"2列目湾曲中心X","-")</f>
        <v>2列目湾曲中心X</v>
      </c>
      <c r="N85" s="46">
        <f>IF($C$54&gt;=4,SQRT($C$4^2-$N$45^2),"-")</f>
        <v>5927.8062301748696</v>
      </c>
    </row>
    <row r="86" spans="1:14" x14ac:dyDescent="0.4">
      <c r="B86" s="25" t="s">
        <v>131</v>
      </c>
      <c r="C86" s="28"/>
      <c r="E86" s="3" t="s">
        <v>126</v>
      </c>
      <c r="F86" s="9" t="s">
        <v>139</v>
      </c>
      <c r="G86" s="13" t="s">
        <v>126</v>
      </c>
      <c r="H86" s="30">
        <f ca="1">$N$92</f>
        <v>135.578</v>
      </c>
      <c r="K86" s="3">
        <f t="shared" si="2"/>
        <v>86</v>
      </c>
      <c r="L86" s="45" t="s">
        <v>269</v>
      </c>
      <c r="M86" s="54" t="str">
        <f>IF($C$54&gt;=5,"3列目湾曲中心X","-")</f>
        <v>3列目湾曲中心X</v>
      </c>
      <c r="N86" s="46">
        <f>IF($C$54&gt;=5,SQRT($C$4^2-$N$46^2),"-")</f>
        <v>5928.6057975294661</v>
      </c>
    </row>
    <row r="87" spans="1:14" x14ac:dyDescent="0.4">
      <c r="A87" s="3" t="s">
        <v>1</v>
      </c>
      <c r="B87" s="14" t="s">
        <v>458</v>
      </c>
      <c r="C87" s="19">
        <v>330</v>
      </c>
      <c r="E87" s="3" t="s">
        <v>125</v>
      </c>
      <c r="F87" s="9" t="s">
        <v>579</v>
      </c>
      <c r="G87" s="13" t="s">
        <v>125</v>
      </c>
      <c r="H87" s="30">
        <f ca="1">$N$93</f>
        <v>135.578</v>
      </c>
      <c r="K87" s="3">
        <f t="shared" si="2"/>
        <v>87</v>
      </c>
      <c r="L87" s="45" t="s">
        <v>270</v>
      </c>
      <c r="M87" s="54" t="str">
        <f>IF($C$54&gt;=6,"4列目湾曲中心X","-")</f>
        <v>-</v>
      </c>
      <c r="N87" s="46" t="str">
        <f>IF($C$54&gt;=6,SQRT($C$4^2-$N$47^2),"-")</f>
        <v>-</v>
      </c>
    </row>
    <row r="88" spans="1:14" x14ac:dyDescent="0.4">
      <c r="A88" s="3" t="s">
        <v>2</v>
      </c>
      <c r="B88" s="14" t="s">
        <v>0</v>
      </c>
      <c r="C88" s="19">
        <v>40</v>
      </c>
      <c r="E88" s="3" t="s">
        <v>601</v>
      </c>
      <c r="F88" s="9" t="s">
        <v>563</v>
      </c>
      <c r="G88" s="13" t="s">
        <v>117</v>
      </c>
      <c r="H88" s="30">
        <f>$C$14</f>
        <v>0.08</v>
      </c>
      <c r="I88" s="5"/>
      <c r="K88" s="3">
        <f t="shared" si="2"/>
        <v>88</v>
      </c>
      <c r="L88" s="45" t="s">
        <v>271</v>
      </c>
      <c r="M88" s="54" t="str">
        <f>IF($C$54&gt;=7,"5列目湾曲中心X","-")</f>
        <v>-</v>
      </c>
      <c r="N88" s="46" t="str">
        <f>IF($C$54&gt;=7,SQRT($C$4^2-$N$48^2),"-")</f>
        <v>-</v>
      </c>
    </row>
    <row r="89" spans="1:14" x14ac:dyDescent="0.4">
      <c r="A89" s="3" t="s">
        <v>3</v>
      </c>
      <c r="B89" s="14" t="s">
        <v>4</v>
      </c>
      <c r="C89" s="19">
        <v>100</v>
      </c>
      <c r="E89" s="3" t="s">
        <v>123</v>
      </c>
      <c r="F89" s="9" t="s">
        <v>572</v>
      </c>
      <c r="G89" s="13" t="s">
        <v>123</v>
      </c>
      <c r="H89" s="30">
        <f>$H$3</f>
        <v>400</v>
      </c>
      <c r="I89" s="30">
        <f>$C$93+$H$89</f>
        <v>-749.97399999999993</v>
      </c>
      <c r="K89" s="3">
        <f t="shared" si="2"/>
        <v>89</v>
      </c>
      <c r="L89" s="45" t="s">
        <v>272</v>
      </c>
      <c r="M89" s="54" t="str">
        <f>IF($C$54&gt;=8,"6列目湾曲中心X","-")</f>
        <v>-</v>
      </c>
      <c r="N89" s="46" t="str">
        <f>IF($C$54&gt;=8,SQRT($C$4^2-$N$49^2),"-")</f>
        <v>-</v>
      </c>
    </row>
    <row r="90" spans="1:14" x14ac:dyDescent="0.4">
      <c r="A90" s="3" t="s">
        <v>10</v>
      </c>
      <c r="B90" s="14" t="s">
        <v>15</v>
      </c>
      <c r="C90" s="37">
        <v>201.5</v>
      </c>
      <c r="E90" s="3" t="s">
        <v>600</v>
      </c>
      <c r="F90" s="9" t="s">
        <v>573</v>
      </c>
      <c r="G90" s="13" t="s">
        <v>123</v>
      </c>
      <c r="H90" s="30">
        <f>$C$5</f>
        <v>400</v>
      </c>
      <c r="I90" s="53"/>
      <c r="K90" s="3">
        <f t="shared" si="2"/>
        <v>90</v>
      </c>
      <c r="L90" s="45" t="s">
        <v>273</v>
      </c>
      <c r="M90" s="54" t="s">
        <v>275</v>
      </c>
      <c r="N90" s="47">
        <f>SQRT($C$4^2-$N$50^2)</f>
        <v>5929.3377962888908</v>
      </c>
    </row>
    <row r="91" spans="1:14" x14ac:dyDescent="0.4">
      <c r="B91" s="14" t="s">
        <v>564</v>
      </c>
      <c r="C91" s="37">
        <v>-740</v>
      </c>
      <c r="E91" s="3" t="s">
        <v>606</v>
      </c>
      <c r="F91" s="9" t="s">
        <v>524</v>
      </c>
      <c r="G91" s="13" t="s">
        <v>126</v>
      </c>
      <c r="H91" s="30">
        <f>$C$52</f>
        <v>92.8</v>
      </c>
      <c r="K91" s="3">
        <f t="shared" si="2"/>
        <v>91</v>
      </c>
      <c r="L91" s="45" t="s">
        <v>274</v>
      </c>
      <c r="M91" s="54" t="s">
        <v>276</v>
      </c>
      <c r="N91" s="47">
        <f>SQRT($C$4^2-$N$51^2)</f>
        <v>5930.0022514751208</v>
      </c>
    </row>
    <row r="92" spans="1:14" x14ac:dyDescent="0.4">
      <c r="B92" s="14" t="s">
        <v>23</v>
      </c>
      <c r="C92" s="37">
        <v>-550.01900000000001</v>
      </c>
      <c r="E92" s="3" t="s">
        <v>607</v>
      </c>
      <c r="F92" s="9" t="s">
        <v>526</v>
      </c>
      <c r="G92" s="13" t="s">
        <v>126</v>
      </c>
      <c r="H92" s="30">
        <f>$C$53</f>
        <v>81.2</v>
      </c>
      <c r="K92" s="3">
        <f t="shared" si="2"/>
        <v>92</v>
      </c>
      <c r="L92" s="45" t="s">
        <v>197</v>
      </c>
      <c r="M92" s="55" t="s">
        <v>449</v>
      </c>
      <c r="N92" s="44">
        <f ca="1">INDEX(INDIRECT($N$2&amp;"!B:B"), MATCH(0, INDIRECT($N$2&amp;"!A:A"), 0))</f>
        <v>135.578</v>
      </c>
    </row>
    <row r="93" spans="1:14" x14ac:dyDescent="0.4">
      <c r="B93" s="14" t="s">
        <v>24</v>
      </c>
      <c r="C93" s="37">
        <v>-1149.9739999999999</v>
      </c>
      <c r="E93" s="3" t="s">
        <v>594</v>
      </c>
      <c r="F93" s="9" t="s">
        <v>521</v>
      </c>
      <c r="G93" s="13" t="s">
        <v>123</v>
      </c>
      <c r="H93" s="30">
        <f>$C$49</f>
        <v>133</v>
      </c>
      <c r="K93" s="3">
        <f>ROW(K93)</f>
        <v>93</v>
      </c>
      <c r="L93" s="45" t="s">
        <v>635</v>
      </c>
      <c r="M93" s="55" t="s">
        <v>636</v>
      </c>
      <c r="N93" s="44">
        <f ca="1">INDEX(INDIRECT($N$2&amp;"!C:C"), MATCH(0, INDIRECT($N$2&amp;"!A:A"), 0))</f>
        <v>135.578</v>
      </c>
    </row>
    <row r="94" spans="1:14" x14ac:dyDescent="0.4">
      <c r="B94" s="14" t="s">
        <v>50</v>
      </c>
      <c r="C94" s="37">
        <v>7.2999999999999995E-2</v>
      </c>
      <c r="E94" s="3" t="s">
        <v>605</v>
      </c>
      <c r="F94" s="9" t="s">
        <v>523</v>
      </c>
      <c r="G94" s="13" t="s">
        <v>126</v>
      </c>
      <c r="H94" s="30">
        <f>$C$51</f>
        <v>11.6</v>
      </c>
      <c r="K94" s="3">
        <f t="shared" si="2"/>
        <v>94</v>
      </c>
      <c r="M94" s="55" t="s">
        <v>661</v>
      </c>
      <c r="N94" s="44">
        <f ca="1">INDEX(INDIRECT($N$2&amp;"!D:D"), MATCH(0, INDIRECT($N$2&amp;"!A:A"), 0))</f>
        <v>4</v>
      </c>
    </row>
    <row r="95" spans="1:14" x14ac:dyDescent="0.4">
      <c r="B95" s="14" t="s">
        <v>437</v>
      </c>
      <c r="C95" s="19">
        <v>251.90899999999999</v>
      </c>
      <c r="E95" s="3" t="s">
        <v>608</v>
      </c>
      <c r="F95" s="9" t="s">
        <v>522</v>
      </c>
      <c r="G95" s="13" t="s">
        <v>123</v>
      </c>
      <c r="H95" s="30">
        <f>$C$50</f>
        <v>20</v>
      </c>
      <c r="K95" s="3">
        <f t="shared" si="2"/>
        <v>95</v>
      </c>
      <c r="L95" s="45" t="s">
        <v>448</v>
      </c>
      <c r="M95" s="55" t="s">
        <v>450</v>
      </c>
      <c r="N95" s="2">
        <f ca="1">INDEX(INDIRECT($N$2&amp;"!B:B"), MATCH($C$5+$C$6, INDIRECT($N$2&amp;"!A:A"), 0))</f>
        <v>134.1</v>
      </c>
    </row>
    <row r="96" spans="1:14" x14ac:dyDescent="0.4">
      <c r="B96" s="14" t="s">
        <v>438</v>
      </c>
      <c r="C96" s="19">
        <v>244.4</v>
      </c>
      <c r="E96" s="3" t="s">
        <v>604</v>
      </c>
      <c r="F96" s="9" t="s">
        <v>527</v>
      </c>
      <c r="G96" s="13" t="s">
        <v>117</v>
      </c>
      <c r="H96" s="68">
        <f>$C$54</f>
        <v>5</v>
      </c>
      <c r="K96" s="3">
        <f t="shared" si="2"/>
        <v>96</v>
      </c>
      <c r="L96" s="45" t="s">
        <v>637</v>
      </c>
      <c r="M96" s="55" t="s">
        <v>638</v>
      </c>
      <c r="N96" s="2">
        <f ca="1">INDEX(INDIRECT($N$2&amp;"!C:C"), MATCH($C$5+$C$6, INDIRECT($N$2&amp;"!A:A"), 0))</f>
        <v>134.1</v>
      </c>
    </row>
    <row r="97" spans="2:14" x14ac:dyDescent="0.4">
      <c r="B97" s="14" t="s">
        <v>542</v>
      </c>
      <c r="C97" s="38">
        <v>8</v>
      </c>
      <c r="E97" s="3" t="s">
        <v>609</v>
      </c>
      <c r="F97" s="9" t="s">
        <v>528</v>
      </c>
      <c r="G97" s="13" t="s">
        <v>117</v>
      </c>
      <c r="H97" s="30">
        <f>$C$56</f>
        <v>20</v>
      </c>
      <c r="K97" s="3">
        <f t="shared" si="2"/>
        <v>97</v>
      </c>
      <c r="M97" s="55" t="s">
        <v>662</v>
      </c>
      <c r="N97" s="2">
        <f ca="1">INDEX(INDIRECT($N$2&amp;"!D:D"), MATCH($C$5+$C$6, INDIRECT($N$2&amp;"!A:A"), 0))</f>
        <v>4</v>
      </c>
    </row>
    <row r="98" spans="2:14" x14ac:dyDescent="0.4">
      <c r="E98" s="3" t="s">
        <v>603</v>
      </c>
      <c r="F98" s="9" t="s">
        <v>5</v>
      </c>
      <c r="G98" s="13" t="s">
        <v>117</v>
      </c>
      <c r="H98" s="30">
        <f>$C$4</f>
        <v>5932.95</v>
      </c>
      <c r="K98" s="3">
        <f t="shared" si="2"/>
        <v>98</v>
      </c>
      <c r="L98" s="45" t="s">
        <v>277</v>
      </c>
      <c r="M98" s="54" t="str">
        <f>IF($C$54&gt;=3,"λj ≦ q &lt; λj+1 の wAj", "-")</f>
        <v>λj ≦ q &lt; λj+1 の wAj</v>
      </c>
      <c r="N98" s="44">
        <f ca="1">IF($C$54&gt;=3, INDEX(INDIRECT($N$2&amp;"!B:B"), MATCH($N$52, INDIRECT($N$2&amp;"!A:A"), 0)),"-")</f>
        <v>134.93028014999996</v>
      </c>
    </row>
    <row r="99" spans="2:14" x14ac:dyDescent="0.4">
      <c r="B99" s="4" t="s">
        <v>484</v>
      </c>
      <c r="E99" s="3" t="s">
        <v>610</v>
      </c>
      <c r="F99" s="9" t="s">
        <v>372</v>
      </c>
      <c r="G99" s="13" t="s">
        <v>124</v>
      </c>
      <c r="H99" s="30">
        <f>$H$7</f>
        <v>0</v>
      </c>
      <c r="I99" s="51"/>
      <c r="K99" s="3">
        <f t="shared" si="2"/>
        <v>99</v>
      </c>
      <c r="L99" s="45" t="s">
        <v>278</v>
      </c>
      <c r="M99" s="54" t="str">
        <f>IF($C$54&gt;=4,"λj ≦ q+pz &lt; λj+1 の wAj", "-")</f>
        <v>λj ≦ q+pz &lt; λj+1 の wAj</v>
      </c>
      <c r="N99" s="44">
        <f ca="1">IF($C$54&gt;=4, INDEX(INDIRECT($N$2&amp;"!B:B"), MATCH($N$53, INDIRECT($N$2&amp;"!A:A"), 0)),"-")</f>
        <v>134.84861324999997</v>
      </c>
    </row>
    <row r="100" spans="2:14" x14ac:dyDescent="0.4">
      <c r="B100" s="14" t="s">
        <v>485</v>
      </c>
      <c r="C100" s="69">
        <v>2</v>
      </c>
      <c r="E100" s="3" t="s">
        <v>124</v>
      </c>
      <c r="F100" s="10" t="s">
        <v>537</v>
      </c>
      <c r="G100" s="56" t="s">
        <v>124</v>
      </c>
      <c r="H100" s="30">
        <f ca="1">-ROUND(DEGREES($N$119),3)</f>
        <v>-3.0409999999999999</v>
      </c>
      <c r="I100" s="5"/>
      <c r="K100" s="3">
        <f t="shared" si="2"/>
        <v>100</v>
      </c>
      <c r="L100" s="45" t="s">
        <v>279</v>
      </c>
      <c r="M100" s="54" t="str">
        <f>IF($C$54&gt;=5,"λj ≦ q+2pz &lt; λj+1 の wAj", "-")</f>
        <v>λj ≦ q+2pz &lt; λj+1 の wAj</v>
      </c>
      <c r="N100" s="44">
        <f ca="1">IF($C$54&gt;=5, INDEX(INDIRECT($N$2&amp;"!B:B"), MATCH($N$54, INDIRECT($N$2&amp;"!A:A"), 0)),"-")</f>
        <v>134.84861324999997</v>
      </c>
    </row>
    <row r="101" spans="2:14" x14ac:dyDescent="0.4">
      <c r="B101" s="14" t="s">
        <v>487</v>
      </c>
      <c r="C101" s="69">
        <v>6</v>
      </c>
      <c r="H101" s="5"/>
      <c r="I101" s="5"/>
      <c r="K101" s="3">
        <f t="shared" si="2"/>
        <v>101</v>
      </c>
      <c r="L101" s="45" t="s">
        <v>280</v>
      </c>
      <c r="M101" s="54" t="str">
        <f>IF($C$54&gt;=6,"λj ≦ q+3pz &lt; λj+1 の wAj", "-")</f>
        <v>-</v>
      </c>
      <c r="N101" s="44" t="str">
        <f ca="1">IF($C$54&gt;=6, INDEX(INDIRECT($N$2&amp;"!B:B"), MATCH($N$55, INDIRECT($N$2&amp;"!A:A"), 0)),"-")</f>
        <v>-</v>
      </c>
    </row>
    <row r="102" spans="2:14" x14ac:dyDescent="0.4">
      <c r="B102" s="14" t="s">
        <v>488</v>
      </c>
      <c r="C102" s="69">
        <v>8</v>
      </c>
      <c r="F102" s="32" t="s">
        <v>645</v>
      </c>
      <c r="H102" s="5"/>
      <c r="K102" s="3">
        <f t="shared" si="2"/>
        <v>102</v>
      </c>
      <c r="L102" s="45" t="s">
        <v>281</v>
      </c>
      <c r="M102" s="54" t="str">
        <f>IF($C$54&gt;=7,"λj ≦ q+4pz &lt; λj+1 の wAj", "-")</f>
        <v>-</v>
      </c>
      <c r="N102" s="44" t="str">
        <f ca="1">IF($C$54&gt;=7, INDEX(INDIRECT($N$2&amp;"!B:B"), MATCH($N$56, INDIRECT($N$2&amp;"!A:A"), 0)),"-")</f>
        <v>-</v>
      </c>
    </row>
    <row r="103" spans="2:14" x14ac:dyDescent="0.4">
      <c r="B103" s="14" t="s">
        <v>489</v>
      </c>
      <c r="C103" s="69">
        <v>11</v>
      </c>
      <c r="E103" s="3" t="s">
        <v>601</v>
      </c>
      <c r="F103" s="9" t="s">
        <v>484</v>
      </c>
      <c r="G103" s="13" t="s">
        <v>117</v>
      </c>
      <c r="H103" s="68" cm="1">
        <f t="array" ref="H103">_xlfn.IFS($C$56&gt;=20, $C$108, $C$56&gt;=6.6, $C$109, $C$56&gt;=15, $C$110)</f>
        <v>31</v>
      </c>
      <c r="I103" s="51"/>
      <c r="K103" s="3">
        <f t="shared" si="2"/>
        <v>103</v>
      </c>
      <c r="L103" s="45" t="s">
        <v>282</v>
      </c>
      <c r="M103" s="54" t="str">
        <f>IF($C$54&gt;=8,"λj ≦ q+5pz &lt; λj+1 の wAj", "-")</f>
        <v>-</v>
      </c>
      <c r="N103" s="44" t="str">
        <f ca="1">IF($C$54&gt;=8, INDEX(INDIRECT($N$2&amp;"!B:B"), MATCH($N$57, INDIRECT($N$2&amp;"!A:A"), 0)),"-")</f>
        <v>-</v>
      </c>
    </row>
    <row r="104" spans="2:14" x14ac:dyDescent="0.4">
      <c r="B104" s="14" t="s">
        <v>490</v>
      </c>
      <c r="C104" s="69">
        <v>12</v>
      </c>
      <c r="E104" s="3" t="s">
        <v>618</v>
      </c>
      <c r="F104" s="9" t="s">
        <v>508</v>
      </c>
      <c r="G104" s="13" t="s">
        <v>117</v>
      </c>
      <c r="H104" s="68">
        <f>$C$129</f>
        <v>210003</v>
      </c>
      <c r="K104" s="3">
        <f t="shared" si="2"/>
        <v>104</v>
      </c>
      <c r="L104" s="45" t="s">
        <v>283</v>
      </c>
      <c r="M104" s="54" t="s">
        <v>285</v>
      </c>
      <c r="N104" s="44">
        <f ca="1">INDEX(INDIRECT($N$2&amp;"!B:B"), MATCH($N$58, INDIRECT($N$2&amp;"!A:A"), 0))</f>
        <v>134.76694634999998</v>
      </c>
    </row>
    <row r="105" spans="2:14" x14ac:dyDescent="0.4">
      <c r="B105" s="14" t="s">
        <v>491</v>
      </c>
      <c r="C105" s="69">
        <v>13</v>
      </c>
      <c r="H105" s="5"/>
      <c r="I105" s="5"/>
      <c r="K105" s="3">
        <f t="shared" si="2"/>
        <v>105</v>
      </c>
      <c r="L105" s="45" t="s">
        <v>284</v>
      </c>
      <c r="M105" s="54" t="s">
        <v>286</v>
      </c>
      <c r="N105" s="44">
        <f ca="1">INDEX(INDIRECT($N$2&amp;"!B:B"), MATCH($N$59, INDIRECT($N$2&amp;"!A:A"), 0))</f>
        <v>134.69500169999998</v>
      </c>
    </row>
    <row r="106" spans="2:14" x14ac:dyDescent="0.4">
      <c r="B106" s="14" t="s">
        <v>492</v>
      </c>
      <c r="C106" s="69">
        <v>16</v>
      </c>
      <c r="F106" s="32" t="s">
        <v>646</v>
      </c>
      <c r="H106" s="5"/>
      <c r="K106" s="3">
        <f t="shared" si="2"/>
        <v>106</v>
      </c>
      <c r="L106" s="45" t="s">
        <v>287</v>
      </c>
      <c r="M106" s="54" t="str">
        <f>IF($C$54&gt;=3,"λj ≦ q &lt; λj+1 の wAj+1", "-")</f>
        <v>λj ≦ q &lt; λj+1 の wAj+1</v>
      </c>
      <c r="N106" s="44">
        <f ca="1">IF($C$54&gt;=3, INDEX(INDIRECT($N$2&amp;"!B:B"), MATCH($N$60, INDIRECT($N$2&amp;"!A:A"), 0)),"-")</f>
        <v>134.84861324999997</v>
      </c>
    </row>
    <row r="107" spans="2:14" x14ac:dyDescent="0.4">
      <c r="B107" s="14" t="s">
        <v>486</v>
      </c>
      <c r="C107" s="69"/>
      <c r="E107" s="3" t="s">
        <v>601</v>
      </c>
      <c r="F107" s="9" t="s">
        <v>484</v>
      </c>
      <c r="G107" s="13" t="s">
        <v>117</v>
      </c>
      <c r="H107" s="68">
        <f>$C$100</f>
        <v>2</v>
      </c>
      <c r="I107" s="51"/>
      <c r="K107" s="3">
        <f t="shared" si="2"/>
        <v>107</v>
      </c>
      <c r="L107" s="45" t="s">
        <v>288</v>
      </c>
      <c r="M107" s="54" t="str">
        <f>IF($C$54&gt;=4,"λj ≦ q+pz &lt; λj+1 の wAj+1", "-")</f>
        <v>λj ≦ q+pz &lt; λj+1 の wAj+1</v>
      </c>
      <c r="N107" s="44">
        <f ca="1">IF($C$54&gt;=4, INDEX(INDIRECT($N$2&amp;"!B:B"), MATCH($N$61, INDIRECT($N$2&amp;"!A:A"), 0)),"-")</f>
        <v>134.76694634999998</v>
      </c>
    </row>
    <row r="108" spans="2:14" x14ac:dyDescent="0.4">
      <c r="B108" s="14" t="s">
        <v>493</v>
      </c>
      <c r="C108" s="69">
        <v>31</v>
      </c>
      <c r="E108" s="3" t="s">
        <v>618</v>
      </c>
      <c r="F108" s="9" t="s">
        <v>508</v>
      </c>
      <c r="G108" s="13" t="s">
        <v>117</v>
      </c>
      <c r="H108" s="68">
        <f>$C$130</f>
        <v>410000</v>
      </c>
      <c r="K108" s="3">
        <f t="shared" si="2"/>
        <v>108</v>
      </c>
      <c r="L108" s="45" t="s">
        <v>289</v>
      </c>
      <c r="M108" s="54" t="str">
        <f>IF($C$54&gt;=5,"λj ≦ q+2pz &lt; λj+1 の wAj+1", "-")</f>
        <v>λj ≦ q+2pz &lt; λj+1 の wAj+1</v>
      </c>
      <c r="N108" s="44">
        <f ca="1">IF($C$54&gt;=5, INDEX(INDIRECT($N$2&amp;"!B:B"), MATCH($N$62, INDIRECT($N$2&amp;"!A:A"), 0)),"-")</f>
        <v>134.76694634999998</v>
      </c>
    </row>
    <row r="109" spans="2:14" x14ac:dyDescent="0.4">
      <c r="B109" s="14" t="s">
        <v>494</v>
      </c>
      <c r="C109" s="69">
        <v>32</v>
      </c>
      <c r="E109" s="3" t="s">
        <v>126</v>
      </c>
      <c r="F109" s="9" t="s">
        <v>139</v>
      </c>
      <c r="G109" s="13" t="s">
        <v>126</v>
      </c>
      <c r="H109" s="30">
        <f ca="1">$N$92</f>
        <v>135.578</v>
      </c>
      <c r="K109" s="3">
        <f t="shared" si="2"/>
        <v>109</v>
      </c>
      <c r="L109" s="45" t="s">
        <v>290</v>
      </c>
      <c r="M109" s="54" t="str">
        <f>IF($C$54&gt;=6,"λj ≦ q+3pz &lt; λj+1 の wAj+1", "-")</f>
        <v>-</v>
      </c>
      <c r="N109" s="44" t="str">
        <f ca="1">IF($C$54&gt;=6, INDEX(INDIRECT($N$2&amp;"!B:B"), MATCH($N$63, INDIRECT($N$2&amp;"!A:A"), 0)),"-")</f>
        <v>-</v>
      </c>
    </row>
    <row r="110" spans="2:14" x14ac:dyDescent="0.4">
      <c r="B110" s="14" t="s">
        <v>495</v>
      </c>
      <c r="C110" s="69">
        <v>33</v>
      </c>
      <c r="E110" s="3" t="s">
        <v>125</v>
      </c>
      <c r="F110" s="9" t="s">
        <v>579</v>
      </c>
      <c r="G110" s="13" t="s">
        <v>125</v>
      </c>
      <c r="H110" s="30">
        <f ca="1">$N$93</f>
        <v>135.578</v>
      </c>
      <c r="K110" s="3">
        <f t="shared" si="2"/>
        <v>110</v>
      </c>
      <c r="L110" s="45" t="s">
        <v>291</v>
      </c>
      <c r="M110" s="54" t="str">
        <f>IF($C$54&gt;=7,"λj ≦ q+4pz &lt; λj+1 の wAj+1", "-")</f>
        <v>-</v>
      </c>
      <c r="N110" s="44" t="str">
        <f ca="1">IF($C$54&gt;=7, INDEX(INDIRECT($N$2&amp;"!B:B"), MATCH($N$64, INDIRECT($N$2&amp;"!A:A"), 0)),"-")</f>
        <v>-</v>
      </c>
    </row>
    <row r="111" spans="2:14" x14ac:dyDescent="0.4">
      <c r="B111" s="14" t="s">
        <v>496</v>
      </c>
      <c r="C111" s="69">
        <v>36</v>
      </c>
      <c r="E111" s="3" t="s">
        <v>123</v>
      </c>
      <c r="F111" s="9" t="s">
        <v>572</v>
      </c>
      <c r="G111" s="13" t="s">
        <v>123</v>
      </c>
      <c r="H111" s="30">
        <f>$H$3</f>
        <v>400</v>
      </c>
      <c r="I111" s="30">
        <f>$C$93+$H$111</f>
        <v>-749.97399999999993</v>
      </c>
      <c r="K111" s="3">
        <f t="shared" si="2"/>
        <v>111</v>
      </c>
      <c r="L111" s="45" t="s">
        <v>292</v>
      </c>
      <c r="M111" s="54" t="str">
        <f>IF($C$54&gt;=8,"λj ≦ q+5pz &lt; λj+1 の wAj+1", "-")</f>
        <v>-</v>
      </c>
      <c r="N111" s="44" t="str">
        <f ca="1">IF($C$54&gt;=8, INDEX(INDIRECT($N$2&amp;"!B:B"), MATCH($N$65, INDIRECT($N$2&amp;"!A:A"), 0)),"-")</f>
        <v>-</v>
      </c>
    </row>
    <row r="112" spans="2:14" x14ac:dyDescent="0.4">
      <c r="B112" s="14" t="s">
        <v>497</v>
      </c>
      <c r="C112" s="69">
        <v>41</v>
      </c>
      <c r="E112" s="3" t="s">
        <v>603</v>
      </c>
      <c r="F112" s="9" t="s">
        <v>639</v>
      </c>
      <c r="G112" s="13" t="s">
        <v>117</v>
      </c>
      <c r="H112" s="30">
        <f>$C$11</f>
        <v>12</v>
      </c>
      <c r="K112" s="3">
        <f t="shared" si="2"/>
        <v>112</v>
      </c>
      <c r="L112" s="45" t="s">
        <v>293</v>
      </c>
      <c r="M112" s="54" t="s">
        <v>295</v>
      </c>
      <c r="N112" s="44">
        <f ca="1">INDEX(INDIRECT($N$2&amp;"!B:B"), MATCH($N$66, INDIRECT($N$2&amp;"!A:A"), 0))</f>
        <v>134.69500169999998</v>
      </c>
    </row>
    <row r="113" spans="2:14" x14ac:dyDescent="0.4">
      <c r="B113" s="14" t="s">
        <v>498</v>
      </c>
      <c r="C113" s="69">
        <v>50</v>
      </c>
      <c r="H113" s="5"/>
      <c r="I113" s="5"/>
      <c r="K113" s="3">
        <f t="shared" si="2"/>
        <v>113</v>
      </c>
      <c r="L113" s="45" t="s">
        <v>294</v>
      </c>
      <c r="M113" s="54" t="s">
        <v>296</v>
      </c>
      <c r="N113" s="44">
        <f ca="1">INDEX(INDIRECT($N$2&amp;"!B:B"), MATCH($N$67, INDIRECT($N$2&amp;"!A:A"), 0))</f>
        <v>134.63472374999998</v>
      </c>
    </row>
    <row r="114" spans="2:14" x14ac:dyDescent="0.4">
      <c r="F114" s="4" t="s">
        <v>647</v>
      </c>
      <c r="H114" s="28"/>
      <c r="K114" s="3">
        <f t="shared" si="2"/>
        <v>114</v>
      </c>
      <c r="L114" s="45" t="s">
        <v>307</v>
      </c>
      <c r="M114" s="54" t="s">
        <v>220</v>
      </c>
      <c r="N114" s="2">
        <f ca="1">$C$4+$H$271/2</f>
        <v>6000.8189999999995</v>
      </c>
    </row>
    <row r="115" spans="2:14" x14ac:dyDescent="0.4">
      <c r="B115" s="4" t="s">
        <v>582</v>
      </c>
      <c r="E115" s="3" t="s">
        <v>601</v>
      </c>
      <c r="F115" s="9" t="s">
        <v>484</v>
      </c>
      <c r="G115" s="13" t="s">
        <v>117</v>
      </c>
      <c r="H115" s="68">
        <f>IF($C$27&lt;&gt;1,$C$106,$C$107)</f>
        <v>16</v>
      </c>
      <c r="I115" s="51"/>
      <c r="K115" s="3">
        <f t="shared" si="2"/>
        <v>115</v>
      </c>
      <c r="L115" s="45" t="s">
        <v>308</v>
      </c>
      <c r="M115" s="54" t="s">
        <v>221</v>
      </c>
      <c r="N115" s="2">
        <f ca="1">$C$4+$H$272/2</f>
        <v>6000.4820733709994</v>
      </c>
    </row>
    <row r="116" spans="2:14" x14ac:dyDescent="0.4">
      <c r="B116" s="14" t="s">
        <v>580</v>
      </c>
      <c r="C116" s="19">
        <v>40</v>
      </c>
      <c r="E116" s="3" t="s">
        <v>618</v>
      </c>
      <c r="F116" s="9" t="s">
        <v>508</v>
      </c>
      <c r="G116" s="13" t="s">
        <v>117</v>
      </c>
      <c r="H116" s="68">
        <f>$C$131</f>
        <v>420000</v>
      </c>
      <c r="K116" s="3">
        <f t="shared" si="2"/>
        <v>116</v>
      </c>
      <c r="L116" s="45" t="s">
        <v>311</v>
      </c>
      <c r="M116" s="54" t="s">
        <v>544</v>
      </c>
      <c r="N116" s="2">
        <f ca="1">SQRT($N$115^2-$N$44^2)</f>
        <v>5994.5388573973496</v>
      </c>
    </row>
    <row r="117" spans="2:14" x14ac:dyDescent="0.4">
      <c r="B117" s="14" t="s">
        <v>581</v>
      </c>
      <c r="C117" s="19">
        <v>32</v>
      </c>
      <c r="E117" s="3" t="s">
        <v>126</v>
      </c>
      <c r="F117" s="9" t="s">
        <v>588</v>
      </c>
      <c r="G117" s="13" t="s">
        <v>126</v>
      </c>
      <c r="H117" s="30">
        <f>$C$29</f>
        <v>0</v>
      </c>
      <c r="I117" s="51"/>
      <c r="K117" s="3">
        <f t="shared" si="2"/>
        <v>117</v>
      </c>
      <c r="L117" s="45" t="s">
        <v>312</v>
      </c>
      <c r="M117" s="54" t="s">
        <v>544</v>
      </c>
      <c r="N117" s="2">
        <f ca="1">SQRT($N$114^2-$C$5^2)</f>
        <v>5987.4726446774685</v>
      </c>
    </row>
    <row r="118" spans="2:14" x14ac:dyDescent="0.4">
      <c r="B118" s="14" t="s">
        <v>529</v>
      </c>
      <c r="C118" s="19">
        <v>3</v>
      </c>
      <c r="E118" s="3" t="s">
        <v>125</v>
      </c>
      <c r="F118" s="9" t="s">
        <v>589</v>
      </c>
      <c r="G118" s="13" t="s">
        <v>125</v>
      </c>
      <c r="H118" s="30">
        <f>$C$30</f>
        <v>0</v>
      </c>
      <c r="I118" s="51"/>
      <c r="K118" s="3">
        <f t="shared" si="2"/>
        <v>118</v>
      </c>
      <c r="L118" s="45" t="s">
        <v>180</v>
      </c>
      <c r="M118" s="54" t="s">
        <v>180</v>
      </c>
      <c r="N118" s="2">
        <f ca="1">IF($N$116&gt;$N$117, ($N$116-$N$117)/$C$49, 0)</f>
        <v>5.3129418946474813E-2</v>
      </c>
    </row>
    <row r="119" spans="2:14" x14ac:dyDescent="0.4">
      <c r="E119" s="3" t="s">
        <v>609</v>
      </c>
      <c r="F119" s="9" t="s">
        <v>74</v>
      </c>
      <c r="G119" s="13" t="s">
        <v>126</v>
      </c>
      <c r="H119" s="30">
        <f>$C$9</f>
        <v>152.80000000000001</v>
      </c>
      <c r="I119" s="71"/>
      <c r="K119" s="3">
        <f t="shared" si="2"/>
        <v>119</v>
      </c>
      <c r="L119" s="45" t="s">
        <v>181</v>
      </c>
      <c r="M119" s="54" t="s">
        <v>585</v>
      </c>
      <c r="N119" s="2">
        <f ca="1">ATAN($N$118)</f>
        <v>5.3079513348498107E-2</v>
      </c>
    </row>
    <row r="120" spans="2:14" x14ac:dyDescent="0.4">
      <c r="B120" s="4" t="s">
        <v>508</v>
      </c>
      <c r="E120" s="3" t="s">
        <v>611</v>
      </c>
      <c r="F120" s="9" t="s">
        <v>11</v>
      </c>
      <c r="G120" s="13" t="s">
        <v>125</v>
      </c>
      <c r="H120" s="30">
        <f>$C$10</f>
        <v>152.80000000000001</v>
      </c>
      <c r="I120" s="71"/>
      <c r="K120" s="3">
        <f t="shared" si="2"/>
        <v>120</v>
      </c>
      <c r="L120" s="45" t="s">
        <v>181</v>
      </c>
      <c r="M120" s="54" t="s">
        <v>586</v>
      </c>
      <c r="N120" s="2">
        <f ca="1">-RADIANS($H$100)</f>
        <v>5.3075462553147559E-2</v>
      </c>
    </row>
    <row r="121" spans="2:14" x14ac:dyDescent="0.4">
      <c r="B121" s="14" t="s">
        <v>509</v>
      </c>
      <c r="C121" s="69">
        <v>110001</v>
      </c>
      <c r="E121" s="3" t="s">
        <v>123</v>
      </c>
      <c r="F121" s="9" t="s">
        <v>572</v>
      </c>
      <c r="G121" s="13" t="s">
        <v>123</v>
      </c>
      <c r="H121" s="30">
        <f>$H$3</f>
        <v>400</v>
      </c>
      <c r="I121" s="30">
        <f>$C$93+$H$121</f>
        <v>-749.97399999999993</v>
      </c>
      <c r="K121" s="3">
        <f t="shared" si="2"/>
        <v>121</v>
      </c>
      <c r="L121" s="45" t="s">
        <v>389</v>
      </c>
      <c r="M121" s="54" t="s">
        <v>389</v>
      </c>
      <c r="N121" s="2">
        <f ca="1">SIN($N$120)</f>
        <v>5.3050547091287509E-2</v>
      </c>
    </row>
    <row r="122" spans="2:14" x14ac:dyDescent="0.4">
      <c r="B122" s="14" t="s">
        <v>510</v>
      </c>
      <c r="C122" s="69">
        <v>110002</v>
      </c>
      <c r="E122" s="3" t="s">
        <v>603</v>
      </c>
      <c r="F122" s="9" t="s">
        <v>612</v>
      </c>
      <c r="G122" s="13" t="s">
        <v>117</v>
      </c>
      <c r="H122" s="30">
        <f>$C$32</f>
        <v>0</v>
      </c>
      <c r="I122" s="71"/>
      <c r="K122" s="3">
        <f t="shared" si="2"/>
        <v>122</v>
      </c>
      <c r="L122" s="45" t="s">
        <v>388</v>
      </c>
      <c r="M122" s="54" t="s">
        <v>388</v>
      </c>
      <c r="N122" s="2">
        <f ca="1">COS($N$120)</f>
        <v>0.99859182825282278</v>
      </c>
    </row>
    <row r="123" spans="2:14" x14ac:dyDescent="0.4">
      <c r="B123" s="14" t="s">
        <v>511</v>
      </c>
      <c r="C123" s="69">
        <v>120001</v>
      </c>
      <c r="E123" s="3" t="s">
        <v>608</v>
      </c>
      <c r="F123" s="9" t="s">
        <v>482</v>
      </c>
      <c r="G123" s="13" t="s">
        <v>123</v>
      </c>
      <c r="H123" s="30">
        <f>$C$31</f>
        <v>0</v>
      </c>
      <c r="I123" s="71"/>
      <c r="K123" s="3">
        <f t="shared" si="2"/>
        <v>123</v>
      </c>
      <c r="L123" s="45" t="s">
        <v>309</v>
      </c>
      <c r="M123" s="54" t="s">
        <v>142</v>
      </c>
      <c r="N123" s="2">
        <f ca="1">$C$4-$H$272/2</f>
        <v>5865.4179266290002</v>
      </c>
    </row>
    <row r="124" spans="2:14" x14ac:dyDescent="0.4">
      <c r="B124" s="14" t="s">
        <v>512</v>
      </c>
      <c r="C124" s="69">
        <v>130001</v>
      </c>
      <c r="E124" s="3" t="s">
        <v>604</v>
      </c>
      <c r="F124" s="9" t="s">
        <v>38</v>
      </c>
      <c r="G124" s="13" t="s">
        <v>123</v>
      </c>
      <c r="H124" s="30">
        <f>$C$42</f>
        <v>24.05</v>
      </c>
      <c r="I124" s="71"/>
      <c r="K124" s="3">
        <f t="shared" si="2"/>
        <v>124</v>
      </c>
      <c r="L124" s="45" t="s">
        <v>310</v>
      </c>
      <c r="M124" s="54" t="s">
        <v>143</v>
      </c>
      <c r="N124" s="2">
        <f ca="1">$C$4-$H$273/2</f>
        <v>5865.5381714169998</v>
      </c>
    </row>
    <row r="125" spans="2:14" x14ac:dyDescent="0.4">
      <c r="B125" s="14" t="s">
        <v>513</v>
      </c>
      <c r="C125" s="69">
        <v>130002</v>
      </c>
      <c r="E125" s="3" t="s">
        <v>600</v>
      </c>
      <c r="F125" s="9" t="s">
        <v>39</v>
      </c>
      <c r="G125" s="13" t="s">
        <v>123</v>
      </c>
      <c r="H125" s="30">
        <f>$C$43</f>
        <v>9.0500000000000007</v>
      </c>
      <c r="I125" s="71"/>
      <c r="K125" s="3">
        <f t="shared" si="2"/>
        <v>125</v>
      </c>
      <c r="L125" s="45" t="s">
        <v>313</v>
      </c>
      <c r="M125" s="54" t="s">
        <v>548</v>
      </c>
      <c r="N125" s="2">
        <f ca="1">SQRT($N$124^2-$N$51^2)</f>
        <v>5862.5565276890829</v>
      </c>
    </row>
    <row r="126" spans="2:14" x14ac:dyDescent="0.4">
      <c r="B126" s="14" t="s">
        <v>514</v>
      </c>
      <c r="C126" s="69">
        <v>140001</v>
      </c>
      <c r="F126" s="21"/>
      <c r="G126" s="23"/>
      <c r="H126" s="5"/>
      <c r="K126" s="3">
        <f t="shared" si="2"/>
        <v>126</v>
      </c>
      <c r="L126" s="45" t="s">
        <v>314</v>
      </c>
      <c r="M126" s="54" t="s">
        <v>548</v>
      </c>
      <c r="N126" s="2">
        <f ca="1">SQRT($N$123^2-$N$44^2)</f>
        <v>5859.337714624482</v>
      </c>
    </row>
    <row r="127" spans="2:14" x14ac:dyDescent="0.4">
      <c r="B127" s="14" t="s">
        <v>516</v>
      </c>
      <c r="C127" s="69">
        <v>150002</v>
      </c>
      <c r="F127" s="25" t="s">
        <v>648</v>
      </c>
      <c r="G127" s="65"/>
      <c r="H127" s="28"/>
      <c r="K127" s="3">
        <f t="shared" si="2"/>
        <v>127</v>
      </c>
      <c r="L127" s="45" t="s">
        <v>182</v>
      </c>
      <c r="N127" s="2">
        <f ca="1">($N125-$N126)/($N$44-$N$51)</f>
        <v>4.0235163307511354E-2</v>
      </c>
    </row>
    <row r="128" spans="2:14" x14ac:dyDescent="0.4">
      <c r="B128" s="14" t="s">
        <v>515</v>
      </c>
      <c r="C128" s="69">
        <v>150003</v>
      </c>
      <c r="E128" s="3" t="s">
        <v>601</v>
      </c>
      <c r="F128" s="9" t="s">
        <v>484</v>
      </c>
      <c r="G128" s="13" t="s">
        <v>117</v>
      </c>
      <c r="H128" s="68">
        <f>IF($C$43&gt;=7.1, $C$101, $C$102)</f>
        <v>6</v>
      </c>
      <c r="I128" s="51"/>
      <c r="K128" s="3">
        <f t="shared" si="2"/>
        <v>128</v>
      </c>
      <c r="L128" s="45" t="s">
        <v>183</v>
      </c>
      <c r="M128" s="54" t="s">
        <v>149</v>
      </c>
      <c r="N128" s="2">
        <f ca="1">ATAN($N$127)</f>
        <v>4.0213472561262772E-2</v>
      </c>
    </row>
    <row r="129" spans="2:14" x14ac:dyDescent="0.4">
      <c r="B129" s="14" t="s">
        <v>551</v>
      </c>
      <c r="C129" s="69">
        <v>210003</v>
      </c>
      <c r="E129" s="3" t="s">
        <v>618</v>
      </c>
      <c r="F129" s="9" t="s">
        <v>508</v>
      </c>
      <c r="G129" s="13" t="s">
        <v>117</v>
      </c>
      <c r="H129" s="68">
        <f>$C$132</f>
        <v>430000</v>
      </c>
      <c r="K129" s="3">
        <f>ROW(K129)</f>
        <v>129</v>
      </c>
      <c r="L129" s="45" t="s">
        <v>185</v>
      </c>
      <c r="M129" s="54" t="s">
        <v>549</v>
      </c>
      <c r="N129" s="2">
        <f>IF(MOD($C$54, 2)=0, $C$52, $C$53)</f>
        <v>81.2</v>
      </c>
    </row>
    <row r="130" spans="2:14" x14ac:dyDescent="0.4">
      <c r="B130" s="14" t="s">
        <v>552</v>
      </c>
      <c r="C130" s="69">
        <v>410000</v>
      </c>
      <c r="E130" s="3" t="s">
        <v>610</v>
      </c>
      <c r="F130" s="10" t="s">
        <v>628</v>
      </c>
      <c r="G130" s="30" t="s">
        <v>117</v>
      </c>
      <c r="H130" s="68">
        <f>$C$26</f>
        <v>0</v>
      </c>
      <c r="I130" s="51"/>
      <c r="K130" s="3">
        <f t="shared" si="2"/>
        <v>130</v>
      </c>
      <c r="L130" s="45" t="s">
        <v>184</v>
      </c>
      <c r="M130" s="54" t="s">
        <v>550</v>
      </c>
      <c r="N130" s="2">
        <f>IF(MOD($C$54, 2)=0, $C$53, $C$52)</f>
        <v>92.8</v>
      </c>
    </row>
    <row r="131" spans="2:14" x14ac:dyDescent="0.4">
      <c r="B131" s="14" t="s">
        <v>553</v>
      </c>
      <c r="C131" s="69">
        <v>420000</v>
      </c>
      <c r="E131" s="3" t="s">
        <v>608</v>
      </c>
      <c r="F131" s="10" t="s">
        <v>592</v>
      </c>
      <c r="G131" s="30" t="s">
        <v>117</v>
      </c>
      <c r="H131" s="68">
        <f>$C$38</f>
        <v>4</v>
      </c>
      <c r="I131" s="51"/>
      <c r="K131" s="3">
        <f t="shared" si="2"/>
        <v>131</v>
      </c>
      <c r="L131" s="45" t="s">
        <v>316</v>
      </c>
      <c r="M131" s="54" t="s">
        <v>195</v>
      </c>
      <c r="N131" s="2">
        <f ca="1">$H$271/2-$H$261-$N$129/2</f>
        <v>17.381828769147198</v>
      </c>
    </row>
    <row r="132" spans="2:14" x14ac:dyDescent="0.4">
      <c r="B132" s="14" t="s">
        <v>554</v>
      </c>
      <c r="C132" s="69">
        <v>430000</v>
      </c>
      <c r="E132" s="3" t="s">
        <v>602</v>
      </c>
      <c r="F132" s="10" t="s">
        <v>590</v>
      </c>
      <c r="G132" s="30" t="s">
        <v>117</v>
      </c>
      <c r="H132" s="30" t="str">
        <f>IF($C$38=2, $C$46, "#0")</f>
        <v>#0</v>
      </c>
      <c r="I132" s="51"/>
      <c r="K132" s="3">
        <f t="shared" si="2"/>
        <v>132</v>
      </c>
      <c r="L132" s="45" t="s">
        <v>317</v>
      </c>
      <c r="M132" s="54" t="s">
        <v>196</v>
      </c>
      <c r="N132" s="2">
        <f ca="1">$H$271/2-$H$262-$N$130/2</f>
        <v>10.917373582917158</v>
      </c>
    </row>
    <row r="133" spans="2:14" x14ac:dyDescent="0.4">
      <c r="B133" s="14" t="s">
        <v>555</v>
      </c>
      <c r="C133" s="69">
        <v>440000</v>
      </c>
      <c r="E133" s="3" t="s">
        <v>603</v>
      </c>
      <c r="F133" s="10" t="s">
        <v>591</v>
      </c>
      <c r="G133" s="30" t="s">
        <v>117</v>
      </c>
      <c r="H133" s="30" t="str">
        <f>IF($C$38=1, $C$45, "#0")</f>
        <v>#0</v>
      </c>
      <c r="I133" s="51"/>
      <c r="K133" s="3">
        <f t="shared" si="2"/>
        <v>133</v>
      </c>
      <c r="L133" s="45" t="s">
        <v>321</v>
      </c>
      <c r="M133" s="54" t="str">
        <f>IF($C$54&gt;=3,"λj ≦ q &lt; λj+1 の wBj", "-")</f>
        <v>λj ≦ q &lt; λj+1 の wBj</v>
      </c>
      <c r="N133" s="44">
        <f ca="1">IF($C$54&gt;=3, INDEX(INDIRECT($N$2&amp;"!C:C"), MATCH($N$52, INDIRECT($N$2&amp;"!A:A"), 0)),"-")</f>
        <v>134.93028014999996</v>
      </c>
    </row>
    <row r="134" spans="2:14" x14ac:dyDescent="0.4">
      <c r="B134" s="14" t="s">
        <v>556</v>
      </c>
      <c r="C134" s="69">
        <v>450000</v>
      </c>
      <c r="E134" s="3" t="s">
        <v>126</v>
      </c>
      <c r="F134" s="9" t="s">
        <v>41</v>
      </c>
      <c r="G134" s="13" t="s">
        <v>126</v>
      </c>
      <c r="H134" s="30" t="str">
        <f>IF($C$38=4, "#0", $C$40)</f>
        <v>#0</v>
      </c>
      <c r="I134" s="51"/>
      <c r="K134" s="3">
        <f t="shared" si="2"/>
        <v>134</v>
      </c>
      <c r="L134" s="45" t="s">
        <v>322</v>
      </c>
      <c r="M134" s="54" t="str">
        <f>IF($C$54&gt;=4,"λj ≦ q+pz &lt; λj+1 の wBj", "-")</f>
        <v>λj ≦ q+pz &lt; λj+1 の wBj</v>
      </c>
      <c r="N134" s="44">
        <f ca="1">IF($C$54&gt;=4, INDEX(INDIRECT($N$2&amp;"!C:C"), MATCH($N$53, INDIRECT($N$2&amp;"!A:A"), 0)),"-")</f>
        <v>134.84861324999997</v>
      </c>
    </row>
    <row r="135" spans="2:14" x14ac:dyDescent="0.4">
      <c r="E135" s="3" t="s">
        <v>125</v>
      </c>
      <c r="F135" s="9" t="s">
        <v>593</v>
      </c>
      <c r="G135" s="13" t="s">
        <v>125</v>
      </c>
      <c r="H135" s="30">
        <f>$C$41</f>
        <v>147.80000000000001</v>
      </c>
      <c r="I135" s="51"/>
      <c r="K135" s="3">
        <f t="shared" si="2"/>
        <v>135</v>
      </c>
      <c r="L135" s="45" t="s">
        <v>323</v>
      </c>
      <c r="M135" s="54" t="str">
        <f>IF($C$54&gt;=5,"λj ≦ q+2pz &lt; λj+1 の wBj", "-")</f>
        <v>λj ≦ q+2pz &lt; λj+1 の wBj</v>
      </c>
      <c r="N135" s="44">
        <f ca="1">IF($C$54&gt;=5, INDEX(INDIRECT($N$2&amp;"!C:C"), MATCH($N$54, INDIRECT($N$2&amp;"!A:A"), 0)),"-")</f>
        <v>134.84861324999997</v>
      </c>
    </row>
    <row r="136" spans="2:14" x14ac:dyDescent="0.4">
      <c r="E136" s="3" t="s">
        <v>609</v>
      </c>
      <c r="F136" s="9" t="s">
        <v>74</v>
      </c>
      <c r="G136" s="13" t="s">
        <v>126</v>
      </c>
      <c r="H136" s="30">
        <f>$C$9</f>
        <v>152.80000000000001</v>
      </c>
      <c r="I136" s="71"/>
      <c r="K136" s="3">
        <f t="shared" si="2"/>
        <v>136</v>
      </c>
      <c r="L136" s="45" t="s">
        <v>324</v>
      </c>
      <c r="M136" s="54" t="str">
        <f>IF($C$54&gt;=6,"λj ≦ q+3pz &lt; λj+1 の wBj", "-")</f>
        <v>-</v>
      </c>
      <c r="N136" s="44" t="str">
        <f ca="1">IF($C$54&gt;=6, INDEX(INDIRECT($N$2&amp;"!C:C"), MATCH($N$55, INDIRECT($N$2&amp;"!A:A"), 0)),"-")</f>
        <v>-</v>
      </c>
    </row>
    <row r="137" spans="2:14" x14ac:dyDescent="0.4">
      <c r="E137" s="3" t="s">
        <v>611</v>
      </c>
      <c r="F137" s="9" t="s">
        <v>11</v>
      </c>
      <c r="G137" s="13" t="s">
        <v>125</v>
      </c>
      <c r="H137" s="30">
        <f>$C$10</f>
        <v>152.80000000000001</v>
      </c>
      <c r="I137" s="71"/>
      <c r="K137" s="3">
        <f t="shared" si="2"/>
        <v>137</v>
      </c>
      <c r="L137" s="45" t="s">
        <v>325</v>
      </c>
      <c r="M137" s="54" t="str">
        <f>IF($C$54&gt;=7,"λj ≦ q+4pz &lt; λj+1 の wBj", "-")</f>
        <v>-</v>
      </c>
      <c r="N137" s="44" t="str">
        <f ca="1">IF($C$54&gt;=7, INDEX(INDIRECT($N$2&amp;"!C:C"), MATCH($N$56, INDIRECT($N$2&amp;"!A:A"), 0)),"-")</f>
        <v>-</v>
      </c>
    </row>
    <row r="138" spans="2:14" x14ac:dyDescent="0.4">
      <c r="E138" s="3" t="s">
        <v>609</v>
      </c>
      <c r="F138" s="9" t="s">
        <v>588</v>
      </c>
      <c r="G138" s="13" t="s">
        <v>126</v>
      </c>
      <c r="H138" s="30">
        <f>$C$29</f>
        <v>0</v>
      </c>
      <c r="I138" s="51"/>
      <c r="K138" s="3">
        <f t="shared" si="2"/>
        <v>138</v>
      </c>
      <c r="L138" s="45" t="s">
        <v>326</v>
      </c>
      <c r="M138" s="54" t="str">
        <f>IF($C$54&gt;=8,"λj ≦ q+5pz &lt; λj+1 の wBj", "-")</f>
        <v>-</v>
      </c>
      <c r="N138" s="44" t="str">
        <f ca="1">IF($C$54&gt;=8, INDEX(INDIRECT($N$2&amp;"!C:C"), MATCH($N$57, INDIRECT($N$2&amp;"!A:A"), 0)),"-")</f>
        <v>-</v>
      </c>
    </row>
    <row r="139" spans="2:14" x14ac:dyDescent="0.4">
      <c r="E139" s="3" t="s">
        <v>611</v>
      </c>
      <c r="F139" s="9" t="s">
        <v>589</v>
      </c>
      <c r="G139" s="13" t="s">
        <v>125</v>
      </c>
      <c r="H139" s="30">
        <f>$C$30</f>
        <v>0</v>
      </c>
      <c r="I139" s="51"/>
      <c r="K139" s="3">
        <f t="shared" si="2"/>
        <v>139</v>
      </c>
      <c r="L139" s="45" t="s">
        <v>327</v>
      </c>
      <c r="M139" s="54" t="s">
        <v>337</v>
      </c>
      <c r="N139" s="44">
        <f ca="1">INDEX(INDIRECT($N$2&amp;"!C:C"), MATCH($N$58, INDIRECT($N$2&amp;"!A:A"), 0))</f>
        <v>134.76694634999998</v>
      </c>
    </row>
    <row r="140" spans="2:14" x14ac:dyDescent="0.4">
      <c r="E140" s="3" t="s">
        <v>123</v>
      </c>
      <c r="F140" s="9" t="s">
        <v>572</v>
      </c>
      <c r="G140" s="13" t="s">
        <v>123</v>
      </c>
      <c r="H140" s="30">
        <f>$H$3</f>
        <v>400</v>
      </c>
      <c r="I140" s="30">
        <f>$C$93+$H$140</f>
        <v>-749.97399999999993</v>
      </c>
      <c r="K140" s="3">
        <f t="shared" si="2"/>
        <v>140</v>
      </c>
      <c r="L140" s="45" t="s">
        <v>328</v>
      </c>
      <c r="M140" s="54" t="s">
        <v>338</v>
      </c>
      <c r="N140" s="44">
        <f ca="1">INDEX(INDIRECT($N$2&amp;"!C:C"), MATCH($N$59, INDIRECT($N$2&amp;"!A:A"), 0))</f>
        <v>134.69500169999998</v>
      </c>
    </row>
    <row r="141" spans="2:14" x14ac:dyDescent="0.4">
      <c r="E141" s="3" t="s">
        <v>600</v>
      </c>
      <c r="F141" s="9" t="s">
        <v>573</v>
      </c>
      <c r="G141" s="13" t="s">
        <v>123</v>
      </c>
      <c r="H141" s="30">
        <f>$C$5</f>
        <v>400</v>
      </c>
      <c r="I141" s="53"/>
      <c r="K141" s="3">
        <f t="shared" si="2"/>
        <v>141</v>
      </c>
      <c r="L141" s="45" t="s">
        <v>329</v>
      </c>
      <c r="M141" s="54" t="str">
        <f>IF($C$54&gt;=3,"λj ≦ q &lt; λj+1 の wBj+1", "-")</f>
        <v>λj ≦ q &lt; λj+1 の wBj+1</v>
      </c>
      <c r="N141" s="44">
        <f ca="1">IF($C$54&gt;=3, INDEX(INDIRECT($N$2&amp;"!C:C"), MATCH($N$60, INDIRECT($N$2&amp;"!A:A"), 0)),"-")</f>
        <v>134.84861324999997</v>
      </c>
    </row>
    <row r="142" spans="2:14" x14ac:dyDescent="0.4">
      <c r="E142" s="3" t="s">
        <v>594</v>
      </c>
      <c r="F142" s="9" t="s">
        <v>5</v>
      </c>
      <c r="G142" s="13" t="s">
        <v>117</v>
      </c>
      <c r="H142" s="30">
        <f>$C$4</f>
        <v>5932.95</v>
      </c>
      <c r="K142" s="3">
        <f t="shared" si="2"/>
        <v>142</v>
      </c>
      <c r="L142" s="45" t="s">
        <v>330</v>
      </c>
      <c r="M142" s="54" t="str">
        <f>IF($C$54&gt;=4,"λj ≦ q+pz &lt; λj+1 の wBj+1", "-")</f>
        <v>λj ≦ q+pz &lt; λj+1 の wBj+1</v>
      </c>
      <c r="N142" s="44">
        <f ca="1">IF($C$54&gt;=4, INDEX(INDIRECT($N$2&amp;"!C:C"), MATCH($N$61, INDIRECT($N$2&amp;"!A:A"), 0)),"-")</f>
        <v>134.76694634999998</v>
      </c>
    </row>
    <row r="143" spans="2:14" x14ac:dyDescent="0.4">
      <c r="E143" s="3" t="s">
        <v>604</v>
      </c>
      <c r="F143" s="9" t="s">
        <v>38</v>
      </c>
      <c r="G143" s="13" t="s">
        <v>123</v>
      </c>
      <c r="H143" s="30">
        <f>$C$42</f>
        <v>24.05</v>
      </c>
      <c r="I143" s="71"/>
      <c r="K143" s="3">
        <f t="shared" si="2"/>
        <v>143</v>
      </c>
      <c r="L143" s="45" t="s">
        <v>331</v>
      </c>
      <c r="M143" s="54" t="str">
        <f>IF($C$54&gt;=5,"λj ≦ q+2pz &lt; λj+1 の wBj+1", "-")</f>
        <v>λj ≦ q+2pz &lt; λj+1 の wBj+1</v>
      </c>
      <c r="N143" s="44">
        <f ca="1">IF($C$54&gt;=5, INDEX(INDIRECT($N$2&amp;"!C:C"), MATCH($N$62, INDIRECT($N$2&amp;"!A:A"), 0)),"-")</f>
        <v>134.76694634999998</v>
      </c>
    </row>
    <row r="144" spans="2:14" x14ac:dyDescent="0.4">
      <c r="E144" s="3" t="s">
        <v>629</v>
      </c>
      <c r="F144" s="9" t="s">
        <v>39</v>
      </c>
      <c r="G144" s="13" t="s">
        <v>123</v>
      </c>
      <c r="H144" s="30">
        <f>$C$43</f>
        <v>9.0500000000000007</v>
      </c>
      <c r="I144" s="71"/>
      <c r="K144" s="3">
        <f t="shared" si="2"/>
        <v>144</v>
      </c>
      <c r="L144" s="45" t="s">
        <v>332</v>
      </c>
      <c r="M144" s="54" t="str">
        <f>IF($C$54&gt;=6,"λj ≦ q+3pz &lt; λj+1 の wBj+1", "-")</f>
        <v>-</v>
      </c>
      <c r="N144" s="44" t="str">
        <f ca="1">IF($C$54&gt;=6, INDEX(INDIRECT($N$2&amp;"!C:C"), MATCH($N$63, INDIRECT($N$2&amp;"!A:A"), 0)),"-")</f>
        <v>-</v>
      </c>
    </row>
    <row r="145" spans="5:14" x14ac:dyDescent="0.4">
      <c r="F145" s="2"/>
      <c r="G145" s="22"/>
      <c r="H145" s="5"/>
      <c r="I145" s="5"/>
      <c r="K145" s="3">
        <f t="shared" si="2"/>
        <v>145</v>
      </c>
      <c r="L145" s="45" t="s">
        <v>333</v>
      </c>
      <c r="M145" s="54" t="str">
        <f>IF($C$54&gt;=7,"λj ≦ q+4pz &lt; λj+1 の wBj+1", "-")</f>
        <v>-</v>
      </c>
      <c r="N145" s="44" t="str">
        <f ca="1">IF($C$54&gt;=7, INDEX(INDIRECT($N$2&amp;"!C:C"), MATCH($N$64, INDIRECT($N$2&amp;"!A:A"), 0)),"-")</f>
        <v>-</v>
      </c>
    </row>
    <row r="146" spans="5:14" x14ac:dyDescent="0.4">
      <c r="F146" s="32" t="s">
        <v>649</v>
      </c>
      <c r="G146" s="28"/>
      <c r="H146" s="5"/>
      <c r="I146" s="5"/>
      <c r="K146" s="3">
        <f t="shared" si="2"/>
        <v>146</v>
      </c>
      <c r="L146" s="45" t="s">
        <v>334</v>
      </c>
      <c r="M146" s="54" t="str">
        <f>IF($C$54&gt;=8,"λj ≦ q+5pz &lt; λj+1 の wBj+1", "-")</f>
        <v>-</v>
      </c>
      <c r="N146" s="44" t="str">
        <f ca="1">IF($C$54&gt;=8, INDEX(INDIRECT($N$2&amp;"!C:C"), MATCH($N$65, INDIRECT($N$2&amp;"!A:A"), 0)),"-")</f>
        <v>-</v>
      </c>
    </row>
    <row r="147" spans="5:14" x14ac:dyDescent="0.4">
      <c r="E147" s="3" t="s">
        <v>601</v>
      </c>
      <c r="F147" s="9" t="s">
        <v>484</v>
      </c>
      <c r="G147" s="13" t="s">
        <v>117</v>
      </c>
      <c r="H147" s="68" cm="1">
        <f t="array" ref="H147">_xlfn.IFS($C$74=15, $C$103, $C$74=30, $C$104, OR($C$74=45, $C$76&lt;&gt;0), $C$105)</f>
        <v>13</v>
      </c>
      <c r="K147" s="3">
        <f t="shared" si="2"/>
        <v>147</v>
      </c>
      <c r="L147" s="45" t="s">
        <v>335</v>
      </c>
      <c r="M147" s="54" t="s">
        <v>339</v>
      </c>
      <c r="N147" s="2">
        <f ca="1">INDEX(INDIRECT($N$2&amp;"!C:C"), MATCH($N$66, INDIRECT($N$2&amp;"!A:A"), 0))</f>
        <v>134.69500169999998</v>
      </c>
    </row>
    <row r="148" spans="5:14" x14ac:dyDescent="0.4">
      <c r="E148" s="3" t="s">
        <v>618</v>
      </c>
      <c r="F148" s="9" t="s">
        <v>508</v>
      </c>
      <c r="G148" s="13" t="s">
        <v>117</v>
      </c>
      <c r="H148" s="68">
        <v>440000</v>
      </c>
      <c r="K148" s="3">
        <f t="shared" si="2"/>
        <v>148</v>
      </c>
      <c r="L148" s="45" t="s">
        <v>336</v>
      </c>
      <c r="M148" s="54" t="s">
        <v>340</v>
      </c>
      <c r="N148" s="2">
        <f ca="1">INDEX(INDIRECT($N$2&amp;"!C:C"), MATCH($N$67, INDIRECT($N$2&amp;"!A:A"), 0))</f>
        <v>134.63472374999998</v>
      </c>
    </row>
    <row r="149" spans="5:14" x14ac:dyDescent="0.4">
      <c r="E149" s="3" t="s">
        <v>610</v>
      </c>
      <c r="F149" s="10" t="s">
        <v>628</v>
      </c>
      <c r="G149" s="30" t="s">
        <v>117</v>
      </c>
      <c r="H149" s="68">
        <f>$C$26</f>
        <v>0</v>
      </c>
      <c r="I149" s="51"/>
      <c r="K149" s="3">
        <f t="shared" si="2"/>
        <v>149</v>
      </c>
      <c r="L149" s="45" t="s">
        <v>357</v>
      </c>
      <c r="M149" s="55" t="str">
        <f>IF($C$54&gt;=4,"2列目AC内径（水平・めっき含・概算）","-")</f>
        <v>2列目AC内径（水平・めっき含・概算）</v>
      </c>
      <c r="N149" s="44">
        <f ca="1">IF($C$54&gt;=4,($N$69*$N$107+$N$77*$N$99)/($N$61-$N$53)+$C$14*2,"-")</f>
        <v>134.99881322199997</v>
      </c>
    </row>
    <row r="150" spans="5:14" x14ac:dyDescent="0.4">
      <c r="E150" s="3" t="s">
        <v>124</v>
      </c>
      <c r="F150" s="10" t="s">
        <v>657</v>
      </c>
      <c r="G150" s="30" t="s">
        <v>117</v>
      </c>
      <c r="H150" s="68">
        <f>IF($C$76&lt;&gt;1, 0, 1)</f>
        <v>0</v>
      </c>
      <c r="I150" s="51"/>
      <c r="K150" s="3">
        <f t="shared" si="2"/>
        <v>150</v>
      </c>
      <c r="L150" s="45" t="s">
        <v>358</v>
      </c>
      <c r="M150" s="55" t="str">
        <f>IF($C$54&gt;=5,"3列目AC内径（水平・めっき含・概算）","-")</f>
        <v>3列目AC内径（水平・めっき含・概算）</v>
      </c>
      <c r="N150" s="44">
        <f ca="1">IF($C$54&gt;=5,($N$70*$N$108+$N$78*$N$100)/($N$62-$N$54)+$C$14*2,"-")</f>
        <v>134.93347970199997</v>
      </c>
    </row>
    <row r="151" spans="5:14" x14ac:dyDescent="0.4">
      <c r="E151" s="3" t="s">
        <v>126</v>
      </c>
      <c r="F151" s="9" t="s">
        <v>74</v>
      </c>
      <c r="G151" s="13" t="s">
        <v>126</v>
      </c>
      <c r="H151" s="30">
        <f>$C$9</f>
        <v>152.80000000000001</v>
      </c>
      <c r="I151" s="71"/>
      <c r="K151" s="3">
        <f t="shared" si="2"/>
        <v>151</v>
      </c>
      <c r="L151" s="45" t="s">
        <v>359</v>
      </c>
      <c r="M151" s="55" t="str">
        <f>IF($C$54&gt;=6,"4列目AC内径（水平・めっき含・概算）","-")</f>
        <v>-</v>
      </c>
      <c r="N151" s="44" t="str">
        <f>IF($C$54&gt;=6,($N$71*$N$109+$N$79*$N$101)/($N$63-$N$55)+$C$14*2,"-")</f>
        <v>-</v>
      </c>
    </row>
    <row r="152" spans="5:14" x14ac:dyDescent="0.4">
      <c r="E152" s="3" t="s">
        <v>125</v>
      </c>
      <c r="F152" s="9" t="s">
        <v>11</v>
      </c>
      <c r="G152" s="13" t="s">
        <v>125</v>
      </c>
      <c r="H152" s="30">
        <f>$C$10</f>
        <v>152.80000000000001</v>
      </c>
      <c r="I152" s="71"/>
      <c r="K152" s="3">
        <f t="shared" si="2"/>
        <v>152</v>
      </c>
      <c r="L152" s="45" t="s">
        <v>360</v>
      </c>
      <c r="M152" s="55" t="str">
        <f>IF($C$54&gt;=7,"5列目AC内径（水平・めっき含・概算）","-")</f>
        <v>-</v>
      </c>
      <c r="N152" s="44" t="str">
        <f>IF($C$54&gt;=7,($N$72*$N$110+$N$80*$N$102)/($N$64-$N$56)+$C$14*2,"-")</f>
        <v>-</v>
      </c>
    </row>
    <row r="153" spans="5:14" x14ac:dyDescent="0.4">
      <c r="E153" s="3" t="s">
        <v>126</v>
      </c>
      <c r="F153" s="9" t="s">
        <v>588</v>
      </c>
      <c r="G153" s="13" t="s">
        <v>126</v>
      </c>
      <c r="H153" s="30">
        <f>$C$29</f>
        <v>0</v>
      </c>
      <c r="I153" s="51"/>
      <c r="K153" s="3">
        <f t="shared" si="2"/>
        <v>153</v>
      </c>
      <c r="L153" s="45" t="s">
        <v>361</v>
      </c>
      <c r="M153" s="55" t="str">
        <f>IF($C$54&gt;=8,"6列目AC内径（水平・めっき含・概算）","-")</f>
        <v>-</v>
      </c>
      <c r="N153" s="44" t="str">
        <f>IF($C$54&gt;=8,($N$73*$N$111+$N$81*$N$103)/($N$65-$N$57)+$C$14*2,"-")</f>
        <v>-</v>
      </c>
    </row>
    <row r="154" spans="5:14" x14ac:dyDescent="0.4">
      <c r="E154" s="3" t="s">
        <v>125</v>
      </c>
      <c r="F154" s="9" t="s">
        <v>589</v>
      </c>
      <c r="G154" s="13" t="s">
        <v>125</v>
      </c>
      <c r="H154" s="30">
        <f>$C$30</f>
        <v>0</v>
      </c>
      <c r="I154" s="51"/>
      <c r="K154" s="3">
        <f t="shared" si="2"/>
        <v>154</v>
      </c>
      <c r="L154" s="45" t="s">
        <v>362</v>
      </c>
      <c r="M154" s="55" t="s">
        <v>347</v>
      </c>
      <c r="N154" s="2">
        <f ca="1">($N$74*$N$112+$N$82*$N$104)/($N$66-$N$58)+$C$14*2</f>
        <v>134.87514620199997</v>
      </c>
    </row>
    <row r="155" spans="5:14" x14ac:dyDescent="0.4">
      <c r="E155" s="3" t="s">
        <v>123</v>
      </c>
      <c r="F155" s="9" t="s">
        <v>572</v>
      </c>
      <c r="G155" s="13" t="s">
        <v>123</v>
      </c>
      <c r="H155" s="30">
        <f>$H$3</f>
        <v>400</v>
      </c>
      <c r="I155" s="30">
        <f>$C$93+$H$155</f>
        <v>-749.97399999999993</v>
      </c>
      <c r="K155" s="3">
        <f t="shared" si="2"/>
        <v>155</v>
      </c>
      <c r="L155" s="45" t="s">
        <v>303</v>
      </c>
      <c r="M155" s="55" t="s">
        <v>349</v>
      </c>
      <c r="N155" s="2">
        <f ca="1">INDEX(INDIRECT($N$2&amp;"!C:C"), MATCH(0, INDIRECT($N$2&amp;"!A:A"), 0))+$C$14*2</f>
        <v>135.738</v>
      </c>
    </row>
    <row r="156" spans="5:14" x14ac:dyDescent="0.4">
      <c r="E156" s="3" t="s">
        <v>600</v>
      </c>
      <c r="F156" s="9" t="s">
        <v>573</v>
      </c>
      <c r="G156" s="13" t="s">
        <v>123</v>
      </c>
      <c r="H156" s="30">
        <f>$C$5</f>
        <v>400</v>
      </c>
      <c r="I156" s="53"/>
      <c r="K156" s="3">
        <f t="shared" si="2"/>
        <v>156</v>
      </c>
      <c r="L156" s="45" t="s">
        <v>346</v>
      </c>
      <c r="M156" s="55" t="str">
        <f>IF($C$54&gt;=3,"1列目 BD内径（めっき含・概算）","-")</f>
        <v>1列目 BD内径（めっき含・概算）</v>
      </c>
      <c r="N156" s="44">
        <f ca="1">IF($C$54&gt;=3,($N$68*$N$141+$N$76*$N$133)/($N$60-$N$52)+$C$14*2,"-")</f>
        <v>135.06414674199996</v>
      </c>
    </row>
    <row r="157" spans="5:14" x14ac:dyDescent="0.4">
      <c r="E157" s="3" t="s">
        <v>594</v>
      </c>
      <c r="F157" s="9" t="s">
        <v>5</v>
      </c>
      <c r="G157" s="13" t="s">
        <v>117</v>
      </c>
      <c r="H157" s="30">
        <f>$C$4</f>
        <v>5932.95</v>
      </c>
      <c r="K157" s="3">
        <f t="shared" si="2"/>
        <v>157</v>
      </c>
      <c r="L157" s="45" t="s">
        <v>351</v>
      </c>
      <c r="M157" s="55" t="str">
        <f>IF($C$54&gt;=4,"2列目 BD内径（めっき含・概算）","-")</f>
        <v>2列目 BD内径（めっき含・概算）</v>
      </c>
      <c r="N157" s="44">
        <f ca="1">IF($C$54&gt;=4,($N$69*$N$142+$N$77*$N$134)/($N$61-$N$53)+$C$14*2,"-")</f>
        <v>134.99881322199997</v>
      </c>
    </row>
    <row r="158" spans="5:14" x14ac:dyDescent="0.4">
      <c r="E158" s="3" t="s">
        <v>608</v>
      </c>
      <c r="F158" s="9" t="s">
        <v>631</v>
      </c>
      <c r="G158" s="13" t="s">
        <v>117</v>
      </c>
      <c r="H158" s="30">
        <f>IF($C$72&lt;&gt;0,$C$73, $C$77)</f>
        <v>0</v>
      </c>
      <c r="K158" s="3">
        <f t="shared" si="2"/>
        <v>158</v>
      </c>
      <c r="L158" s="45" t="s">
        <v>352</v>
      </c>
      <c r="M158" s="55" t="str">
        <f>IF($C$54&gt;=5,"3列目 BD内径（めっき含・概算）","-")</f>
        <v>3列目 BD内径（めっき含・概算）</v>
      </c>
      <c r="N158" s="44">
        <f ca="1">IF($C$54&gt;=5,($N$70*$N$143+$N$78*$N$135)/($N$62-$N$54)+$C$14*2,"-")</f>
        <v>134.93347970199997</v>
      </c>
    </row>
    <row r="159" spans="5:14" x14ac:dyDescent="0.4">
      <c r="E159" s="3" t="s">
        <v>603</v>
      </c>
      <c r="F159" s="9" t="s">
        <v>633</v>
      </c>
      <c r="G159" s="13" t="s">
        <v>117</v>
      </c>
      <c r="H159" s="30">
        <f>IF($C$26&lt;&gt;1, $C$11, $C$32)</f>
        <v>12</v>
      </c>
      <c r="K159" s="3">
        <f t="shared" si="2"/>
        <v>159</v>
      </c>
      <c r="L159" s="45" t="s">
        <v>353</v>
      </c>
      <c r="M159" s="55" t="str">
        <f>IF($C$54&gt;=6,"4列目 BD内径（めっき含・概算）","-")</f>
        <v>-</v>
      </c>
      <c r="N159" s="44" t="str">
        <f>IF($C$54&gt;=6,($N$71*$N$144+$N$79*$N$136)/($N$63-$N$55)+$C$14*2,"-")</f>
        <v>-</v>
      </c>
    </row>
    <row r="160" spans="5:14" x14ac:dyDescent="0.4">
      <c r="F160" s="24"/>
      <c r="H160" s="22"/>
      <c r="I160" s="5"/>
      <c r="K160" s="3">
        <f t="shared" si="2"/>
        <v>160</v>
      </c>
      <c r="L160" s="45" t="s">
        <v>354</v>
      </c>
      <c r="M160" s="55" t="str">
        <f>IF($C$54&gt;=7,"5列目 BD内径（めっき含・概算）","-")</f>
        <v>-</v>
      </c>
      <c r="N160" s="44" t="str">
        <f>IF($C$54&gt;=7,($N$72*$N$145+$N$80*$N$137)/($N$64-$N$56)+$C$14*2,"-")</f>
        <v>-</v>
      </c>
    </row>
    <row r="161" spans="5:14" x14ac:dyDescent="0.4">
      <c r="F161" s="32" t="s">
        <v>650</v>
      </c>
      <c r="G161" s="28"/>
      <c r="H161" s="5"/>
      <c r="I161" s="5"/>
      <c r="K161" s="3">
        <f t="shared" si="2"/>
        <v>161</v>
      </c>
      <c r="L161" s="45" t="s">
        <v>355</v>
      </c>
      <c r="M161" s="55" t="str">
        <f>IF($C$54&gt;=8,"6列目 BD内径（めっき含・概算）","-")</f>
        <v>-</v>
      </c>
      <c r="N161" s="44" t="str">
        <f>IF($C$54&gt;=8,($N$73*$N$146+$N$81*$N$138)/($N$65-$N$57)+$C$14*2,"-")</f>
        <v>-</v>
      </c>
    </row>
    <row r="162" spans="5:14" x14ac:dyDescent="0.4">
      <c r="E162" s="3" t="s">
        <v>601</v>
      </c>
      <c r="F162" s="9" t="s">
        <v>484</v>
      </c>
      <c r="G162" s="13" t="s">
        <v>117</v>
      </c>
      <c r="H162" s="68" cm="1">
        <f t="array" ref="H162">_xlfn.IFS($C$81=15, $C$103, $C$81=30, $C$104, OR($C$81=45, $C$83&lt;&gt;0), $C$105)</f>
        <v>13</v>
      </c>
      <c r="K162" s="3">
        <f t="shared" si="2"/>
        <v>162</v>
      </c>
      <c r="L162" s="45" t="s">
        <v>356</v>
      </c>
      <c r="M162" s="55" t="s">
        <v>350</v>
      </c>
      <c r="N162" s="2">
        <f ca="1">($N$74*$N$147+$N$82*$N$139)/($N$66-$N$58)+$C$14*2</f>
        <v>134.87514620199997</v>
      </c>
    </row>
    <row r="163" spans="5:14" x14ac:dyDescent="0.4">
      <c r="E163" s="3" t="s">
        <v>618</v>
      </c>
      <c r="F163" s="9" t="s">
        <v>508</v>
      </c>
      <c r="G163" s="13" t="s">
        <v>117</v>
      </c>
      <c r="H163" s="68">
        <f>$C$134</f>
        <v>450000</v>
      </c>
      <c r="K163" s="3">
        <f t="shared" si="2"/>
        <v>163</v>
      </c>
    </row>
    <row r="164" spans="5:14" x14ac:dyDescent="0.4">
      <c r="E164" s="3" t="s">
        <v>124</v>
      </c>
      <c r="F164" s="10" t="s">
        <v>657</v>
      </c>
      <c r="G164" s="30" t="s">
        <v>117</v>
      </c>
      <c r="H164" s="68">
        <f>IF($C$83&lt;&gt;1, 0, 1)</f>
        <v>0</v>
      </c>
      <c r="I164" s="51"/>
      <c r="K164" s="3">
        <f t="shared" si="2"/>
        <v>164</v>
      </c>
    </row>
    <row r="165" spans="5:14" x14ac:dyDescent="0.4">
      <c r="E165" s="3" t="s">
        <v>126</v>
      </c>
      <c r="F165" s="9" t="s">
        <v>139</v>
      </c>
      <c r="G165" s="13" t="s">
        <v>126</v>
      </c>
      <c r="H165" s="30">
        <f ca="1">$N$92</f>
        <v>135.578</v>
      </c>
      <c r="I165" s="71"/>
      <c r="K165" s="3">
        <f t="shared" si="2"/>
        <v>165</v>
      </c>
    </row>
    <row r="166" spans="5:14" x14ac:dyDescent="0.4">
      <c r="E166" s="3" t="s">
        <v>125</v>
      </c>
      <c r="F166" s="9" t="s">
        <v>579</v>
      </c>
      <c r="G166" s="13" t="s">
        <v>126</v>
      </c>
      <c r="H166" s="30">
        <f ca="1">$N$93</f>
        <v>135.578</v>
      </c>
      <c r="I166" s="71"/>
      <c r="K166" s="3">
        <f t="shared" si="2"/>
        <v>166</v>
      </c>
      <c r="L166" s="45" t="s">
        <v>186</v>
      </c>
      <c r="N166" s="2" t="e">
        <f>#REF!^2+(2*N10)^2</f>
        <v>#REF!</v>
      </c>
    </row>
    <row r="167" spans="5:14" x14ac:dyDescent="0.4">
      <c r="E167" s="3" t="s">
        <v>123</v>
      </c>
      <c r="F167" s="9" t="s">
        <v>572</v>
      </c>
      <c r="G167" s="13" t="s">
        <v>123</v>
      </c>
      <c r="H167" s="30">
        <f>$H$3</f>
        <v>400</v>
      </c>
      <c r="I167" s="30">
        <f>$C$93+$H$167</f>
        <v>-749.97399999999993</v>
      </c>
      <c r="K167" s="3">
        <f t="shared" si="2"/>
        <v>167</v>
      </c>
      <c r="L167" s="45" t="s">
        <v>187</v>
      </c>
      <c r="M167" s="54" t="s">
        <v>29</v>
      </c>
      <c r="N167" s="2" t="e">
        <f>SQRT(N166)</f>
        <v>#REF!</v>
      </c>
    </row>
    <row r="168" spans="5:14" x14ac:dyDescent="0.4">
      <c r="E168" s="3" t="s">
        <v>600</v>
      </c>
      <c r="F168" s="9" t="s">
        <v>573</v>
      </c>
      <c r="G168" s="13" t="s">
        <v>123</v>
      </c>
      <c r="H168" s="30">
        <f>$C$5</f>
        <v>400</v>
      </c>
      <c r="I168" s="53"/>
      <c r="K168" s="3">
        <f t="shared" si="2"/>
        <v>168</v>
      </c>
      <c r="L168" s="45" t="s">
        <v>64</v>
      </c>
      <c r="M168" s="54" t="s">
        <v>30</v>
      </c>
      <c r="N168" s="2" t="e">
        <f>2*N10/N167</f>
        <v>#REF!</v>
      </c>
    </row>
    <row r="169" spans="5:14" x14ac:dyDescent="0.4">
      <c r="E169" s="3" t="s">
        <v>594</v>
      </c>
      <c r="F169" s="9" t="s">
        <v>5</v>
      </c>
      <c r="G169" s="13" t="s">
        <v>117</v>
      </c>
      <c r="H169" s="30">
        <f>$C$4</f>
        <v>5932.95</v>
      </c>
      <c r="K169" s="3">
        <f t="shared" si="2"/>
        <v>169</v>
      </c>
      <c r="L169" s="45" t="s">
        <v>65</v>
      </c>
      <c r="M169" s="54" t="s">
        <v>31</v>
      </c>
      <c r="N169" s="2" t="e">
        <f>#REF!/N167</f>
        <v>#REF!</v>
      </c>
    </row>
    <row r="170" spans="5:14" x14ac:dyDescent="0.4">
      <c r="E170" s="3" t="s">
        <v>608</v>
      </c>
      <c r="F170" s="9" t="s">
        <v>632</v>
      </c>
      <c r="G170" s="13" t="s">
        <v>117</v>
      </c>
      <c r="H170" s="30">
        <f>IF($C$79&lt;&gt;0,$C$80, $C$84)</f>
        <v>1</v>
      </c>
      <c r="K170" s="3">
        <f t="shared" si="2"/>
        <v>170</v>
      </c>
      <c r="L170" s="45" t="s">
        <v>188</v>
      </c>
      <c r="N170" s="2">
        <f>SQRT(N9^2-(N10-N13)^2)</f>
        <v>5748.1969262108623</v>
      </c>
    </row>
    <row r="171" spans="5:14" x14ac:dyDescent="0.4">
      <c r="E171" s="3" t="s">
        <v>603</v>
      </c>
      <c r="F171" s="9" t="s">
        <v>660</v>
      </c>
      <c r="G171" s="13" t="s">
        <v>117</v>
      </c>
      <c r="H171" s="30">
        <f ca="1">$N$94</f>
        <v>4</v>
      </c>
      <c r="K171" s="3">
        <f t="shared" si="2"/>
        <v>171</v>
      </c>
      <c r="L171" s="45" t="s">
        <v>189</v>
      </c>
      <c r="N171" s="2">
        <f>SQRT(N9^2-(N10+N13)^2)</f>
        <v>5748.1969262108623</v>
      </c>
    </row>
    <row r="172" spans="5:14" x14ac:dyDescent="0.4">
      <c r="E172" s="3" t="s">
        <v>604</v>
      </c>
      <c r="F172" s="9" t="s">
        <v>563</v>
      </c>
      <c r="G172" s="13" t="s">
        <v>117</v>
      </c>
      <c r="H172" s="30">
        <f>$C$14</f>
        <v>0.08</v>
      </c>
      <c r="I172" s="5"/>
      <c r="K172" s="3">
        <f t="shared" si="2"/>
        <v>172</v>
      </c>
      <c r="L172" s="45" t="s">
        <v>190</v>
      </c>
      <c r="N172" s="2">
        <f>N13*N10</f>
        <v>0</v>
      </c>
    </row>
    <row r="173" spans="5:14" x14ac:dyDescent="0.4">
      <c r="F173" s="24"/>
      <c r="H173" s="22"/>
      <c r="I173" s="5"/>
      <c r="K173" s="3">
        <f t="shared" si="2"/>
        <v>173</v>
      </c>
      <c r="L173" s="45" t="s">
        <v>191</v>
      </c>
      <c r="N173" s="2" t="e">
        <f>SQRT(N9^2-N166/4)</f>
        <v>#REF!</v>
      </c>
    </row>
    <row r="174" spans="5:14" x14ac:dyDescent="0.4">
      <c r="F174" s="25" t="s">
        <v>652</v>
      </c>
      <c r="G174" s="28"/>
      <c r="H174" s="28"/>
      <c r="I174" s="5"/>
      <c r="K174" s="3">
        <f t="shared" si="2"/>
        <v>174</v>
      </c>
      <c r="L174" s="45" t="s">
        <v>75</v>
      </c>
      <c r="N174" s="2" t="e">
        <f>N173*N168</f>
        <v>#REF!</v>
      </c>
    </row>
    <row r="175" spans="5:14" x14ac:dyDescent="0.4">
      <c r="E175" s="3" t="s">
        <v>601</v>
      </c>
      <c r="F175" s="9" t="s">
        <v>484</v>
      </c>
      <c r="G175" s="13" t="s">
        <v>117</v>
      </c>
      <c r="H175" s="68">
        <f>$C$100</f>
        <v>2</v>
      </c>
      <c r="I175" s="51"/>
      <c r="K175" s="3">
        <f t="shared" si="2"/>
        <v>175</v>
      </c>
      <c r="L175" s="45" t="s">
        <v>76</v>
      </c>
      <c r="M175" s="54" t="s">
        <v>27</v>
      </c>
      <c r="N175" s="2" t="e">
        <f>N173*N169</f>
        <v>#REF!</v>
      </c>
    </row>
    <row r="176" spans="5:14" x14ac:dyDescent="0.4">
      <c r="E176" s="3" t="s">
        <v>618</v>
      </c>
      <c r="F176" s="9" t="s">
        <v>508</v>
      </c>
      <c r="G176" s="13" t="s">
        <v>117</v>
      </c>
      <c r="H176" s="68">
        <f>$C$130</f>
        <v>410000</v>
      </c>
      <c r="K176" s="3">
        <f t="shared" ref="K176" si="3">ROW(K176)</f>
        <v>176</v>
      </c>
      <c r="L176" s="45" t="s">
        <v>42</v>
      </c>
      <c r="M176" s="54" t="s">
        <v>26</v>
      </c>
      <c r="N176" s="2" t="e">
        <f>#REF!/2+N8-N174</f>
        <v>#REF!</v>
      </c>
    </row>
    <row r="177" spans="5:14" x14ac:dyDescent="0.4">
      <c r="E177" s="3" t="s">
        <v>126</v>
      </c>
      <c r="F177" s="9" t="s">
        <v>141</v>
      </c>
      <c r="G177" s="13" t="s">
        <v>126</v>
      </c>
      <c r="H177" s="30">
        <f ca="1">$N$95</f>
        <v>134.1</v>
      </c>
    </row>
    <row r="178" spans="5:14" x14ac:dyDescent="0.4">
      <c r="E178" s="3" t="s">
        <v>125</v>
      </c>
      <c r="F178" s="9" t="s">
        <v>569</v>
      </c>
      <c r="G178" s="13" t="s">
        <v>125</v>
      </c>
      <c r="H178" s="30">
        <f ca="1">$N$96</f>
        <v>134.1</v>
      </c>
    </row>
    <row r="179" spans="5:14" x14ac:dyDescent="0.4">
      <c r="E179" s="3" t="s">
        <v>123</v>
      </c>
      <c r="F179" s="9" t="s">
        <v>558</v>
      </c>
      <c r="G179" s="13" t="s">
        <v>123</v>
      </c>
      <c r="H179" s="30">
        <f>$H$4</f>
        <v>400</v>
      </c>
      <c r="I179" s="30">
        <f>$C$93+$H$179</f>
        <v>-749.97399999999993</v>
      </c>
    </row>
    <row r="180" spans="5:14" x14ac:dyDescent="0.4">
      <c r="E180" s="3" t="s">
        <v>603</v>
      </c>
      <c r="F180" s="9" t="s">
        <v>622</v>
      </c>
      <c r="G180" s="13" t="s">
        <v>117</v>
      </c>
      <c r="H180" s="30">
        <f>$C$11</f>
        <v>12</v>
      </c>
    </row>
    <row r="181" spans="5:14" x14ac:dyDescent="0.4">
      <c r="H181" s="5"/>
      <c r="I181" s="5"/>
    </row>
    <row r="182" spans="5:14" x14ac:dyDescent="0.4">
      <c r="F182" s="4" t="s">
        <v>651</v>
      </c>
      <c r="H182" s="5"/>
    </row>
    <row r="183" spans="5:14" x14ac:dyDescent="0.4">
      <c r="E183" s="3" t="s">
        <v>601</v>
      </c>
      <c r="F183" s="9" t="s">
        <v>484</v>
      </c>
      <c r="G183" s="13" t="s">
        <v>117</v>
      </c>
      <c r="H183" s="68">
        <f>IF($C$19&lt;&gt;1,$C$106,$C$107)</f>
        <v>16</v>
      </c>
      <c r="I183" s="51"/>
    </row>
    <row r="184" spans="5:14" x14ac:dyDescent="0.4">
      <c r="E184" s="3" t="s">
        <v>618</v>
      </c>
      <c r="F184" s="9" t="s">
        <v>508</v>
      </c>
      <c r="G184" s="13" t="s">
        <v>117</v>
      </c>
      <c r="H184" s="68">
        <f>$C$131</f>
        <v>420000</v>
      </c>
    </row>
    <row r="185" spans="5:14" x14ac:dyDescent="0.4">
      <c r="E185" s="3" t="s">
        <v>126</v>
      </c>
      <c r="F185" s="9" t="s">
        <v>640</v>
      </c>
      <c r="G185" s="13" t="s">
        <v>126</v>
      </c>
      <c r="H185" s="30">
        <f>$C$21</f>
        <v>0</v>
      </c>
      <c r="I185" s="51"/>
    </row>
    <row r="186" spans="5:14" x14ac:dyDescent="0.4">
      <c r="E186" s="3" t="s">
        <v>125</v>
      </c>
      <c r="F186" s="9" t="s">
        <v>641</v>
      </c>
      <c r="G186" s="13" t="s">
        <v>125</v>
      </c>
      <c r="H186" s="30">
        <f>$C$22</f>
        <v>0</v>
      </c>
      <c r="I186" s="51"/>
    </row>
    <row r="187" spans="5:14" x14ac:dyDescent="0.4">
      <c r="E187" s="3" t="s">
        <v>609</v>
      </c>
      <c r="F187" s="9" t="s">
        <v>74</v>
      </c>
      <c r="G187" s="13" t="s">
        <v>126</v>
      </c>
      <c r="H187" s="30">
        <f>$C$9</f>
        <v>152.80000000000001</v>
      </c>
      <c r="I187" s="71"/>
    </row>
    <row r="188" spans="5:14" x14ac:dyDescent="0.4">
      <c r="E188" s="3" t="s">
        <v>611</v>
      </c>
      <c r="F188" s="9" t="s">
        <v>11</v>
      </c>
      <c r="G188" s="13" t="s">
        <v>125</v>
      </c>
      <c r="H188" s="30">
        <f>$C$10</f>
        <v>152.80000000000001</v>
      </c>
      <c r="I188" s="71"/>
    </row>
    <row r="189" spans="5:14" x14ac:dyDescent="0.4">
      <c r="E189" s="3" t="s">
        <v>123</v>
      </c>
      <c r="F189" s="9" t="s">
        <v>558</v>
      </c>
      <c r="G189" s="13" t="s">
        <v>123</v>
      </c>
      <c r="H189" s="30">
        <f>$H$4</f>
        <v>400</v>
      </c>
      <c r="I189" s="30">
        <f>$C$93+$H$189</f>
        <v>-749.97399999999993</v>
      </c>
    </row>
    <row r="190" spans="5:14" x14ac:dyDescent="0.4">
      <c r="E190" s="3" t="s">
        <v>603</v>
      </c>
      <c r="F190" s="9" t="s">
        <v>642</v>
      </c>
      <c r="G190" s="13" t="s">
        <v>117</v>
      </c>
      <c r="H190" s="30">
        <f>$C$24</f>
        <v>0</v>
      </c>
      <c r="I190" s="71"/>
    </row>
    <row r="191" spans="5:14" x14ac:dyDescent="0.4">
      <c r="E191" s="3" t="s">
        <v>608</v>
      </c>
      <c r="F191" s="9" t="s">
        <v>625</v>
      </c>
      <c r="G191" s="13" t="s">
        <v>123</v>
      </c>
      <c r="H191" s="30">
        <f>$C$23</f>
        <v>0</v>
      </c>
      <c r="I191" s="71"/>
      <c r="L191" s="54"/>
      <c r="M191" s="55"/>
      <c r="N191" s="1"/>
    </row>
    <row r="192" spans="5:14" x14ac:dyDescent="0.4">
      <c r="F192" s="2"/>
      <c r="G192" s="22"/>
      <c r="H192" s="5"/>
      <c r="I192" s="5"/>
    </row>
    <row r="193" spans="5:9" x14ac:dyDescent="0.4">
      <c r="F193" s="32" t="s">
        <v>653</v>
      </c>
      <c r="G193" s="5"/>
      <c r="H193" s="5"/>
      <c r="I193" s="5"/>
    </row>
    <row r="194" spans="5:9" x14ac:dyDescent="0.4">
      <c r="E194" s="3" t="s">
        <v>601</v>
      </c>
      <c r="F194" s="9" t="s">
        <v>484</v>
      </c>
      <c r="G194" s="13" t="s">
        <v>117</v>
      </c>
      <c r="H194" s="68" cm="1">
        <f t="array" ref="H194">_xlfn.IFS($C$60=15, $C$103, $C$60=30, $C$104, OR($C$60=45, $C$62&lt;&gt;0), $C$105)</f>
        <v>13</v>
      </c>
    </row>
    <row r="195" spans="5:9" x14ac:dyDescent="0.4">
      <c r="E195" s="3" t="s">
        <v>618</v>
      </c>
      <c r="F195" s="9" t="s">
        <v>508</v>
      </c>
      <c r="G195" s="13" t="s">
        <v>117</v>
      </c>
      <c r="H195" s="68">
        <f>$C$133</f>
        <v>440000</v>
      </c>
    </row>
    <row r="196" spans="5:9" x14ac:dyDescent="0.4">
      <c r="E196" s="3" t="s">
        <v>610</v>
      </c>
      <c r="F196" s="10" t="s">
        <v>643</v>
      </c>
      <c r="G196" s="30" t="s">
        <v>117</v>
      </c>
      <c r="H196" s="68">
        <f>$C$18</f>
        <v>0</v>
      </c>
      <c r="I196" s="51"/>
    </row>
    <row r="197" spans="5:9" x14ac:dyDescent="0.4">
      <c r="E197" s="3" t="s">
        <v>124</v>
      </c>
      <c r="F197" s="10" t="s">
        <v>657</v>
      </c>
      <c r="G197" s="30" t="s">
        <v>117</v>
      </c>
      <c r="H197" s="68">
        <f>IF($C$62&lt;&gt;1, 0, 1)</f>
        <v>1</v>
      </c>
      <c r="I197" s="51"/>
    </row>
    <row r="198" spans="5:9" x14ac:dyDescent="0.4">
      <c r="E198" s="3" t="s">
        <v>126</v>
      </c>
      <c r="F198" s="9" t="s">
        <v>74</v>
      </c>
      <c r="G198" s="13" t="s">
        <v>126</v>
      </c>
      <c r="H198" s="30">
        <f>$C$9</f>
        <v>152.80000000000001</v>
      </c>
      <c r="I198" s="71"/>
    </row>
    <row r="199" spans="5:9" x14ac:dyDescent="0.4">
      <c r="E199" s="3" t="s">
        <v>125</v>
      </c>
      <c r="F199" s="9" t="s">
        <v>11</v>
      </c>
      <c r="G199" s="13" t="s">
        <v>125</v>
      </c>
      <c r="H199" s="30">
        <f>$C$10</f>
        <v>152.80000000000001</v>
      </c>
      <c r="I199" s="71"/>
    </row>
    <row r="200" spans="5:9" x14ac:dyDescent="0.4">
      <c r="E200" s="3" t="s">
        <v>126</v>
      </c>
      <c r="F200" s="9" t="s">
        <v>640</v>
      </c>
      <c r="G200" s="13" t="s">
        <v>126</v>
      </c>
      <c r="H200" s="30">
        <f>$C$21</f>
        <v>0</v>
      </c>
      <c r="I200" s="51"/>
    </row>
    <row r="201" spans="5:9" x14ac:dyDescent="0.4">
      <c r="E201" s="3" t="s">
        <v>125</v>
      </c>
      <c r="F201" s="9" t="s">
        <v>641</v>
      </c>
      <c r="G201" s="13" t="s">
        <v>125</v>
      </c>
      <c r="H201" s="30">
        <f>$C$22</f>
        <v>0</v>
      </c>
      <c r="I201" s="51"/>
    </row>
    <row r="202" spans="5:9" x14ac:dyDescent="0.4">
      <c r="E202" s="3" t="s">
        <v>123</v>
      </c>
      <c r="F202" s="9" t="s">
        <v>558</v>
      </c>
      <c r="G202" s="13" t="s">
        <v>123</v>
      </c>
      <c r="H202" s="30">
        <f>$H$4</f>
        <v>400</v>
      </c>
      <c r="I202" s="30">
        <f>$C$93+$H$202</f>
        <v>-749.97399999999993</v>
      </c>
    </row>
    <row r="203" spans="5:9" x14ac:dyDescent="0.4">
      <c r="E203" s="3" t="s">
        <v>600</v>
      </c>
      <c r="F203" s="9" t="s">
        <v>557</v>
      </c>
      <c r="G203" s="13" t="s">
        <v>123</v>
      </c>
      <c r="H203" s="30">
        <f>$C$6</f>
        <v>400</v>
      </c>
      <c r="I203" s="53"/>
    </row>
    <row r="204" spans="5:9" x14ac:dyDescent="0.4">
      <c r="E204" s="3" t="s">
        <v>594</v>
      </c>
      <c r="F204" s="9" t="s">
        <v>5</v>
      </c>
      <c r="G204" s="13" t="s">
        <v>117</v>
      </c>
      <c r="H204" s="30">
        <f>$C$4</f>
        <v>5932.95</v>
      </c>
    </row>
    <row r="205" spans="5:9" x14ac:dyDescent="0.4">
      <c r="E205" s="3" t="s">
        <v>608</v>
      </c>
      <c r="F205" s="9" t="s">
        <v>654</v>
      </c>
      <c r="G205" s="13" t="s">
        <v>117</v>
      </c>
      <c r="H205" s="30">
        <f>IF($C$58&lt;&gt;0,$C$59, $C$63)</f>
        <v>1.5</v>
      </c>
    </row>
    <row r="206" spans="5:9" x14ac:dyDescent="0.4">
      <c r="E206" s="3" t="s">
        <v>603</v>
      </c>
      <c r="F206" s="9" t="s">
        <v>655</v>
      </c>
      <c r="G206" s="13" t="s">
        <v>117</v>
      </c>
      <c r="H206" s="30">
        <f>IF($C$18&lt;&gt;1, $C$11, $C$24)</f>
        <v>12</v>
      </c>
    </row>
    <row r="207" spans="5:9" x14ac:dyDescent="0.4">
      <c r="F207" s="24"/>
      <c r="H207" s="22"/>
      <c r="I207" s="5"/>
    </row>
    <row r="208" spans="5:9" x14ac:dyDescent="0.4">
      <c r="F208" s="32" t="s">
        <v>656</v>
      </c>
      <c r="G208" s="5"/>
      <c r="H208" s="5"/>
      <c r="I208" s="5"/>
    </row>
    <row r="209" spans="5:9" x14ac:dyDescent="0.4">
      <c r="E209" s="3" t="s">
        <v>601</v>
      </c>
      <c r="F209" s="9" t="s">
        <v>484</v>
      </c>
      <c r="G209" s="13" t="s">
        <v>117</v>
      </c>
      <c r="H209" s="68" cm="1">
        <f t="array" ref="H209">_xlfn.IFS($C$67=15, $C$103, $C$67=30, $C$104, OR($C$67=45, $C$69&lt;&gt;0), $C$105)</f>
        <v>12</v>
      </c>
    </row>
    <row r="210" spans="5:9" x14ac:dyDescent="0.4">
      <c r="E210" s="3" t="s">
        <v>618</v>
      </c>
      <c r="F210" s="9" t="s">
        <v>508</v>
      </c>
      <c r="G210" s="13" t="s">
        <v>117</v>
      </c>
      <c r="H210" s="68">
        <f>$C$134</f>
        <v>450000</v>
      </c>
    </row>
    <row r="211" spans="5:9" x14ac:dyDescent="0.4">
      <c r="E211" s="3" t="s">
        <v>124</v>
      </c>
      <c r="F211" s="10" t="s">
        <v>657</v>
      </c>
      <c r="G211" s="30" t="s">
        <v>117</v>
      </c>
      <c r="H211" s="68">
        <f>IF($C$69&lt;&gt;1, 0, 1)</f>
        <v>0</v>
      </c>
      <c r="I211" s="51"/>
    </row>
    <row r="212" spans="5:9" x14ac:dyDescent="0.4">
      <c r="E212" s="3" t="s">
        <v>126</v>
      </c>
      <c r="F212" s="9" t="s">
        <v>141</v>
      </c>
      <c r="G212" s="13" t="s">
        <v>126</v>
      </c>
      <c r="H212" s="30">
        <f ca="1">$N$95</f>
        <v>134.1</v>
      </c>
      <c r="I212" s="71"/>
    </row>
    <row r="213" spans="5:9" x14ac:dyDescent="0.4">
      <c r="E213" s="3" t="s">
        <v>125</v>
      </c>
      <c r="F213" s="9" t="s">
        <v>569</v>
      </c>
      <c r="G213" s="13" t="s">
        <v>125</v>
      </c>
      <c r="H213" s="30">
        <f ca="1">$N$96</f>
        <v>134.1</v>
      </c>
      <c r="I213" s="71"/>
    </row>
    <row r="214" spans="5:9" x14ac:dyDescent="0.4">
      <c r="E214" s="3" t="s">
        <v>123</v>
      </c>
      <c r="F214" s="9" t="s">
        <v>558</v>
      </c>
      <c r="G214" s="13" t="s">
        <v>123</v>
      </c>
      <c r="H214" s="30">
        <f>$H$4</f>
        <v>400</v>
      </c>
      <c r="I214" s="30">
        <f>$C$93+$H$214</f>
        <v>-749.97399999999993</v>
      </c>
    </row>
    <row r="215" spans="5:9" x14ac:dyDescent="0.4">
      <c r="E215" s="3" t="s">
        <v>600</v>
      </c>
      <c r="F215" s="9" t="s">
        <v>557</v>
      </c>
      <c r="G215" s="13" t="s">
        <v>123</v>
      </c>
      <c r="H215" s="30">
        <f>$C$6</f>
        <v>400</v>
      </c>
      <c r="I215" s="53"/>
    </row>
    <row r="216" spans="5:9" x14ac:dyDescent="0.4">
      <c r="E216" s="3" t="s">
        <v>594</v>
      </c>
      <c r="F216" s="9" t="s">
        <v>5</v>
      </c>
      <c r="G216" s="13" t="s">
        <v>117</v>
      </c>
      <c r="H216" s="30">
        <f>$C$4</f>
        <v>5932.95</v>
      </c>
    </row>
    <row r="217" spans="5:9" x14ac:dyDescent="0.4">
      <c r="E217" s="3" t="s">
        <v>608</v>
      </c>
      <c r="F217" s="9" t="s">
        <v>658</v>
      </c>
      <c r="G217" s="13" t="s">
        <v>117</v>
      </c>
      <c r="H217" s="30">
        <f>IF($C$65&lt;&gt;0,$C$66, $C$70)</f>
        <v>8</v>
      </c>
    </row>
    <row r="218" spans="5:9" x14ac:dyDescent="0.4">
      <c r="E218" s="3" t="s">
        <v>603</v>
      </c>
      <c r="F218" s="9" t="s">
        <v>659</v>
      </c>
      <c r="G218" s="13" t="s">
        <v>117</v>
      </c>
      <c r="H218" s="30">
        <f ca="1">$N$97</f>
        <v>4</v>
      </c>
    </row>
    <row r="219" spans="5:9" x14ac:dyDescent="0.4">
      <c r="E219" s="3" t="s">
        <v>604</v>
      </c>
      <c r="F219" s="9" t="s">
        <v>563</v>
      </c>
      <c r="G219" s="13" t="s">
        <v>117</v>
      </c>
      <c r="H219" s="30">
        <f>$C$14</f>
        <v>0.08</v>
      </c>
      <c r="I219" s="5"/>
    </row>
    <row r="220" spans="5:9" x14ac:dyDescent="0.4">
      <c r="F220" s="24"/>
      <c r="H220" s="22"/>
      <c r="I220" s="5"/>
    </row>
    <row r="221" spans="5:9" x14ac:dyDescent="0.4">
      <c r="F221" s="32" t="s">
        <v>663</v>
      </c>
      <c r="G221" s="5"/>
      <c r="H221" s="5"/>
      <c r="I221" s="5"/>
    </row>
    <row r="222" spans="5:9" x14ac:dyDescent="0.4">
      <c r="E222" s="3" t="s">
        <v>601</v>
      </c>
      <c r="F222" s="9" t="s">
        <v>484</v>
      </c>
      <c r="G222" s="13" t="s">
        <v>117</v>
      </c>
      <c r="H222" s="68">
        <f>$C$113</f>
        <v>50</v>
      </c>
    </row>
    <row r="223" spans="5:9" x14ac:dyDescent="0.4">
      <c r="E223" s="3" t="s">
        <v>618</v>
      </c>
      <c r="F223" s="9" t="s">
        <v>508</v>
      </c>
      <c r="G223" s="13" t="s">
        <v>117</v>
      </c>
      <c r="H223" s="68">
        <f>$C$128</f>
        <v>150003</v>
      </c>
    </row>
    <row r="224" spans="5:9" x14ac:dyDescent="0.4">
      <c r="E224" s="3" t="s">
        <v>600</v>
      </c>
      <c r="F224" s="9" t="s">
        <v>572</v>
      </c>
      <c r="G224" s="13" t="s">
        <v>126</v>
      </c>
      <c r="H224" s="30">
        <f>$H$3</f>
        <v>400</v>
      </c>
      <c r="I224" s="30">
        <f>$C$92+$H$224</f>
        <v>-150.01900000000001</v>
      </c>
    </row>
    <row r="225" spans="5:9" x14ac:dyDescent="0.4">
      <c r="E225" s="3" t="s">
        <v>123</v>
      </c>
      <c r="F225" s="9" t="s">
        <v>558</v>
      </c>
      <c r="G225" s="13" t="s">
        <v>126</v>
      </c>
      <c r="H225" s="30">
        <f>$H$4</f>
        <v>400</v>
      </c>
      <c r="I225" s="30">
        <f>$C$92-$H$225</f>
        <v>-950.01900000000001</v>
      </c>
    </row>
    <row r="226" spans="5:9" x14ac:dyDescent="0.4">
      <c r="E226" s="3" t="s">
        <v>601</v>
      </c>
      <c r="F226" s="9" t="s">
        <v>588</v>
      </c>
      <c r="G226" s="13" t="s">
        <v>123</v>
      </c>
      <c r="H226" s="30">
        <f>$C$29</f>
        <v>0</v>
      </c>
      <c r="I226" s="51"/>
    </row>
    <row r="227" spans="5:9" x14ac:dyDescent="0.4">
      <c r="E227" s="3" t="s">
        <v>124</v>
      </c>
      <c r="F227" s="9" t="s">
        <v>640</v>
      </c>
      <c r="G227" s="13" t="s">
        <v>123</v>
      </c>
      <c r="H227" s="30">
        <f>$C$21</f>
        <v>0</v>
      </c>
      <c r="I227" s="51"/>
    </row>
    <row r="228" spans="5:9" x14ac:dyDescent="0.4">
      <c r="E228" s="3" t="s">
        <v>604</v>
      </c>
      <c r="F228" s="9" t="s">
        <v>38</v>
      </c>
      <c r="G228" s="13" t="s">
        <v>126</v>
      </c>
      <c r="H228" s="30">
        <f>$C$42</f>
        <v>24.05</v>
      </c>
      <c r="I228" s="71"/>
    </row>
    <row r="229" spans="5:9" x14ac:dyDescent="0.4">
      <c r="E229" s="3" t="s">
        <v>608</v>
      </c>
      <c r="F229" s="9" t="s">
        <v>625</v>
      </c>
      <c r="G229" s="13" t="s">
        <v>126</v>
      </c>
      <c r="H229" s="30">
        <f>$C$23</f>
        <v>0</v>
      </c>
      <c r="I229" s="71"/>
    </row>
    <row r="230" spans="5:9" x14ac:dyDescent="0.4">
      <c r="E230" s="3" t="s">
        <v>609</v>
      </c>
      <c r="F230" s="9" t="s">
        <v>664</v>
      </c>
      <c r="G230" s="13" t="s">
        <v>123</v>
      </c>
      <c r="H230" s="30">
        <f>$C$36</f>
        <v>0</v>
      </c>
      <c r="I230" s="71"/>
    </row>
    <row r="231" spans="5:9" x14ac:dyDescent="0.4">
      <c r="F231" s="24"/>
      <c r="H231" s="22"/>
      <c r="I231" s="5"/>
    </row>
    <row r="232" spans="5:9" x14ac:dyDescent="0.4">
      <c r="F232" s="32" t="s">
        <v>666</v>
      </c>
      <c r="G232" s="5"/>
      <c r="H232" s="5"/>
      <c r="I232" s="5"/>
    </row>
    <row r="233" spans="5:9" x14ac:dyDescent="0.4">
      <c r="E233" s="3" t="s">
        <v>601</v>
      </c>
      <c r="F233" s="9" t="s">
        <v>484</v>
      </c>
      <c r="G233" s="13" t="s">
        <v>117</v>
      </c>
      <c r="H233" s="68">
        <f>$C$113</f>
        <v>50</v>
      </c>
    </row>
    <row r="234" spans="5:9" x14ac:dyDescent="0.4">
      <c r="E234" s="3" t="s">
        <v>618</v>
      </c>
      <c r="F234" s="9" t="s">
        <v>508</v>
      </c>
      <c r="G234" s="13" t="s">
        <v>117</v>
      </c>
      <c r="H234" s="68">
        <f>$C$127</f>
        <v>150002</v>
      </c>
    </row>
    <row r="235" spans="5:9" x14ac:dyDescent="0.4">
      <c r="E235" s="3" t="s">
        <v>600</v>
      </c>
      <c r="F235" s="9" t="s">
        <v>572</v>
      </c>
      <c r="G235" s="13" t="s">
        <v>123</v>
      </c>
      <c r="H235" s="30">
        <f>$H$3</f>
        <v>400</v>
      </c>
      <c r="I235" s="30">
        <f>$C$93+$H$235</f>
        <v>-749.97399999999993</v>
      </c>
    </row>
    <row r="236" spans="5:9" x14ac:dyDescent="0.4">
      <c r="E236" s="3" t="s">
        <v>123</v>
      </c>
      <c r="F236" s="9" t="s">
        <v>558</v>
      </c>
      <c r="G236" s="13" t="s">
        <v>123</v>
      </c>
      <c r="H236" s="30">
        <f>$H$4</f>
        <v>400</v>
      </c>
      <c r="I236" s="30">
        <f>$C$93+$H$236</f>
        <v>-749.97399999999993</v>
      </c>
    </row>
    <row r="237" spans="5:9" x14ac:dyDescent="0.4">
      <c r="E237" s="3" t="s">
        <v>601</v>
      </c>
      <c r="F237" s="9" t="s">
        <v>589</v>
      </c>
      <c r="G237" s="13" t="s">
        <v>125</v>
      </c>
      <c r="H237" s="30">
        <f>$C$30</f>
        <v>0</v>
      </c>
      <c r="I237" s="51"/>
    </row>
    <row r="238" spans="5:9" x14ac:dyDescent="0.4">
      <c r="E238" s="3" t="s">
        <v>124</v>
      </c>
      <c r="F238" s="9" t="s">
        <v>641</v>
      </c>
      <c r="G238" s="13" t="s">
        <v>125</v>
      </c>
      <c r="H238" s="30">
        <f>$C$22</f>
        <v>0</v>
      </c>
      <c r="I238" s="51"/>
    </row>
    <row r="239" spans="5:9" x14ac:dyDescent="0.4">
      <c r="E239" s="3" t="s">
        <v>604</v>
      </c>
      <c r="F239" s="9" t="s">
        <v>38</v>
      </c>
      <c r="G239" s="13" t="s">
        <v>126</v>
      </c>
      <c r="H239" s="30">
        <f>$C$42</f>
        <v>24.05</v>
      </c>
      <c r="I239" s="71"/>
    </row>
    <row r="240" spans="5:9" x14ac:dyDescent="0.4">
      <c r="E240" s="3" t="s">
        <v>608</v>
      </c>
      <c r="F240" s="9" t="s">
        <v>625</v>
      </c>
      <c r="G240" s="13" t="s">
        <v>126</v>
      </c>
      <c r="H240" s="30">
        <f>$C$23</f>
        <v>0</v>
      </c>
      <c r="I240" s="71"/>
    </row>
    <row r="241" spans="5:9" x14ac:dyDescent="0.4">
      <c r="E241" s="3" t="s">
        <v>609</v>
      </c>
      <c r="F241" s="9" t="s">
        <v>664</v>
      </c>
      <c r="G241" s="13" t="s">
        <v>123</v>
      </c>
      <c r="H241" s="30">
        <f>$C$36</f>
        <v>0</v>
      </c>
      <c r="I241" s="71"/>
    </row>
    <row r="242" spans="5:9" x14ac:dyDescent="0.4">
      <c r="H242" s="5"/>
    </row>
    <row r="243" spans="5:9" x14ac:dyDescent="0.4">
      <c r="F243" s="34" t="s">
        <v>439</v>
      </c>
      <c r="G243" s="28"/>
      <c r="H243" s="28"/>
    </row>
    <row r="244" spans="5:9" x14ac:dyDescent="0.4">
      <c r="F244" s="9" t="s">
        <v>441</v>
      </c>
      <c r="G244" s="13" t="s">
        <v>125</v>
      </c>
      <c r="H244" s="13"/>
    </row>
    <row r="245" spans="5:9" x14ac:dyDescent="0.4">
      <c r="F245" s="9" t="s">
        <v>440</v>
      </c>
      <c r="G245" s="13" t="s">
        <v>126</v>
      </c>
      <c r="H245" s="13"/>
    </row>
    <row r="246" spans="5:9" x14ac:dyDescent="0.4">
      <c r="H246" s="5"/>
    </row>
    <row r="247" spans="5:9" x14ac:dyDescent="0.4">
      <c r="E247" s="74"/>
      <c r="F247" s="75" t="s">
        <v>667</v>
      </c>
      <c r="G247" s="76"/>
      <c r="H247" s="76"/>
      <c r="I247" s="76"/>
    </row>
    <row r="248" spans="5:9" x14ac:dyDescent="0.4">
      <c r="G248" s="5"/>
      <c r="H248" s="5"/>
      <c r="I248" s="5"/>
    </row>
    <row r="249" spans="5:9" x14ac:dyDescent="0.4">
      <c r="F249" s="34" t="s">
        <v>517</v>
      </c>
      <c r="H249" s="28"/>
    </row>
    <row r="250" spans="5:9" x14ac:dyDescent="0.4">
      <c r="E250" s="3" t="s">
        <v>251</v>
      </c>
      <c r="F250" s="35" t="s">
        <v>518</v>
      </c>
      <c r="G250" s="30" t="s">
        <v>117</v>
      </c>
      <c r="H250" s="48">
        <f>$C$52/$C$51+1</f>
        <v>9</v>
      </c>
    </row>
    <row r="251" spans="5:9" x14ac:dyDescent="0.4">
      <c r="E251" s="3" t="s">
        <v>252</v>
      </c>
      <c r="F251" s="10" t="s">
        <v>519</v>
      </c>
      <c r="G251" s="30" t="s">
        <v>117</v>
      </c>
      <c r="H251" s="49">
        <f>$C$53/$C$51+1</f>
        <v>8</v>
      </c>
    </row>
    <row r="252" spans="5:9" x14ac:dyDescent="0.4">
      <c r="F252" s="10" t="s">
        <v>532</v>
      </c>
      <c r="G252" s="30" t="s">
        <v>117</v>
      </c>
      <c r="H252" s="49">
        <f>_xlfn.CEILING.MATH($C$54/2)</f>
        <v>3</v>
      </c>
    </row>
    <row r="253" spans="5:9" x14ac:dyDescent="0.4">
      <c r="F253" s="10" t="s">
        <v>533</v>
      </c>
      <c r="G253" s="13" t="s">
        <v>117</v>
      </c>
      <c r="H253" s="49">
        <f>QUOTIENT($C$54,2)</f>
        <v>2</v>
      </c>
    </row>
    <row r="254" spans="5:9" x14ac:dyDescent="0.4">
      <c r="F254" s="32" t="s">
        <v>534</v>
      </c>
      <c r="G254" s="66"/>
    </row>
    <row r="255" spans="5:9" x14ac:dyDescent="0.4">
      <c r="E255" s="3" t="s">
        <v>297</v>
      </c>
      <c r="F255" s="10" t="str">
        <f>IF($C$54&gt;=3,"ディンプル1列目-トップ端 湾曲中心間X距離", "-")</f>
        <v>ディンプル1列目-トップ端 湾曲中心間X距離</v>
      </c>
      <c r="G255" s="13" t="s">
        <v>126</v>
      </c>
      <c r="H255" s="30">
        <f>IF($C$54&gt;=$C$97-5,$N$84-$N$16, "-")</f>
        <v>7.4884418212559467</v>
      </c>
    </row>
    <row r="256" spans="5:9" ht="16.5" x14ac:dyDescent="0.4">
      <c r="E256" s="3" t="s">
        <v>298</v>
      </c>
      <c r="F256" s="10" t="str">
        <f>IF($C$54&gt;=4,"ディンプル2列目-トップ端 湾曲中心間X距離", "-")</f>
        <v>ディンプル2列目-トップ端 湾曲中心間X距離</v>
      </c>
      <c r="G256" s="13" t="s">
        <v>126</v>
      </c>
      <c r="H256" s="30">
        <f>IF($C$54&gt;=$C97-4,$N$85-$N$16, "-")</f>
        <v>8.3556051168316117</v>
      </c>
    </row>
    <row r="257" spans="5:9" x14ac:dyDescent="0.4">
      <c r="F257" s="10" t="str">
        <f>IF($C$54&gt;=5,"ディンプル3列目-トップ端 湾曲中心間X距離", "-")</f>
        <v>ディンプル3列目-トップ端 湾曲中心間X距離</v>
      </c>
      <c r="G257" s="13" t="s">
        <v>126</v>
      </c>
      <c r="H257" s="30">
        <f>IF($C$54&gt;=$C$97-3,$N$86-$N$16, "-")</f>
        <v>9.155172471428159</v>
      </c>
    </row>
    <row r="258" spans="5:9" x14ac:dyDescent="0.4">
      <c r="F258" s="10" t="str">
        <f>IF($C$54&gt;=6,"ディンプル4列目-トップ端 湾曲中心間X距離", "-")</f>
        <v>-</v>
      </c>
      <c r="G258" s="13" t="s">
        <v>126</v>
      </c>
      <c r="H258" s="30" t="str">
        <f>IF($C$54&gt;=$C$97-2,$N$87-$N$16, "-")</f>
        <v>-</v>
      </c>
    </row>
    <row r="259" spans="5:9" x14ac:dyDescent="0.4">
      <c r="F259" s="10" t="str">
        <f>IF($C$54&gt;=7,"ディンプル5列目-トップ端 湾曲中心間X距離", "-")</f>
        <v>-</v>
      </c>
      <c r="G259" s="13" t="s">
        <v>126</v>
      </c>
      <c r="H259" s="30" t="str">
        <f>IF($C$54&gt;=$C97-1,$N$88-$N$16, "-")</f>
        <v>-</v>
      </c>
    </row>
    <row r="260" spans="5:9" x14ac:dyDescent="0.4">
      <c r="F260" s="10" t="str">
        <f>IF($C$54&gt;=8,"ディンプル6列目-トップ端 湾曲中心間X距離", "-")</f>
        <v>-</v>
      </c>
      <c r="G260" s="13" t="s">
        <v>126</v>
      </c>
      <c r="H260" s="30" t="str">
        <f>IF($C$54&gt;=$C97,$N$89-$N$16, "-")</f>
        <v>-</v>
      </c>
    </row>
    <row r="261" spans="5:9" x14ac:dyDescent="0.4">
      <c r="F261" s="10" t="s">
        <v>535</v>
      </c>
      <c r="G261" s="13" t="s">
        <v>126</v>
      </c>
      <c r="H261" s="30">
        <f>$N$90-$N$16</f>
        <v>9.8871712308528004</v>
      </c>
    </row>
    <row r="262" spans="5:9" x14ac:dyDescent="0.4">
      <c r="E262" s="3" t="s">
        <v>299</v>
      </c>
      <c r="F262" s="10" t="s">
        <v>536</v>
      </c>
      <c r="G262" s="13" t="s">
        <v>126</v>
      </c>
      <c r="H262" s="30">
        <f>$N$91-$N$16</f>
        <v>10.551626417082844</v>
      </c>
    </row>
    <row r="263" spans="5:9" x14ac:dyDescent="0.4">
      <c r="E263" s="3" t="s">
        <v>342</v>
      </c>
      <c r="F263" s="9" t="str">
        <f>IF($C$54&gt;=3,"（傾き前）1列目Z座標","-")</f>
        <v>（傾き前）1列目Z座標</v>
      </c>
      <c r="G263" s="13" t="s">
        <v>123</v>
      </c>
      <c r="H263" s="60">
        <f>IF($C$54&gt;=3,$H$3-$C$49,"-")</f>
        <v>267</v>
      </c>
      <c r="I263" s="30">
        <f>IF($C$54&gt;=3,$C$93+H263,"-")</f>
        <v>-882.97399999999993</v>
      </c>
    </row>
    <row r="264" spans="5:9" x14ac:dyDescent="0.4">
      <c r="E264" s="3" t="s">
        <v>341</v>
      </c>
      <c r="F264" s="9" t="str">
        <f>IF($C$54&gt;=4,"（傾き前）2列目Z座標","-")</f>
        <v>（傾き前）2列目Z座標</v>
      </c>
      <c r="G264" s="13" t="s">
        <v>123</v>
      </c>
      <c r="H264" s="60">
        <f>IF($C$54&gt;=4,$H$3-$C$49-$C$50,"-")</f>
        <v>247</v>
      </c>
      <c r="I264" s="30">
        <f>IF($C$54&gt;=4,$C$93+H264,"-")</f>
        <v>-902.97399999999993</v>
      </c>
    </row>
    <row r="265" spans="5:9" x14ac:dyDescent="0.4">
      <c r="F265" s="9" t="str">
        <f>IF($C$54&gt;=5,"（傾き前）3列目Z座標","-")</f>
        <v>（傾き前）3列目Z座標</v>
      </c>
      <c r="G265" s="13" t="s">
        <v>123</v>
      </c>
      <c r="H265" s="60">
        <f>IF($C$54&gt;=5,$H$3-$C$49-2*$C$50,"-")</f>
        <v>227</v>
      </c>
      <c r="I265" s="30">
        <f>IF($C$54&gt;=5,$C$93+H265,"-")</f>
        <v>-922.97399999999993</v>
      </c>
    </row>
    <row r="266" spans="5:9" x14ac:dyDescent="0.4">
      <c r="F266" s="9" t="str">
        <f>IF($C$54&gt;=6,"（傾き前）4列目Z座標","-")</f>
        <v>-</v>
      </c>
      <c r="G266" s="13" t="s">
        <v>123</v>
      </c>
      <c r="H266" s="60" t="str">
        <f>IF($C$54&gt;=6,$H$3-$C$49-3*$C$50,"-")</f>
        <v>-</v>
      </c>
      <c r="I266" s="30" t="str">
        <f>IF($C$54&gt;=6,$C$93+H266,"-")</f>
        <v>-</v>
      </c>
    </row>
    <row r="267" spans="5:9" x14ac:dyDescent="0.4">
      <c r="F267" s="9" t="str">
        <f>IF($C$54&gt;=7,"（傾き前）5列目Z座標","-")</f>
        <v>-</v>
      </c>
      <c r="G267" s="13" t="s">
        <v>123</v>
      </c>
      <c r="H267" s="60" t="str">
        <f>IF($C$54&gt;=7,$H$3-$C$49-4*$C$50,"-")</f>
        <v>-</v>
      </c>
      <c r="I267" s="30" t="str">
        <f>IF($C$54&gt;=7,$C$93+H267,"-")</f>
        <v>-</v>
      </c>
    </row>
    <row r="268" spans="5:9" x14ac:dyDescent="0.4">
      <c r="F268" s="9" t="str">
        <f>IF($C$54&gt;=8,"（傾き前）6列目Z座標","-")</f>
        <v>-</v>
      </c>
      <c r="G268" s="13" t="s">
        <v>123</v>
      </c>
      <c r="H268" s="60" t="str">
        <f>IF($C$54&gt;=8,$H$3-$C$49-5*$C$50,"-")</f>
        <v>-</v>
      </c>
      <c r="I268" s="30" t="str">
        <f>IF($C$54&gt;=8,$C$93+H268,"-")</f>
        <v>-</v>
      </c>
    </row>
    <row r="269" spans="5:9" x14ac:dyDescent="0.4">
      <c r="F269" s="9" t="s">
        <v>343</v>
      </c>
      <c r="G269" s="13" t="s">
        <v>123</v>
      </c>
      <c r="H269" s="60">
        <f>$H$3-$C$49-($C$54-2)*$C$50</f>
        <v>207</v>
      </c>
      <c r="I269" s="30">
        <f>$C$93+H269</f>
        <v>-942.97399999999993</v>
      </c>
    </row>
    <row r="270" spans="5:9" x14ac:dyDescent="0.4">
      <c r="E270" s="3" t="s">
        <v>345</v>
      </c>
      <c r="F270" s="9" t="s">
        <v>344</v>
      </c>
      <c r="G270" s="13" t="s">
        <v>123</v>
      </c>
      <c r="H270" s="60">
        <f>$H$3-$C$49-($C$54-1)*$C$50</f>
        <v>187</v>
      </c>
      <c r="I270" s="30">
        <f>$C$93+H270</f>
        <v>-962.97399999999993</v>
      </c>
    </row>
    <row r="271" spans="5:9" x14ac:dyDescent="0.4">
      <c r="E271" s="3" t="s">
        <v>302</v>
      </c>
      <c r="F271" s="10" t="s">
        <v>305</v>
      </c>
      <c r="G271" s="30" t="s">
        <v>126</v>
      </c>
      <c r="H271" s="30">
        <f ca="1">$N$92+$C$14*2</f>
        <v>135.738</v>
      </c>
    </row>
    <row r="272" spans="5:9" x14ac:dyDescent="0.4">
      <c r="E272" s="3" t="s">
        <v>304</v>
      </c>
      <c r="F272" s="10" t="str">
        <f>IF($C$54&gt;=3,"1列目 AC内径（水平・めっき含・概算）","-")</f>
        <v>1列目 AC内径（水平・めっき含・概算）</v>
      </c>
      <c r="G272" s="30" t="s">
        <v>126</v>
      </c>
      <c r="H272" s="30">
        <f ca="1">IF($C$54&gt;=3,($N$68*$N$106+$N$76*$N$98)/($N$60-$N$52)+$C$14*2,"-")</f>
        <v>135.06414674199996</v>
      </c>
    </row>
    <row r="273" spans="5:9" x14ac:dyDescent="0.4">
      <c r="F273" s="10" t="s">
        <v>306</v>
      </c>
      <c r="G273" s="56" t="s">
        <v>126</v>
      </c>
      <c r="H273" s="30">
        <f ca="1">($N$75*$N$113+$N$83*$N$105)/($N$67-$N$59)+$C$14*2</f>
        <v>134.82365716599998</v>
      </c>
    </row>
    <row r="274" spans="5:9" x14ac:dyDescent="0.4">
      <c r="F274" s="10" t="s">
        <v>538</v>
      </c>
      <c r="G274" s="30" t="s">
        <v>124</v>
      </c>
      <c r="H274" s="30">
        <f ca="1">$H$7+$H$100</f>
        <v>-3.0409999999999999</v>
      </c>
      <c r="I274" s="30">
        <f ca="1">-$C$94+$H$274</f>
        <v>-3.1139999999999999</v>
      </c>
    </row>
    <row r="275" spans="5:9" x14ac:dyDescent="0.4">
      <c r="E275" s="3" t="s">
        <v>320</v>
      </c>
      <c r="F275" s="59" t="s">
        <v>539</v>
      </c>
      <c r="G275" s="13" t="s">
        <v>124</v>
      </c>
      <c r="H275" s="56">
        <f ca="1">DEGREES($N$128)</f>
        <v>2.3040622573254979</v>
      </c>
    </row>
    <row r="276" spans="5:9" x14ac:dyDescent="0.4">
      <c r="E276" s="3" t="s">
        <v>320</v>
      </c>
      <c r="F276" s="59" t="s">
        <v>540</v>
      </c>
      <c r="G276" s="13" t="s">
        <v>124</v>
      </c>
      <c r="H276" s="56">
        <f ca="1">$H$7+$H$275</f>
        <v>2.3040622573254979</v>
      </c>
      <c r="I276" s="56">
        <f ca="1">-$C$94+$H$276</f>
        <v>2.2310622573254979</v>
      </c>
    </row>
    <row r="277" spans="5:9" x14ac:dyDescent="0.4">
      <c r="F277" s="10" t="s">
        <v>541</v>
      </c>
      <c r="G277" s="61" t="s">
        <v>126</v>
      </c>
      <c r="H277" s="30">
        <f ca="1">MIN($N$131, $N$132)</f>
        <v>10.917373582917158</v>
      </c>
    </row>
    <row r="278" spans="5:9" x14ac:dyDescent="0.4">
      <c r="E278" s="3" t="s">
        <v>346</v>
      </c>
      <c r="F278" s="10" t="s">
        <v>407</v>
      </c>
      <c r="G278" s="13" t="s">
        <v>125</v>
      </c>
      <c r="H278" s="30">
        <f ca="1">($N$68*$N$141+$N$76*$N$133)/($N$60-$N$52)+$C$14*2</f>
        <v>135.06414674199996</v>
      </c>
    </row>
    <row r="279" spans="5:9" x14ac:dyDescent="0.4">
      <c r="F279" s="10" t="s">
        <v>348</v>
      </c>
      <c r="G279" s="13" t="s">
        <v>125</v>
      </c>
      <c r="H279" s="30">
        <f ca="1">($N$75*$N$148+$N$83*$N$140)/($N$67-$N$59)+$C$14*2</f>
        <v>134.82365716599998</v>
      </c>
    </row>
    <row r="280" spans="5:9" x14ac:dyDescent="0.4">
      <c r="F280" s="32" t="s">
        <v>543</v>
      </c>
      <c r="G280" s="66"/>
    </row>
    <row r="281" spans="5:9" x14ac:dyDescent="0.4">
      <c r="F281" s="10" t="str">
        <f>IF($C$54&gt;=3,"ディンプル1列目-トップ端 湾曲中心間X距離", "-")</f>
        <v>ディンプル1列目-トップ端 湾曲中心間X距離</v>
      </c>
      <c r="G281" s="13" t="s">
        <v>126</v>
      </c>
      <c r="H281" s="30">
        <f ca="1">IF($C$54&gt;=$C$97-5,$H$255*$N$122-$C$49*$N$121, "-")</f>
        <v>0.42217404591163543</v>
      </c>
    </row>
    <row r="282" spans="5:9" x14ac:dyDescent="0.4">
      <c r="F282" s="10" t="str">
        <f>IF($C$54&gt;=4,"ディンプル2列目-トップ端 湾曲中心間X距離", "-")</f>
        <v>ディンプル2列目-トップ端 湾曲中心間X距離</v>
      </c>
      <c r="G282" s="13" t="s">
        <v>126</v>
      </c>
      <c r="H282" s="30">
        <f ca="1">IF($C$54&gt;=$C$97-4,$H$256*$N$122-($C$49+$C50)*$N$121, "-")</f>
        <v>0.22710528480853043</v>
      </c>
    </row>
    <row r="283" spans="5:9" x14ac:dyDescent="0.4">
      <c r="F283" s="10" t="str">
        <f>IF($C$54&gt;=5,"ディンプル3列目-トップ端 湾曲中心間X距離", "-")</f>
        <v>ディンプル3列目-トップ端 湾曲中心間X距離</v>
      </c>
      <c r="G283" s="13" t="s">
        <v>126</v>
      </c>
      <c r="H283" s="30">
        <f ca="1">IF($C$54&gt;=$C$97-3,$H$257*$N$122-($C$49+2*$C$50)*$N$121, "-")</f>
        <v>-3.546423057938064E-2</v>
      </c>
    </row>
    <row r="284" spans="5:9" x14ac:dyDescent="0.4">
      <c r="F284" s="10" t="str">
        <f>IF($C$54&gt;=6,"ディンプル4列目-トップ端 湾曲中心間X距離", "-")</f>
        <v>-</v>
      </c>
      <c r="G284" s="13" t="s">
        <v>126</v>
      </c>
      <c r="H284" s="30" t="str">
        <f>IF($C$54&gt;=$C$97-2,$H$258*$N$122-($C$49+3*$C$50)*$N$121, "-")</f>
        <v>-</v>
      </c>
    </row>
    <row r="285" spans="5:9" x14ac:dyDescent="0.4">
      <c r="F285" s="10" t="str">
        <f>IF($C$54&gt;=7,"ディンプル5列目-トップ端 湾曲中心間X距離", "-")</f>
        <v>-</v>
      </c>
      <c r="G285" s="13" t="s">
        <v>126</v>
      </c>
      <c r="H285" s="30" t="str">
        <f>IF($C$54&gt;=$C$97-1,$H$259*$N$122-($C$49+4*$C$50)*$N$121, "-")</f>
        <v>-</v>
      </c>
    </row>
    <row r="286" spans="5:9" x14ac:dyDescent="0.4">
      <c r="F286" s="10" t="str">
        <f>IF($C$54&gt;=8,"ディンプル6列目-トップ端 湾曲中心間X距離", "-")</f>
        <v>-</v>
      </c>
      <c r="G286" s="13" t="s">
        <v>126</v>
      </c>
      <c r="H286" s="30" t="str">
        <f>IF($C$54&gt;=$C$97,$H$260*$N$122-($C$49+5*$C$50)*$N$121, "-")</f>
        <v>-</v>
      </c>
    </row>
    <row r="287" spans="5:9" x14ac:dyDescent="0.4">
      <c r="F287" s="10" t="s">
        <v>535</v>
      </c>
      <c r="G287" s="13" t="s">
        <v>126</v>
      </c>
      <c r="H287" s="30">
        <f ca="1">$H$261*$N$122-($C$49+($C$54-2)*$C$50)*$N$121</f>
        <v>-0.36550719295247802</v>
      </c>
    </row>
    <row r="288" spans="5:9" x14ac:dyDescent="0.4">
      <c r="F288" s="10" t="s">
        <v>536</v>
      </c>
      <c r="G288" s="13" t="s">
        <v>126</v>
      </c>
      <c r="H288" s="30">
        <f ca="1">$H$262*$N$122-($C$49+($C$54-1)*$C$50)*$N$121</f>
        <v>-0.76299861556870141</v>
      </c>
    </row>
    <row r="289" spans="5:9" x14ac:dyDescent="0.4">
      <c r="F289" s="10" t="str">
        <f>IF($C$54&gt;=3,"ディンプル1列目-トップ端 湾曲中心間Z距離", "-")</f>
        <v>ディンプル1列目-トップ端 湾曲中心間Z距離</v>
      </c>
      <c r="G289" s="13" t="s">
        <v>123</v>
      </c>
      <c r="H289" s="30">
        <f ca="1">IF($C$54&gt;=$C$97-5,$H$255*$N$121+$C$49*$N$122, "-")</f>
        <v>133.20997909310435</v>
      </c>
    </row>
    <row r="290" spans="5:9" x14ac:dyDescent="0.4">
      <c r="F290" s="10" t="str">
        <f>IF($C$54&gt;=4,"ディンプル2列目-トップ端 湾曲中心間Z距離", "-")</f>
        <v>ディンプル2列目-トップ端 湾曲中心間Z距離</v>
      </c>
      <c r="G290" s="13" t="s">
        <v>123</v>
      </c>
      <c r="H290" s="30">
        <f ca="1">IF($C$54&gt;=$C$97-4,$H$256*$N$121+($C$49+$C$50)*$N$122, "-")</f>
        <v>153.22781914540855</v>
      </c>
    </row>
    <row r="291" spans="5:9" x14ac:dyDescent="0.4">
      <c r="F291" s="10" t="str">
        <f>IF($C$54&gt;=5,"ディンプル3列目-トップ端 湾曲中心間Z距離", "-")</f>
        <v>ディンプル3列目-トップ端 湾曲中心間Z距離</v>
      </c>
      <c r="G291" s="13" t="s">
        <v>123</v>
      </c>
      <c r="H291" s="30">
        <f ca="1">IF($C$54&gt;=$C$97-3,$H$257*$N$121+($C$49+2*$C$50)*$N$122, "-")</f>
        <v>173.24207319606271</v>
      </c>
    </row>
    <row r="292" spans="5:9" x14ac:dyDescent="0.4">
      <c r="F292" s="10" t="str">
        <f>IF($C$54&gt;=6,"ディンプル4列目-トップ端 湾曲中心間Z距離", "-")</f>
        <v>-</v>
      </c>
      <c r="G292" s="13" t="s">
        <v>123</v>
      </c>
      <c r="H292" s="30" t="str">
        <f>IF($C$54&gt;=$C$97-2,$H$258*$N$121+($C$49+3*$C$50)*$N$122, "-")</f>
        <v>-</v>
      </c>
    </row>
    <row r="293" spans="5:9" x14ac:dyDescent="0.4">
      <c r="F293" s="10" t="str">
        <f>IF($C$54&gt;=7,"ディンプル5列目-トップ端 湾曲中心間Z距離", "-")</f>
        <v>-</v>
      </c>
      <c r="G293" s="13" t="s">
        <v>123</v>
      </c>
      <c r="H293" s="30" t="str">
        <f>IF($C$54&gt;=$C$97-1,$H$259*$N$121+($C$49+4*$C$50)*$N$122, "-")</f>
        <v>-</v>
      </c>
    </row>
    <row r="294" spans="5:9" x14ac:dyDescent="0.4">
      <c r="F294" s="10" t="str">
        <f>IF($C$54&gt;=8,"ディンプル6列目-トップ端 湾曲中心間Z距離", "-")</f>
        <v>-</v>
      </c>
      <c r="G294" s="3" t="s">
        <v>123</v>
      </c>
      <c r="H294" s="30" t="str">
        <f>IF($C$54&gt;=$C$97-0,$H$260*$N$121+($C$49+5*$C$50)*$N$122, "-")</f>
        <v>-</v>
      </c>
    </row>
    <row r="295" spans="5:9" x14ac:dyDescent="0.4">
      <c r="F295" s="10" t="s">
        <v>545</v>
      </c>
      <c r="G295" s="13" t="s">
        <v>123</v>
      </c>
      <c r="H295" s="30">
        <f ca="1">$H$261*$N$121+($C$49+($C$54-2)*$C$50)*$N$122</f>
        <v>193.25274269577679</v>
      </c>
    </row>
    <row r="296" spans="5:9" x14ac:dyDescent="0.4">
      <c r="F296" s="10" t="s">
        <v>546</v>
      </c>
      <c r="G296" s="13" t="s">
        <v>123</v>
      </c>
      <c r="H296" s="30">
        <f ca="1">$H$262*$N$121+($C$49+($C$54-1)*$C$50)*$N$122</f>
        <v>213.2598289719804</v>
      </c>
    </row>
    <row r="297" spans="5:9" x14ac:dyDescent="0.4">
      <c r="F297" s="32" t="s">
        <v>547</v>
      </c>
      <c r="G297" s="66"/>
    </row>
    <row r="298" spans="5:9" x14ac:dyDescent="0.4">
      <c r="E298" s="3" t="s">
        <v>396</v>
      </c>
      <c r="F298" s="9" t="s">
        <v>401</v>
      </c>
      <c r="G298" s="13" t="s">
        <v>126</v>
      </c>
      <c r="H298" s="30">
        <f>$I$19-$C92</f>
        <v>-30.246301152824344</v>
      </c>
      <c r="I298" s="30">
        <f>$C$92+H298</f>
        <v>-580.26530115282435</v>
      </c>
    </row>
    <row r="299" spans="5:9" x14ac:dyDescent="0.4">
      <c r="E299" s="3" t="s">
        <v>397</v>
      </c>
      <c r="F299" s="9" t="s">
        <v>402</v>
      </c>
      <c r="G299" s="13" t="s">
        <v>123</v>
      </c>
      <c r="H299" s="30">
        <f>$H$3</f>
        <v>400</v>
      </c>
      <c r="I299" s="30">
        <f>$C$93+H299</f>
        <v>-749.97399999999993</v>
      </c>
    </row>
    <row r="300" spans="5:9" x14ac:dyDescent="0.4">
      <c r="E300" s="3" t="s">
        <v>398</v>
      </c>
      <c r="F300" s="9" t="s">
        <v>403</v>
      </c>
      <c r="G300" s="13" t="s">
        <v>126</v>
      </c>
      <c r="H300" s="30">
        <f ca="1">$H$298*$N$122+$H$299*$N$121</f>
        <v>-8.9834903295693209</v>
      </c>
      <c r="I300" s="30">
        <f ca="1">$C$92+H300</f>
        <v>-559.00249032956935</v>
      </c>
    </row>
    <row r="301" spans="5:9" x14ac:dyDescent="0.4">
      <c r="E301" s="3" t="s">
        <v>399</v>
      </c>
      <c r="F301" s="9" t="s">
        <v>404</v>
      </c>
      <c r="G301" s="3" t="s">
        <v>123</v>
      </c>
      <c r="H301" s="30">
        <f ca="1">-$H$298*$N$121+$H$299*$N$122</f>
        <v>401.04131412477426</v>
      </c>
      <c r="I301" s="30">
        <f ca="1">$C$93+H301</f>
        <v>-748.93268587522562</v>
      </c>
    </row>
    <row r="302" spans="5:9" x14ac:dyDescent="0.4">
      <c r="F302" s="9" t="s">
        <v>400</v>
      </c>
      <c r="G302" s="28" t="s">
        <v>126</v>
      </c>
      <c r="H302" s="30">
        <f ca="1">$H$300-$H$298</f>
        <v>21.262810823255023</v>
      </c>
    </row>
    <row r="303" spans="5:9" x14ac:dyDescent="0.4">
      <c r="F303" s="9" t="s">
        <v>400</v>
      </c>
      <c r="G303" s="61" t="s">
        <v>123</v>
      </c>
      <c r="H303" s="30">
        <f ca="1">$H$301-$H$299</f>
        <v>1.0413141247742601</v>
      </c>
    </row>
  </sheetData>
  <phoneticPr fontId="1"/>
  <conditionalFormatting sqref="C4">
    <cfRule type="expression" dxfId="140" priority="247">
      <formula>$C$4&gt;2*N171</formula>
    </cfRule>
  </conditionalFormatting>
  <conditionalFormatting sqref="C5">
    <cfRule type="expression" dxfId="139" priority="240">
      <formula>C5&lt;0</formula>
    </cfRule>
  </conditionalFormatting>
  <conditionalFormatting sqref="C9">
    <cfRule type="expression" dxfId="138" priority="241">
      <formula>$C$9&lt;=0</formula>
    </cfRule>
  </conditionalFormatting>
  <conditionalFormatting sqref="C10">
    <cfRule type="expression" dxfId="137" priority="233">
      <formula>$C$10&lt;0</formula>
    </cfRule>
  </conditionalFormatting>
  <conditionalFormatting sqref="C42">
    <cfRule type="expression" dxfId="136" priority="245">
      <formula>OR(C42&lt;=0, C42&gt;Q2)</formula>
    </cfRule>
  </conditionalFormatting>
  <conditionalFormatting sqref="C21">
    <cfRule type="expression" dxfId="135" priority="244">
      <formula>IF($C$18=1,OR($C$21&lt;=$C$9/2, $C$21&gt;=$C$9),$C$21&lt;&gt;"")</formula>
    </cfRule>
  </conditionalFormatting>
  <conditionalFormatting sqref="C23">
    <cfRule type="expression" dxfId="134" priority="246">
      <formula>IF($C$18=1,OR($C$23&lt;=0, $C$23&gt;=$C$6/4),$C$23&lt;&gt;"")</formula>
    </cfRule>
  </conditionalFormatting>
  <conditionalFormatting sqref="C33:C37">
    <cfRule type="expression" dxfId="133" priority="556">
      <formula>OR(C33&lt;0, C33&gt;=C5)</formula>
    </cfRule>
  </conditionalFormatting>
  <conditionalFormatting sqref="C87">
    <cfRule type="expression" dxfId="132" priority="243">
      <formula>AND(C87&lt;&gt;330, C87&lt;&gt;270, C87&lt;&gt;250)</formula>
    </cfRule>
  </conditionalFormatting>
  <conditionalFormatting sqref="C88">
    <cfRule type="expression" dxfId="131" priority="242">
      <formula>C88&lt;&gt;40</formula>
    </cfRule>
  </conditionalFormatting>
  <conditionalFormatting sqref="C91">
    <cfRule type="expression" dxfId="130" priority="235">
      <formula>OR(C91&gt;0, ABS(ABS(C91)-740)&gt;=1)</formula>
    </cfRule>
  </conditionalFormatting>
  <conditionalFormatting sqref="C92">
    <cfRule type="expression" dxfId="129" priority="238">
      <formula>OR(C92&gt;0, ABS(ABS(C92)-550)&gt;=1)</formula>
    </cfRule>
  </conditionalFormatting>
  <conditionalFormatting sqref="C93">
    <cfRule type="expression" dxfId="128" priority="236">
      <formula>OR(C93&gt;0, ABS(ABS(C93)-1150)&gt;=1)</formula>
    </cfRule>
  </conditionalFormatting>
  <conditionalFormatting sqref="C94">
    <cfRule type="expression" dxfId="127" priority="237">
      <formula>OR(ABS(C94)&gt;=0.2)</formula>
    </cfRule>
  </conditionalFormatting>
  <conditionalFormatting sqref="H250">
    <cfRule type="expression" dxfId="126" priority="234">
      <formula>OR($H$250&lt;=1, INT($H$250)&lt;&gt;$H$250)</formula>
    </cfRule>
  </conditionalFormatting>
  <conditionalFormatting sqref="N2">
    <cfRule type="expression" dxfId="125" priority="230">
      <formula>ISERROR(INDIRECT($N$2&amp;"!$G$45"))</formula>
    </cfRule>
  </conditionalFormatting>
  <conditionalFormatting sqref="C54">
    <cfRule type="expression" dxfId="124" priority="250">
      <formula>OR(C54-QUOTIENT(C54,1)&lt;&gt;0, C54&lt;0, C54&gt;$C$97)</formula>
    </cfRule>
  </conditionalFormatting>
  <conditionalFormatting sqref="H252">
    <cfRule type="expression" dxfId="123" priority="229">
      <formula>OR($H$252&lt;1, INT($H$252)&lt;&gt;$H$252)</formula>
    </cfRule>
  </conditionalFormatting>
  <conditionalFormatting sqref="H253">
    <cfRule type="expression" dxfId="122" priority="228">
      <formula>OR($H$253&lt;0, INT($H$253)&lt;&gt;$H$253)</formula>
    </cfRule>
  </conditionalFormatting>
  <conditionalFormatting sqref="C52">
    <cfRule type="expression" dxfId="121" priority="251">
      <formula>OR($C$52&lt;=0, MOD($C$52,$C$51)&lt;&gt;0, $C$52&gt;=#REF!)</formula>
    </cfRule>
  </conditionalFormatting>
  <conditionalFormatting sqref="C116">
    <cfRule type="expression" dxfId="120" priority="252">
      <formula>OR($C$116&lt;=0, $C$116&gt;=MIN($C$52, $C$53))</formula>
    </cfRule>
  </conditionalFormatting>
  <conditionalFormatting sqref="N149:N162 N95:N97">
    <cfRule type="expression" dxfId="119" priority="227">
      <formula>$H$253&lt;0</formula>
    </cfRule>
  </conditionalFormatting>
  <conditionalFormatting sqref="H281:H296">
    <cfRule type="expression" dxfId="118" priority="221">
      <formula>$H$253&lt;0</formula>
    </cfRule>
  </conditionalFormatting>
  <conditionalFormatting sqref="C117">
    <cfRule type="expression" dxfId="117" priority="220">
      <formula>OR($C$117&lt;=0, $C$117&gt;$C$116)</formula>
    </cfRule>
  </conditionalFormatting>
  <conditionalFormatting sqref="H251">
    <cfRule type="expression" dxfId="116" priority="219">
      <formula>OR($H$251&lt;0, INT($H$251)&lt;&gt;$H$251)</formula>
    </cfRule>
  </conditionalFormatting>
  <conditionalFormatting sqref="C43">
    <cfRule type="expression" dxfId="115" priority="253">
      <formula>OR($C$43&lt;=0, $C$43+$C$42&gt;$Q$2)</formula>
    </cfRule>
  </conditionalFormatting>
  <conditionalFormatting sqref="C38">
    <cfRule type="expression" dxfId="114" priority="217">
      <formula>OR(ISBLANK($C$38), AND($C$38&lt;&gt;1, $C$38&lt;&gt;2,$C$38&lt;&gt;3, $C$38&lt;&gt;4))</formula>
    </cfRule>
  </conditionalFormatting>
  <conditionalFormatting sqref="C41">
    <cfRule type="expression" dxfId="113" priority="265">
      <formula>OR($C$41&gt;=$C$10, $C$41&lt;=$C$10/2)</formula>
    </cfRule>
  </conditionalFormatting>
  <conditionalFormatting sqref="C26">
    <cfRule type="expression" dxfId="112" priority="214">
      <formula>OR(ISBLANK($C$26), AND($C$26&lt;&gt;0, $C$26&lt;&gt;1))</formula>
    </cfRule>
  </conditionalFormatting>
  <conditionalFormatting sqref="C29">
    <cfRule type="expression" dxfId="111" priority="248">
      <formula>IF($C$26=1,OR($C$29&lt;=$C$9/2, $C$29&gt;=$C$9),$C$29&lt;&gt;"")</formula>
    </cfRule>
  </conditionalFormatting>
  <conditionalFormatting sqref="C31">
    <cfRule type="expression" dxfId="110" priority="213">
      <formula>IF($C$26=1,OR($C$31&lt;=0, $C$31&gt;=$C$5/4),$C$31&lt;&gt;"")</formula>
    </cfRule>
  </conditionalFormatting>
  <conditionalFormatting sqref="C58">
    <cfRule type="expression" dxfId="109" priority="209">
      <formula>OR(ISBLANK($C$58), AND($C$58&lt;&gt;0, $C$58&lt;&gt;1), AND($C$62&lt;&gt;0, $C$58=1))</formula>
    </cfRule>
  </conditionalFormatting>
  <conditionalFormatting sqref="C59">
    <cfRule type="expression" dxfId="108" priority="207">
      <formula>IF($C$58=1,OR($C$59&lt;=0, $C$59&gt;=$C$6/4),$C$59&lt;&gt;"")</formula>
    </cfRule>
  </conditionalFormatting>
  <conditionalFormatting sqref="C66">
    <cfRule type="expression" dxfId="107" priority="205">
      <formula>IF($C$65=1,OR($C$66&lt;=0, $C$66&gt;=$C$6/4),$C$66&lt;&gt;"")</formula>
    </cfRule>
  </conditionalFormatting>
  <conditionalFormatting sqref="C65">
    <cfRule type="expression" dxfId="106" priority="204">
      <formula>OR(ISBLANK($C$65), AND($C$65&lt;&gt;0, $C$65&lt;&gt;1), AND($C$69&lt;&gt;0, $C$65=1))</formula>
    </cfRule>
  </conditionalFormatting>
  <conditionalFormatting sqref="C67">
    <cfRule type="expression" dxfId="105" priority="202">
      <formula>IF($C$65=1,AND($C$67&lt;&gt;15, $C$67&lt;&gt;30, $C$67&lt;&gt;45),$C$67&lt;&gt;"")</formula>
    </cfRule>
  </conditionalFormatting>
  <conditionalFormatting sqref="C60">
    <cfRule type="expression" dxfId="104" priority="201">
      <formula>IF($C$58=1,AND($C$60&lt;&gt;15, $C$60&lt;&gt;30, $C$60&lt;&gt;45),$C$60&lt;&gt;"")</formula>
    </cfRule>
  </conditionalFormatting>
  <conditionalFormatting sqref="C80">
    <cfRule type="expression" dxfId="103" priority="198">
      <formula>IF($C$79=1,OR($C$80&lt;=0, $C$80&gt;=$C5/4),$C$80&lt;&gt;"")</formula>
    </cfRule>
  </conditionalFormatting>
  <conditionalFormatting sqref="C79">
    <cfRule type="expression" dxfId="102" priority="197">
      <formula>OR(ISBLANK($C$79), AND($C$79&lt;&gt;0, $C$79&lt;&gt;1), AND($C$83&lt;&gt;0, $C$79&lt;&gt;0))</formula>
    </cfRule>
  </conditionalFormatting>
  <conditionalFormatting sqref="C81">
    <cfRule type="expression" dxfId="101" priority="196">
      <formula>IF($C$79=1,AND($C$81&lt;&gt;15, $C$81&lt;&gt;30, $C$81&lt;&gt;45),$C$81&lt;&gt;"")</formula>
    </cfRule>
  </conditionalFormatting>
  <conditionalFormatting sqref="C11">
    <cfRule type="expression" dxfId="100" priority="194">
      <formula>OR($C$11&lt;=0, $C$11&gt;=MIN($C$9, $C$10)/4)</formula>
    </cfRule>
  </conditionalFormatting>
  <conditionalFormatting sqref="C18">
    <cfRule type="expression" dxfId="99" priority="191">
      <formula>OR(ISBLANK($C$18), AND($C$18&lt;&gt;0, $C$18&lt;&gt;1))</formula>
    </cfRule>
  </conditionalFormatting>
  <conditionalFormatting sqref="C39">
    <cfRule type="expression" dxfId="98" priority="190">
      <formula>OR(ISBLANK($C$39), AND($C$39&lt;&gt;0, $C$39&lt;&gt;1))</formula>
    </cfRule>
  </conditionalFormatting>
  <conditionalFormatting sqref="B40:C40">
    <cfRule type="expression" dxfId="97" priority="189">
      <formula>$C$38=4</formula>
    </cfRule>
  </conditionalFormatting>
  <conditionalFormatting sqref="C45">
    <cfRule type="expression" dxfId="96" priority="187">
      <formula>IF($C$38=1,OR($C$46&lt;=0, $C$46&gt;=MIN($C$40, $C$41)/4),$C$46&lt;&gt;"")</formula>
    </cfRule>
  </conditionalFormatting>
  <conditionalFormatting sqref="B45:C45">
    <cfRule type="expression" dxfId="95" priority="186">
      <formula>$C$38&lt;&gt;1</formula>
    </cfRule>
  </conditionalFormatting>
  <conditionalFormatting sqref="B44:C44">
    <cfRule type="expression" dxfId="94" priority="307">
      <formula>$C$39=0</formula>
    </cfRule>
  </conditionalFormatting>
  <conditionalFormatting sqref="C46">
    <cfRule type="expression" dxfId="93" priority="183">
      <formula>IF($C$38=2,OR($C$46&lt;=0, $C$46&gt;=MIN($C$40, $C$41)/4),$C$46&lt;&gt;"")</formula>
    </cfRule>
  </conditionalFormatting>
  <conditionalFormatting sqref="B46:C46">
    <cfRule type="expression" dxfId="92" priority="184">
      <formula>$C$38&lt;&gt;2</formula>
    </cfRule>
  </conditionalFormatting>
  <conditionalFormatting sqref="G85:G101 G103:G105 G1:G83 G107:G159 G161:G172 G174:G206 G208:G219 G221:G230 G232:G248 G250:G1048576">
    <cfRule type="expression" dxfId="91" priority="934">
      <formula>G1="Y"</formula>
    </cfRule>
    <cfRule type="expression" dxfId="90" priority="960">
      <formula>G1="X"</formula>
    </cfRule>
    <cfRule type="expression" dxfId="89" priority="979">
      <formula>G1="Z"</formula>
    </cfRule>
    <cfRule type="expression" dxfId="88" priority="986">
      <formula>G1="B"</formula>
    </cfRule>
  </conditionalFormatting>
  <conditionalFormatting sqref="B20:C23">
    <cfRule type="expression" dxfId="87" priority="171">
      <formula>$C$18&lt;&gt;1</formula>
    </cfRule>
  </conditionalFormatting>
  <conditionalFormatting sqref="B59:C60">
    <cfRule type="expression" dxfId="86" priority="169">
      <formula>$C$58&lt;&gt;1</formula>
    </cfRule>
  </conditionalFormatting>
  <conditionalFormatting sqref="B66:C67">
    <cfRule type="expression" dxfId="85" priority="168">
      <formula>$C$65&lt;&gt;1</formula>
    </cfRule>
  </conditionalFormatting>
  <conditionalFormatting sqref="C62">
    <cfRule type="expression" dxfId="84" priority="167">
      <formula>OR(AND($C$62&lt;&gt;0, $C$62&lt;&gt;1), AND($C$58&lt;&gt;0, $C$62=1))</formula>
    </cfRule>
  </conditionalFormatting>
  <conditionalFormatting sqref="C63">
    <cfRule type="expression" dxfId="83" priority="166">
      <formula>IF($C$62=1,OR($C$63&lt;=0, $C$63&gt;=$C$6/4),$C$63&lt;&gt;"")</formula>
    </cfRule>
  </conditionalFormatting>
  <conditionalFormatting sqref="C69">
    <cfRule type="expression" dxfId="82" priority="165">
      <formula>OR(ISBLANK($C$69), AND($C$69&lt;&gt;0, $C$69&lt;&gt;1), AND($C$65&lt;&gt;0, $C$69=1))</formula>
    </cfRule>
  </conditionalFormatting>
  <conditionalFormatting sqref="C70">
    <cfRule type="expression" dxfId="81" priority="164">
      <formula>IF($C$69=1,OR($C$70&lt;=0, $C$70&gt;=$C$6/4),$C$70&lt;&gt;"")</formula>
    </cfRule>
  </conditionalFormatting>
  <conditionalFormatting sqref="C77">
    <cfRule type="expression" dxfId="80" priority="162">
      <formula>IF($C$76=1,OR($C$77&lt;=0, $C$77&gt;=$C$5/4),$C$77&lt;&gt;"")</formula>
    </cfRule>
  </conditionalFormatting>
  <conditionalFormatting sqref="C83">
    <cfRule type="expression" dxfId="79" priority="161">
      <formula>OR(ISBLANK($C$83), AND($C$83&lt;&gt;0, $C$83&lt;&gt;1), AND($C$79&lt;&gt;0, $C$83&lt;&gt;0))</formula>
    </cfRule>
  </conditionalFormatting>
  <conditionalFormatting sqref="C84">
    <cfRule type="expression" dxfId="78" priority="160">
      <formula>IF($C$83=1,OR($C$84&lt;=0, $C$84&gt;=$C$5/4),$C$84&lt;&gt;"")</formula>
    </cfRule>
  </conditionalFormatting>
  <conditionalFormatting sqref="B63:C63">
    <cfRule type="expression" dxfId="77" priority="159">
      <formula>$C62&lt;&gt;1</formula>
    </cfRule>
  </conditionalFormatting>
  <conditionalFormatting sqref="B70:C70">
    <cfRule type="expression" dxfId="76" priority="158">
      <formula>$C$69&lt;&gt;1</formula>
    </cfRule>
  </conditionalFormatting>
  <conditionalFormatting sqref="B77:C77">
    <cfRule type="expression" dxfId="75" priority="156">
      <formula>$C$76&lt;&gt;1</formula>
    </cfRule>
  </conditionalFormatting>
  <conditionalFormatting sqref="B80:C81">
    <cfRule type="expression" dxfId="74" priority="155">
      <formula>$C$79&lt;&gt;1</formula>
    </cfRule>
  </conditionalFormatting>
  <conditionalFormatting sqref="B84:C84">
    <cfRule type="expression" dxfId="73" priority="154">
      <formula>$C$83&lt;&gt;1</formula>
    </cfRule>
  </conditionalFormatting>
  <conditionalFormatting sqref="C40">
    <cfRule type="expression" dxfId="72" priority="340">
      <formula>IF($C$38&lt;&gt;4,OR($C$40&gt;=$C$9, $C$40&gt;=$C$29,$C$40&lt;=$C$9/2),$C$40&lt;&gt;"")</formula>
    </cfRule>
  </conditionalFormatting>
  <conditionalFormatting sqref="E15:I15">
    <cfRule type="expression" dxfId="71" priority="356">
      <formula>$C$26&lt;&gt;0</formula>
    </cfRule>
  </conditionalFormatting>
  <conditionalFormatting sqref="C32">
    <cfRule type="expression" dxfId="70" priority="211">
      <formula>OR($C$32&lt;=0, $C$32&gt;=MIN($C$29, $C$30)/4)</formula>
    </cfRule>
  </conditionalFormatting>
  <conditionalFormatting sqref="C27">
    <cfRule type="expression" dxfId="69" priority="170">
      <formula>OR(ISBLANK($C$27), AND($C$27&lt;&gt;0, $C$27&lt;&gt;1))</formula>
    </cfRule>
  </conditionalFormatting>
  <conditionalFormatting sqref="C76">
    <cfRule type="expression" dxfId="68" priority="446">
      <formula>OR(ISBLANK($C$76), AND($C$76&lt;&gt;0, $C$76&lt;&gt;1), AND($C$72&lt;&gt;0, $C$76&lt;&gt;0))</formula>
    </cfRule>
  </conditionalFormatting>
  <conditionalFormatting sqref="C73">
    <cfRule type="expression" dxfId="67" priority="132">
      <formula>IF($C$72=1,OR($C$73&lt;=0, $C$73&gt;=$C$5/4),$C$73&lt;&gt;"")</formula>
    </cfRule>
  </conditionalFormatting>
  <conditionalFormatting sqref="B73:C73">
    <cfRule type="expression" dxfId="66" priority="131">
      <formula>$C$72&lt;&gt;1</formula>
    </cfRule>
  </conditionalFormatting>
  <conditionalFormatting sqref="C74">
    <cfRule type="expression" dxfId="65" priority="130">
      <formula>IF($C$72=1,AND($C$74&lt;&gt;15, $C$74&lt;&gt;30, $C$74&lt;&gt;45),$C$74&lt;&gt;"")</formula>
    </cfRule>
  </conditionalFormatting>
  <conditionalFormatting sqref="C72">
    <cfRule type="expression" dxfId="64" priority="129">
      <formula>OR(ISBLANK($C$72), AND($C$72&lt;&gt;0, $C$72&lt;&gt;1), AND($C$76&lt;&gt;0, $C$72=1))</formula>
    </cfRule>
  </conditionalFormatting>
  <conditionalFormatting sqref="B74:C74">
    <cfRule type="expression" dxfId="63" priority="128">
      <formula>$C$72&lt;&gt;1</formula>
    </cfRule>
  </conditionalFormatting>
  <conditionalFormatting sqref="F54:H57 F58:I58 F59:H62">
    <cfRule type="expression" dxfId="62" priority="114">
      <formula>$H$54=""</formula>
    </cfRule>
  </conditionalFormatting>
  <conditionalFormatting sqref="E121:I121 E122:H125">
    <cfRule type="expression" dxfId="61" priority="104">
      <formula>$C$26&lt;&gt;1</formula>
    </cfRule>
  </conditionalFormatting>
  <conditionalFormatting sqref="E11:I11">
    <cfRule type="expression" dxfId="60" priority="554">
      <formula>$C$18&lt;&gt;0</formula>
    </cfRule>
  </conditionalFormatting>
  <conditionalFormatting sqref="C36">
    <cfRule type="expression" dxfId="59" priority="555">
      <formula>IF(AND($C$18=1,$C$26=1),OR($C$36&lt;0, $C$36&gt;=$C$21/4),$C$36&lt;&gt;"")</formula>
    </cfRule>
  </conditionalFormatting>
  <conditionalFormatting sqref="C35">
    <cfRule type="expression" dxfId="58" priority="558">
      <formula>IF(AND($C$18=1, $C$26=1),AND($C$35&lt;&gt;1, $C$35&lt;&gt;2), $C$35&lt;&gt;"")</formula>
    </cfRule>
  </conditionalFormatting>
  <conditionalFormatting sqref="B35:C36">
    <cfRule type="expression" dxfId="57" priority="249">
      <formula>NOT(AND($C$18=1, $C$26=1))</formula>
    </cfRule>
  </conditionalFormatting>
  <conditionalFormatting sqref="C30">
    <cfRule type="expression" dxfId="56" priority="659">
      <formula>IF($C$26=1,OR($C$30&lt;=$C$41, $C$30&gt;=$C$10),$C$30&lt;&gt;"")</formula>
    </cfRule>
  </conditionalFormatting>
  <conditionalFormatting sqref="E18:I18">
    <cfRule type="expression" dxfId="55" priority="613">
      <formula>OR($C$39&lt;&gt;1,$C$26&lt;&gt;0)</formula>
    </cfRule>
  </conditionalFormatting>
  <conditionalFormatting sqref="B28:C28">
    <cfRule type="expression" dxfId="54" priority="147">
      <formula>$C$35&lt;&gt;2</formula>
    </cfRule>
  </conditionalFormatting>
  <conditionalFormatting sqref="H85 H104">
    <cfRule type="expression" dxfId="53" priority="893">
      <formula>$H$104&lt;&gt;$H$85</formula>
    </cfRule>
  </conditionalFormatting>
  <conditionalFormatting sqref="C56">
    <cfRule type="expression" dxfId="52" priority="87">
      <formula>OR(ISBLANK($C$56), AND($C$56&lt;&gt;20, $C$56&lt;&gt;6.6, $C$56&lt;&gt;15))</formula>
    </cfRule>
  </conditionalFormatting>
  <conditionalFormatting sqref="H116">
    <cfRule type="expression" dxfId="51" priority="78">
      <formula>$H$116&lt;&gt;$C$131</formula>
    </cfRule>
  </conditionalFormatting>
  <conditionalFormatting sqref="E115:H120">
    <cfRule type="expression" dxfId="50" priority="77">
      <formula>$C$26&lt;&gt;1</formula>
    </cfRule>
  </conditionalFormatting>
  <conditionalFormatting sqref="B27:C32">
    <cfRule type="expression" dxfId="49" priority="76">
      <formula>$C$26&lt;&gt;1</formula>
    </cfRule>
  </conditionalFormatting>
  <conditionalFormatting sqref="E136:H137">
    <cfRule type="expression" dxfId="48" priority="70">
      <formula>$C$26&lt;&gt;0</formula>
    </cfRule>
  </conditionalFormatting>
  <conditionalFormatting sqref="E138:H139">
    <cfRule type="expression" dxfId="47" priority="67">
      <formula>$C$26&lt;&gt;1</formula>
    </cfRule>
  </conditionalFormatting>
  <conditionalFormatting sqref="C28">
    <cfRule type="expression" dxfId="46" priority="851">
      <formula>IF($C$26=1,OR($C$28&lt;=0, $C$28&gt;=($C$9-$N$92)/2),$C$28&lt;&gt;"")</formula>
    </cfRule>
  </conditionalFormatting>
  <conditionalFormatting sqref="C19">
    <cfRule type="expression" dxfId="45" priority="57">
      <formula>OR(ISBLANK($C$27), AND($C$27&lt;&gt;0, $C$27&lt;&gt;1))</formula>
    </cfRule>
  </conditionalFormatting>
  <conditionalFormatting sqref="B19:C19">
    <cfRule type="expression" dxfId="44" priority="56">
      <formula>$C$18&lt;&gt;1</formula>
    </cfRule>
  </conditionalFormatting>
  <conditionalFormatting sqref="C22">
    <cfRule type="expression" dxfId="43" priority="887">
      <formula>IF($C$18=1,OR($C$22&lt;=$C$41, $C$22&gt;=$C$10),$C$22&lt;&gt;"")</formula>
    </cfRule>
  </conditionalFormatting>
  <conditionalFormatting sqref="E16:I16 E12:I12">
    <cfRule type="expression" dxfId="42" priority="889">
      <formula>OR($C$35&lt;&gt;1, AND($C$18=1, $C$26=0))</formula>
    </cfRule>
  </conditionalFormatting>
  <conditionalFormatting sqref="E17:I18 E13:I13">
    <cfRule type="expression" dxfId="41" priority="891">
      <formula>OR($C$35&lt;&gt;2, AND($C$18=0, $C$26=1))</formula>
    </cfRule>
  </conditionalFormatting>
  <conditionalFormatting sqref="F23:H23 F35:H36 E37:I37">
    <cfRule type="expression" dxfId="40" priority="50">
      <formula>OR(AND($C$18&lt;&gt;1, $C$58&lt;&gt;1, $C$62&lt;&gt;1), $C$35=2)</formula>
    </cfRule>
  </conditionalFormatting>
  <conditionalFormatting sqref="C24">
    <cfRule type="expression" dxfId="39" priority="55">
      <formula>OR($C$32&lt;=0, $C$32&gt;=MIN($C$29, $C$30)/4)</formula>
    </cfRule>
  </conditionalFormatting>
  <conditionalFormatting sqref="B24:C24">
    <cfRule type="expression" dxfId="38" priority="54">
      <formula>$C$18&lt;&gt;1</formula>
    </cfRule>
  </conditionalFormatting>
  <conditionalFormatting sqref="E151:H151">
    <cfRule type="expression" dxfId="37" priority="48">
      <formula>$C$26&lt;&gt;0</formula>
    </cfRule>
  </conditionalFormatting>
  <conditionalFormatting sqref="E152:H152">
    <cfRule type="expression" dxfId="36" priority="47">
      <formula>$C$26&lt;&gt;0</formula>
    </cfRule>
  </conditionalFormatting>
  <conditionalFormatting sqref="E153:H153">
    <cfRule type="expression" dxfId="35" priority="46">
      <formula>$C$26&lt;&gt;1</formula>
    </cfRule>
  </conditionalFormatting>
  <conditionalFormatting sqref="E154:H154">
    <cfRule type="expression" dxfId="34" priority="45">
      <formula>$C$26&lt;&gt;1</formula>
    </cfRule>
  </conditionalFormatting>
  <conditionalFormatting sqref="H129">
    <cfRule type="expression" dxfId="33" priority="957">
      <formula>$H$129&lt;&gt;$C$132</formula>
    </cfRule>
  </conditionalFormatting>
  <conditionalFormatting sqref="H277">
    <cfRule type="expression" dxfId="32" priority="958">
      <formula>$H$277&lt;=$C$117/2+$C$118</formula>
    </cfRule>
  </conditionalFormatting>
  <conditionalFormatting sqref="F24:H24">
    <cfRule type="expression" dxfId="31" priority="959">
      <formula>$H$23&lt;&gt;$C$121</formula>
    </cfRule>
  </conditionalFormatting>
  <conditionalFormatting sqref="F56:H57 F25:H26 F29:H30 F32:H32 F60:H61 F63:H63">
    <cfRule type="expression" dxfId="30" priority="839">
      <formula>$H$54&lt;&gt;$C$126</formula>
    </cfRule>
  </conditionalFormatting>
  <conditionalFormatting sqref="F55:H55">
    <cfRule type="expression" dxfId="29" priority="966">
      <formula>$H$54&lt;&gt;$C$121</formula>
    </cfRule>
  </conditionalFormatting>
  <conditionalFormatting sqref="E66:H67 E68:I68">
    <cfRule type="expression" dxfId="28" priority="967">
      <formula>$H$66&lt;&gt;$C$122</formula>
    </cfRule>
  </conditionalFormatting>
  <conditionalFormatting sqref="E71:H72 E73:I73 E74:H76">
    <cfRule type="expression" dxfId="27" priority="969">
      <formula>$H$71&lt;&gt;$C$124</formula>
    </cfRule>
  </conditionalFormatting>
  <conditionalFormatting sqref="E79:H80 E81:I81 E82:H82">
    <cfRule type="expression" dxfId="26" priority="972">
      <formula>$H$79&lt;&gt;$C$125</formula>
    </cfRule>
  </conditionalFormatting>
  <conditionalFormatting sqref="F85:H88 F89:I89 F90:H100">
    <cfRule type="expression" dxfId="25" priority="975">
      <formula>$H$85&lt;&gt;$C$129</formula>
    </cfRule>
  </conditionalFormatting>
  <conditionalFormatting sqref="F104:H104">
    <cfRule type="expression" dxfId="24" priority="978">
      <formula>$H$104&lt;&gt;$C$129</formula>
    </cfRule>
  </conditionalFormatting>
  <conditionalFormatting sqref="H107:I110 I111 H112:I112">
    <cfRule type="expression" dxfId="23" priority="89">
      <formula>$H$108&lt;&gt;$C$130</formula>
    </cfRule>
  </conditionalFormatting>
  <conditionalFormatting sqref="H35">
    <cfRule type="expression" dxfId="22" priority="982">
      <formula>$H$35&lt;&gt;$C$122</formula>
    </cfRule>
  </conditionalFormatting>
  <conditionalFormatting sqref="H40">
    <cfRule type="expression" dxfId="21" priority="983">
      <formula>$H$40&lt;&gt;$C$124</formula>
    </cfRule>
  </conditionalFormatting>
  <conditionalFormatting sqref="H48">
    <cfRule type="expression" dxfId="20" priority="984">
      <formula>$H$48&lt;&gt;$C$125</formula>
    </cfRule>
  </conditionalFormatting>
  <conditionalFormatting sqref="H23">
    <cfRule type="expression" dxfId="19" priority="985">
      <formula>AND($H$23&lt;&gt;$C$121, $H$23&lt;&gt;$C$126)</formula>
    </cfRule>
  </conditionalFormatting>
  <conditionalFormatting sqref="H163">
    <cfRule type="expression" dxfId="18" priority="927">
      <formula>$H$163&lt;&gt;$C$134</formula>
    </cfRule>
  </conditionalFormatting>
  <conditionalFormatting sqref="E175:H178 E179:I179 E180:H180">
    <cfRule type="expression" dxfId="17" priority="36">
      <formula>$H$176&lt;&gt;$C$130</formula>
    </cfRule>
  </conditionalFormatting>
  <conditionalFormatting sqref="E183:H188 E189:I189 E190:H191">
    <cfRule type="expression" dxfId="16" priority="32">
      <formula>$C$18&lt;&gt;1</formula>
    </cfRule>
  </conditionalFormatting>
  <conditionalFormatting sqref="H184">
    <cfRule type="expression" dxfId="15" priority="31">
      <formula>$H$184&lt;&gt;$C$131</formula>
    </cfRule>
  </conditionalFormatting>
  <conditionalFormatting sqref="H184">
    <cfRule type="expression" dxfId="14" priority="30">
      <formula>$C$26&lt;&gt;1</formula>
    </cfRule>
  </conditionalFormatting>
  <conditionalFormatting sqref="H195">
    <cfRule type="expression" dxfId="13" priority="24">
      <formula>$H$195&lt;&gt;$C$133</formula>
    </cfRule>
  </conditionalFormatting>
  <conditionalFormatting sqref="E198:H199">
    <cfRule type="expression" dxfId="12" priority="23">
      <formula>$C$18&lt;&gt;0</formula>
    </cfRule>
  </conditionalFormatting>
  <conditionalFormatting sqref="E200:H201">
    <cfRule type="expression" dxfId="11" priority="21">
      <formula>$C$18&lt;&gt;1</formula>
    </cfRule>
  </conditionalFormatting>
  <conditionalFormatting sqref="H148">
    <cfRule type="expression" dxfId="10" priority="17">
      <formula>$H$148&lt;&gt;$C$133</formula>
    </cfRule>
  </conditionalFormatting>
  <conditionalFormatting sqref="H210">
    <cfRule type="expression" dxfId="9" priority="16">
      <formula>$H$210&lt;&gt;$C$134</formula>
    </cfRule>
  </conditionalFormatting>
  <conditionalFormatting sqref="C16">
    <cfRule type="expression" dxfId="8" priority="996">
      <formula>OR($C$16&lt;=0, $C$16&gt;=MIN($N$95, $N$96)/4)</formula>
    </cfRule>
  </conditionalFormatting>
  <conditionalFormatting sqref="C20">
    <cfRule type="expression" dxfId="7" priority="997">
      <formula>IF($C$18=1,OR($C$20&lt;=0, $C$20&gt;=($C$9-$N$95)/2), $C$20&lt;&gt;"")</formula>
    </cfRule>
  </conditionalFormatting>
  <conditionalFormatting sqref="C44">
    <cfRule type="expression" dxfId="6" priority="1000">
      <formula>IF($C$39=1,OR($C$44&lt;=0, $C$44&gt;=($C$9-$N$155)/2),$C$44&lt;&gt;"")</formula>
    </cfRule>
  </conditionalFormatting>
  <conditionalFormatting sqref="H223">
    <cfRule type="expression" dxfId="5" priority="13">
      <formula>$H$210&lt;&gt;$C$134</formula>
    </cfRule>
  </conditionalFormatting>
  <conditionalFormatting sqref="H234">
    <cfRule type="expression" dxfId="4" priority="9">
      <formula>$H$210&lt;&gt;$C$134</formula>
    </cfRule>
  </conditionalFormatting>
  <conditionalFormatting sqref="E222:H224 E224:I225 E226:H230 E233:H234 E235:I236 E237:H241">
    <cfRule type="expression" dxfId="3" priority="7">
      <formula>OR($C$18&lt;&gt;1, $C$26&lt;&gt;1)</formula>
    </cfRule>
  </conditionalFormatting>
  <conditionalFormatting sqref="H4">
    <cfRule type="expression" dxfId="2" priority="3">
      <formula>$H$4&lt;=$C$87</formula>
    </cfRule>
  </conditionalFormatting>
  <conditionalFormatting sqref="H5">
    <cfRule type="expression" dxfId="1" priority="2">
      <formula>$H$5&lt;=0</formula>
    </cfRule>
  </conditionalFormatting>
  <conditionalFormatting sqref="H6">
    <cfRule type="expression" dxfId="0" priority="1">
      <formula>$H$6&lt;=0</formula>
    </cfRule>
  </conditionalFormatting>
  <dataValidations count="20">
    <dataValidation imeMode="disabled" allowBlank="1" showInputMessage="1" showErrorMessage="1" sqref="N149:N162 H1:I1 C1 G1:G8 N2:O2 H3:I8 C135:C1048576 C119:C120 C114:C115 C75 C98:C99 C25 C84:C96 C40:C48 C77:C78 C68 C70:C71 C61 C63:C64 C82 C36:C37 C57 C27:C34 C4:C8 C12:C13 C80 C59 C66 C73 C15 C17 N95:N97 G9:I1048576" xr:uid="{976C4B3D-D3CF-4864-8086-225C218A19F1}"/>
    <dataValidation type="whole" imeMode="disabled" allowBlank="1" showInputMessage="1" showErrorMessage="1" sqref="C121:C134" xr:uid="{BB4802C3-5C93-43B5-BC5B-FD7AE096E32C}">
      <formula1>0</formula1>
      <formula2>99999999</formula2>
    </dataValidation>
    <dataValidation type="decimal" imeMode="disabled" operator="greaterThan" allowBlank="1" showInputMessage="1" showErrorMessage="1" sqref="C116:C118 C9:C11 C49:C53 C55:C56 C16" xr:uid="{392CDC4F-0673-4D59-B9AD-92FA9D83E393}">
      <formula1>0</formula1>
    </dataValidation>
    <dataValidation type="whole" imeMode="disabled" allowBlank="1" showInputMessage="1" showErrorMessage="1" sqref="C100" xr:uid="{E3FE524F-8886-48B9-8BC8-430B3408EF95}">
      <formula1>2</formula1>
      <formula2>5</formula2>
    </dataValidation>
    <dataValidation type="whole" imeMode="disabled" allowBlank="1" showInputMessage="1" showErrorMessage="1" sqref="C101:C102" xr:uid="{46C04E4E-BE9E-4016-8228-1861657429F1}">
      <formula1>6</formula1>
      <formula2>10</formula2>
    </dataValidation>
    <dataValidation type="whole" imeMode="disabled" allowBlank="1" showInputMessage="1" showErrorMessage="1" sqref="C103:C105" xr:uid="{3827FDE4-6D81-433F-8F79-094442315F8C}">
      <formula1>11</formula1>
      <formula2>15</formula2>
    </dataValidation>
    <dataValidation type="whole" imeMode="disabled" allowBlank="1" showInputMessage="1" showErrorMessage="1" sqref="C106:C107" xr:uid="{47C8BB13-E051-44D0-B577-46FD4E16416D}">
      <formula1>16</formula1>
      <formula2>20</formula2>
    </dataValidation>
    <dataValidation type="whole" imeMode="disabled" allowBlank="1" showInputMessage="1" showErrorMessage="1" sqref="C108:C110" xr:uid="{86A797F6-9D9E-4CE7-A0CE-CF3DE4EADDBA}">
      <formula1>31</formula1>
      <formula2>35</formula2>
    </dataValidation>
    <dataValidation type="whole" imeMode="disabled" allowBlank="1" showInputMessage="1" showErrorMessage="1" sqref="C111" xr:uid="{9EF79E78-E68D-4487-A166-7333775B19FF}">
      <formula1>36</formula1>
      <formula2>40</formula2>
    </dataValidation>
    <dataValidation type="whole" imeMode="disabled" allowBlank="1" showInputMessage="1" showErrorMessage="1" sqref="C112" xr:uid="{49CD12BC-FB1B-4B14-A900-4498257D59DD}">
      <formula1>41</formula1>
      <formula2>45</formula2>
    </dataValidation>
    <dataValidation type="whole" imeMode="disabled" allowBlank="1" showInputMessage="1" showErrorMessage="1" sqref="C113" xr:uid="{95EBEDA9-1D27-45CE-8AC2-8DBF8F2C94CA}">
      <formula1>49</formula1>
      <formula2>50</formula2>
    </dataValidation>
    <dataValidation type="whole" imeMode="disabled" allowBlank="1" showInputMessage="1" showErrorMessage="1" sqref="C54" xr:uid="{E6A90251-DE5C-404D-87C8-C07695FE9A79}">
      <formula1>1</formula1>
      <formula2>$C$97</formula2>
    </dataValidation>
    <dataValidation type="whole" imeMode="disabled" allowBlank="1" showInputMessage="1" showErrorMessage="1" sqref="C26 C39 C58 C62 C65 C69 C72 C76 C79 C83 C18:C19" xr:uid="{90160CA1-475D-4913-B270-4CFC8E7EA789}">
      <formula1>0</formula1>
      <formula2>1</formula2>
    </dataValidation>
    <dataValidation type="whole" imeMode="disabled" allowBlank="1" showInputMessage="1" showErrorMessage="1" sqref="C38" xr:uid="{64682DC7-4BD1-4C27-84C7-C0C4C32A7FBF}">
      <formula1>1</formula1>
      <formula2>4</formula2>
    </dataValidation>
    <dataValidation type="whole" imeMode="disabled" operator="greaterThanOrEqual" allowBlank="1" showInputMessage="1" showErrorMessage="1" sqref="C97" xr:uid="{5F319034-D381-4033-BF83-1CD8A223DD12}">
      <formula1>8</formula1>
    </dataValidation>
    <dataValidation type="whole" imeMode="disabled" allowBlank="1" showInputMessage="1" showErrorMessage="1" sqref="C35" xr:uid="{8F00CDED-4762-45A4-B4CF-AF07DC9A0854}">
      <formula1>1</formula1>
      <formula2>2</formula2>
    </dataValidation>
    <dataValidation type="decimal" imeMode="disabled" operator="lessThan" allowBlank="1" showInputMessage="1" showErrorMessage="1" sqref="C20:C24" xr:uid="{F64FB8F6-AFC4-4A82-B537-EA9F4CBEABEA}">
      <formula1>0</formula1>
    </dataValidation>
    <dataValidation type="whole" allowBlank="1" showInputMessage="1" showErrorMessage="1" sqref="C3" xr:uid="{690E2D0F-E018-4693-A84C-DBC4F8111083}">
      <formula1>0</formula1>
      <formula2>1</formula2>
    </dataValidation>
    <dataValidation type="decimal" imeMode="disabled" operator="greaterThanOrEqual" allowBlank="1" showInputMessage="1" showErrorMessage="1" sqref="C14" xr:uid="{76F05C5A-D3E7-4C1A-B281-173984E7A3D4}">
      <formula1>0</formula1>
    </dataValidation>
    <dataValidation type="whole" imeMode="disabled" allowBlank="1" showInputMessage="1" showErrorMessage="1" sqref="C81 C74 C67 C60" xr:uid="{6FC55633-9DCB-42FF-8B0D-45E6DABF8DB3}">
      <formula1>15</formula1>
      <formula2>45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BAD-E6C5-40E3-9BF7-E94A0B29E169}">
  <dimension ref="A1:O30"/>
  <sheetViews>
    <sheetView workbookViewId="0">
      <selection activeCell="D2" sqref="D2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135.578</v>
      </c>
      <c r="C2" s="41">
        <f>B2</f>
        <v>135.578</v>
      </c>
      <c r="D2" s="41">
        <f>4</f>
        <v>4</v>
      </c>
      <c r="E2" s="42" t="s">
        <v>117</v>
      </c>
      <c r="F2" s="42" t="s">
        <v>117</v>
      </c>
      <c r="G2" s="42" t="s">
        <v>117</v>
      </c>
      <c r="H2" s="43">
        <v>0.08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30" si="0">IF($A2="","",B2+$H$2*2)</f>
        <v>135.738</v>
      </c>
      <c r="M2" s="41">
        <f t="shared" si="0"/>
        <v>135.738</v>
      </c>
      <c r="N2" s="41">
        <f t="shared" ref="N2:N30" si="1">IF($A2="","",D2+$H$2)</f>
        <v>4.08</v>
      </c>
    </row>
    <row r="3" spans="1:14" x14ac:dyDescent="0.4">
      <c r="A3" s="40">
        <v>125</v>
      </c>
      <c r="B3" s="41">
        <v>134.93028014999996</v>
      </c>
      <c r="C3" s="41">
        <f t="shared" ref="C3:C30" si="2">B3</f>
        <v>134.93028014999996</v>
      </c>
      <c r="D3" s="41">
        <f>4</f>
        <v>4</v>
      </c>
      <c r="E3" s="42">
        <f t="shared" ref="E3:F18" si="3">IF($A3="","",(B2-B3)*1000/(B2*($A3-$A2))*100)</f>
        <v>3.8219761318210566</v>
      </c>
      <c r="F3" s="42">
        <f t="shared" si="3"/>
        <v>3.8219761318210566</v>
      </c>
      <c r="G3" s="42">
        <f>AVERAGE(E3,F3)</f>
        <v>3.8219761318210566</v>
      </c>
      <c r="I3" s="40" t="str">
        <f t="shared" ref="I3:I30" si="4">IF($A3="","","a"&amp;$A3)</f>
        <v>a125</v>
      </c>
      <c r="J3" s="40" t="str">
        <f t="shared" ref="J3:J30" si="5">IF($A3="","","b"&amp;$A3)</f>
        <v>b125</v>
      </c>
      <c r="K3" s="40" t="str">
        <f t="shared" ref="K3:K30" si="6">IF($A3="","","r"&amp;$A3)</f>
        <v>r125</v>
      </c>
      <c r="L3" s="41">
        <f t="shared" si="0"/>
        <v>135.09028014999996</v>
      </c>
      <c r="M3" s="41">
        <f t="shared" si="0"/>
        <v>135.09028014999996</v>
      </c>
      <c r="N3" s="41">
        <f t="shared" si="1"/>
        <v>4.08</v>
      </c>
    </row>
    <row r="4" spans="1:14" x14ac:dyDescent="0.4">
      <c r="A4" s="40">
        <v>150</v>
      </c>
      <c r="B4" s="41">
        <v>134.84861324999997</v>
      </c>
      <c r="C4" s="41">
        <f t="shared" si="2"/>
        <v>134.84861324999997</v>
      </c>
      <c r="D4" s="41">
        <f>4</f>
        <v>4</v>
      </c>
      <c r="E4" s="42">
        <f t="shared" si="3"/>
        <v>2.4210103146365602</v>
      </c>
      <c r="F4" s="42">
        <f t="shared" si="3"/>
        <v>2.4210103146365602</v>
      </c>
      <c r="G4" s="42">
        <f t="shared" ref="G4:G29" si="7">AVERAGE(E4,F4)</f>
        <v>2.4210103146365602</v>
      </c>
      <c r="I4" s="40" t="str">
        <f t="shared" si="4"/>
        <v>a150</v>
      </c>
      <c r="J4" s="40" t="str">
        <f t="shared" si="5"/>
        <v>b150</v>
      </c>
      <c r="K4" s="40" t="str">
        <f t="shared" si="6"/>
        <v>r150</v>
      </c>
      <c r="L4" s="41">
        <f t="shared" si="0"/>
        <v>135.00861324999997</v>
      </c>
      <c r="M4" s="41">
        <f t="shared" si="0"/>
        <v>135.00861324999997</v>
      </c>
      <c r="N4" s="41">
        <f t="shared" si="1"/>
        <v>4.08</v>
      </c>
    </row>
    <row r="5" spans="1:14" x14ac:dyDescent="0.4">
      <c r="A5" s="40">
        <v>175</v>
      </c>
      <c r="B5" s="41">
        <v>134.76694634999998</v>
      </c>
      <c r="C5" s="41">
        <f t="shared" si="2"/>
        <v>134.76694634999998</v>
      </c>
      <c r="D5" s="41">
        <f>4</f>
        <v>4</v>
      </c>
      <c r="E5" s="42">
        <f t="shared" si="3"/>
        <v>2.4224765247999365</v>
      </c>
      <c r="F5" s="42">
        <f t="shared" si="3"/>
        <v>2.4224765247999365</v>
      </c>
      <c r="G5" s="42">
        <f t="shared" si="7"/>
        <v>2.4224765247999365</v>
      </c>
      <c r="I5" s="40" t="str">
        <f t="shared" si="4"/>
        <v>a175</v>
      </c>
      <c r="J5" s="40" t="str">
        <f t="shared" si="5"/>
        <v>b175</v>
      </c>
      <c r="K5" s="40" t="str">
        <f t="shared" si="6"/>
        <v>r175</v>
      </c>
      <c r="L5" s="41">
        <f t="shared" si="0"/>
        <v>134.92694634999998</v>
      </c>
      <c r="M5" s="41">
        <f t="shared" si="0"/>
        <v>134.92694634999998</v>
      </c>
      <c r="N5" s="41">
        <f t="shared" si="1"/>
        <v>4.08</v>
      </c>
    </row>
    <row r="6" spans="1:14" x14ac:dyDescent="0.4">
      <c r="A6" s="40">
        <v>200</v>
      </c>
      <c r="B6" s="41">
        <v>134.69500169999998</v>
      </c>
      <c r="C6" s="41">
        <f t="shared" si="2"/>
        <v>134.69500169999998</v>
      </c>
      <c r="D6" s="41">
        <f>4</f>
        <v>4</v>
      </c>
      <c r="E6" s="42">
        <f t="shared" si="3"/>
        <v>2.1353796891163608</v>
      </c>
      <c r="F6" s="42">
        <f t="shared" si="3"/>
        <v>2.1353796891163608</v>
      </c>
      <c r="G6" s="42">
        <f t="shared" si="7"/>
        <v>2.1353796891163608</v>
      </c>
      <c r="I6" s="40" t="str">
        <f t="shared" si="4"/>
        <v>a200</v>
      </c>
      <c r="J6" s="40" t="str">
        <f t="shared" si="5"/>
        <v>b200</v>
      </c>
      <c r="K6" s="40" t="str">
        <f t="shared" si="6"/>
        <v>r200</v>
      </c>
      <c r="L6" s="41">
        <f t="shared" si="0"/>
        <v>134.85500169999997</v>
      </c>
      <c r="M6" s="41">
        <f t="shared" si="0"/>
        <v>134.85500169999997</v>
      </c>
      <c r="N6" s="41">
        <f t="shared" si="1"/>
        <v>4.08</v>
      </c>
    </row>
    <row r="7" spans="1:14" x14ac:dyDescent="0.4">
      <c r="A7" s="40">
        <v>225</v>
      </c>
      <c r="B7" s="41">
        <v>134.63472374999998</v>
      </c>
      <c r="C7" s="41">
        <f t="shared" si="2"/>
        <v>134.63472374999998</v>
      </c>
      <c r="D7" s="41">
        <f>4</f>
        <v>4</v>
      </c>
      <c r="E7" s="42">
        <f t="shared" si="3"/>
        <v>1.7900575148067934</v>
      </c>
      <c r="F7" s="42">
        <f t="shared" si="3"/>
        <v>1.7900575148067934</v>
      </c>
      <c r="G7" s="42">
        <f t="shared" si="7"/>
        <v>1.7900575148067934</v>
      </c>
      <c r="I7" s="40" t="str">
        <f t="shared" si="4"/>
        <v>a225</v>
      </c>
      <c r="J7" s="40" t="str">
        <f t="shared" si="5"/>
        <v>b225</v>
      </c>
      <c r="K7" s="40" t="str">
        <f t="shared" si="6"/>
        <v>r225</v>
      </c>
      <c r="L7" s="41">
        <f t="shared" si="0"/>
        <v>134.79472374999997</v>
      </c>
      <c r="M7" s="41">
        <f t="shared" si="0"/>
        <v>134.79472374999997</v>
      </c>
      <c r="N7" s="41">
        <f t="shared" si="1"/>
        <v>4.08</v>
      </c>
    </row>
    <row r="8" spans="1:14" x14ac:dyDescent="0.4">
      <c r="A8" s="40">
        <v>250</v>
      </c>
      <c r="B8" s="41">
        <v>134.58611249999998</v>
      </c>
      <c r="C8" s="41">
        <f t="shared" si="2"/>
        <v>134.58611249999998</v>
      </c>
      <c r="D8" s="41">
        <f>4</f>
        <v>4</v>
      </c>
      <c r="E8" s="42">
        <f t="shared" si="3"/>
        <v>1.4442410886587744</v>
      </c>
      <c r="F8" s="42">
        <f t="shared" si="3"/>
        <v>1.4442410886587744</v>
      </c>
      <c r="G8" s="42">
        <f t="shared" si="7"/>
        <v>1.4442410886587744</v>
      </c>
      <c r="I8" s="40" t="str">
        <f t="shared" si="4"/>
        <v>a250</v>
      </c>
      <c r="J8" s="40" t="str">
        <f t="shared" si="5"/>
        <v>b250</v>
      </c>
      <c r="K8" s="40" t="str">
        <f t="shared" si="6"/>
        <v>r250</v>
      </c>
      <c r="L8" s="41">
        <f t="shared" si="0"/>
        <v>134.74611249999998</v>
      </c>
      <c r="M8" s="41">
        <f t="shared" si="0"/>
        <v>134.74611249999998</v>
      </c>
      <c r="N8" s="41">
        <f t="shared" si="1"/>
        <v>4.08</v>
      </c>
    </row>
    <row r="9" spans="1:14" x14ac:dyDescent="0.4">
      <c r="A9" s="40">
        <v>275</v>
      </c>
      <c r="B9" s="41">
        <v>134.54139014999998</v>
      </c>
      <c r="C9" s="41">
        <f t="shared" si="2"/>
        <v>134.54139014999998</v>
      </c>
      <c r="D9" s="41">
        <f>4</f>
        <v>4</v>
      </c>
      <c r="E9" s="42">
        <f t="shared" si="3"/>
        <v>1.3291817162785111</v>
      </c>
      <c r="F9" s="42">
        <f t="shared" si="3"/>
        <v>1.3291817162785111</v>
      </c>
      <c r="G9" s="42">
        <f t="shared" si="7"/>
        <v>1.3291817162785111</v>
      </c>
      <c r="I9" s="40" t="str">
        <f t="shared" si="4"/>
        <v>a275</v>
      </c>
      <c r="J9" s="40" t="str">
        <f t="shared" si="5"/>
        <v>b275</v>
      </c>
      <c r="K9" s="40" t="str">
        <f t="shared" si="6"/>
        <v>r275</v>
      </c>
      <c r="L9" s="41">
        <f t="shared" si="0"/>
        <v>134.70139014999998</v>
      </c>
      <c r="M9" s="41">
        <f t="shared" si="0"/>
        <v>134.70139014999998</v>
      </c>
      <c r="N9" s="41">
        <f t="shared" si="1"/>
        <v>4.08</v>
      </c>
    </row>
    <row r="10" spans="1:14" x14ac:dyDescent="0.4">
      <c r="A10" s="40">
        <v>300</v>
      </c>
      <c r="B10" s="41">
        <v>134.5044456</v>
      </c>
      <c r="C10" s="41">
        <f t="shared" si="2"/>
        <v>134.5044456</v>
      </c>
      <c r="D10" s="41">
        <f>4</f>
        <v>4</v>
      </c>
      <c r="E10" s="42">
        <f t="shared" si="3"/>
        <v>1.0983846668686137</v>
      </c>
      <c r="F10" s="42">
        <f t="shared" si="3"/>
        <v>1.0983846668686137</v>
      </c>
      <c r="G10" s="42">
        <f t="shared" si="7"/>
        <v>1.0983846668686137</v>
      </c>
      <c r="I10" s="40" t="str">
        <f t="shared" si="4"/>
        <v>a300</v>
      </c>
      <c r="J10" s="40" t="str">
        <f t="shared" si="5"/>
        <v>b300</v>
      </c>
      <c r="K10" s="40" t="str">
        <f t="shared" si="6"/>
        <v>r300</v>
      </c>
      <c r="L10" s="41">
        <f t="shared" si="0"/>
        <v>134.66444559999999</v>
      </c>
      <c r="M10" s="41">
        <f t="shared" si="0"/>
        <v>134.66444559999999</v>
      </c>
      <c r="N10" s="41">
        <f t="shared" si="1"/>
        <v>4.08</v>
      </c>
    </row>
    <row r="11" spans="1:14" x14ac:dyDescent="0.4">
      <c r="A11" s="40">
        <v>325</v>
      </c>
      <c r="B11" s="41">
        <v>134.46944550000001</v>
      </c>
      <c r="C11" s="41">
        <f t="shared" si="2"/>
        <v>134.46944550000001</v>
      </c>
      <c r="D11" s="41">
        <f>4</f>
        <v>4</v>
      </c>
      <c r="E11" s="42">
        <f t="shared" si="3"/>
        <v>1.040860763935691</v>
      </c>
      <c r="F11" s="42">
        <f t="shared" si="3"/>
        <v>1.040860763935691</v>
      </c>
      <c r="G11" s="42">
        <f t="shared" si="7"/>
        <v>1.040860763935691</v>
      </c>
      <c r="I11" s="40" t="str">
        <f t="shared" si="4"/>
        <v>a325</v>
      </c>
      <c r="J11" s="40" t="str">
        <f t="shared" si="5"/>
        <v>b325</v>
      </c>
      <c r="K11" s="40" t="str">
        <f t="shared" si="6"/>
        <v>r325</v>
      </c>
      <c r="L11" s="41">
        <f t="shared" si="0"/>
        <v>134.6294455</v>
      </c>
      <c r="M11" s="41">
        <f t="shared" si="0"/>
        <v>134.6294455</v>
      </c>
      <c r="N11" s="41">
        <f t="shared" si="1"/>
        <v>4.08</v>
      </c>
    </row>
    <row r="12" spans="1:14" x14ac:dyDescent="0.4">
      <c r="A12" s="40">
        <v>350</v>
      </c>
      <c r="B12" s="41">
        <v>134.43638985000001</v>
      </c>
      <c r="C12" s="41">
        <f t="shared" si="2"/>
        <v>134.43638985000001</v>
      </c>
      <c r="D12" s="41">
        <f>4</f>
        <v>4</v>
      </c>
      <c r="E12" s="42">
        <f t="shared" si="3"/>
        <v>0.98329103320335554</v>
      </c>
      <c r="F12" s="42">
        <f t="shared" si="3"/>
        <v>0.98329103320335554</v>
      </c>
      <c r="G12" s="42">
        <f t="shared" si="7"/>
        <v>0.98329103320335554</v>
      </c>
      <c r="I12" s="40" t="str">
        <f t="shared" si="4"/>
        <v>a350</v>
      </c>
      <c r="J12" s="40" t="str">
        <f t="shared" si="5"/>
        <v>b350</v>
      </c>
      <c r="K12" s="40" t="str">
        <f t="shared" si="6"/>
        <v>r350</v>
      </c>
      <c r="L12" s="41">
        <f t="shared" si="0"/>
        <v>134.59638985000001</v>
      </c>
      <c r="M12" s="41">
        <f t="shared" si="0"/>
        <v>134.59638985000001</v>
      </c>
      <c r="N12" s="41">
        <f t="shared" si="1"/>
        <v>4.08</v>
      </c>
    </row>
    <row r="13" spans="1:14" x14ac:dyDescent="0.4">
      <c r="A13" s="40">
        <v>375</v>
      </c>
      <c r="B13" s="41">
        <v>134.40722310000001</v>
      </c>
      <c r="C13" s="41">
        <f t="shared" si="2"/>
        <v>134.40722310000001</v>
      </c>
      <c r="D13" s="41">
        <f>4</f>
        <v>4</v>
      </c>
      <c r="E13" s="42">
        <f t="shared" si="3"/>
        <v>0.86782306583939195</v>
      </c>
      <c r="F13" s="42">
        <f t="shared" si="3"/>
        <v>0.86782306583939195</v>
      </c>
      <c r="G13" s="42">
        <f t="shared" si="7"/>
        <v>0.86782306583939195</v>
      </c>
      <c r="I13" s="40" t="str">
        <f t="shared" si="4"/>
        <v>a375</v>
      </c>
      <c r="J13" s="40" t="str">
        <f t="shared" si="5"/>
        <v>b375</v>
      </c>
      <c r="K13" s="40" t="str">
        <f t="shared" si="6"/>
        <v>r375</v>
      </c>
      <c r="L13" s="41">
        <f t="shared" si="0"/>
        <v>134.56722310000001</v>
      </c>
      <c r="M13" s="41">
        <f t="shared" si="0"/>
        <v>134.56722310000001</v>
      </c>
      <c r="N13" s="41">
        <f t="shared" si="1"/>
        <v>4.08</v>
      </c>
    </row>
    <row r="14" spans="1:14" x14ac:dyDescent="0.4">
      <c r="A14" s="40">
        <v>400</v>
      </c>
      <c r="B14" s="41">
        <v>134.3800008</v>
      </c>
      <c r="C14" s="41">
        <f t="shared" si="2"/>
        <v>134.3800008</v>
      </c>
      <c r="D14" s="41">
        <f>4</f>
        <v>4</v>
      </c>
      <c r="E14" s="42">
        <f t="shared" si="3"/>
        <v>0.81014396018737056</v>
      </c>
      <c r="F14" s="42">
        <f t="shared" si="3"/>
        <v>0.81014396018737056</v>
      </c>
      <c r="G14" s="42">
        <f t="shared" si="7"/>
        <v>0.81014396018737056</v>
      </c>
      <c r="I14" s="40" t="str">
        <f t="shared" si="4"/>
        <v>a400</v>
      </c>
      <c r="J14" s="40" t="str">
        <f t="shared" si="5"/>
        <v>b400</v>
      </c>
      <c r="K14" s="40" t="str">
        <f t="shared" si="6"/>
        <v>r400</v>
      </c>
      <c r="L14" s="41">
        <f t="shared" si="0"/>
        <v>134.5400008</v>
      </c>
      <c r="M14" s="41">
        <f t="shared" si="0"/>
        <v>134.5400008</v>
      </c>
      <c r="N14" s="41">
        <f t="shared" si="1"/>
        <v>4.08</v>
      </c>
    </row>
    <row r="15" spans="1:14" x14ac:dyDescent="0.4">
      <c r="A15" s="40">
        <v>425</v>
      </c>
      <c r="B15" s="41">
        <v>134.35666739999999</v>
      </c>
      <c r="C15" s="41">
        <f t="shared" si="2"/>
        <v>134.35666739999999</v>
      </c>
      <c r="D15" s="41">
        <f>4</f>
        <v>4</v>
      </c>
      <c r="E15" s="42">
        <f t="shared" si="3"/>
        <v>0.69454978005961487</v>
      </c>
      <c r="F15" s="42">
        <f t="shared" si="3"/>
        <v>0.69454978005961487</v>
      </c>
      <c r="G15" s="42">
        <f t="shared" si="7"/>
        <v>0.69454978005961487</v>
      </c>
      <c r="I15" s="40" t="str">
        <f t="shared" si="4"/>
        <v>a425</v>
      </c>
      <c r="J15" s="40" t="str">
        <f t="shared" si="5"/>
        <v>b425</v>
      </c>
      <c r="K15" s="40" t="str">
        <f t="shared" si="6"/>
        <v>r425</v>
      </c>
      <c r="L15" s="41">
        <f t="shared" si="0"/>
        <v>134.51666739999999</v>
      </c>
      <c r="M15" s="41">
        <f t="shared" si="0"/>
        <v>134.51666739999999</v>
      </c>
      <c r="N15" s="41">
        <f t="shared" si="1"/>
        <v>4.08</v>
      </c>
    </row>
    <row r="16" spans="1:14" x14ac:dyDescent="0.4">
      <c r="A16" s="40">
        <v>450</v>
      </c>
      <c r="B16" s="41">
        <v>134.33333399999998</v>
      </c>
      <c r="C16" s="41">
        <f t="shared" si="2"/>
        <v>134.33333399999998</v>
      </c>
      <c r="D16" s="41">
        <f>4</f>
        <v>4</v>
      </c>
      <c r="E16" s="42">
        <f t="shared" si="3"/>
        <v>0.69467040085314646</v>
      </c>
      <c r="F16" s="42">
        <f t="shared" si="3"/>
        <v>0.69467040085314646</v>
      </c>
      <c r="G16" s="42">
        <f t="shared" si="7"/>
        <v>0.69467040085314646</v>
      </c>
      <c r="I16" s="40" t="str">
        <f t="shared" si="4"/>
        <v>a450</v>
      </c>
      <c r="J16" s="40" t="str">
        <f t="shared" si="5"/>
        <v>b450</v>
      </c>
      <c r="K16" s="40" t="str">
        <f t="shared" si="6"/>
        <v>r450</v>
      </c>
      <c r="L16" s="41">
        <f t="shared" si="0"/>
        <v>134.49333399999998</v>
      </c>
      <c r="M16" s="41">
        <f t="shared" si="0"/>
        <v>134.49333399999998</v>
      </c>
      <c r="N16" s="41">
        <f t="shared" si="1"/>
        <v>4.08</v>
      </c>
    </row>
    <row r="17" spans="1:14" x14ac:dyDescent="0.4">
      <c r="A17" s="40">
        <v>475</v>
      </c>
      <c r="B17" s="41">
        <v>134.31000059999997</v>
      </c>
      <c r="C17" s="41">
        <f t="shared" si="2"/>
        <v>134.31000059999997</v>
      </c>
      <c r="D17" s="41">
        <f>4</f>
        <v>4</v>
      </c>
      <c r="E17" s="42">
        <f t="shared" si="3"/>
        <v>0.69479106354980269</v>
      </c>
      <c r="F17" s="42">
        <f t="shared" si="3"/>
        <v>0.69479106354980269</v>
      </c>
      <c r="G17" s="42">
        <f t="shared" si="7"/>
        <v>0.69479106354980269</v>
      </c>
      <c r="I17" s="40" t="str">
        <f t="shared" si="4"/>
        <v>a475</v>
      </c>
      <c r="J17" s="40" t="str">
        <f t="shared" si="5"/>
        <v>b475</v>
      </c>
      <c r="K17" s="40" t="str">
        <f t="shared" si="6"/>
        <v>r475</v>
      </c>
      <c r="L17" s="41">
        <f t="shared" si="0"/>
        <v>134.47000059999996</v>
      </c>
      <c r="M17" s="41">
        <f t="shared" si="0"/>
        <v>134.47000059999996</v>
      </c>
      <c r="N17" s="41">
        <f t="shared" si="1"/>
        <v>4.08</v>
      </c>
    </row>
    <row r="18" spans="1:14" x14ac:dyDescent="0.4">
      <c r="A18" s="40">
        <v>500</v>
      </c>
      <c r="B18" s="41">
        <v>134.28861164999998</v>
      </c>
      <c r="C18" s="41">
        <f t="shared" si="2"/>
        <v>134.28861164999998</v>
      </c>
      <c r="D18" s="41">
        <f>4</f>
        <v>4</v>
      </c>
      <c r="E18" s="42">
        <f t="shared" si="3"/>
        <v>0.63700245415643242</v>
      </c>
      <c r="F18" s="42">
        <f t="shared" si="3"/>
        <v>0.63700245415643242</v>
      </c>
      <c r="G18" s="42">
        <f t="shared" si="7"/>
        <v>0.63700245415643242</v>
      </c>
      <c r="I18" s="40" t="str">
        <f t="shared" si="4"/>
        <v>a500</v>
      </c>
      <c r="J18" s="40" t="str">
        <f t="shared" si="5"/>
        <v>b500</v>
      </c>
      <c r="K18" s="40" t="str">
        <f t="shared" si="6"/>
        <v>r500</v>
      </c>
      <c r="L18" s="41">
        <f t="shared" si="0"/>
        <v>134.44861164999998</v>
      </c>
      <c r="M18" s="41">
        <f t="shared" si="0"/>
        <v>134.44861164999998</v>
      </c>
      <c r="N18" s="41">
        <f t="shared" si="1"/>
        <v>4.08</v>
      </c>
    </row>
    <row r="19" spans="1:14" x14ac:dyDescent="0.4">
      <c r="A19" s="40">
        <v>525</v>
      </c>
      <c r="B19" s="41">
        <v>134.26916714999999</v>
      </c>
      <c r="C19" s="41">
        <f t="shared" si="2"/>
        <v>134.26916714999999</v>
      </c>
      <c r="D19" s="41">
        <f>4</f>
        <v>4</v>
      </c>
      <c r="E19" s="42">
        <f t="shared" ref="E19:F30" si="8">IF($A19="","",(B18-B19)*1000/(B18*($A19-$A18))*100)</f>
        <v>0.57918537576873219</v>
      </c>
      <c r="F19" s="42">
        <f t="shared" si="8"/>
        <v>0.57918537576873219</v>
      </c>
      <c r="G19" s="42">
        <f t="shared" si="7"/>
        <v>0.57918537576873219</v>
      </c>
      <c r="I19" s="40" t="str">
        <f t="shared" si="4"/>
        <v>a525</v>
      </c>
      <c r="J19" s="40" t="str">
        <f t="shared" si="5"/>
        <v>b525</v>
      </c>
      <c r="K19" s="40" t="str">
        <f t="shared" si="6"/>
        <v>r525</v>
      </c>
      <c r="L19" s="41">
        <f t="shared" si="0"/>
        <v>134.42916714999998</v>
      </c>
      <c r="M19" s="41">
        <f t="shared" si="0"/>
        <v>134.42916714999998</v>
      </c>
      <c r="N19" s="41">
        <f t="shared" si="1"/>
        <v>4.08</v>
      </c>
    </row>
    <row r="20" spans="1:14" x14ac:dyDescent="0.4">
      <c r="A20" s="40">
        <v>550</v>
      </c>
      <c r="B20" s="41">
        <v>134.24972265</v>
      </c>
      <c r="C20" s="41">
        <f t="shared" si="2"/>
        <v>134.24972265</v>
      </c>
      <c r="D20" s="41">
        <f>4</f>
        <v>4</v>
      </c>
      <c r="E20" s="42">
        <f t="shared" si="8"/>
        <v>0.5792692518385566</v>
      </c>
      <c r="F20" s="42">
        <f t="shared" si="8"/>
        <v>0.5792692518385566</v>
      </c>
      <c r="G20" s="42">
        <f t="shared" si="7"/>
        <v>0.5792692518385566</v>
      </c>
      <c r="I20" s="40" t="str">
        <f t="shared" si="4"/>
        <v>a550</v>
      </c>
      <c r="J20" s="40" t="str">
        <f t="shared" si="5"/>
        <v>b550</v>
      </c>
      <c r="K20" s="40" t="str">
        <f t="shared" si="6"/>
        <v>r550</v>
      </c>
      <c r="L20" s="41">
        <f t="shared" si="0"/>
        <v>134.40972264999999</v>
      </c>
      <c r="M20" s="41">
        <f t="shared" si="0"/>
        <v>134.40972264999999</v>
      </c>
      <c r="N20" s="41">
        <f t="shared" si="1"/>
        <v>4.08</v>
      </c>
    </row>
    <row r="21" spans="1:14" x14ac:dyDescent="0.4">
      <c r="A21" s="40">
        <v>575</v>
      </c>
      <c r="B21" s="41">
        <v>134.2322226</v>
      </c>
      <c r="C21" s="41">
        <f t="shared" si="2"/>
        <v>134.2322226</v>
      </c>
      <c r="D21" s="41">
        <f>4</f>
        <v>4</v>
      </c>
      <c r="E21" s="42">
        <f t="shared" si="8"/>
        <v>0.52141783698486699</v>
      </c>
      <c r="F21" s="42">
        <f t="shared" si="8"/>
        <v>0.52141783698486699</v>
      </c>
      <c r="G21" s="42">
        <f t="shared" si="7"/>
        <v>0.52141783698486699</v>
      </c>
      <c r="I21" s="40" t="str">
        <f t="shared" si="4"/>
        <v>a575</v>
      </c>
      <c r="J21" s="40" t="str">
        <f t="shared" si="5"/>
        <v>b575</v>
      </c>
      <c r="K21" s="40" t="str">
        <f t="shared" si="6"/>
        <v>r575</v>
      </c>
      <c r="L21" s="41">
        <f t="shared" si="0"/>
        <v>134.3922226</v>
      </c>
      <c r="M21" s="41">
        <f t="shared" si="0"/>
        <v>134.3922226</v>
      </c>
      <c r="N21" s="41">
        <f t="shared" si="1"/>
        <v>4.08</v>
      </c>
    </row>
    <row r="22" spans="1:14" x14ac:dyDescent="0.4">
      <c r="A22" s="40">
        <v>600</v>
      </c>
      <c r="B22" s="41">
        <v>134.21472255</v>
      </c>
      <c r="C22" s="41">
        <f t="shared" si="2"/>
        <v>134.21472255</v>
      </c>
      <c r="D22" s="41">
        <f>4</f>
        <v>4</v>
      </c>
      <c r="E22" s="42">
        <f t="shared" si="8"/>
        <v>0.5214858149862841</v>
      </c>
      <c r="F22" s="42">
        <f t="shared" si="8"/>
        <v>0.5214858149862841</v>
      </c>
      <c r="G22" s="42">
        <f t="shared" si="7"/>
        <v>0.5214858149862841</v>
      </c>
      <c r="I22" s="40" t="str">
        <f t="shared" si="4"/>
        <v>a600</v>
      </c>
      <c r="J22" s="40" t="str">
        <f t="shared" si="5"/>
        <v>b600</v>
      </c>
      <c r="K22" s="40" t="str">
        <f t="shared" si="6"/>
        <v>r600</v>
      </c>
      <c r="L22" s="41">
        <f t="shared" si="0"/>
        <v>134.37472255</v>
      </c>
      <c r="M22" s="41">
        <f t="shared" si="0"/>
        <v>134.37472255</v>
      </c>
      <c r="N22" s="41">
        <f t="shared" si="1"/>
        <v>4.08</v>
      </c>
    </row>
    <row r="23" spans="1:14" x14ac:dyDescent="0.4">
      <c r="A23" s="40">
        <v>625</v>
      </c>
      <c r="B23" s="41">
        <v>134.19916695000001</v>
      </c>
      <c r="C23" s="41">
        <f t="shared" si="2"/>
        <v>134.19916695000001</v>
      </c>
      <c r="D23" s="41">
        <f>4</f>
        <v>4</v>
      </c>
      <c r="E23" s="42">
        <f t="shared" si="8"/>
        <v>0.46360338730213324</v>
      </c>
      <c r="F23" s="42">
        <f t="shared" si="8"/>
        <v>0.46360338730213324</v>
      </c>
      <c r="G23" s="42">
        <f t="shared" si="7"/>
        <v>0.46360338730213324</v>
      </c>
      <c r="I23" s="40" t="str">
        <f t="shared" si="4"/>
        <v>a625</v>
      </c>
      <c r="J23" s="40" t="str">
        <f t="shared" si="5"/>
        <v>b625</v>
      </c>
      <c r="K23" s="40" t="str">
        <f t="shared" si="6"/>
        <v>r625</v>
      </c>
      <c r="L23" s="41">
        <f t="shared" si="0"/>
        <v>134.35916695</v>
      </c>
      <c r="M23" s="41">
        <f t="shared" si="0"/>
        <v>134.35916695</v>
      </c>
      <c r="N23" s="41">
        <f t="shared" si="1"/>
        <v>4.08</v>
      </c>
    </row>
    <row r="24" spans="1:14" x14ac:dyDescent="0.4">
      <c r="A24" s="40">
        <v>650</v>
      </c>
      <c r="B24" s="41">
        <v>134.18361135000001</v>
      </c>
      <c r="C24" s="41">
        <f t="shared" si="2"/>
        <v>134.18361135000001</v>
      </c>
      <c r="D24" s="41">
        <f>4</f>
        <v>4</v>
      </c>
      <c r="E24" s="42">
        <f t="shared" si="8"/>
        <v>0.46365712555562194</v>
      </c>
      <c r="F24" s="42">
        <f t="shared" si="8"/>
        <v>0.46365712555562194</v>
      </c>
      <c r="G24" s="42">
        <f t="shared" si="7"/>
        <v>0.46365712555562194</v>
      </c>
      <c r="I24" s="40" t="str">
        <f t="shared" si="4"/>
        <v>a650</v>
      </c>
      <c r="J24" s="40" t="str">
        <f t="shared" si="5"/>
        <v>b650</v>
      </c>
      <c r="K24" s="40" t="str">
        <f t="shared" si="6"/>
        <v>r650</v>
      </c>
      <c r="L24" s="41">
        <f t="shared" si="0"/>
        <v>134.34361135</v>
      </c>
      <c r="M24" s="41">
        <f t="shared" si="0"/>
        <v>134.34361135</v>
      </c>
      <c r="N24" s="41">
        <f t="shared" si="1"/>
        <v>4.08</v>
      </c>
    </row>
    <row r="25" spans="1:14" x14ac:dyDescent="0.4">
      <c r="A25" s="40">
        <v>675</v>
      </c>
      <c r="B25" s="41">
        <v>134.16805575000001</v>
      </c>
      <c r="C25" s="41">
        <f t="shared" si="2"/>
        <v>134.16805575000001</v>
      </c>
      <c r="D25" s="41">
        <f>4</f>
        <v>4</v>
      </c>
      <c r="E25" s="42">
        <f t="shared" si="8"/>
        <v>0.46371087626861679</v>
      </c>
      <c r="F25" s="42">
        <f t="shared" si="8"/>
        <v>0.46371087626861679</v>
      </c>
      <c r="G25" s="42">
        <f t="shared" si="7"/>
        <v>0.46371087626861679</v>
      </c>
      <c r="I25" s="40" t="str">
        <f t="shared" si="4"/>
        <v>a675</v>
      </c>
      <c r="J25" s="40" t="str">
        <f t="shared" si="5"/>
        <v>b675</v>
      </c>
      <c r="K25" s="40" t="str">
        <f t="shared" si="6"/>
        <v>r675</v>
      </c>
      <c r="L25" s="41">
        <f t="shared" si="0"/>
        <v>134.32805575</v>
      </c>
      <c r="M25" s="41">
        <f t="shared" si="0"/>
        <v>134.32805575</v>
      </c>
      <c r="N25" s="41">
        <f t="shared" si="1"/>
        <v>4.08</v>
      </c>
    </row>
    <row r="26" spans="1:14" x14ac:dyDescent="0.4">
      <c r="A26" s="40">
        <v>700</v>
      </c>
      <c r="B26" s="41">
        <v>134.15250015000001</v>
      </c>
      <c r="C26" s="41">
        <f t="shared" si="2"/>
        <v>134.15250015000001</v>
      </c>
      <c r="D26" s="41">
        <f>4</f>
        <v>4</v>
      </c>
      <c r="E26" s="42">
        <f t="shared" si="8"/>
        <v>0.46376463944545171</v>
      </c>
      <c r="F26" s="42">
        <f t="shared" si="8"/>
        <v>0.46376463944545171</v>
      </c>
      <c r="G26" s="42">
        <f t="shared" si="7"/>
        <v>0.46376463944545171</v>
      </c>
      <c r="I26" s="40" t="str">
        <f t="shared" si="4"/>
        <v>a700</v>
      </c>
      <c r="J26" s="40" t="str">
        <f t="shared" si="5"/>
        <v>b700</v>
      </c>
      <c r="K26" s="40" t="str">
        <f t="shared" si="6"/>
        <v>r700</v>
      </c>
      <c r="L26" s="41">
        <f t="shared" si="0"/>
        <v>134.31250015000001</v>
      </c>
      <c r="M26" s="41">
        <f t="shared" si="0"/>
        <v>134.31250015000001</v>
      </c>
      <c r="N26" s="41">
        <f t="shared" si="1"/>
        <v>4.08</v>
      </c>
    </row>
    <row r="27" spans="1:14" x14ac:dyDescent="0.4">
      <c r="A27" s="40">
        <v>725</v>
      </c>
      <c r="B27" s="41">
        <v>134.13888900000001</v>
      </c>
      <c r="C27" s="41">
        <f t="shared" si="2"/>
        <v>134.13888900000001</v>
      </c>
      <c r="D27" s="41">
        <f>4</f>
        <v>4</v>
      </c>
      <c r="E27" s="42">
        <f t="shared" si="8"/>
        <v>0.40584111320426047</v>
      </c>
      <c r="F27" s="42">
        <f t="shared" si="8"/>
        <v>0.40584111320426047</v>
      </c>
      <c r="G27" s="42">
        <f t="shared" si="7"/>
        <v>0.40584111320426047</v>
      </c>
      <c r="I27" s="40" t="str">
        <f t="shared" si="4"/>
        <v>a725</v>
      </c>
      <c r="J27" s="40" t="str">
        <f t="shared" si="5"/>
        <v>b725</v>
      </c>
      <c r="K27" s="40" t="str">
        <f t="shared" si="6"/>
        <v>r725</v>
      </c>
      <c r="L27" s="41">
        <f t="shared" si="0"/>
        <v>134.298889</v>
      </c>
      <c r="M27" s="41">
        <f t="shared" si="0"/>
        <v>134.298889</v>
      </c>
      <c r="N27" s="41">
        <f t="shared" si="1"/>
        <v>4.08</v>
      </c>
    </row>
    <row r="28" spans="1:14" x14ac:dyDescent="0.4">
      <c r="A28" s="40">
        <v>750</v>
      </c>
      <c r="B28" s="41">
        <v>134.12527785</v>
      </c>
      <c r="C28" s="41">
        <f t="shared" si="2"/>
        <v>134.12527785</v>
      </c>
      <c r="D28" s="41">
        <f>4</f>
        <v>4</v>
      </c>
      <c r="E28" s="42">
        <f t="shared" si="8"/>
        <v>0.40588229413478089</v>
      </c>
      <c r="F28" s="42">
        <f t="shared" si="8"/>
        <v>0.40588229413478089</v>
      </c>
      <c r="G28" s="42">
        <f t="shared" si="7"/>
        <v>0.40588229413478089</v>
      </c>
      <c r="I28" s="40" t="str">
        <f t="shared" si="4"/>
        <v>a750</v>
      </c>
      <c r="J28" s="40" t="str">
        <f t="shared" si="5"/>
        <v>b750</v>
      </c>
      <c r="K28" s="40" t="str">
        <f t="shared" si="6"/>
        <v>r750</v>
      </c>
      <c r="L28" s="41">
        <f t="shared" si="0"/>
        <v>134.28527785</v>
      </c>
      <c r="M28" s="41">
        <f t="shared" si="0"/>
        <v>134.28527785</v>
      </c>
      <c r="N28" s="41">
        <f t="shared" si="1"/>
        <v>4.08</v>
      </c>
    </row>
    <row r="29" spans="1:14" x14ac:dyDescent="0.4">
      <c r="A29" s="40">
        <v>775</v>
      </c>
      <c r="B29" s="41">
        <v>134.1116667</v>
      </c>
      <c r="C29" s="41">
        <f t="shared" si="2"/>
        <v>134.1116667</v>
      </c>
      <c r="D29" s="41">
        <f>4</f>
        <v>4</v>
      </c>
      <c r="E29" s="42">
        <f t="shared" si="8"/>
        <v>0.40592348342345463</v>
      </c>
      <c r="F29" s="42">
        <f t="shared" si="8"/>
        <v>0.40592348342345463</v>
      </c>
      <c r="G29" s="42">
        <f t="shared" si="7"/>
        <v>0.40592348342345463</v>
      </c>
      <c r="I29" s="40" t="str">
        <f t="shared" si="4"/>
        <v>a775</v>
      </c>
      <c r="J29" s="40" t="str">
        <f t="shared" si="5"/>
        <v>b775</v>
      </c>
      <c r="K29" s="40" t="str">
        <f t="shared" si="6"/>
        <v>r775</v>
      </c>
      <c r="L29" s="41">
        <f t="shared" si="0"/>
        <v>134.2716667</v>
      </c>
      <c r="M29" s="41">
        <f t="shared" si="0"/>
        <v>134.2716667</v>
      </c>
      <c r="N29" s="41">
        <f t="shared" si="1"/>
        <v>4.08</v>
      </c>
    </row>
    <row r="30" spans="1:14" s="41" customFormat="1" x14ac:dyDescent="0.4">
      <c r="A30" s="40">
        <v>800</v>
      </c>
      <c r="B30" s="41">
        <v>134.1</v>
      </c>
      <c r="C30" s="41">
        <f t="shared" si="2"/>
        <v>134.1</v>
      </c>
      <c r="D30" s="41">
        <f>4</f>
        <v>4</v>
      </c>
      <c r="E30" s="42">
        <f t="shared" si="8"/>
        <v>0.34796972663397252</v>
      </c>
      <c r="F30" s="42">
        <f t="shared" ref="F30" si="9">IF($A30="","",(C29-C30)*1000/(C29*($A30-$A29))*100)</f>
        <v>0.34796972663397252</v>
      </c>
      <c r="G30" s="42">
        <f t="shared" ref="G30" si="10">AVERAGE(E30,F30)</f>
        <v>0.34796972663397252</v>
      </c>
      <c r="H30" s="40"/>
      <c r="I30" s="40" t="str">
        <f t="shared" si="4"/>
        <v>a800</v>
      </c>
      <c r="J30" s="40" t="str">
        <f t="shared" si="5"/>
        <v>b800</v>
      </c>
      <c r="K30" s="40" t="str">
        <f t="shared" si="6"/>
        <v>r800</v>
      </c>
      <c r="L30" s="41">
        <f t="shared" si="0"/>
        <v>134.26</v>
      </c>
      <c r="M30" s="41">
        <f t="shared" si="0"/>
        <v>134.26</v>
      </c>
      <c r="N30" s="41">
        <f t="shared" si="1"/>
        <v>4.08</v>
      </c>
    </row>
  </sheetData>
  <phoneticPr fontId="1"/>
  <conditionalFormatting sqref="B2:D30">
    <cfRule type="expression" dxfId="144" priority="2">
      <formula>$A2&lt;&gt;""</formula>
    </cfRule>
  </conditionalFormatting>
  <conditionalFormatting sqref="I2:N30">
    <cfRule type="expression" dxfId="143" priority="1">
      <formula>$A2&lt;&gt;""</formula>
    </cfRule>
  </conditionalFormatting>
  <dataValidations count="1">
    <dataValidation imeMode="disabled" allowBlank="1" showInputMessage="1" showErrorMessage="1" sqref="I1:O1048576 A1:D1048576" xr:uid="{BA9DD538-F3D3-41C4-BD1E-3DB0B49DD722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14CC-B951-4640-9A57-EDA71E9F31AB}">
  <dimension ref="A1:R184"/>
  <sheetViews>
    <sheetView topLeftCell="D1" workbookViewId="0">
      <selection activeCell="S4" sqref="S4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214</v>
      </c>
      <c r="I2" s="3" t="s">
        <v>98</v>
      </c>
      <c r="K2" s="3">
        <f>ROW(K2)</f>
        <v>2</v>
      </c>
      <c r="L2" s="45" t="s">
        <v>369</v>
      </c>
      <c r="M2" s="54" t="s">
        <v>80</v>
      </c>
      <c r="N2" s="2">
        <f>RADIANS($H$7)</f>
        <v>1.1205013797803596E-2</v>
      </c>
      <c r="P2" s="9" t="s">
        <v>58</v>
      </c>
      <c r="Q2" s="10">
        <f>C4+N168</f>
        <v>499.92803488790344</v>
      </c>
      <c r="R2" s="10">
        <f>C67+Q2</f>
        <v>-650.0459651120965</v>
      </c>
    </row>
    <row r="3" spans="1:18" ht="15" thickTop="1" x14ac:dyDescent="0.4">
      <c r="A3" s="3" t="s">
        <v>155</v>
      </c>
      <c r="B3" s="11" t="s">
        <v>5</v>
      </c>
      <c r="C3" s="12">
        <v>8922.7000000000007</v>
      </c>
      <c r="E3" s="3" t="s">
        <v>226</v>
      </c>
      <c r="F3" s="9" t="s">
        <v>374</v>
      </c>
      <c r="G3" s="13" t="s">
        <v>123</v>
      </c>
      <c r="H3" s="30">
        <f>$C$4+$N$13*$N$5</f>
        <v>500.0159494817317</v>
      </c>
      <c r="I3" s="30">
        <f>$C$67+H3</f>
        <v>-649.95805051826824</v>
      </c>
      <c r="K3" s="3">
        <f t="shared" ref="K3:K76" si="0">ROW(K3)</f>
        <v>3</v>
      </c>
      <c r="L3" s="45" t="s">
        <v>370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500.07196511209656</v>
      </c>
      <c r="R3" s="10">
        <f>C67+Q3</f>
        <v>-649.90203488790337</v>
      </c>
    </row>
    <row r="4" spans="1:18" x14ac:dyDescent="0.4">
      <c r="A4" s="3" t="s">
        <v>156</v>
      </c>
      <c r="B4" s="14" t="s">
        <v>7</v>
      </c>
      <c r="C4" s="15">
        <v>400</v>
      </c>
      <c r="E4" s="3" t="s">
        <v>227</v>
      </c>
      <c r="F4" s="9" t="s">
        <v>375</v>
      </c>
      <c r="G4" s="13" t="s">
        <v>123</v>
      </c>
      <c r="H4" s="30">
        <f>$C$4+$C$5-$H$3</f>
        <v>499.9840505182683</v>
      </c>
      <c r="I4" s="30">
        <f>$C$67+H4</f>
        <v>-649.98994948173163</v>
      </c>
      <c r="K4" s="3">
        <f t="shared" si="0"/>
        <v>4</v>
      </c>
      <c r="L4" s="45" t="s">
        <v>371</v>
      </c>
      <c r="M4" s="54" t="s">
        <v>228</v>
      </c>
      <c r="N4" s="2">
        <f>DEGREES($N$3)</f>
        <v>0.64189761637241194</v>
      </c>
      <c r="P4" s="9" t="s">
        <v>60</v>
      </c>
      <c r="Q4" s="10">
        <f>Q2-C61</f>
        <v>169.70503488790342</v>
      </c>
    </row>
    <row r="5" spans="1:18" x14ac:dyDescent="0.4">
      <c r="A5" s="3" t="s">
        <v>157</v>
      </c>
      <c r="B5" s="14" t="s">
        <v>8</v>
      </c>
      <c r="C5" s="15">
        <v>600</v>
      </c>
      <c r="D5" s="2"/>
      <c r="F5" s="9" t="s">
        <v>376</v>
      </c>
      <c r="G5" s="13" t="s">
        <v>123</v>
      </c>
      <c r="H5" s="30">
        <f>$H$3-$C$61</f>
        <v>169.79294948173168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377</v>
      </c>
      <c r="G6" s="13" t="s">
        <v>123</v>
      </c>
      <c r="H6" s="50">
        <f>$H$4-$C$61</f>
        <v>169.76105051826829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N163-N164</f>
        <v>7.1118522502201813</v>
      </c>
    </row>
    <row r="7" spans="1:18" x14ac:dyDescent="0.4">
      <c r="B7" s="21"/>
      <c r="C7" s="22"/>
      <c r="E7" s="3" t="s">
        <v>79</v>
      </c>
      <c r="F7" s="17" t="s">
        <v>372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158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373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159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-C64+(N16+N17)/2+C6/2-N167</f>
        <v>-8.3314551675721304</v>
      </c>
      <c r="R8" s="10">
        <f t="shared" ref="R8:R14" si="1">$C$66+Q8</f>
        <v>-558.35045516757214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-C64+N15+C6/2-N167</f>
        <v>-8.3304885782927158</v>
      </c>
      <c r="R9" s="10">
        <f t="shared" si="1"/>
        <v>-558.34948857829272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160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C64-(N19+N20)/2-C6/2+N167</f>
        <v>19.558388925497638</v>
      </c>
      <c r="R10" s="10">
        <f t="shared" si="1"/>
        <v>-530.46061107450237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161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C64-N18-C6/2+N167</f>
        <v>19.556205860779301</v>
      </c>
      <c r="R11" s="10">
        <f t="shared" si="1"/>
        <v>-530.4627941392207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-11.897480389039629</v>
      </c>
      <c r="I12" s="30">
        <f>$C$66+H12</f>
        <v>-561.91648038903963</v>
      </c>
      <c r="K12" s="3">
        <f t="shared" si="0"/>
        <v>12</v>
      </c>
      <c r="L12" s="45" t="s">
        <v>162</v>
      </c>
      <c r="M12" s="54" t="s">
        <v>378</v>
      </c>
      <c r="N12" s="2">
        <f>($C$5-$C$4)/2</f>
        <v>100</v>
      </c>
      <c r="P12" s="9" t="s">
        <v>71</v>
      </c>
      <c r="Q12" s="10" t="e">
        <f>C64-(N19+N20)/2-C6/2+N167-#REF!/2-C35+C36/2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23.124414146965137</v>
      </c>
      <c r="I13" s="30">
        <f>$C$66+H13</f>
        <v>-526.89458585303487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198</v>
      </c>
      <c r="C14" s="15">
        <v>172.9</v>
      </c>
      <c r="F14" s="9" t="s">
        <v>120</v>
      </c>
      <c r="G14" s="13" t="s">
        <v>126</v>
      </c>
      <c r="H14" s="30">
        <f>$N$15-$N$13*$N$6</f>
        <v>-11.896513799760214</v>
      </c>
      <c r="I14" s="30">
        <f>$C$66+H14</f>
        <v>-561.91551379976022</v>
      </c>
      <c r="K14" s="3">
        <f t="shared" si="0"/>
        <v>14</v>
      </c>
      <c r="L14" s="45" t="s">
        <v>163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-C64+(N16+N17)/2+C6/2-N167+#REF!/2+C41-C42/2</f>
        <v>#REF!</v>
      </c>
      <c r="R14" s="10" t="e">
        <f t="shared" si="1"/>
        <v>#REF!</v>
      </c>
    </row>
    <row r="15" spans="1:18" x14ac:dyDescent="0.4">
      <c r="A15" s="3" t="s">
        <v>418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23.122231082246799</v>
      </c>
      <c r="I15" s="30">
        <f>$C$66+H15</f>
        <v>-526.89676891775321</v>
      </c>
      <c r="K15" s="3">
        <f t="shared" si="0"/>
        <v>15</v>
      </c>
      <c r="L15" s="45" t="s">
        <v>164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419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165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429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166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N28-C64+C6/2-N167</f>
        <v>-7.6236523082770873</v>
      </c>
      <c r="R17" s="10">
        <f>$C$66+Q17</f>
        <v>-557.64265230827709</v>
      </c>
    </row>
    <row r="18" spans="1:18" x14ac:dyDescent="0.4">
      <c r="B18" s="21"/>
      <c r="C18" s="22"/>
      <c r="D18" s="2"/>
      <c r="F18" s="9" t="s">
        <v>141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167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168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N29-C17-C13/2+N169-N13</f>
        <v>-7.6247869906728738</v>
      </c>
      <c r="R19" s="10">
        <f>$C$66+Q19</f>
        <v>-557.64378699067288</v>
      </c>
    </row>
    <row r="20" spans="1:18" x14ac:dyDescent="0.4">
      <c r="A20" s="3" t="s">
        <v>140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22.201087937634938</v>
      </c>
      <c r="I20" s="30">
        <f ca="1">$C$66+H20</f>
        <v>-527.81791206236505</v>
      </c>
      <c r="K20" s="3">
        <f t="shared" si="0"/>
        <v>20</v>
      </c>
      <c r="L20" s="45" t="s">
        <v>169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483.99696511209658</v>
      </c>
      <c r="R20" s="10">
        <f>C67+Q20</f>
        <v>-665.9770348879033</v>
      </c>
    </row>
    <row r="21" spans="1:18" x14ac:dyDescent="0.4">
      <c r="A21" s="3" t="s">
        <v>172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-11.201087937634938</v>
      </c>
      <c r="I21" s="30">
        <f ca="1">$C$66+H21</f>
        <v>-561.22008793763496</v>
      </c>
      <c r="K21" s="3">
        <f t="shared" si="0"/>
        <v>21</v>
      </c>
      <c r="L21" s="45" t="s">
        <v>363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173</v>
      </c>
      <c r="B22" s="14" t="s">
        <v>54</v>
      </c>
      <c r="C22" s="15">
        <v>17</v>
      </c>
      <c r="E22" s="3" t="s">
        <v>197</v>
      </c>
      <c r="F22" s="9" t="s">
        <v>139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364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300</v>
      </c>
      <c r="B23" s="14" t="s">
        <v>386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170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301</v>
      </c>
      <c r="B24" s="14" t="s">
        <v>387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-11.195980389039619</v>
      </c>
      <c r="I24" s="30">
        <f ca="1">$C$66+H24</f>
        <v>-561.21498038903962</v>
      </c>
      <c r="K24" s="3">
        <f t="shared" si="0"/>
        <v>24</v>
      </c>
      <c r="L24" s="45" t="s">
        <v>171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Q9*$N$108+Q2*$N$75</f>
        <v>-69983.416521525956</v>
      </c>
    </row>
    <row r="25" spans="1:18" x14ac:dyDescent="0.4">
      <c r="A25" s="3" t="s">
        <v>144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468.0159494817317</v>
      </c>
      <c r="I25" s="30">
        <f>$C$67+H25</f>
        <v>-681.95805051826824</v>
      </c>
      <c r="K25" s="3">
        <f t="shared" si="0"/>
        <v>25</v>
      </c>
      <c r="L25" s="45" t="s">
        <v>411</v>
      </c>
      <c r="M25" s="54" t="s">
        <v>413</v>
      </c>
      <c r="N25" s="2">
        <f>$C$15+$C$16</f>
        <v>20.100000000000001</v>
      </c>
      <c r="P25" s="10" t="s">
        <v>70</v>
      </c>
      <c r="Q25" s="10">
        <f ca="1">-Q$9*$N$75+Q$2*$N$108</f>
        <v>4499933.6971780732</v>
      </c>
    </row>
    <row r="26" spans="1:18" x14ac:dyDescent="0.4">
      <c r="B26" s="14" t="s">
        <v>392</v>
      </c>
      <c r="C26" s="19">
        <v>40</v>
      </c>
      <c r="F26" s="9" t="s">
        <v>108</v>
      </c>
      <c r="G26" s="13" t="s">
        <v>123</v>
      </c>
      <c r="H26" s="30">
        <f>$H$4-$C$38</f>
        <v>474.9840505182683</v>
      </c>
      <c r="I26" s="30">
        <f>$C$67+H26</f>
        <v>-674.98994948173163</v>
      </c>
      <c r="K26" s="3">
        <f t="shared" si="0"/>
        <v>26</v>
      </c>
      <c r="L26" s="45" t="s">
        <v>412</v>
      </c>
      <c r="M26" s="54" t="s">
        <v>416</v>
      </c>
      <c r="N26" s="2">
        <f>$C$4-$N$25</f>
        <v>379.9</v>
      </c>
    </row>
    <row r="27" spans="1:18" x14ac:dyDescent="0.4">
      <c r="B27" s="14" t="s">
        <v>393</v>
      </c>
      <c r="C27" s="19">
        <v>32</v>
      </c>
      <c r="H27" s="5"/>
      <c r="I27" s="5"/>
      <c r="K27" s="3">
        <f t="shared" si="0"/>
        <v>27</v>
      </c>
      <c r="L27" s="45" t="s">
        <v>415</v>
      </c>
      <c r="M27" s="54" t="s">
        <v>417</v>
      </c>
      <c r="N27" s="2">
        <f>$C$4-$C$15</f>
        <v>387.95</v>
      </c>
      <c r="P27" s="2"/>
    </row>
    <row r="28" spans="1:18" x14ac:dyDescent="0.4">
      <c r="B28" s="14" t="s">
        <v>215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365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487.96594948173168</v>
      </c>
      <c r="I29" s="30">
        <f>$C$67+H29</f>
        <v>-662.00805051826819</v>
      </c>
      <c r="K29" s="3">
        <f t="shared" si="0"/>
        <v>29</v>
      </c>
      <c r="L29" s="45" t="s">
        <v>366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216</v>
      </c>
      <c r="C30" s="28"/>
      <c r="F30" s="9" t="s">
        <v>99</v>
      </c>
      <c r="G30" s="13" t="s">
        <v>123</v>
      </c>
      <c r="H30" s="30">
        <f>$H$29-$C$16</f>
        <v>479.91594948173167</v>
      </c>
      <c r="I30" s="30">
        <f>$C$67+H30</f>
        <v>-670.05805051826826</v>
      </c>
      <c r="K30" s="3">
        <f t="shared" si="0"/>
        <v>30</v>
      </c>
      <c r="L30" s="45" t="s">
        <v>367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217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483.94094948173171</v>
      </c>
      <c r="I31" s="30">
        <f>$C$67+H31</f>
        <v>-666.03305051826828</v>
      </c>
      <c r="K31" s="3">
        <f t="shared" si="0"/>
        <v>31</v>
      </c>
      <c r="L31" s="45" t="s">
        <v>409</v>
      </c>
      <c r="M31" s="54" t="s">
        <v>410</v>
      </c>
      <c r="N31" s="2">
        <f>SQRT($N$11^2-$N$26^2)</f>
        <v>9007.1919614272683</v>
      </c>
    </row>
    <row r="32" spans="1:18" x14ac:dyDescent="0.4">
      <c r="B32" s="14" t="s">
        <v>218</v>
      </c>
      <c r="C32" s="39" t="s">
        <v>219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414</v>
      </c>
      <c r="M32" s="54" t="s">
        <v>432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-11.189677529744586</v>
      </c>
      <c r="I33" s="30">
        <f>$C$66+H33</f>
        <v>-561.20867752974459</v>
      </c>
      <c r="K33" s="3">
        <f t="shared" si="0"/>
        <v>33</v>
      </c>
      <c r="L33" s="45" t="s">
        <v>420</v>
      </c>
      <c r="M33" s="54" t="s">
        <v>422</v>
      </c>
      <c r="N33" s="2">
        <f>($N$31-$N$32)/$C$16</f>
        <v>4.262508389491932E-2</v>
      </c>
    </row>
    <row r="34" spans="2:16" x14ac:dyDescent="0.4">
      <c r="B34" s="4" t="s">
        <v>434</v>
      </c>
      <c r="F34" s="10" t="s">
        <v>46</v>
      </c>
      <c r="G34" s="30" t="s">
        <v>126</v>
      </c>
      <c r="H34" s="30">
        <f ca="1">$H$21</f>
        <v>-11.201087937634938</v>
      </c>
      <c r="I34" s="30">
        <f ca="1">$C$66+H34</f>
        <v>-561.22008793763496</v>
      </c>
      <c r="K34" s="3">
        <f t="shared" si="0"/>
        <v>34</v>
      </c>
      <c r="L34" s="45" t="s">
        <v>421</v>
      </c>
      <c r="M34" s="54" t="s">
        <v>423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-11.751158121853223</v>
      </c>
      <c r="I35" s="30">
        <f>$C$66+H35</f>
        <v>-561.77015812185323</v>
      </c>
      <c r="K35" s="3">
        <f t="shared" si="0"/>
        <v>35</v>
      </c>
      <c r="L35" s="45" t="s">
        <v>424</v>
      </c>
      <c r="M35" s="54" t="s">
        <v>425</v>
      </c>
      <c r="N35" s="2">
        <f>COS(ATAN($N$33))</f>
        <v>0.99909278715921468</v>
      </c>
    </row>
    <row r="36" spans="2:16" x14ac:dyDescent="0.4">
      <c r="B36" s="14" t="s">
        <v>199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431</v>
      </c>
      <c r="N36" s="2">
        <f>2*$N$35/(1+$N$35^2)</f>
        <v>0.99999958810892742</v>
      </c>
    </row>
    <row r="37" spans="2:16" x14ac:dyDescent="0.4">
      <c r="B37" s="14" t="s">
        <v>200</v>
      </c>
      <c r="C37" s="33">
        <v>180.95</v>
      </c>
      <c r="F37" s="10" t="s">
        <v>91</v>
      </c>
      <c r="G37" s="30" t="s">
        <v>126</v>
      </c>
      <c r="H37" s="30">
        <f ca="1">$H$24</f>
        <v>-11.195980389039619</v>
      </c>
      <c r="I37" s="30">
        <f ca="1">$C$66+H37</f>
        <v>-561.21498038903962</v>
      </c>
      <c r="K37" s="3">
        <f>ROW(K37)</f>
        <v>37</v>
      </c>
      <c r="L37" s="45" t="s">
        <v>426</v>
      </c>
      <c r="M37" s="54" t="s">
        <v>433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427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428</v>
      </c>
      <c r="M39" s="54" t="s">
        <v>430</v>
      </c>
      <c r="N39" s="2">
        <f>$N$36*($C$17-$N$38)+$N$37</f>
        <v>6.1370541572370785</v>
      </c>
    </row>
    <row r="40" spans="2:16" x14ac:dyDescent="0.4">
      <c r="B40" s="25" t="s">
        <v>435</v>
      </c>
      <c r="C40" s="28"/>
      <c r="F40" s="10" t="s">
        <v>101</v>
      </c>
      <c r="G40" s="30" t="s">
        <v>123</v>
      </c>
      <c r="H40" s="30">
        <f>$H$3-$C$55</f>
        <v>499.0159494817317</v>
      </c>
      <c r="I40" s="30">
        <f>$C$67+H40</f>
        <v>-650.95805051826824</v>
      </c>
      <c r="K40" s="3">
        <f t="shared" si="0"/>
        <v>40</v>
      </c>
      <c r="L40" s="45" t="s">
        <v>405</v>
      </c>
      <c r="M40" s="54" t="s">
        <v>382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499.5159494817317</v>
      </c>
      <c r="I41" s="30">
        <f>$C$67+H41</f>
        <v>-650.45805051826824</v>
      </c>
      <c r="K41" s="3">
        <f t="shared" si="0"/>
        <v>41</v>
      </c>
      <c r="L41" s="45" t="s">
        <v>406</v>
      </c>
      <c r="M41" s="54" t="s">
        <v>383</v>
      </c>
      <c r="N41" s="2">
        <f>SQRT($C$3^2-$N$40^2)</f>
        <v>8903.1722037709678</v>
      </c>
    </row>
    <row r="42" spans="2:16" x14ac:dyDescent="0.4">
      <c r="B42" s="14" t="s">
        <v>379</v>
      </c>
      <c r="C42" s="33">
        <v>180.95</v>
      </c>
      <c r="F42" s="10" t="s">
        <v>102</v>
      </c>
      <c r="G42" s="30" t="s">
        <v>123</v>
      </c>
      <c r="H42" s="30">
        <f>$H$4-$C$49</f>
        <v>495.9840505182683</v>
      </c>
      <c r="I42" s="30">
        <f>$C$67+H42</f>
        <v>-653.98994948173163</v>
      </c>
      <c r="K42" s="3">
        <f t="shared" si="0"/>
        <v>42</v>
      </c>
      <c r="L42" s="45" t="s">
        <v>446</v>
      </c>
      <c r="N42" s="2">
        <f>N41-N18</f>
        <v>0.66832620933018916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489.9840505182683</v>
      </c>
      <c r="I43" s="30">
        <f>$C$67+H43</f>
        <v>-659.98994948173163</v>
      </c>
      <c r="K43" s="3">
        <f t="shared" si="0"/>
        <v>43</v>
      </c>
      <c r="L43" s="45" t="s">
        <v>174</v>
      </c>
      <c r="M43" s="54" t="str">
        <f>IF($C$25&gt;=3, "振分中心-内面溝1列目間距離", "-")</f>
        <v>振分中心-内面溝1列目間距離</v>
      </c>
      <c r="N43" s="44">
        <f>$C$4-$C$20</f>
        <v>310</v>
      </c>
    </row>
    <row r="44" spans="2:16" x14ac:dyDescent="0.4">
      <c r="F44" s="10" t="s">
        <v>368</v>
      </c>
      <c r="G44" s="30" t="s">
        <v>126</v>
      </c>
      <c r="H44" s="30"/>
      <c r="I44" s="53"/>
      <c r="K44" s="3">
        <f t="shared" si="0"/>
        <v>44</v>
      </c>
      <c r="L44" s="45" t="s">
        <v>229</v>
      </c>
      <c r="M44" s="54" t="str">
        <f>IF($C$25&gt;=4, "振分中心-内面溝2列目間距離", "-")</f>
        <v>振分中心-内面溝2列目間距離</v>
      </c>
      <c r="N44" s="44">
        <f>IF($C$25&gt;=4,$N$43-1*$C$21, "-")</f>
        <v>290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230</v>
      </c>
      <c r="M45" s="54" t="str">
        <f>IF($C$25&gt;=5, "振分中心-内面溝3列目間距離", "-")</f>
        <v>振分中心-内面溝3列目間距離</v>
      </c>
      <c r="N45" s="44">
        <f>IF($C$25&gt;=5,$N$43-2*$C$21, "-")</f>
        <v>270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231</v>
      </c>
      <c r="M46" s="54" t="str">
        <f>IF($C$25&gt;=6, "振分中心-内面溝4列目間距離", "-")</f>
        <v>振分中心-内面溝4列目間距離</v>
      </c>
      <c r="N46" s="44">
        <f>IF($C$25&gt;=6,$N$43-3*$C$21, "-")</f>
        <v>250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233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380</v>
      </c>
      <c r="E48" s="3" t="s">
        <v>251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232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445</v>
      </c>
      <c r="C49" s="15">
        <v>4</v>
      </c>
      <c r="E49" s="3" t="s">
        <v>252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178</v>
      </c>
      <c r="M49" s="54" t="s">
        <v>151</v>
      </c>
      <c r="N49" s="44">
        <f>$N$43-($C$25-2)*$C$21</f>
        <v>230</v>
      </c>
    </row>
    <row r="50" spans="1:14" x14ac:dyDescent="0.4">
      <c r="B50" s="14" t="s">
        <v>133</v>
      </c>
      <c r="C50" s="15">
        <v>15</v>
      </c>
      <c r="F50" s="10" t="s">
        <v>224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177</v>
      </c>
      <c r="M50" s="54" t="s">
        <v>150</v>
      </c>
      <c r="N50" s="44">
        <f>$N$43-($C$25-1)*$C$21</f>
        <v>210</v>
      </c>
    </row>
    <row r="51" spans="1:14" x14ac:dyDescent="0.4">
      <c r="B51" s="14" t="s">
        <v>444</v>
      </c>
      <c r="C51" s="15">
        <v>10</v>
      </c>
      <c r="F51" s="10" t="s">
        <v>225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175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134</v>
      </c>
      <c r="C52" s="15">
        <v>15</v>
      </c>
      <c r="F52" s="10" t="s">
        <v>218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234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385</v>
      </c>
      <c r="K53" s="3">
        <f t="shared" si="0"/>
        <v>53</v>
      </c>
      <c r="L53" s="45" t="s">
        <v>236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381</v>
      </c>
      <c r="E54" s="3" t="s">
        <v>297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3.5836378510248323</v>
      </c>
      <c r="K54" s="3">
        <f t="shared" si="0"/>
        <v>54</v>
      </c>
      <c r="L54" s="45" t="s">
        <v>238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135</v>
      </c>
      <c r="C55" s="15">
        <v>1</v>
      </c>
      <c r="E55" s="3" t="s">
        <v>298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4.2564608749580657</v>
      </c>
      <c r="K55" s="3">
        <f t="shared" si="0"/>
        <v>55</v>
      </c>
      <c r="L55" s="45" t="s">
        <v>239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136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4.8843832356542407</v>
      </c>
      <c r="K56" s="3">
        <f t="shared" si="0"/>
        <v>56</v>
      </c>
      <c r="L56" s="45" t="s">
        <v>240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137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5.4674144162945595</v>
      </c>
      <c r="K57" s="3">
        <f t="shared" si="0"/>
        <v>57</v>
      </c>
      <c r="L57" s="45" t="s">
        <v>242</v>
      </c>
      <c r="M57" s="54" t="s">
        <v>244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241</v>
      </c>
      <c r="M58" s="54" t="s">
        <v>243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176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266</v>
      </c>
      <c r="G60" s="13" t="s">
        <v>126</v>
      </c>
      <c r="H60" s="30">
        <f>$N$89-$N$15</f>
        <v>6.0055632197072555</v>
      </c>
      <c r="K60" s="3">
        <f t="shared" si="0"/>
        <v>60</v>
      </c>
      <c r="L60" s="45" t="s">
        <v>235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436</v>
      </c>
      <c r="C61" s="19">
        <f>AVERAGE(C76,C77)</f>
        <v>330.22300000000001</v>
      </c>
      <c r="E61" s="3" t="s">
        <v>299</v>
      </c>
      <c r="F61" s="10" t="s">
        <v>265</v>
      </c>
      <c r="G61" s="13" t="s">
        <v>126</v>
      </c>
      <c r="H61" s="30">
        <f>$N$90-$N$15</f>
        <v>6.4988377690224297</v>
      </c>
      <c r="K61" s="3">
        <f t="shared" si="0"/>
        <v>61</v>
      </c>
      <c r="L61" s="45" t="s">
        <v>237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342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410.0159494817317</v>
      </c>
      <c r="I62" s="30">
        <f>IF($C$25&gt;=3,$C$67+H62,"-")</f>
        <v>-739.95805051826824</v>
      </c>
      <c r="K62" s="3">
        <f t="shared" si="0"/>
        <v>62</v>
      </c>
      <c r="L62" s="45" t="s">
        <v>245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341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390.0159494817317</v>
      </c>
      <c r="I63" s="30">
        <f>IF($C$25&gt;=4,$C$67+H63,"-")</f>
        <v>-759.95805051826824</v>
      </c>
      <c r="K63" s="3">
        <f t="shared" si="0"/>
        <v>63</v>
      </c>
      <c r="L63" s="45" t="s">
        <v>246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370.0159494817317</v>
      </c>
      <c r="I64" s="30">
        <f>IF($C$25&gt;=5,$C$67+H64,"-")</f>
        <v>-779.95805051826824</v>
      </c>
      <c r="K64" s="3">
        <f t="shared" si="0"/>
        <v>64</v>
      </c>
      <c r="L64" s="45" t="s">
        <v>247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350.0159494817317</v>
      </c>
      <c r="I65" s="30">
        <f>IF($C$25&gt;=6,$C$67+H65,"-")</f>
        <v>-799.95805051826824</v>
      </c>
      <c r="K65" s="3">
        <f t="shared" si="0"/>
        <v>65</v>
      </c>
      <c r="L65" s="45" t="s">
        <v>248</v>
      </c>
      <c r="M65" s="54" t="s">
        <v>250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249</v>
      </c>
      <c r="M66" s="54" t="s">
        <v>145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146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343</v>
      </c>
      <c r="G68" s="13" t="s">
        <v>123</v>
      </c>
      <c r="H68" s="60">
        <f>$H$3-$C$20-($C$25-2)*$C$21</f>
        <v>330.0159494817317</v>
      </c>
      <c r="I68" s="30">
        <f>$C$67+H68</f>
        <v>-819.95805051826824</v>
      </c>
      <c r="K68" s="3">
        <f t="shared" si="0"/>
        <v>68</v>
      </c>
      <c r="L68" s="45" t="s">
        <v>253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437</v>
      </c>
      <c r="C69" s="19">
        <v>251.90899999999999</v>
      </c>
      <c r="E69" s="3" t="s">
        <v>345</v>
      </c>
      <c r="F69" s="9" t="s">
        <v>344</v>
      </c>
      <c r="G69" s="13" t="s">
        <v>123</v>
      </c>
      <c r="H69" s="60">
        <f>$H$3-$C$20-($C$25-1)*$C$21</f>
        <v>310.0159494817317</v>
      </c>
      <c r="I69" s="30">
        <f>$C$67+H69</f>
        <v>-839.95805051826824</v>
      </c>
      <c r="K69" s="3">
        <f t="shared" si="0"/>
        <v>69</v>
      </c>
      <c r="L69" s="45" t="s">
        <v>254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438</v>
      </c>
      <c r="C70" s="19">
        <v>244.4</v>
      </c>
      <c r="E70" s="3" t="s">
        <v>302</v>
      </c>
      <c r="F70" s="10" t="s">
        <v>305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255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138</v>
      </c>
      <c r="C71" s="38">
        <v>8</v>
      </c>
      <c r="E71" s="3" t="s">
        <v>304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256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306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257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394</v>
      </c>
      <c r="C73" s="5">
        <v>-561.11400000000003</v>
      </c>
      <c r="E73" s="3" t="s">
        <v>319</v>
      </c>
      <c r="F73" s="10" t="s">
        <v>222</v>
      </c>
      <c r="G73" s="30" t="s">
        <v>124</v>
      </c>
      <c r="H73" s="30">
        <f ca="1">-ROUND(DEGREES($N$112),3)</f>
        <v>-2.13</v>
      </c>
      <c r="I73" s="5"/>
      <c r="K73" s="3">
        <f t="shared" si="0"/>
        <v>73</v>
      </c>
      <c r="L73" s="45" t="s">
        <v>258</v>
      </c>
      <c r="M73" s="54" t="s">
        <v>258</v>
      </c>
      <c r="N73" s="44">
        <f ca="1">$C$20+($C$25-2)*$C$21-$N$57</f>
        <v>20</v>
      </c>
    </row>
    <row r="74" spans="2:14" x14ac:dyDescent="0.4">
      <c r="B74" s="1" t="s">
        <v>395</v>
      </c>
      <c r="C74" s="5">
        <v>-648.33199999999999</v>
      </c>
      <c r="E74" s="3" t="s">
        <v>319</v>
      </c>
      <c r="F74" s="10" t="s">
        <v>223</v>
      </c>
      <c r="G74" s="30" t="s">
        <v>124</v>
      </c>
      <c r="H74" s="30">
        <f ca="1">$H$7+$H$73</f>
        <v>-1.488</v>
      </c>
      <c r="I74" s="30">
        <f ca="1">-$C$68+$H$74</f>
        <v>-1.5609999999999999</v>
      </c>
      <c r="K74" s="3">
        <f t="shared" si="0"/>
        <v>74</v>
      </c>
      <c r="L74" s="45" t="s">
        <v>148</v>
      </c>
      <c r="M74" s="54" t="s">
        <v>148</v>
      </c>
      <c r="N74" s="44">
        <f ca="1">$C$20+($C$25-1)*$C$21-$N$58</f>
        <v>15</v>
      </c>
    </row>
    <row r="75" spans="2:14" x14ac:dyDescent="0.4">
      <c r="E75" s="3" t="s">
        <v>320</v>
      </c>
      <c r="F75" s="59" t="s">
        <v>318</v>
      </c>
      <c r="G75" s="56" t="s">
        <v>124</v>
      </c>
      <c r="H75" s="56">
        <f ca="1">DEGREES($N$121)</f>
        <v>1.8081075579837422</v>
      </c>
      <c r="K75" s="3">
        <f t="shared" si="0"/>
        <v>75</v>
      </c>
      <c r="L75" s="45" t="s">
        <v>147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442</v>
      </c>
      <c r="C76" s="19">
        <v>330.26600000000002</v>
      </c>
      <c r="E76" s="3" t="s">
        <v>320</v>
      </c>
      <c r="F76" s="59" t="s">
        <v>315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si="0"/>
        <v>76</v>
      </c>
      <c r="L76" s="45" t="s">
        <v>259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443</v>
      </c>
      <c r="C77" s="19">
        <v>330.18</v>
      </c>
      <c r="F77" s="10" t="s">
        <v>194</v>
      </c>
      <c r="G77" s="30" t="s">
        <v>126</v>
      </c>
      <c r="H77" s="30">
        <f ca="1">MIN($N$124, $N$125)</f>
        <v>21.495936780292737</v>
      </c>
      <c r="K77" s="3">
        <f t="shared" ref="K77:K168" si="2">ROW(K77)</f>
        <v>77</v>
      </c>
      <c r="L77" s="45" t="s">
        <v>260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346</v>
      </c>
      <c r="F78" s="10" t="s">
        <v>407</v>
      </c>
      <c r="G78" s="13" t="s">
        <v>125</v>
      </c>
      <c r="H78" s="30">
        <f ca="1">($N$67*$N$134+$N$75*$N$126)/($N$59-$N$51)+$C$31*2</f>
        <v>154.57380000000001</v>
      </c>
      <c r="K78" s="3">
        <f t="shared" si="2"/>
        <v>78</v>
      </c>
      <c r="L78" s="45" t="s">
        <v>261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348</v>
      </c>
      <c r="G79" s="13" t="s">
        <v>125</v>
      </c>
      <c r="H79" s="30">
        <f ca="1">($N$74*$N$141+$N$82*$N$133)/($N$66-$N$58)+$C$31*2</f>
        <v>154.14839999999998</v>
      </c>
      <c r="K79" s="3">
        <f t="shared" si="2"/>
        <v>79</v>
      </c>
      <c r="L79" s="45" t="s">
        <v>262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384</v>
      </c>
      <c r="K80" s="3">
        <f t="shared" si="2"/>
        <v>80</v>
      </c>
      <c r="L80" s="45" t="s">
        <v>263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IF($C$25&gt;=$C$71-5,$H$54*$N$115-$C$20*$N$114, "-")</f>
        <v>0.23613623834420849</v>
      </c>
      <c r="K81" s="3">
        <f t="shared" si="2"/>
        <v>81</v>
      </c>
      <c r="L81" s="45" t="s">
        <v>264</v>
      </c>
      <c r="M81" s="54" t="s">
        <v>264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IF($C$25&gt;=$C$71-4,$H$55*$N$115-($C$20+$C21)*$N$114, "-")</f>
        <v>0.16515537313498907</v>
      </c>
      <c r="K82" s="3">
        <f t="shared" si="2"/>
        <v>82</v>
      </c>
      <c r="L82" s="45" t="s">
        <v>179</v>
      </c>
      <c r="M82" s="54" t="s">
        <v>179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IF($C$25&gt;=$C$71-3,$H$56*$N$115-($C$20+2*$C$21)*$N$114, "-")</f>
        <v>4.930486789530697E-2</v>
      </c>
      <c r="K83" s="3">
        <f t="shared" si="2"/>
        <v>83</v>
      </c>
      <c r="L83" s="45" t="s">
        <v>267</v>
      </c>
      <c r="M83" s="54" t="str">
        <f>IF($C$25&gt;=3,"1列目湾曲中心X","-")</f>
        <v>1列目湾曲中心X</v>
      </c>
      <c r="N83" s="46">
        <f>IF($C$25&gt;=3,SQRT($C$3^2-$N$43^2),"-")</f>
        <v>8917.3132326951491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IF($C$25&gt;=$C$71-2,$H$57*$N$115-($C$20+3*$C$21)*$N$114, "-")</f>
        <v>-0.11140580074584783</v>
      </c>
      <c r="K84" s="3">
        <f t="shared" si="2"/>
        <v>84</v>
      </c>
      <c r="L84" s="45" t="s">
        <v>268</v>
      </c>
      <c r="M84" s="54" t="str">
        <f>IF($C$25&gt;=4,"2列目湾曲中心X","-")</f>
        <v>2列目湾曲中心X</v>
      </c>
      <c r="N84" s="46">
        <f>IF($C$25&gt;=4,SQRT($C$3^2-$N$44^2),"-")</f>
        <v>8917.9860557190823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IF($C$25&gt;=$C$71-1,$H$58*$N$115-($C$20+4*$C$21)*$N$114, "-")</f>
        <v>-</v>
      </c>
      <c r="K85" s="3">
        <f t="shared" si="2"/>
        <v>85</v>
      </c>
      <c r="L85" s="45" t="s">
        <v>269</v>
      </c>
      <c r="M85" s="54" t="str">
        <f>IF($C$25&gt;=5,"3列目湾曲中心X","-")</f>
        <v>3列目湾曲中心X</v>
      </c>
      <c r="N85" s="46">
        <f>IF($C$25&gt;=5,SQRT($C$3^2-$N$45^2),"-")</f>
        <v>8918.6139780797785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IF($C$25&gt;=$C$71,$H$59*$N$115-($C$20+5*$C$21)*$N$114, "-")</f>
        <v>-</v>
      </c>
      <c r="K86" s="3">
        <f t="shared" si="2"/>
        <v>86</v>
      </c>
      <c r="L86" s="45" t="s">
        <v>270</v>
      </c>
      <c r="M86" s="54" t="str">
        <f>IF($C$25&gt;=6,"4列目湾曲中心X","-")</f>
        <v>4列目湾曲中心X</v>
      </c>
      <c r="N86" s="46">
        <f>IF($C$25&gt;=6,SQRT($C$3^2-$N$46^2),"-")</f>
        <v>8919.1970092604188</v>
      </c>
    </row>
    <row r="87" spans="6:14" x14ac:dyDescent="0.4">
      <c r="F87" s="10" t="s">
        <v>266</v>
      </c>
      <c r="G87" s="13" t="s">
        <v>126</v>
      </c>
      <c r="H87" s="30">
        <f ca="1">$H$60*$N$115-($C$20+($C$25-2)*$C$21)*$N$114</f>
        <v>-0.31696783604237844</v>
      </c>
      <c r="K87" s="3">
        <f t="shared" si="2"/>
        <v>87</v>
      </c>
      <c r="L87" s="45" t="s">
        <v>271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265</v>
      </c>
      <c r="G88" s="13" t="s">
        <v>126</v>
      </c>
      <c r="H88" s="30">
        <f ca="1">$H$61*$N$115-($C$20+($C$25-1)*$C$21)*$N$114</f>
        <v>-0.56737312047669697</v>
      </c>
      <c r="K88" s="3">
        <f t="shared" si="2"/>
        <v>88</v>
      </c>
      <c r="L88" s="45" t="s">
        <v>272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IF($C$25&gt;=$C$71-5,$H$54*$N$114+$C$20*$N$115, "-")</f>
        <v>90.071009208980442</v>
      </c>
      <c r="K89" s="3">
        <f t="shared" si="2"/>
        <v>89</v>
      </c>
      <c r="L89" s="45" t="s">
        <v>273</v>
      </c>
      <c r="M89" s="54" t="s">
        <v>275</v>
      </c>
      <c r="N89" s="47">
        <f>SQRT($C$3^2-$N$49^2)</f>
        <v>8919.7351580638315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IF($C$25&gt;=$C$71-4,$H$55*$N$114+($C$20+$C$21)*$N$115, "-")</f>
        <v>110.08219739305159</v>
      </c>
      <c r="K90" s="3">
        <f t="shared" si="2"/>
        <v>90</v>
      </c>
      <c r="L90" s="45" t="s">
        <v>274</v>
      </c>
      <c r="M90" s="54" t="s">
        <v>276</v>
      </c>
      <c r="N90" s="47">
        <f>SQRT($C$3^2-$N$50^2)</f>
        <v>8920.2284326131467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IF($C$25&gt;=$C$71-3,$H$56*$N$114+($C$20+2*$C$21)*$N$115, "-")</f>
        <v>130.09171675638208</v>
      </c>
      <c r="K91" s="3">
        <f t="shared" si="2"/>
        <v>91</v>
      </c>
      <c r="L91" s="45" t="s">
        <v>277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IF($C$25&gt;=$C$71-2,$H$57*$N$114+($C$20+3*$C$21)*$N$115, "-")</f>
        <v>150.09956765143286</v>
      </c>
      <c r="K92" s="3">
        <f t="shared" si="2"/>
        <v>92</v>
      </c>
      <c r="L92" s="45" t="s">
        <v>278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IF($C$25&gt;=$C$71-1,$H$58*$N$114+($C$20+4*$C$21)*$N$115, "-")</f>
        <v>-</v>
      </c>
      <c r="K93" s="3">
        <f t="shared" si="2"/>
        <v>93</v>
      </c>
      <c r="L93" s="45" t="s">
        <v>279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IF($C$25&gt;=$C$71-0,$H$59*$N$114+($C$20+5*$C$21)*$N$115, "-")</f>
        <v>-</v>
      </c>
      <c r="K94" s="3">
        <f t="shared" si="2"/>
        <v>94</v>
      </c>
      <c r="L94" s="45" t="s">
        <v>280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390</v>
      </c>
      <c r="G95" s="13" t="s">
        <v>123</v>
      </c>
      <c r="H95" s="30">
        <f ca="1">$H$60*$N$114+($C$20+($C$25-2)*$C$21)*$N$115</f>
        <v>170.10575040537816</v>
      </c>
      <c r="K95" s="3">
        <f t="shared" si="2"/>
        <v>95</v>
      </c>
      <c r="L95" s="45" t="s">
        <v>281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391</v>
      </c>
      <c r="G96" s="13" t="s">
        <v>123</v>
      </c>
      <c r="H96" s="30">
        <f ca="1">$H$61*$N$114+($C$20+($C$25-1)*$C$21)*$N$115</f>
        <v>190.11026532013003</v>
      </c>
      <c r="K96" s="3">
        <f t="shared" si="2"/>
        <v>96</v>
      </c>
      <c r="L96" s="45" t="s">
        <v>282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408</v>
      </c>
      <c r="K97" s="3">
        <f t="shared" si="2"/>
        <v>97</v>
      </c>
      <c r="L97" s="45" t="s">
        <v>283</v>
      </c>
      <c r="M97" s="54" t="s">
        <v>285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396</v>
      </c>
      <c r="F98" s="9" t="s">
        <v>401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284</v>
      </c>
      <c r="M98" s="54" t="s">
        <v>286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397</v>
      </c>
      <c r="F99" s="9" t="s">
        <v>402</v>
      </c>
      <c r="G99" s="13" t="s">
        <v>123</v>
      </c>
      <c r="H99" s="30">
        <f>$H$3</f>
        <v>500.0159494817317</v>
      </c>
      <c r="I99" s="30">
        <f>$C$67+H99</f>
        <v>-649.95805051826824</v>
      </c>
      <c r="K99" s="3">
        <f t="shared" si="2"/>
        <v>99</v>
      </c>
      <c r="L99" s="45" t="s">
        <v>287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398</v>
      </c>
      <c r="F100" s="9" t="s">
        <v>403</v>
      </c>
      <c r="G100" s="13" t="s">
        <v>126</v>
      </c>
      <c r="H100" s="30">
        <f ca="1">$H$98*$N$115+$H$99*$N$114</f>
        <v>7.4967340513192653</v>
      </c>
      <c r="I100" s="30">
        <f ca="1">$C$66+H100</f>
        <v>-542.5222659486808</v>
      </c>
      <c r="K100" s="3">
        <f t="shared" si="2"/>
        <v>100</v>
      </c>
      <c r="L100" s="45" t="s">
        <v>288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399</v>
      </c>
      <c r="F101" s="9" t="s">
        <v>404</v>
      </c>
      <c r="G101" s="13" t="s">
        <v>123</v>
      </c>
      <c r="H101" s="30">
        <f ca="1">-$H$98*$N$114+$H$99*$N$115</f>
        <v>500.08284087707057</v>
      </c>
      <c r="I101" s="30">
        <f ca="1">$C$67+H101</f>
        <v>-649.89115912292937</v>
      </c>
      <c r="K101" s="3">
        <f t="shared" si="2"/>
        <v>101</v>
      </c>
      <c r="L101" s="45" t="s">
        <v>289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400</v>
      </c>
      <c r="G102" s="13" t="s">
        <v>126</v>
      </c>
      <c r="H102" s="30">
        <f ca="1">$H$100-$H$98</f>
        <v>18.591734051319293</v>
      </c>
      <c r="K102" s="3">
        <f t="shared" si="2"/>
        <v>102</v>
      </c>
      <c r="L102" s="45" t="s">
        <v>290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400</v>
      </c>
      <c r="G103" s="13" t="s">
        <v>123</v>
      </c>
      <c r="H103" s="30">
        <f ca="1">$H$101-$H$99</f>
        <v>6.6891395338871007E-2</v>
      </c>
      <c r="K103" s="3">
        <f t="shared" si="2"/>
        <v>103</v>
      </c>
      <c r="L103" s="45" t="s">
        <v>291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292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439</v>
      </c>
      <c r="G105" s="28"/>
      <c r="H105" s="28"/>
      <c r="K105" s="3">
        <f t="shared" si="2"/>
        <v>105</v>
      </c>
      <c r="L105" s="45" t="s">
        <v>293</v>
      </c>
      <c r="M105" s="54" t="s">
        <v>295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441</v>
      </c>
      <c r="G106" s="61"/>
      <c r="H106" s="13"/>
      <c r="K106" s="3">
        <f t="shared" si="2"/>
        <v>106</v>
      </c>
      <c r="L106" s="45" t="s">
        <v>294</v>
      </c>
      <c r="M106" s="54" t="s">
        <v>296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440</v>
      </c>
      <c r="G107" s="61"/>
      <c r="H107" s="13"/>
      <c r="K107" s="3">
        <f t="shared" si="2"/>
        <v>107</v>
      </c>
      <c r="L107" s="45" t="s">
        <v>307</v>
      </c>
      <c r="M107" s="54" t="s">
        <v>220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308</v>
      </c>
      <c r="M108" s="54" t="s">
        <v>221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311</v>
      </c>
      <c r="M109" s="54" t="s">
        <v>192</v>
      </c>
      <c r="N109" s="2">
        <f ca="1">SQRT($N$108^2-$N$43^2)</f>
        <v>8995.6564181061131</v>
      </c>
    </row>
    <row r="110" spans="5:14" x14ac:dyDescent="0.4">
      <c r="K110" s="3">
        <f t="shared" si="2"/>
        <v>110</v>
      </c>
      <c r="L110" s="45" t="s">
        <v>312</v>
      </c>
      <c r="M110" s="54" t="s">
        <v>192</v>
      </c>
      <c r="N110" s="2">
        <f ca="1">SQRT($N$107^2-$C$4^2)</f>
        <v>8992.3094054643298</v>
      </c>
    </row>
    <row r="111" spans="5:14" x14ac:dyDescent="0.4">
      <c r="K111" s="3">
        <f t="shared" si="2"/>
        <v>111</v>
      </c>
      <c r="L111" s="45" t="s">
        <v>180</v>
      </c>
      <c r="M111" s="54" t="s">
        <v>180</v>
      </c>
      <c r="N111" s="2">
        <f ca="1">IF($N$109&gt;$N$110, ($N$109-$N$110)/$C$20, 0)</f>
        <v>3.7189029353147718E-2</v>
      </c>
    </row>
    <row r="112" spans="5:14" x14ac:dyDescent="0.4">
      <c r="K112" s="3">
        <f t="shared" si="2"/>
        <v>112</v>
      </c>
      <c r="L112" s="45" t="s">
        <v>181</v>
      </c>
      <c r="N112" s="2">
        <f ca="1">ATAN($N$111)</f>
        <v>3.7171899126953054E-2</v>
      </c>
    </row>
    <row r="113" spans="11:14" x14ac:dyDescent="0.4">
      <c r="K113" s="3">
        <f t="shared" si="2"/>
        <v>113</v>
      </c>
      <c r="L113" s="45" t="s">
        <v>181</v>
      </c>
      <c r="N113" s="2">
        <f ca="1">-RADIANS($H$73)</f>
        <v>3.7175513067479217E-2</v>
      </c>
    </row>
    <row r="114" spans="11:14" x14ac:dyDescent="0.4">
      <c r="K114" s="3">
        <f t="shared" si="2"/>
        <v>114</v>
      </c>
      <c r="L114" s="45" t="s">
        <v>389</v>
      </c>
      <c r="M114" s="54" t="s">
        <v>389</v>
      </c>
      <c r="N114" s="2">
        <f ca="1">SIN($N$113)</f>
        <v>3.7166950783010577E-2</v>
      </c>
    </row>
    <row r="115" spans="11:14" x14ac:dyDescent="0.4">
      <c r="K115" s="3">
        <f t="shared" si="2"/>
        <v>115</v>
      </c>
      <c r="L115" s="45" t="s">
        <v>388</v>
      </c>
      <c r="M115" s="54" t="s">
        <v>388</v>
      </c>
      <c r="N115" s="2">
        <f ca="1">COS($N$113)</f>
        <v>0.9993090701927474</v>
      </c>
    </row>
    <row r="116" spans="11:14" x14ac:dyDescent="0.4">
      <c r="K116" s="3">
        <f t="shared" si="2"/>
        <v>116</v>
      </c>
      <c r="L116" s="45" t="s">
        <v>309</v>
      </c>
      <c r="M116" s="54" t="s">
        <v>142</v>
      </c>
      <c r="N116" s="2">
        <f ca="1">$C$3-$H$71/2</f>
        <v>8844.4037000000008</v>
      </c>
    </row>
    <row r="117" spans="11:14" x14ac:dyDescent="0.4">
      <c r="K117" s="3">
        <f t="shared" si="2"/>
        <v>117</v>
      </c>
      <c r="L117" s="45" t="s">
        <v>310</v>
      </c>
      <c r="M117" s="54" t="s">
        <v>143</v>
      </c>
      <c r="N117" s="2">
        <f ca="1">$C$3-$H$72/2</f>
        <v>8844.6194000000014</v>
      </c>
    </row>
    <row r="118" spans="11:14" x14ac:dyDescent="0.4">
      <c r="K118" s="3">
        <f t="shared" si="2"/>
        <v>118</v>
      </c>
      <c r="L118" s="45" t="s">
        <v>313</v>
      </c>
      <c r="M118" s="54" t="s">
        <v>193</v>
      </c>
      <c r="N118" s="2">
        <f ca="1">SQRT($N$117^2-$N$50^2)</f>
        <v>8842.1260074066122</v>
      </c>
    </row>
    <row r="119" spans="11:14" x14ac:dyDescent="0.4">
      <c r="K119" s="3">
        <f t="shared" si="2"/>
        <v>119</v>
      </c>
      <c r="L119" s="45" t="s">
        <v>314</v>
      </c>
      <c r="M119" s="54" t="s">
        <v>193</v>
      </c>
      <c r="N119" s="2">
        <f ca="1">SQRT($N$116^2-$N$43^2)</f>
        <v>8838.9692164060452</v>
      </c>
    </row>
    <row r="120" spans="11:14" x14ac:dyDescent="0.4">
      <c r="K120" s="3">
        <f t="shared" si="2"/>
        <v>120</v>
      </c>
      <c r="L120" s="45" t="s">
        <v>182</v>
      </c>
      <c r="N120" s="2">
        <f ca="1">($N118-$N119)/($N$43-$N$50)</f>
        <v>3.1567910005669546E-2</v>
      </c>
    </row>
    <row r="121" spans="11:14" x14ac:dyDescent="0.4">
      <c r="K121" s="3">
        <f t="shared" si="2"/>
        <v>121</v>
      </c>
      <c r="L121" s="45" t="s">
        <v>183</v>
      </c>
      <c r="M121" s="54" t="s">
        <v>149</v>
      </c>
      <c r="N121" s="2">
        <f ca="1">ATAN($N$120)</f>
        <v>3.1557430117010586E-2</v>
      </c>
    </row>
    <row r="122" spans="11:14" x14ac:dyDescent="0.4">
      <c r="K122" s="3">
        <f>ROW(K122)</f>
        <v>122</v>
      </c>
      <c r="L122" s="45" t="s">
        <v>185</v>
      </c>
      <c r="M122" s="54" t="s">
        <v>153</v>
      </c>
      <c r="N122" s="2">
        <f>IF(MOD($C$25, 2)=0, $C$23, $C$24)</f>
        <v>102</v>
      </c>
    </row>
    <row r="123" spans="11:14" x14ac:dyDescent="0.4">
      <c r="K123" s="3">
        <f t="shared" si="2"/>
        <v>123</v>
      </c>
      <c r="L123" s="45" t="s">
        <v>184</v>
      </c>
      <c r="M123" s="54" t="s">
        <v>152</v>
      </c>
      <c r="N123" s="2">
        <f>IF(MOD($C$25, 2)=0, $C$24, $C$23)</f>
        <v>85</v>
      </c>
    </row>
    <row r="124" spans="11:14" x14ac:dyDescent="0.4">
      <c r="K124" s="3">
        <f t="shared" si="2"/>
        <v>124</v>
      </c>
      <c r="L124" s="45" t="s">
        <v>316</v>
      </c>
      <c r="M124" s="54" t="s">
        <v>195</v>
      </c>
      <c r="N124" s="2">
        <f ca="1">$H$70/2-$H$60-$N$122/2</f>
        <v>21.495936780292737</v>
      </c>
    </row>
    <row r="125" spans="11:14" x14ac:dyDescent="0.4">
      <c r="K125" s="3">
        <f t="shared" si="2"/>
        <v>125</v>
      </c>
      <c r="L125" s="45" t="s">
        <v>317</v>
      </c>
      <c r="M125" s="54" t="s">
        <v>196</v>
      </c>
      <c r="N125" s="2">
        <f ca="1">$H$70/2-$H$61-$N$123/2</f>
        <v>29.502662230977563</v>
      </c>
    </row>
    <row r="126" spans="11:14" x14ac:dyDescent="0.4">
      <c r="K126" s="3">
        <f t="shared" si="2"/>
        <v>126</v>
      </c>
      <c r="L126" s="45" t="s">
        <v>321</v>
      </c>
      <c r="M126" s="54" t="str">
        <f>IF($C$25&gt;=3,"λj ≦ q &lt; λj+1 の wBj", "-")</f>
        <v>λj ≦ q &lt; λj+1 の wBj</v>
      </c>
      <c r="N126" s="44">
        <f ca="1">IF($C$25&gt;=3, INDEX(INDIRECT($H$52&amp;"!C:C"), MATCH($N$51, INDIRECT($H$52&amp;"!A:A"), 0)),"-")</f>
        <v>154.501</v>
      </c>
    </row>
    <row r="127" spans="11:14" x14ac:dyDescent="0.4">
      <c r="K127" s="3">
        <f t="shared" si="2"/>
        <v>127</v>
      </c>
      <c r="L127" s="45" t="s">
        <v>322</v>
      </c>
      <c r="M127" s="54" t="str">
        <f>IF($C$25&gt;=4,"λj ≦ q+pz &lt; λj+1 の wBj", "-")</f>
        <v>λj ≦ q+pz &lt; λj+1 の wBj</v>
      </c>
      <c r="N127" s="44">
        <f ca="1">IF($C$25&gt;=4, INDEX(INDIRECT($H$52&amp;"!C:C"), MATCH($N$52, INDIRECT($H$52&amp;"!A:A"), 0)),"-")</f>
        <v>154.38900000000001</v>
      </c>
    </row>
    <row r="128" spans="11:14" x14ac:dyDescent="0.4">
      <c r="K128" s="3">
        <f t="shared" si="2"/>
        <v>128</v>
      </c>
      <c r="L128" s="45" t="s">
        <v>323</v>
      </c>
      <c r="M128" s="54" t="str">
        <f>IF($C$25&gt;=5,"λj ≦ q+2pz &lt; λj+1 の wBj", "-")</f>
        <v>λj ≦ q+2pz &lt; λj+1 の wBj</v>
      </c>
      <c r="N128" s="44">
        <f ca="1">IF($C$25&gt;=5, INDEX(INDIRECT($H$52&amp;"!C:C"), MATCH($N$53, INDIRECT($H$52&amp;"!A:A"), 0)),"-")</f>
        <v>154.27600000000001</v>
      </c>
    </row>
    <row r="129" spans="11:14" x14ac:dyDescent="0.4">
      <c r="K129" s="3">
        <f t="shared" si="2"/>
        <v>129</v>
      </c>
      <c r="L129" s="45" t="s">
        <v>324</v>
      </c>
      <c r="M129" s="54" t="str">
        <f>IF($C$25&gt;=6,"λj ≦ q+3pz &lt; λj+1 の wBj", "-")</f>
        <v>λj ≦ q+3pz &lt; λj+1 の wBj</v>
      </c>
      <c r="N129" s="44">
        <f ca="1">IF($C$25&gt;=6, INDEX(INDIRECT($H$52&amp;"!C:C"), MATCH($N$54, INDIRECT($H$52&amp;"!A:A"), 0)),"-")</f>
        <v>154.16399999999999</v>
      </c>
    </row>
    <row r="130" spans="11:14" x14ac:dyDescent="0.4">
      <c r="K130" s="3">
        <f t="shared" si="2"/>
        <v>130</v>
      </c>
      <c r="L130" s="45" t="s">
        <v>325</v>
      </c>
      <c r="M130" s="54" t="str">
        <f>IF($C$25&gt;=7,"λj ≦ q+4pz &lt; λj+1 の wBj", "-")</f>
        <v>-</v>
      </c>
      <c r="N130" s="44" t="str">
        <f ca="1">IF($C$25&gt;=7, INDEX(INDIRECT($H$52&amp;"!C:C"), MATCH($N$55, INDIRECT($H$52&amp;"!A:A"), 0)),"-")</f>
        <v>-</v>
      </c>
    </row>
    <row r="131" spans="11:14" x14ac:dyDescent="0.4">
      <c r="K131" s="3">
        <f t="shared" si="2"/>
        <v>131</v>
      </c>
      <c r="L131" s="45" t="s">
        <v>326</v>
      </c>
      <c r="M131" s="54" t="str">
        <f>IF($C$25&gt;=8,"λj ≦ q+5pz &lt; λj+1 の wBj", "-")</f>
        <v>-</v>
      </c>
      <c r="N131" s="44" t="str">
        <f ca="1">IF($C$25&gt;=8, INDEX(INDIRECT($H$52&amp;"!C:C"), MATCH($N$56, INDIRECT($H$52&amp;"!A:A"), 0)),"-")</f>
        <v>-</v>
      </c>
    </row>
    <row r="132" spans="11:14" x14ac:dyDescent="0.4">
      <c r="K132" s="3">
        <f t="shared" si="2"/>
        <v>132</v>
      </c>
      <c r="L132" s="45" t="s">
        <v>327</v>
      </c>
      <c r="M132" s="54" t="s">
        <v>337</v>
      </c>
      <c r="N132" s="44">
        <f ca="1">INDEX(INDIRECT($H$52&amp;"!C:C"), MATCH($N$57, INDIRECT($H$52&amp;"!A:A"), 0))</f>
        <v>154.16399999999999</v>
      </c>
    </row>
    <row r="133" spans="11:14" x14ac:dyDescent="0.4">
      <c r="K133" s="3">
        <f t="shared" si="2"/>
        <v>133</v>
      </c>
      <c r="L133" s="45" t="s">
        <v>328</v>
      </c>
      <c r="M133" s="54" t="s">
        <v>338</v>
      </c>
      <c r="N133" s="44">
        <f ca="1">INDEX(INDIRECT($H$52&amp;"!C:C"), MATCH($N$58, INDIRECT($H$52&amp;"!A:A"), 0))</f>
        <v>154.06299999999999</v>
      </c>
    </row>
    <row r="134" spans="11:14" x14ac:dyDescent="0.4">
      <c r="K134" s="3">
        <f t="shared" si="2"/>
        <v>134</v>
      </c>
      <c r="L134" s="45" t="s">
        <v>329</v>
      </c>
      <c r="M134" s="54" t="str">
        <f>IF($C$25&gt;=3,"λj ≦ q &lt; λj+1 の wBj+1", "-")</f>
        <v>λj ≦ q &lt; λj+1 の wBj+1</v>
      </c>
      <c r="N134" s="44">
        <f ca="1">IF($C$25&gt;=3, INDEX(INDIRECT($H$52&amp;"!C:C"), MATCH($N$59, INDIRECT($H$52&amp;"!A:A"), 0)),"-")</f>
        <v>154.38900000000001</v>
      </c>
    </row>
    <row r="135" spans="11:14" x14ac:dyDescent="0.4">
      <c r="K135" s="3">
        <f t="shared" si="2"/>
        <v>135</v>
      </c>
      <c r="L135" s="45" t="s">
        <v>330</v>
      </c>
      <c r="M135" s="54" t="str">
        <f>IF($C$25&gt;=4,"λj ≦ q+pz &lt; λj+1 の wBj+1", "-")</f>
        <v>λj ≦ q+pz &lt; λj+1 の wBj+1</v>
      </c>
      <c r="N135" s="44">
        <f ca="1">IF($C$25&gt;=4, INDEX(INDIRECT($H$52&amp;"!C:C"), MATCH($N$60, INDIRECT($H$52&amp;"!A:A"), 0)),"-")</f>
        <v>154.27600000000001</v>
      </c>
    </row>
    <row r="136" spans="11:14" x14ac:dyDescent="0.4">
      <c r="K136" s="3">
        <f t="shared" si="2"/>
        <v>136</v>
      </c>
      <c r="L136" s="45" t="s">
        <v>331</v>
      </c>
      <c r="M136" s="54" t="str">
        <f>IF($C$25&gt;=5,"λj ≦ q+2pz &lt; λj+1 の wBj+1", "-")</f>
        <v>λj ≦ q+2pz &lt; λj+1 の wBj+1</v>
      </c>
      <c r="N136" s="44">
        <f ca="1">IF($C$25&gt;=5, INDEX(INDIRECT($H$52&amp;"!C:C"), MATCH($N$61, INDIRECT($H$52&amp;"!A:A"), 0)),"-")</f>
        <v>154.16399999999999</v>
      </c>
    </row>
    <row r="137" spans="11:14" x14ac:dyDescent="0.4">
      <c r="K137" s="3">
        <f t="shared" si="2"/>
        <v>137</v>
      </c>
      <c r="L137" s="45" t="s">
        <v>332</v>
      </c>
      <c r="M137" s="54" t="str">
        <f>IF($C$25&gt;=6,"λj ≦ q+3pz &lt; λj+1 の wBj+1", "-")</f>
        <v>λj ≦ q+3pz &lt; λj+1 の wBj+1</v>
      </c>
      <c r="N137" s="44">
        <f ca="1">IF($C$25&gt;=6, INDEX(INDIRECT($H$52&amp;"!C:C"), MATCH($N$62, INDIRECT($H$52&amp;"!A:A"), 0)),"-")</f>
        <v>154.06299999999999</v>
      </c>
    </row>
    <row r="138" spans="11:14" x14ac:dyDescent="0.4">
      <c r="K138" s="3">
        <f t="shared" si="2"/>
        <v>138</v>
      </c>
      <c r="L138" s="45" t="s">
        <v>333</v>
      </c>
      <c r="M138" s="54" t="str">
        <f>IF($C$25&gt;=7,"λj ≦ q+4pz &lt; λj+1 の wBj+1", "-")</f>
        <v>-</v>
      </c>
      <c r="N138" s="44" t="str">
        <f ca="1">IF($C$25&gt;=7, INDEX(INDIRECT($H$52&amp;"!C:C"), MATCH($N$63, INDIRECT($H$52&amp;"!A:A"), 0)),"-")</f>
        <v>-</v>
      </c>
    </row>
    <row r="139" spans="11:14" x14ac:dyDescent="0.4">
      <c r="K139" s="3">
        <f t="shared" si="2"/>
        <v>139</v>
      </c>
      <c r="L139" s="45" t="s">
        <v>334</v>
      </c>
      <c r="M139" s="54" t="str">
        <f>IF($C$25&gt;=8,"λj ≦ q+5pz &lt; λj+1 の wBj+1", "-")</f>
        <v>-</v>
      </c>
      <c r="N139" s="44" t="str">
        <f ca="1">IF($C$25&gt;=8, INDEX(INDIRECT($H$52&amp;"!C:C"), MATCH($N$64, INDIRECT($H$52&amp;"!A:A"), 0)),"-")</f>
        <v>-</v>
      </c>
    </row>
    <row r="140" spans="11:14" x14ac:dyDescent="0.4">
      <c r="K140" s="3">
        <f t="shared" si="2"/>
        <v>140</v>
      </c>
      <c r="L140" s="45" t="s">
        <v>335</v>
      </c>
      <c r="M140" s="54" t="s">
        <v>339</v>
      </c>
      <c r="N140" s="2">
        <f ca="1">INDEX(INDIRECT($H$52&amp;"!C:C"), MATCH($N$65, INDIRECT($H$52&amp;"!A:A"), 0))</f>
        <v>154.06299999999999</v>
      </c>
    </row>
    <row r="141" spans="11:14" x14ac:dyDescent="0.4">
      <c r="K141" s="3">
        <f t="shared" si="2"/>
        <v>141</v>
      </c>
      <c r="L141" s="45" t="s">
        <v>336</v>
      </c>
      <c r="M141" s="54" t="s">
        <v>340</v>
      </c>
      <c r="N141" s="2">
        <f ca="1">INDEX(INDIRECT($H$52&amp;"!C:C"), MATCH($N$66, INDIRECT($H$52&amp;"!A:A"), 0))</f>
        <v>153.97200000000001</v>
      </c>
    </row>
    <row r="142" spans="11:14" x14ac:dyDescent="0.4">
      <c r="K142" s="3">
        <f t="shared" si="2"/>
        <v>142</v>
      </c>
      <c r="L142" s="45" t="s">
        <v>357</v>
      </c>
      <c r="M142" s="55" t="str">
        <f>IF($C$25&gt;=4,"2列目AC内径（水平・めっき含・概算）","-")</f>
        <v>2列目AC内径（水平・めっき含・概算）</v>
      </c>
      <c r="N142" s="44">
        <f ca="1">IF($C$25&gt;=4,($N$68*$N$100+$N$76*$N$92)/($N$60-$N$52)+$C$31*2,"-")</f>
        <v>156.50139999999999</v>
      </c>
    </row>
    <row r="143" spans="11:14" x14ac:dyDescent="0.4">
      <c r="K143" s="3">
        <f t="shared" si="2"/>
        <v>143</v>
      </c>
      <c r="L143" s="45" t="s">
        <v>358</v>
      </c>
      <c r="M143" s="55" t="str">
        <f>IF($C$25&gt;=5,"3列目AC内径（水平・めっき含・概算）","-")</f>
        <v>3列目AC内径（水平・めっき含・概算）</v>
      </c>
      <c r="N143" s="44">
        <f ca="1">IF($C$25&gt;=5,($N$69*$N$101+$N$77*$N$93)/($N$61-$N$53)+$C$31*2,"-")</f>
        <v>156.4102</v>
      </c>
    </row>
    <row r="144" spans="11:14" x14ac:dyDescent="0.4">
      <c r="K144" s="3">
        <f t="shared" si="2"/>
        <v>144</v>
      </c>
      <c r="L144" s="45" t="s">
        <v>359</v>
      </c>
      <c r="M144" s="55" t="str">
        <f>IF($C$25&gt;=6,"4列目AC内径（水平・めっき含・概算）","-")</f>
        <v>4列目AC内径（水平・めっき含・概算）</v>
      </c>
      <c r="N144" s="44">
        <f ca="1">IF($C$25&gt;=6,($N$70*$N$102+$N$78*$N$94)/($N$62-$N$54)+$C$31*2,"-")</f>
        <v>156.31899999999999</v>
      </c>
    </row>
    <row r="145" spans="11:14" x14ac:dyDescent="0.4">
      <c r="K145" s="3">
        <f t="shared" si="2"/>
        <v>145</v>
      </c>
      <c r="L145" s="45" t="s">
        <v>360</v>
      </c>
      <c r="M145" s="55" t="str">
        <f>IF($C$25&gt;=7,"5列目AC内径（水平・めっき含・概算）","-")</f>
        <v>-</v>
      </c>
      <c r="N145" s="44" t="str">
        <f>IF($C$25&gt;=7,($N$71*$N$103+$N$79*$N$95)/($N$63-$N$55)+$C$31*2,"-")</f>
        <v>-</v>
      </c>
    </row>
    <row r="146" spans="11:14" x14ac:dyDescent="0.4">
      <c r="K146" s="3">
        <f t="shared" si="2"/>
        <v>146</v>
      </c>
      <c r="L146" s="45" t="s">
        <v>361</v>
      </c>
      <c r="M146" s="55" t="str">
        <f>IF($C$25&gt;=8,"6列目AC内径（水平・めっき含・概算）","-")</f>
        <v>-</v>
      </c>
      <c r="N146" s="44" t="str">
        <f>IF($C$25&gt;=8,($N$72*$N$104+$N$80*$N$96)/($N$64-$N$56)+$C$31*2,"-")</f>
        <v>-</v>
      </c>
    </row>
    <row r="147" spans="11:14" x14ac:dyDescent="0.4">
      <c r="K147" s="3">
        <f t="shared" si="2"/>
        <v>147</v>
      </c>
      <c r="L147" s="45" t="s">
        <v>362</v>
      </c>
      <c r="M147" s="55" t="s">
        <v>347</v>
      </c>
      <c r="N147" s="2">
        <f ca="1">($N$73*$N$105+$N$81*$N$97)/($N$65-$N$57)+$C$31*2</f>
        <v>156.23739999999998</v>
      </c>
    </row>
    <row r="148" spans="11:14" x14ac:dyDescent="0.4">
      <c r="K148" s="3">
        <f t="shared" si="2"/>
        <v>148</v>
      </c>
      <c r="L148" s="45" t="s">
        <v>303</v>
      </c>
      <c r="M148" s="55" t="s">
        <v>349</v>
      </c>
      <c r="N148" s="2">
        <f ca="1">INDEX(INDIRECT($H$52&amp;"!C:C"), MATCH(0, INDIRECT($H$52&amp;"!A:A"), 0))+$C$31*2</f>
        <v>154.97899999999998</v>
      </c>
    </row>
    <row r="149" spans="11:14" x14ac:dyDescent="0.4">
      <c r="K149" s="3">
        <f t="shared" si="2"/>
        <v>149</v>
      </c>
      <c r="L149" s="45" t="s">
        <v>346</v>
      </c>
      <c r="M149" s="55" t="str">
        <f>IF($C$25&gt;=3,"1列目 BD内径（めっき含・概算）","-")</f>
        <v>1列目 BD内径（めっき含・概算）</v>
      </c>
      <c r="N149" s="44">
        <f ca="1">IF($C$25&gt;=3,($N$67*$N$134+$N$75*$N$126)/($N$59-$N$51)+$C$31*2,"-")</f>
        <v>154.57380000000001</v>
      </c>
    </row>
    <row r="150" spans="11:14" x14ac:dyDescent="0.4">
      <c r="K150" s="3">
        <f t="shared" si="2"/>
        <v>150</v>
      </c>
      <c r="L150" s="45" t="s">
        <v>351</v>
      </c>
      <c r="M150" s="55" t="str">
        <f>IF($C$25&gt;=4,"2列目 BD内径（めっき含・概算）","-")</f>
        <v>2列目 BD内径（めっき含・概算）</v>
      </c>
      <c r="N150" s="44">
        <f ca="1">IF($C$25&gt;=4,($N$68*$N$135+$N$76*$N$127)/($N$60-$N$52)+$C$31*2,"-")</f>
        <v>154.4838</v>
      </c>
    </row>
    <row r="151" spans="11:14" x14ac:dyDescent="0.4">
      <c r="K151" s="3">
        <f t="shared" si="2"/>
        <v>151</v>
      </c>
      <c r="L151" s="45" t="s">
        <v>352</v>
      </c>
      <c r="M151" s="55" t="str">
        <f>IF($C$25&gt;=5,"3列目 BD内径（めっき含・概算）","-")</f>
        <v>3列目 BD内径（めっき含・概算）</v>
      </c>
      <c r="N151" s="44">
        <f ca="1">IF($C$25&gt;=5,($N$69*$N$136+$N$77*$N$128)/($N$61-$N$53)+$C$31*2,"-")</f>
        <v>154.39359999999999</v>
      </c>
    </row>
    <row r="152" spans="11:14" x14ac:dyDescent="0.4">
      <c r="K152" s="3">
        <f t="shared" si="2"/>
        <v>152</v>
      </c>
      <c r="L152" s="45" t="s">
        <v>353</v>
      </c>
      <c r="M152" s="55" t="str">
        <f>IF($C$25&gt;=6,"4列目 BD内径（めっき含・概算）","-")</f>
        <v>4列目 BD内径（めっき含・概算）</v>
      </c>
      <c r="N152" s="44">
        <f ca="1">IF($C$25&gt;=6,($N$70*$N$137+$N$78*$N$129)/($N$62-$N$54)+$C$31*2,"-")</f>
        <v>154.30399999999997</v>
      </c>
    </row>
    <row r="153" spans="11:14" x14ac:dyDescent="0.4">
      <c r="K153" s="3">
        <f t="shared" si="2"/>
        <v>153</v>
      </c>
      <c r="L153" s="45" t="s">
        <v>354</v>
      </c>
      <c r="M153" s="55" t="str">
        <f>IF($C$25&gt;=7,"5列目 BD内径（めっき含・概算）","-")</f>
        <v>-</v>
      </c>
      <c r="N153" s="44" t="str">
        <f>IF($C$25&gt;=7,($N$71*$N$138+$N$79*$N$130)/($N$63-$N$55)+$C$31*2,"-")</f>
        <v>-</v>
      </c>
    </row>
    <row r="154" spans="11:14" x14ac:dyDescent="0.4">
      <c r="K154" s="3">
        <f t="shared" si="2"/>
        <v>154</v>
      </c>
      <c r="L154" s="45" t="s">
        <v>355</v>
      </c>
      <c r="M154" s="55" t="str">
        <f>IF($C$25&gt;=8,"6列目 BD内径（めっき含・概算）","-")</f>
        <v>-</v>
      </c>
      <c r="N154" s="44" t="str">
        <f>IF($C$25&gt;=8,($N$72*$N$139+$N$80*$N$131)/($N$64-$N$56)+$C$31*2,"-")</f>
        <v>-</v>
      </c>
    </row>
    <row r="155" spans="11:14" x14ac:dyDescent="0.4">
      <c r="K155" s="3">
        <f t="shared" si="2"/>
        <v>155</v>
      </c>
      <c r="L155" s="45" t="s">
        <v>356</v>
      </c>
      <c r="M155" s="55" t="s">
        <v>350</v>
      </c>
      <c r="N155" s="2">
        <f ca="1">($N$73*$N$140+$N$81*$N$132)/($N$65-$N$57)+$C$31*2</f>
        <v>154.22319999999999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</row>
    <row r="159" spans="11:14" x14ac:dyDescent="0.4">
      <c r="K159" s="3">
        <f t="shared" si="2"/>
        <v>159</v>
      </c>
      <c r="L159" s="45" t="s">
        <v>186</v>
      </c>
      <c r="N159" s="2">
        <f>C6^2+(2*N9)^2</f>
        <v>385003.74457739823</v>
      </c>
    </row>
    <row r="160" spans="11:14" x14ac:dyDescent="0.4">
      <c r="K160" s="3">
        <f t="shared" si="2"/>
        <v>160</v>
      </c>
      <c r="L160" s="45" t="s">
        <v>187</v>
      </c>
      <c r="M160" s="54" t="s">
        <v>29</v>
      </c>
      <c r="N160" s="2">
        <f>SQRT(N159)</f>
        <v>620.4866997586638</v>
      </c>
    </row>
    <row r="161" spans="11:14" x14ac:dyDescent="0.4">
      <c r="K161" s="3">
        <f t="shared" si="2"/>
        <v>161</v>
      </c>
      <c r="L161" s="45" t="s">
        <v>64</v>
      </c>
      <c r="M161" s="54" t="s">
        <v>30</v>
      </c>
      <c r="N161" s="2">
        <f>2*N9/N160</f>
        <v>0.99993440671866196</v>
      </c>
    </row>
    <row r="162" spans="11:14" x14ac:dyDescent="0.4">
      <c r="K162" s="3">
        <f t="shared" si="2"/>
        <v>162</v>
      </c>
      <c r="L162" s="45" t="s">
        <v>65</v>
      </c>
      <c r="M162" s="54" t="s">
        <v>31</v>
      </c>
      <c r="N162" s="2">
        <f>C6/N160</f>
        <v>1.1453482448474855E-2</v>
      </c>
    </row>
    <row r="163" spans="11:14" x14ac:dyDescent="0.4">
      <c r="K163" s="3">
        <f t="shared" si="2"/>
        <v>163</v>
      </c>
      <c r="L163" s="45" t="s">
        <v>188</v>
      </c>
      <c r="N163" s="2">
        <f>SQRT(N8^2-(N9-N12)^2)</f>
        <v>8727.6685506652357</v>
      </c>
    </row>
    <row r="164" spans="11:14" x14ac:dyDescent="0.4">
      <c r="K164" s="3">
        <f t="shared" si="2"/>
        <v>164</v>
      </c>
      <c r="L164" s="45" t="s">
        <v>189</v>
      </c>
      <c r="N164" s="2">
        <f>SQRT(N8^2-(N9+N12)^2)</f>
        <v>8720.5566984150155</v>
      </c>
    </row>
    <row r="165" spans="11:14" x14ac:dyDescent="0.4">
      <c r="K165" s="3">
        <f t="shared" si="2"/>
        <v>165</v>
      </c>
      <c r="L165" s="45" t="s">
        <v>190</v>
      </c>
      <c r="N165" s="2">
        <f>N12*N9</f>
        <v>31022.300000000003</v>
      </c>
    </row>
    <row r="166" spans="11:14" x14ac:dyDescent="0.4">
      <c r="K166" s="3">
        <f t="shared" si="2"/>
        <v>166</v>
      </c>
      <c r="L166" s="45" t="s">
        <v>191</v>
      </c>
      <c r="N166" s="2">
        <f>SQRT(N8^2-N159/4)</f>
        <v>8724.6857309507523</v>
      </c>
    </row>
    <row r="167" spans="11:14" x14ac:dyDescent="0.4">
      <c r="K167" s="3">
        <f t="shared" si="2"/>
        <v>167</v>
      </c>
      <c r="L167" s="45" t="s">
        <v>75</v>
      </c>
      <c r="N167" s="2">
        <f>N166*N161</f>
        <v>8724.1134501850156</v>
      </c>
    </row>
    <row r="168" spans="11:14" x14ac:dyDescent="0.4">
      <c r="K168" s="3">
        <f t="shared" si="2"/>
        <v>168</v>
      </c>
      <c r="L168" s="45" t="s">
        <v>76</v>
      </c>
      <c r="M168" s="54" t="s">
        <v>27</v>
      </c>
      <c r="N168" s="2">
        <f>N166*N162</f>
        <v>99.928034887903451</v>
      </c>
    </row>
    <row r="169" spans="11:14" x14ac:dyDescent="0.4">
      <c r="K169" s="3">
        <f t="shared" ref="K169" si="3">ROW(K169)</f>
        <v>169</v>
      </c>
      <c r="L169" s="45" t="s">
        <v>42</v>
      </c>
      <c r="M169" s="54" t="s">
        <v>26</v>
      </c>
      <c r="N169" s="2">
        <f>C6/2+N7-N167</f>
        <v>4.126371131180349</v>
      </c>
    </row>
    <row r="184" spans="12:14" x14ac:dyDescent="0.4">
      <c r="L184" s="54"/>
      <c r="M184" s="55"/>
      <c r="N184" s="1"/>
    </row>
  </sheetData>
  <phoneticPr fontId="1"/>
  <conditionalFormatting sqref="C3">
    <cfRule type="expression" dxfId="183" priority="29">
      <formula>$C$3&gt;2*N165</formula>
    </cfRule>
  </conditionalFormatting>
  <conditionalFormatting sqref="C4">
    <cfRule type="expression" dxfId="182" priority="22">
      <formula>C4&lt;0</formula>
    </cfRule>
  </conditionalFormatting>
  <conditionalFormatting sqref="C6">
    <cfRule type="expression" dxfId="181" priority="14">
      <formula>$C$6&lt;0</formula>
    </cfRule>
  </conditionalFormatting>
  <conditionalFormatting sqref="C9">
    <cfRule type="expression" dxfId="180" priority="23">
      <formula>$C$9&lt;=0</formula>
    </cfRule>
  </conditionalFormatting>
  <conditionalFormatting sqref="C10:C11">
    <cfRule type="expression" dxfId="179" priority="15">
      <formula>$C$10&lt;0</formula>
    </cfRule>
  </conditionalFormatting>
  <conditionalFormatting sqref="C15">
    <cfRule type="expression" dxfId="178" priority="27">
      <formula>OR(C15&lt;=0, C15&gt;Q2)</formula>
    </cfRule>
  </conditionalFormatting>
  <conditionalFormatting sqref="C35">
    <cfRule type="expression" dxfId="177" priority="21">
      <formula>C35&lt;0</formula>
    </cfRule>
  </conditionalFormatting>
  <conditionalFormatting sqref="C36">
    <cfRule type="expression" dxfId="176" priority="26">
      <formula>OR($C$36&lt;0, $C$36&gt;=$C$9)</formula>
    </cfRule>
  </conditionalFormatting>
  <conditionalFormatting sqref="C37">
    <cfRule type="expression" dxfId="175" priority="13">
      <formula>OR($C$37&lt;0, $C$37&gt;=$C$10)</formula>
    </cfRule>
  </conditionalFormatting>
  <conditionalFormatting sqref="C38">
    <cfRule type="expression" dxfId="174" priority="28">
      <formula>OR(C38&lt;0, C38&gt;=C9)</formula>
    </cfRule>
  </conditionalFormatting>
  <conditionalFormatting sqref="C41">
    <cfRule type="expression" dxfId="173" priority="30">
      <formula>OR(C41&lt;0, C41&gt;=C4)</formula>
    </cfRule>
  </conditionalFormatting>
  <conditionalFormatting sqref="C44">
    <cfRule type="expression" dxfId="172" priority="31">
      <formula>OR(C44&lt;0, C44&gt;=C4)</formula>
    </cfRule>
  </conditionalFormatting>
  <conditionalFormatting sqref="C61">
    <cfRule type="expression" dxfId="171" priority="25">
      <formula>AND(C61&lt;&gt;330.223, C61&lt;&gt;270, C61&lt;&gt;250)</formula>
    </cfRule>
  </conditionalFormatting>
  <conditionalFormatting sqref="C62">
    <cfRule type="expression" dxfId="170" priority="24">
      <formula>C62&lt;&gt;40</formula>
    </cfRule>
  </conditionalFormatting>
  <conditionalFormatting sqref="C65">
    <cfRule type="expression" dxfId="169" priority="17">
      <formula>OR(C65&gt;0, ABS(ABS(C65)-740)&gt;=1)</formula>
    </cfRule>
  </conditionalFormatting>
  <conditionalFormatting sqref="C66">
    <cfRule type="expression" dxfId="168" priority="20">
      <formula>OR(C66&gt;0, ABS(ABS(C66)-550)&gt;=1)</formula>
    </cfRule>
  </conditionalFormatting>
  <conditionalFormatting sqref="C67">
    <cfRule type="expression" dxfId="167" priority="18">
      <formula>OR(C67&gt;0, ABS(ABS(C67)-1150)&gt;=1)</formula>
    </cfRule>
  </conditionalFormatting>
  <conditionalFormatting sqref="C68">
    <cfRule type="expression" dxfId="166" priority="19">
      <formula>OR(ABS(C68)&gt;=0.2)</formula>
    </cfRule>
  </conditionalFormatting>
  <conditionalFormatting sqref="H48">
    <cfRule type="expression" dxfId="165" priority="16">
      <formula>OR($H$48&lt;=1, INT($H$48)&lt;&gt;$H$48)</formula>
    </cfRule>
  </conditionalFormatting>
  <conditionalFormatting sqref="H52">
    <cfRule type="expression" dxfId="164" priority="12">
      <formula>ISERROR(INDIRECT($H$52&amp;"!$G$45"))</formula>
    </cfRule>
  </conditionalFormatting>
  <conditionalFormatting sqref="C25">
    <cfRule type="expression" dxfId="163" priority="32">
      <formula>OR(C25-QUOTIENT(C25,1)&lt;&gt;0, C25&lt;0, C25&gt;$C$71)</formula>
    </cfRule>
  </conditionalFormatting>
  <conditionalFormatting sqref="H50">
    <cfRule type="expression" dxfId="162" priority="11">
      <formula>OR($H$50&lt;1, INT($H$50)&lt;&gt;$H$50)</formula>
    </cfRule>
  </conditionalFormatting>
  <conditionalFormatting sqref="H51">
    <cfRule type="expression" dxfId="161" priority="10">
      <formula>OR($H$51&lt;0, INT($H$51)&lt;&gt;$H$51)</formula>
    </cfRule>
  </conditionalFormatting>
  <conditionalFormatting sqref="C23">
    <cfRule type="expression" dxfId="160" priority="33">
      <formula>OR($C$23&lt;=0, MOD($C$23,$C$22)&lt;&gt;0, $C$23&gt;=#REF!)</formula>
    </cfRule>
  </conditionalFormatting>
  <conditionalFormatting sqref="C26">
    <cfRule type="expression" dxfId="159" priority="34">
      <formula>OR($C$26&lt;=0, $C$26&gt;=MIN($C$23, $C$24))</formula>
    </cfRule>
  </conditionalFormatting>
  <conditionalFormatting sqref="N142:N147">
    <cfRule type="expression" dxfId="158" priority="9">
      <formula>$H$51&lt;0</formula>
    </cfRule>
  </conditionalFormatting>
  <conditionalFormatting sqref="N148:N155">
    <cfRule type="expression" dxfId="157" priority="8">
      <formula>$H$51&lt;0</formula>
    </cfRule>
  </conditionalFormatting>
  <conditionalFormatting sqref="C16">
    <cfRule type="expression" dxfId="156" priority="35">
      <formula>OR(C16&lt;=0, C16+C15&gt;Q2)</formula>
    </cfRule>
  </conditionalFormatting>
  <conditionalFormatting sqref="G1:G1048576">
    <cfRule type="expression" dxfId="155" priority="4">
      <formula>G1="X"</formula>
    </cfRule>
    <cfRule type="expression" dxfId="154" priority="5">
      <formula>G1="Y"</formula>
    </cfRule>
    <cfRule type="expression" dxfId="153" priority="6">
      <formula>G1="Z"</formula>
    </cfRule>
    <cfRule type="expression" dxfId="152" priority="7">
      <formula>G1="B"</formula>
    </cfRule>
  </conditionalFormatting>
  <conditionalFormatting sqref="H81:H96">
    <cfRule type="expression" dxfId="151" priority="3">
      <formula>$H$51&lt;0</formula>
    </cfRule>
  </conditionalFormatting>
  <conditionalFormatting sqref="C17">
    <cfRule type="expression" dxfId="150" priority="36">
      <formula>OR($C$17&lt;=0, $C$17&gt;=($C$9-#REF!)/2, $C$17&gt;=($C$36-#REF!)/2)</formula>
    </cfRule>
  </conditionalFormatting>
  <conditionalFormatting sqref="H77">
    <cfRule type="expression" dxfId="149" priority="37">
      <formula>$H$77&lt;=$C$27/2+$C$28</formula>
    </cfRule>
  </conditionalFormatting>
  <conditionalFormatting sqref="C27">
    <cfRule type="expression" dxfId="148" priority="2">
      <formula>OR($C$27&lt;=0, $C$27&gt;$C$26)</formula>
    </cfRule>
  </conditionalFormatting>
  <conditionalFormatting sqref="H49">
    <cfRule type="expression" dxfId="147" priority="1">
      <formula>OR($H$49&lt;0, INT($H$49)&lt;&gt;$H$49)</formula>
    </cfRule>
  </conditionalFormatting>
  <conditionalFormatting sqref="C13">
    <cfRule type="expression" dxfId="146" priority="38">
      <formula>OR($C$13&gt;=$C$9, $C$13&gt;=$C$42)</formula>
    </cfRule>
  </conditionalFormatting>
  <conditionalFormatting sqref="C14">
    <cfRule type="expression" dxfId="145" priority="39">
      <formula>OR($C$14&gt;=$C$10, $C$14&gt;=$C$42)</formula>
    </cfRule>
  </conditionalFormatting>
  <dataValidations disablePrompts="1" count="1">
    <dataValidation imeMode="disabled" allowBlank="1" showInputMessage="1" showErrorMessage="1" sqref="H79 N142:N155 C49:C52 C55:C58 H54:H72 H81:H96 C3:C32 C60:C71 G1:G1048576 C76:C77" xr:uid="{2C00746D-BAF7-4ADF-AB0D-04CA180B44C7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42" priority="2">
      <formula>$A2&lt;&gt;""</formula>
    </cfRule>
  </conditionalFormatting>
  <conditionalFormatting sqref="I2:N42">
    <cfRule type="expression" dxfId="141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position_2414</vt:lpstr>
      <vt:lpstr>e0S002</vt:lpstr>
      <vt:lpstr>position_1916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2024-03-12T12:18:21Z</dcterms:modified>
</cp:coreProperties>
</file>