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13E06768-10F1-405A-9559-32DA4A69262A}" xr6:coauthVersionLast="47" xr6:coauthVersionMax="47" xr10:uidLastSave="{00000000-0000-0000-0000-000000000000}"/>
  <bookViews>
    <workbookView xWindow="28680" yWindow="-120" windowWidth="37710" windowHeight="21840" tabRatio="638" activeTab="1" xr2:uid="{331D296A-DE97-4357-9338-22F5C8F49D08}"/>
  </bookViews>
  <sheets>
    <sheet name="position_1916" sheetId="17" r:id="rId1"/>
    <sheet name="position_2414" sheetId="21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2" i="21" l="1"/>
  <c r="K42" i="21"/>
  <c r="K43" i="21"/>
  <c r="K44" i="21"/>
  <c r="K39" i="21"/>
  <c r="K40" i="21"/>
  <c r="K41" i="21"/>
  <c r="C61" i="21"/>
  <c r="N9" i="21" s="1"/>
  <c r="N164" i="21" s="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K156" i="21"/>
  <c r="K155" i="21"/>
  <c r="K154" i="21"/>
  <c r="N153" i="21"/>
  <c r="M153" i="21"/>
  <c r="K153" i="21"/>
  <c r="N152" i="21"/>
  <c r="M152" i="21"/>
  <c r="K152" i="21"/>
  <c r="M151" i="21"/>
  <c r="K151" i="21"/>
  <c r="M150" i="21"/>
  <c r="K150" i="21"/>
  <c r="M149" i="21"/>
  <c r="K149" i="21"/>
  <c r="M148" i="21"/>
  <c r="K148" i="21"/>
  <c r="K147" i="21"/>
  <c r="K146" i="21"/>
  <c r="N145" i="21"/>
  <c r="M145" i="21"/>
  <c r="K145" i="21"/>
  <c r="N144" i="21"/>
  <c r="M144" i="21"/>
  <c r="K144" i="21"/>
  <c r="M143" i="21"/>
  <c r="K143" i="21"/>
  <c r="M142" i="21"/>
  <c r="K142" i="21"/>
  <c r="M141" i="21"/>
  <c r="K141" i="21"/>
  <c r="K140" i="21"/>
  <c r="K139" i="21"/>
  <c r="N138" i="21"/>
  <c r="M138" i="21"/>
  <c r="K138" i="21"/>
  <c r="N137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N130" i="21"/>
  <c r="M130" i="21"/>
  <c r="K130" i="21"/>
  <c r="N129" i="21"/>
  <c r="M129" i="21"/>
  <c r="K129" i="21"/>
  <c r="M128" i="21"/>
  <c r="K128" i="21"/>
  <c r="M127" i="21"/>
  <c r="K127" i="21"/>
  <c r="M126" i="21"/>
  <c r="K126" i="21"/>
  <c r="M125" i="21"/>
  <c r="K125" i="21"/>
  <c r="K124" i="21"/>
  <c r="K123" i="21"/>
  <c r="N122" i="21"/>
  <c r="K122" i="21"/>
  <c r="N121" i="21"/>
  <c r="K121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8" i="21"/>
  <c r="K107" i="21"/>
  <c r="K106" i="21"/>
  <c r="K105" i="21"/>
  <c r="N104" i="21"/>
  <c r="M104" i="21"/>
  <c r="K104" i="21"/>
  <c r="N103" i="21"/>
  <c r="M103" i="21"/>
  <c r="K103" i="21"/>
  <c r="M102" i="21"/>
  <c r="K102" i="21"/>
  <c r="M101" i="21"/>
  <c r="K101" i="21"/>
  <c r="M100" i="21"/>
  <c r="K100" i="21"/>
  <c r="M99" i="21"/>
  <c r="K99" i="21"/>
  <c r="H98" i="21"/>
  <c r="I98" i="21" s="1"/>
  <c r="K98" i="21"/>
  <c r="K97" i="21"/>
  <c r="N96" i="21"/>
  <c r="M96" i="21"/>
  <c r="K96" i="21"/>
  <c r="N95" i="21"/>
  <c r="M95" i="21"/>
  <c r="K95" i="21"/>
  <c r="H94" i="21"/>
  <c r="F94" i="21"/>
  <c r="M94" i="21"/>
  <c r="K94" i="21"/>
  <c r="H93" i="21"/>
  <c r="F93" i="21"/>
  <c r="M93" i="21"/>
  <c r="K93" i="21"/>
  <c r="F92" i="21"/>
  <c r="M92" i="21"/>
  <c r="K92" i="21"/>
  <c r="F91" i="21"/>
  <c r="M91" i="21"/>
  <c r="K91" i="21"/>
  <c r="F90" i="21"/>
  <c r="K90" i="21"/>
  <c r="F89" i="21"/>
  <c r="K89" i="21"/>
  <c r="N88" i="21"/>
  <c r="M88" i="21"/>
  <c r="K88" i="21"/>
  <c r="N87" i="21"/>
  <c r="M87" i="21"/>
  <c r="K87" i="21"/>
  <c r="H86" i="21"/>
  <c r="F86" i="21"/>
  <c r="M86" i="21"/>
  <c r="K86" i="21"/>
  <c r="H85" i="21"/>
  <c r="F85" i="21"/>
  <c r="M85" i="21"/>
  <c r="K85" i="21"/>
  <c r="F84" i="21"/>
  <c r="M84" i="21"/>
  <c r="K84" i="21"/>
  <c r="F83" i="21"/>
  <c r="M83" i="21"/>
  <c r="K83" i="21"/>
  <c r="F82" i="21"/>
  <c r="K82" i="21"/>
  <c r="F81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71" i="21"/>
  <c r="N71" i="21"/>
  <c r="M71" i="21"/>
  <c r="K71" i="21"/>
  <c r="M70" i="21"/>
  <c r="K70" i="21"/>
  <c r="M69" i="21"/>
  <c r="K69" i="21"/>
  <c r="M68" i="21"/>
  <c r="K68" i="21"/>
  <c r="I67" i="21"/>
  <c r="H67" i="21"/>
  <c r="F67" i="21"/>
  <c r="M67" i="21"/>
  <c r="K67" i="21"/>
  <c r="I66" i="21"/>
  <c r="H66" i="21"/>
  <c r="F66" i="21"/>
  <c r="K66" i="21"/>
  <c r="F65" i="21"/>
  <c r="K65" i="21"/>
  <c r="F64" i="21"/>
  <c r="N64" i="21" a="1"/>
  <c r="N64" i="21" s="1"/>
  <c r="M64" i="21"/>
  <c r="K64" i="21"/>
  <c r="F63" i="21"/>
  <c r="N63" i="21" a="1"/>
  <c r="N63" i="21" s="1"/>
  <c r="M63" i="21"/>
  <c r="K63" i="21"/>
  <c r="F62" i="21"/>
  <c r="M62" i="21"/>
  <c r="K62" i="21"/>
  <c r="M61" i="21"/>
  <c r="K61" i="21"/>
  <c r="M60" i="21"/>
  <c r="K60" i="21"/>
  <c r="H59" i="21"/>
  <c r="F59" i="21"/>
  <c r="M59" i="21"/>
  <c r="K59" i="21"/>
  <c r="H58" i="21"/>
  <c r="F58" i="21"/>
  <c r="K58" i="21"/>
  <c r="F57" i="21"/>
  <c r="K57" i="21"/>
  <c r="F56" i="21"/>
  <c r="N56" i="21"/>
  <c r="M56" i="21"/>
  <c r="K56" i="21"/>
  <c r="F55" i="21"/>
  <c r="N55" i="21"/>
  <c r="M55" i="21"/>
  <c r="K55" i="21"/>
  <c r="F54" i="21"/>
  <c r="M54" i="21"/>
  <c r="K54" i="21"/>
  <c r="M53" i="21"/>
  <c r="K53" i="21"/>
  <c r="H52" i="21"/>
  <c r="M52" i="21"/>
  <c r="K52" i="21"/>
  <c r="H51" i="21"/>
  <c r="M51" i="21"/>
  <c r="K51" i="21"/>
  <c r="H50" i="21"/>
  <c r="K50" i="21"/>
  <c r="H49" i="21"/>
  <c r="K49" i="21"/>
  <c r="H48" i="21"/>
  <c r="N48" i="21"/>
  <c r="M48" i="21"/>
  <c r="K48" i="21"/>
  <c r="N47" i="21"/>
  <c r="M47" i="21"/>
  <c r="K47" i="21"/>
  <c r="M46" i="21"/>
  <c r="K46" i="21"/>
  <c r="M45" i="21"/>
  <c r="K45" i="21"/>
  <c r="M44" i="21"/>
  <c r="N43" i="21"/>
  <c r="N46" i="21" s="1"/>
  <c r="N86" i="21" s="1"/>
  <c r="M43" i="21"/>
  <c r="C41" i="21"/>
  <c r="H23" i="21" s="1"/>
  <c r="N40" i="21"/>
  <c r="N41" i="21" s="1"/>
  <c r="K38" i="21"/>
  <c r="K37" i="21"/>
  <c r="K36" i="21"/>
  <c r="H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Q22" i="21"/>
  <c r="K22" i="21"/>
  <c r="Q21" i="21"/>
  <c r="K21" i="21"/>
  <c r="K20" i="21"/>
  <c r="K19" i="21"/>
  <c r="H19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N32" i="21" s="1"/>
  <c r="K11" i="21"/>
  <c r="H11" i="21"/>
  <c r="N10" i="21"/>
  <c r="N20" i="21" s="1"/>
  <c r="K10" i="21"/>
  <c r="K9" i="21"/>
  <c r="K8" i="21"/>
  <c r="Q7" i="21"/>
  <c r="K7" i="21"/>
  <c r="K6" i="21"/>
  <c r="K5" i="21"/>
  <c r="K4" i="21"/>
  <c r="K3" i="21"/>
  <c r="K2" i="21"/>
  <c r="N27" i="17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19" i="21" l="1"/>
  <c r="H45" i="21"/>
  <c r="N31" i="21"/>
  <c r="N33" i="21"/>
  <c r="H57" i="21"/>
  <c r="N16" i="21"/>
  <c r="N35" i="21"/>
  <c r="N36" i="21" s="1"/>
  <c r="N34" i="21"/>
  <c r="N38" i="21" s="1"/>
  <c r="N29" i="21"/>
  <c r="N28" i="21"/>
  <c r="N30" i="21"/>
  <c r="N158" i="21"/>
  <c r="N159" i="21" s="1"/>
  <c r="N161" i="21" s="1"/>
  <c r="N17" i="21"/>
  <c r="N22" i="21"/>
  <c r="N49" i="21"/>
  <c r="N89" i="21" s="1"/>
  <c r="H60" i="21" s="1"/>
  <c r="N8" i="21"/>
  <c r="N50" i="21"/>
  <c r="N90" i="21" s="1"/>
  <c r="H61" i="21" s="1"/>
  <c r="N44" i="21"/>
  <c r="N84" i="21" s="1"/>
  <c r="H55" i="21" s="1"/>
  <c r="N45" i="21"/>
  <c r="N85" i="21" s="1"/>
  <c r="H56" i="21" s="1"/>
  <c r="N83" i="21"/>
  <c r="H54" i="21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H22" i="21"/>
  <c r="N51" i="21"/>
  <c r="N91" i="21" s="1"/>
  <c r="N56" i="17"/>
  <c r="N125" i="21"/>
  <c r="N59" i="21" a="1"/>
  <c r="N53" i="21"/>
  <c r="N127" i="21"/>
  <c r="N57" i="21"/>
  <c r="N65" i="21" a="1"/>
  <c r="N52" i="21"/>
  <c r="N93" i="21"/>
  <c r="N147" i="21"/>
  <c r="N54" i="21"/>
  <c r="N58" i="21"/>
  <c r="N66" i="21" s="1" a="1"/>
  <c r="H18" i="21" a="1"/>
  <c r="N126" i="21"/>
  <c r="N92" i="21"/>
  <c r="N60" i="21" a="1"/>
  <c r="N61" i="21" a="1"/>
  <c r="N128" i="21"/>
  <c r="N62" i="21" a="1"/>
  <c r="N94" i="21"/>
  <c r="N66" i="21" l="1"/>
  <c r="N62" i="21"/>
  <c r="N59" i="21"/>
  <c r="N60" i="21"/>
  <c r="N65" i="21"/>
  <c r="N61" i="21"/>
  <c r="N74" i="21"/>
  <c r="N70" i="21"/>
  <c r="N67" i="21"/>
  <c r="N68" i="21"/>
  <c r="H70" i="21"/>
  <c r="N73" i="21"/>
  <c r="H18" i="21"/>
  <c r="H20" i="21" s="1"/>
  <c r="N69" i="21"/>
  <c r="N21" i="21"/>
  <c r="N165" i="21"/>
  <c r="N162" i="21"/>
  <c r="N7" i="21"/>
  <c r="N163" i="21"/>
  <c r="N37" i="21"/>
  <c r="N39" i="21" s="1"/>
  <c r="N160" i="21"/>
  <c r="H32" i="21"/>
  <c r="Q15" i="21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H18" i="17" a="1"/>
  <c r="N146" i="17"/>
  <c r="N53" i="17"/>
  <c r="N51" i="17"/>
  <c r="N50" i="17"/>
  <c r="N64" i="17" a="1"/>
  <c r="N52" i="17"/>
  <c r="N130" i="17"/>
  <c r="N100" i="21"/>
  <c r="N102" i="21"/>
  <c r="N136" i="21"/>
  <c r="N101" i="21"/>
  <c r="N131" i="21"/>
  <c r="N97" i="21"/>
  <c r="N96" i="17"/>
  <c r="N134" i="21"/>
  <c r="N99" i="21"/>
  <c r="N133" i="21"/>
  <c r="N132" i="21"/>
  <c r="N135" i="21"/>
  <c r="N57" i="17"/>
  <c r="N98" i="21"/>
  <c r="H22" i="17"/>
  <c r="Q6" i="21" l="1"/>
  <c r="N77" i="21"/>
  <c r="N142" i="21" s="1"/>
  <c r="N124" i="21"/>
  <c r="N123" i="21"/>
  <c r="N107" i="21"/>
  <c r="N110" i="21" s="1"/>
  <c r="N13" i="21"/>
  <c r="N167" i="21"/>
  <c r="Q2" i="21" s="1"/>
  <c r="N166" i="21"/>
  <c r="N168" i="21" s="1"/>
  <c r="N75" i="21"/>
  <c r="H71" i="21" s="1"/>
  <c r="N78" i="21"/>
  <c r="N143" i="21" s="1"/>
  <c r="Q23" i="21"/>
  <c r="N81" i="21"/>
  <c r="N76" i="21"/>
  <c r="N141" i="21" s="1"/>
  <c r="N82" i="21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58" i="17" a="1"/>
  <c r="N124" i="17"/>
  <c r="N91" i="17"/>
  <c r="N92" i="17"/>
  <c r="N97" i="17"/>
  <c r="N90" i="17"/>
  <c r="N127" i="17"/>
  <c r="N131" i="17"/>
  <c r="N139" i="21"/>
  <c r="N140" i="21"/>
  <c r="N105" i="21"/>
  <c r="N93" i="17"/>
  <c r="N59" i="17" a="1"/>
  <c r="N61" i="17" a="1"/>
  <c r="N125" i="17"/>
  <c r="N65" i="17" a="1"/>
  <c r="N106" i="21"/>
  <c r="N126" i="17"/>
  <c r="N60" i="17" a="1"/>
  <c r="H77" i="21" l="1"/>
  <c r="Q19" i="21"/>
  <c r="R19" i="21" s="1"/>
  <c r="N148" i="21"/>
  <c r="H78" i="21"/>
  <c r="N58" i="17"/>
  <c r="N146" i="21"/>
  <c r="H79" i="21"/>
  <c r="N154" i="21"/>
  <c r="H72" i="21"/>
  <c r="N116" i="21" s="1"/>
  <c r="N117" i="21" s="1"/>
  <c r="N151" i="21"/>
  <c r="N149" i="21"/>
  <c r="N14" i="21"/>
  <c r="N3" i="21" s="1"/>
  <c r="N4" i="21" s="1"/>
  <c r="H35" i="21"/>
  <c r="I35" i="21" s="1"/>
  <c r="N150" i="21"/>
  <c r="N115" i="21"/>
  <c r="N118" i="21" s="1"/>
  <c r="N108" i="21"/>
  <c r="N109" i="21" s="1"/>
  <c r="N111" i="21" s="1"/>
  <c r="N112" i="21" s="1"/>
  <c r="H73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59" i="17"/>
  <c r="N32" i="17"/>
  <c r="N31" i="17"/>
  <c r="N33" i="17" s="1"/>
  <c r="N35" i="17" s="1"/>
  <c r="N36" i="17" s="1"/>
  <c r="N29" i="17"/>
  <c r="N65" i="17"/>
  <c r="N81" i="17" s="1"/>
  <c r="N60" i="17"/>
  <c r="N61" i="17"/>
  <c r="N152" i="17"/>
  <c r="N143" i="17"/>
  <c r="H54" i="17"/>
  <c r="N19" i="17"/>
  <c r="N20" i="17"/>
  <c r="N16" i="17"/>
  <c r="N17" i="17"/>
  <c r="N8" i="17"/>
  <c r="N7" i="17" s="1"/>
  <c r="N13" i="17" s="1"/>
  <c r="N98" i="17"/>
  <c r="N132" i="17"/>
  <c r="N101" i="17"/>
  <c r="N100" i="17"/>
  <c r="N99" i="17"/>
  <c r="N133" i="17"/>
  <c r="N104" i="17"/>
  <c r="N134" i="17"/>
  <c r="N138" i="17"/>
  <c r="N135" i="17"/>
  <c r="N74" i="17" l="1"/>
  <c r="H78" i="17" s="1"/>
  <c r="Q25" i="21"/>
  <c r="R9" i="21"/>
  <c r="Q24" i="21"/>
  <c r="H8" i="21"/>
  <c r="I8" i="21" s="1"/>
  <c r="H7" i="21"/>
  <c r="Q18" i="21"/>
  <c r="R18" i="21" s="1"/>
  <c r="R12" i="21"/>
  <c r="Q13" i="21"/>
  <c r="R13" i="21" s="1"/>
  <c r="N114" i="21"/>
  <c r="N113" i="21"/>
  <c r="N119" i="21"/>
  <c r="N120" i="21" s="1"/>
  <c r="H75" i="21" s="1"/>
  <c r="Q20" i="21"/>
  <c r="R20" i="21" s="1"/>
  <c r="Q5" i="21"/>
  <c r="R3" i="21"/>
  <c r="N75" i="17"/>
  <c r="N148" i="17" s="1"/>
  <c r="N37" i="17"/>
  <c r="N76" i="17"/>
  <c r="N141" i="17" s="1"/>
  <c r="N77" i="17"/>
  <c r="N150" i="17" s="1"/>
  <c r="N145" i="17"/>
  <c r="N153" i="17"/>
  <c r="N22" i="17"/>
  <c r="N21" i="17"/>
  <c r="H49" i="17"/>
  <c r="H48" i="17"/>
  <c r="Q22" i="17"/>
  <c r="Q21" i="17"/>
  <c r="H11" i="17"/>
  <c r="C41" i="17"/>
  <c r="H23" i="17" s="1"/>
  <c r="Q7" i="17"/>
  <c r="Q16" i="17"/>
  <c r="N139" i="17"/>
  <c r="N105" i="17"/>
  <c r="H71" i="17" l="1"/>
  <c r="N147" i="17"/>
  <c r="H92" i="21"/>
  <c r="H90" i="21"/>
  <c r="H95" i="21"/>
  <c r="H89" i="21"/>
  <c r="H91" i="21"/>
  <c r="H96" i="21"/>
  <c r="H84" i="21"/>
  <c r="H82" i="21"/>
  <c r="H87" i="21"/>
  <c r="H81" i="21"/>
  <c r="H83" i="21"/>
  <c r="H88" i="21"/>
  <c r="H76" i="21"/>
  <c r="I76" i="21" s="1"/>
  <c r="H74" i="21"/>
  <c r="I74" i="21" s="1"/>
  <c r="N2" i="21"/>
  <c r="I7" i="21"/>
  <c r="H79" i="17"/>
  <c r="H72" i="17"/>
  <c r="N115" i="17" s="1"/>
  <c r="N140" i="17"/>
  <c r="N149" i="17"/>
  <c r="N142" i="17"/>
  <c r="N28" i="17"/>
  <c r="Q15" i="17" s="1"/>
  <c r="N30" i="17"/>
  <c r="N161" i="17"/>
  <c r="N162" i="17"/>
  <c r="N157" i="17"/>
  <c r="N163" i="17"/>
  <c r="N114" i="17" l="1"/>
  <c r="N117" i="17" s="1"/>
  <c r="N107" i="17"/>
  <c r="N108" i="17" s="1"/>
  <c r="N110" i="17" s="1"/>
  <c r="N111" i="17" s="1"/>
  <c r="H73" i="17" s="1"/>
  <c r="N113" i="17" s="1"/>
  <c r="N5" i="21"/>
  <c r="H3" i="21" s="1"/>
  <c r="N6" i="21"/>
  <c r="N34" i="17"/>
  <c r="N38" i="17" s="1"/>
  <c r="N39" i="17"/>
  <c r="H32" i="17"/>
  <c r="Q6" i="17"/>
  <c r="Q23" i="17"/>
  <c r="H36" i="17"/>
  <c r="N164" i="17"/>
  <c r="N158" i="17"/>
  <c r="H15" i="21" l="1"/>
  <c r="I15" i="21" s="1"/>
  <c r="H13" i="21"/>
  <c r="H24" i="21"/>
  <c r="H33" i="21"/>
  <c r="I33" i="21" s="1"/>
  <c r="H14" i="21"/>
  <c r="I14" i="21" s="1"/>
  <c r="H12" i="21"/>
  <c r="I12" i="21" s="1"/>
  <c r="H40" i="21"/>
  <c r="I40" i="21" s="1"/>
  <c r="H69" i="21"/>
  <c r="I69" i="21" s="1"/>
  <c r="H99" i="21"/>
  <c r="H62" i="21"/>
  <c r="I62" i="21" s="1"/>
  <c r="H25" i="21"/>
  <c r="I25" i="21" s="1"/>
  <c r="H5" i="21"/>
  <c r="H65" i="21"/>
  <c r="I65" i="21" s="1"/>
  <c r="H31" i="21"/>
  <c r="I31" i="21" s="1"/>
  <c r="H64" i="21"/>
  <c r="I64" i="21" s="1"/>
  <c r="H68" i="21"/>
  <c r="I68" i="21" s="1"/>
  <c r="H29" i="21"/>
  <c r="I3" i="21"/>
  <c r="H41" i="21"/>
  <c r="I41" i="21" s="1"/>
  <c r="H4" i="21"/>
  <c r="H63" i="21"/>
  <c r="I63" i="21" s="1"/>
  <c r="N112" i="17"/>
  <c r="H86" i="17"/>
  <c r="H85" i="17"/>
  <c r="H35" i="17"/>
  <c r="I35" i="17" s="1"/>
  <c r="N14" i="17"/>
  <c r="N160" i="17"/>
  <c r="N166" i="17" s="1"/>
  <c r="N159" i="17"/>
  <c r="N165" i="17" s="1"/>
  <c r="H6" i="21" l="1"/>
  <c r="I4" i="21"/>
  <c r="H42" i="21"/>
  <c r="I42" i="21" s="1"/>
  <c r="H43" i="21"/>
  <c r="I43" i="21" s="1"/>
  <c r="H26" i="21"/>
  <c r="I26" i="21" s="1"/>
  <c r="I99" i="21"/>
  <c r="H101" i="21"/>
  <c r="H100" i="21"/>
  <c r="I13" i="21"/>
  <c r="I29" i="21"/>
  <c r="H30" i="21"/>
  <c r="I30" i="21" s="1"/>
  <c r="I24" i="21"/>
  <c r="H37" i="21"/>
  <c r="I37" i="21" s="1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I20" i="21" l="1"/>
  <c r="H21" i="21"/>
  <c r="H103" i="21"/>
  <c r="I101" i="21"/>
  <c r="I100" i="21"/>
  <c r="H102" i="21"/>
  <c r="H8" i="17"/>
  <c r="I8" i="17" s="1"/>
  <c r="H7" i="17"/>
  <c r="Q19" i="17"/>
  <c r="R19" i="17" s="1"/>
  <c r="R9" i="17"/>
  <c r="R8" i="17"/>
  <c r="R17" i="17"/>
  <c r="Q3" i="17"/>
  <c r="R2" i="17"/>
  <c r="R10" i="17"/>
  <c r="Q4" i="17"/>
  <c r="H34" i="21" l="1"/>
  <c r="I34" i="21" s="1"/>
  <c r="I21" i="21"/>
  <c r="I7" i="17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<sst xmlns="http://schemas.openxmlformats.org/spreadsheetml/2006/main" count="1098" uniqueCount="450">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</sst>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workbookViewId="0"/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373</v>
      </c>
      <c r="M3" s="54" t="s">
        <v>81</v>
      </c>
      <c r="N3" s="2">
        <f>ASIN($N$14)</f>
        <v>1.1203216917671469E-2</v>
      </c>
      <c r="P3" s="9" t="s">
        <v>59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159</v>
      </c>
      <c r="B4" s="14" t="s">
        <v>7</v>
      </c>
      <c r="C4" s="15">
        <v>400</v>
      </c>
      <c r="E4" s="3" t="s">
        <v>230</v>
      </c>
      <c r="F4" s="9" t="s">
        <v>378</v>
      </c>
      <c r="G4" s="13" t="s">
        <v>123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0.64189704635213818</v>
      </c>
      <c r="P4" s="9" t="s">
        <v>60</v>
      </c>
      <c r="Q4" s="10">
        <f>Q2-C61</f>
        <v>170.00000001278181</v>
      </c>
    </row>
    <row r="5" spans="1:18" x14ac:dyDescent="0.4">
      <c r="A5" s="3" t="s">
        <v>160</v>
      </c>
      <c r="B5" s="14" t="s">
        <v>8</v>
      </c>
      <c r="C5" s="15">
        <v>600</v>
      </c>
      <c r="D5" s="2"/>
      <c r="F5" s="9" t="s">
        <v>379</v>
      </c>
      <c r="G5" s="13" t="s">
        <v>123</v>
      </c>
      <c r="H5" s="30">
        <f>$H$3-$C$61</f>
        <v>170.01603829462465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169.99999998721819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169.98396170537535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N161-N162</f>
        <v>7.1067335242896661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8724.6943808938086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</v>
      </c>
      <c r="P9" s="9" t="s">
        <v>16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8926.1943808938086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1.1202982562652493E-2</v>
      </c>
      <c r="P14" s="9" t="s">
        <v>67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-76.724999999999994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DEGREES($N$66)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Q9*$N$107+Q2*$N$74</f>
        <v>-70046.624280368822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-Q$9*$N$74+Q$2*$N$107</f>
        <v>4500581.5260234261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379.9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387.95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9007.1919614272683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4.262508389491932E-2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13.82</v>
      </c>
      <c r="F35" s="10" t="s">
        <v>129</v>
      </c>
      <c r="G35" s="30" t="s">
        <v>126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0.99909278715921468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0.99999958810892742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6.1370541572370785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8903.1722037709678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177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232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233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234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236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235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181</v>
      </c>
      <c r="M48" s="54" t="s">
        <v>154</v>
      </c>
      <c r="N48" s="44">
        <f>$N$42-($C$25-2)*$C$21</f>
        <v>230</v>
      </c>
    </row>
    <row r="49" spans="1:14" x14ac:dyDescent="0.4">
      <c r="B49" s="14" t="s">
        <v>133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180</v>
      </c>
      <c r="M49" s="54" t="s">
        <v>153</v>
      </c>
      <c r="N49" s="44">
        <f>$N$42-($C$25-1)*$C$21</f>
        <v>210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135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237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239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388</v>
      </c>
      <c r="K53" s="3">
        <f t="shared" si="0"/>
        <v>53</v>
      </c>
      <c r="L53" s="45" t="s">
        <v>241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IF($C$25&gt;=$C$71-5,$N$82-$N$15, "-")</f>
        <v>3.5836378510248323</v>
      </c>
      <c r="K54" s="3">
        <f t="shared" si="0"/>
        <v>54</v>
      </c>
      <c r="L54" s="45" t="s">
        <v>242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IF($C$25&gt;=$C71-4,$N$83-$N$15, "-")</f>
        <v>4.2564608749580657</v>
      </c>
      <c r="K55" s="3">
        <f t="shared" si="0"/>
        <v>55</v>
      </c>
      <c r="L55" s="45" t="s">
        <v>243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IF($C$25&gt;=$C$71-3,$N$84-$N$15, "-")</f>
        <v>4.8843832356542407</v>
      </c>
      <c r="K56" s="3">
        <f t="shared" si="0"/>
        <v>56</v>
      </c>
      <c r="L56" s="45" t="s">
        <v>245</v>
      </c>
      <c r="M56" s="54" t="s">
        <v>247</v>
      </c>
      <c r="N56" s="2">
        <f ca="1">LOOKUP($C$20+($C$25-2)*$C$21, INDIRECT($H$52&amp;"!$A:$A"))</f>
        <v>150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IF($C$25&gt;=$C$71-2,$N$85-$N$15, "-")</f>
        <v>5.4674144162945595</v>
      </c>
      <c r="K57" s="3">
        <f t="shared" si="0"/>
        <v>57</v>
      </c>
      <c r="L57" s="45" t="s">
        <v>244</v>
      </c>
      <c r="M57" s="54" t="s">
        <v>246</v>
      </c>
      <c r="N57" s="2">
        <f ca="1">LOOKUP($C$20+($C$25-1)*$C$21, INDIRECT($H$52&amp;"!$A:$A"))</f>
        <v>175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IF($C$25&gt;=$C71-1,$N$86-$N$15, "-")</f>
        <v>-</v>
      </c>
      <c r="K58" s="3">
        <f t="shared" si="0"/>
        <v>58</v>
      </c>
      <c r="L58" s="45" t="s">
        <v>179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IF($C$25&gt;=$C71,$N$87-$N$15, "-")</f>
        <v>-</v>
      </c>
      <c r="K59" s="3">
        <f t="shared" si="0"/>
        <v>59</v>
      </c>
      <c r="L59" s="45" t="s">
        <v>238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$N$88-$N$15</f>
        <v>6.0055632197072555</v>
      </c>
      <c r="K60" s="3">
        <f t="shared" si="0"/>
        <v>60</v>
      </c>
      <c r="L60" s="45" t="s">
        <v>240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1</v>
      </c>
      <c r="B61" s="14" t="s">
        <v>439</v>
      </c>
      <c r="C61" s="19">
        <v>330</v>
      </c>
      <c r="E61" s="3" t="s">
        <v>302</v>
      </c>
      <c r="F61" s="10" t="s">
        <v>268</v>
      </c>
      <c r="G61" s="13" t="s">
        <v>126</v>
      </c>
      <c r="H61" s="30">
        <f>$N$89-$N$15</f>
        <v>6.4988377690224297</v>
      </c>
      <c r="K61" s="3">
        <f t="shared" si="0"/>
        <v>61</v>
      </c>
      <c r="L61" s="45" t="s">
        <v>248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249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250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251</v>
      </c>
      <c r="M64" s="54" t="s">
        <v>253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252</v>
      </c>
      <c r="M65" s="54" t="s">
        <v>147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148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256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257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258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259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260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261</v>
      </c>
      <c r="M72" s="54" t="s">
        <v>261</v>
      </c>
      <c r="N72" s="44">
        <f ca="1">$C$20+($C$25-2)*$C$21-$N$56</f>
        <v>20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ROUND(DEGREES($N$111),3)</f>
        <v>2.13</v>
      </c>
      <c r="I73" s="5"/>
      <c r="K73" s="3">
        <f t="shared" si="0"/>
        <v>73</v>
      </c>
      <c r="L73" s="45" t="s">
        <v>150</v>
      </c>
      <c r="M73" s="54" t="s">
        <v>150</v>
      </c>
      <c r="N73" s="44">
        <f ca="1">$C$20+($C$25-1)*$C$21-$N$57</f>
        <v>15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149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DEGREES($N$119)</f>
        <v>1.8081075579837422</v>
      </c>
      <c r="K75" s="3">
        <f t="shared" si="0"/>
        <v>75</v>
      </c>
      <c r="L75" s="45" t="s">
        <v>262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323</v>
      </c>
      <c r="F76" s="59" t="s">
        <v>318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263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197</v>
      </c>
      <c r="G77" s="30" t="s">
        <v>126</v>
      </c>
      <c r="H77" s="30">
        <f ca="1">MIN($N$122, $N$123)</f>
        <v>21.495936780292737</v>
      </c>
      <c r="K77" s="3">
        <f t="shared" si="2"/>
        <v>77</v>
      </c>
      <c r="L77" s="45" t="s">
        <v>264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265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351</v>
      </c>
      <c r="G79" s="13" t="s">
        <v>125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266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267</v>
      </c>
      <c r="M80" s="54" t="s">
        <v>267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IF($C$25&gt;=$C$71-5,$H$54*$N$113-$C$20*$N$112, "-")</f>
        <v>0.23613623834420849</v>
      </c>
      <c r="K81" s="3">
        <f t="shared" si="2"/>
        <v>81</v>
      </c>
      <c r="L81" s="45" t="s">
        <v>182</v>
      </c>
      <c r="M81" s="54" t="s">
        <v>182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IF($C$25&gt;=$C$71-4,$H$55*$N$113-($C$20+$C21)*$N$112, "-")</f>
        <v>0.16515537313498907</v>
      </c>
      <c r="K82" s="3">
        <f t="shared" si="2"/>
        <v>82</v>
      </c>
      <c r="L82" s="45" t="s">
        <v>270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IF($C$25&gt;=$C$71-3,$H$56*$N$113-($C$20+2*$C$21)*$N$112, "-")</f>
        <v>4.930486789530697E-2</v>
      </c>
      <c r="K83" s="3">
        <f t="shared" si="2"/>
        <v>83</v>
      </c>
      <c r="L83" s="45" t="s">
        <v>271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IF($C$25&gt;=$C$71-2,$H$57*$N$113-($C$20+3*$C$21)*$N$112, "-")</f>
        <v>-0.11140580074584783</v>
      </c>
      <c r="K84" s="3">
        <f t="shared" si="2"/>
        <v>84</v>
      </c>
      <c r="L84" s="45" t="s">
        <v>272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IF($C$25&gt;=$C$71-1,$H$58*$N$113-($C$20+4*$C$21)*$N$112, "-")</f>
        <v>-</v>
      </c>
      <c r="K85" s="3">
        <f t="shared" si="2"/>
        <v>85</v>
      </c>
      <c r="L85" s="45" t="s">
        <v>273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IF($C$25&gt;=$C$71,$H$59*$N$113-($C$20+5*$C$21)*$N$112, "-")</f>
        <v>-</v>
      </c>
      <c r="K86" s="3">
        <f t="shared" si="2"/>
        <v>86</v>
      </c>
      <c r="L86" s="45" t="s">
        <v>274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269</v>
      </c>
      <c r="G87" s="13" t="s">
        <v>126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275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276</v>
      </c>
      <c r="M88" s="54" t="s">
        <v>278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IF($C$25&gt;=$C$71-5,$H$54*$N$112+$C$20*$N$113, "-")</f>
        <v>90.071009208980442</v>
      </c>
      <c r="K89" s="3">
        <f t="shared" si="2"/>
        <v>89</v>
      </c>
      <c r="L89" s="45" t="s">
        <v>277</v>
      </c>
      <c r="M89" s="54" t="s">
        <v>279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IF($C$25&gt;=$C$71-4,$H$55*$N$112+($C$20+$C$21)*$N$113, "-")</f>
        <v>110.08219739305159</v>
      </c>
      <c r="K90" s="3">
        <f t="shared" si="2"/>
        <v>90</v>
      </c>
      <c r="L90" s="45" t="s">
        <v>280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IF($C$25&gt;=$C$71-3,$H$56*$N$112+($C$20+2*$C$21)*$N$113, "-")</f>
        <v>130.09171675638208</v>
      </c>
      <c r="K91" s="3">
        <f t="shared" si="2"/>
        <v>91</v>
      </c>
      <c r="L91" s="45" t="s">
        <v>281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IF($C$25&gt;=$C$71-2,$H$57*$N$112+($C$20+3*$C$21)*$N$113, "-")</f>
        <v>150.09956765143286</v>
      </c>
      <c r="K92" s="3">
        <f t="shared" si="2"/>
        <v>92</v>
      </c>
      <c r="L92" s="45" t="s">
        <v>282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IF($C$25&gt;=$C$71-1,$H$58*$N$112+($C$20+4*$C$21)*$N$113, "-")</f>
        <v>-</v>
      </c>
      <c r="K93" s="3">
        <f t="shared" si="2"/>
        <v>93</v>
      </c>
      <c r="L93" s="45" t="s">
        <v>283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IF($C$25&gt;=$C$71-0,$H$59*$N$112+($C$20+5*$C$21)*$N$113, "-")</f>
        <v>-</v>
      </c>
      <c r="K94" s="3">
        <f t="shared" si="2"/>
        <v>94</v>
      </c>
      <c r="L94" s="45" t="s">
        <v>284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393</v>
      </c>
      <c r="G95" s="13" t="s">
        <v>123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285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286</v>
      </c>
      <c r="M96" s="54" t="s">
        <v>288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411</v>
      </c>
      <c r="K97" s="3">
        <f t="shared" si="2"/>
        <v>97</v>
      </c>
      <c r="L97" s="45" t="s">
        <v>287</v>
      </c>
      <c r="M97" s="54" t="s">
        <v>289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290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291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292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293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403</v>
      </c>
      <c r="G102" s="13" t="s">
        <v>126</v>
      </c>
      <c r="H102" s="30">
        <f ca="1">$H$100-$H$98</f>
        <v>18.591737352223713</v>
      </c>
      <c r="K102" s="3">
        <f t="shared" si="2"/>
        <v>102</v>
      </c>
      <c r="L102" s="45" t="s">
        <v>294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403</v>
      </c>
      <c r="G103" s="13" t="s">
        <v>123</v>
      </c>
      <c r="H103" s="30">
        <f ca="1">$H$101-$H$99</f>
        <v>6.6891333975434009E-2</v>
      </c>
      <c r="K103" s="3">
        <f t="shared" si="2"/>
        <v>103</v>
      </c>
      <c r="L103" s="45" t="s">
        <v>295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296</v>
      </c>
      <c r="M104" s="54" t="s">
        <v>298</v>
      </c>
      <c r="N104" s="44">
        <f ca="1">INDEX(INDIRECT($H$52&amp;"!B:B"), MATCH($N$64, INDIRECT($H$52&amp;"!A:A"), 0))</f>
        <v>156.077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297</v>
      </c>
      <c r="M105" s="54" t="s">
        <v>299</v>
      </c>
      <c r="N105" s="44">
        <f ca="1">INDEX(INDIRECT($H$52&amp;"!B:B"), MATCH($N$65, INDIRECT($H$52&amp;"!A:A"), 0))</f>
        <v>155.98400000000001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310</v>
      </c>
      <c r="M106" s="54" t="s">
        <v>223</v>
      </c>
      <c r="N106" s="2">
        <f ca="1">$C$3+$H$70/2</f>
        <v>9001.201500000001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311</v>
      </c>
      <c r="M107" s="54" t="s">
        <v>224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314</v>
      </c>
      <c r="M108" s="54" t="s">
        <v>195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315</v>
      </c>
      <c r="M109" s="54" t="s">
        <v>195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183</v>
      </c>
      <c r="M110" s="54" t="s">
        <v>183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184</v>
      </c>
      <c r="M111" s="54" t="s">
        <v>151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392</v>
      </c>
      <c r="M112" s="54" t="s">
        <v>392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391</v>
      </c>
      <c r="M113" s="54" t="s">
        <v>391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312</v>
      </c>
      <c r="M114" s="54" t="s">
        <v>144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313</v>
      </c>
      <c r="M115" s="54" t="s">
        <v>145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316</v>
      </c>
      <c r="M116" s="54" t="s">
        <v>196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317</v>
      </c>
      <c r="M117" s="54" t="s">
        <v>196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185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186</v>
      </c>
      <c r="M119" s="54" t="s">
        <v>152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188</v>
      </c>
      <c r="M120" s="54" t="s">
        <v>156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187</v>
      </c>
      <c r="M121" s="54" t="s">
        <v>155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319</v>
      </c>
      <c r="M122" s="54" t="s">
        <v>198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320</v>
      </c>
      <c r="M123" s="54" t="s">
        <v>199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324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325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326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327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328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329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330</v>
      </c>
      <c r="M130" s="54" t="s">
        <v>340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331</v>
      </c>
      <c r="M131" s="54" t="s">
        <v>341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332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333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334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335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336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337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338</v>
      </c>
      <c r="M138" s="54" t="s">
        <v>342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339</v>
      </c>
      <c r="M139" s="54" t="s">
        <v>343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360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361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362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363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364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365</v>
      </c>
      <c r="M145" s="55" t="s">
        <v>350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306</v>
      </c>
      <c r="M146" s="55" t="s">
        <v>352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349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354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355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356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357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358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359</v>
      </c>
      <c r="M153" s="55" t="s">
        <v>353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189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190</v>
      </c>
      <c r="M158" s="54" t="s">
        <v>29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64</v>
      </c>
      <c r="M159" s="54" t="s">
        <v>30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65</v>
      </c>
      <c r="M160" s="54" t="s">
        <v>31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191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192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193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194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75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76</v>
      </c>
      <c r="M166" s="54" t="s">
        <v>27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42</v>
      </c>
      <c r="M167" s="54" t="s">
        <v>26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9" priority="124">
      <formula>$C$3&gt;2*N163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41">
    <cfRule type="expression" dxfId="69" priority="128">
      <formula>OR(C41&lt;0, C41&gt;=C4)</formula>
    </cfRule>
  </conditionalFormatting>
  <conditionalFormatting sqref="C44">
    <cfRule type="expression" dxfId="68" priority="129">
      <formula>OR(C44&lt;0, C44&gt;=C4)</formula>
    </cfRule>
  </conditionalFormatting>
  <conditionalFormatting sqref="C61">
    <cfRule type="expression" dxfId="67" priority="52">
      <formula>AND(C61&lt;&gt;330, C61&lt;&gt;270, C61&lt;&gt;250)</formula>
    </cfRule>
  </conditionalFormatting>
  <conditionalFormatting sqref="C62">
    <cfRule type="expression" dxfId="66" priority="51">
      <formula>C62&lt;&gt;40</formula>
    </cfRule>
  </conditionalFormatting>
  <conditionalFormatting sqref="C65">
    <cfRule type="expression" dxfId="65" priority="28">
      <formula>OR(C65&gt;0, ABS(ABS(C65)-740)&gt;=1)</formula>
    </cfRule>
  </conditionalFormatting>
  <conditionalFormatting sqref="C66">
    <cfRule type="expression" dxfId="64" priority="41">
      <formula>OR(C66&gt;0, ABS(ABS(C66)-550)&gt;=1)</formula>
    </cfRule>
  </conditionalFormatting>
  <conditionalFormatting sqref="C67">
    <cfRule type="expression" dxfId="63" priority="34">
      <formula>OR(C67&gt;0, ABS(ABS(C67)-1150)&gt;=1)</formula>
    </cfRule>
  </conditionalFormatting>
  <conditionalFormatting sqref="C68">
    <cfRule type="expression" dxfId="62" priority="40">
      <formula>OR(ABS(C68)&gt;=0.2)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C25&gt;$C$71)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40:N145">
    <cfRule type="expression" dxfId="54" priority="10">
      <formula>$H$51&lt;0</formula>
    </cfRule>
  </conditionalFormatting>
  <conditionalFormatting sqref="N146:N153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7">
    <cfRule type="expression" dxfId="46" priority="279">
      <formula>OR($C$17&lt;=0, $C$17&gt;=($C$9-#REF!)/2, $C$17&gt;=($C$36-#REF!)/2)</formula>
    </cfRule>
  </conditionalFormatting>
  <conditionalFormatting sqref="H77">
    <cfRule type="expression" dxfId="45" priority="280">
      <formula>$H$77&lt;=$C$27/2+$C$28</formula>
    </cfRule>
  </conditionalFormatting>
  <conditionalFormatting sqref="C27">
    <cfRule type="expression" dxfId="44" priority="2">
      <formula>OR($C$27&lt;=0, $C$27&gt;$C$26)</formula>
    </cfRule>
  </conditionalFormatting>
  <conditionalFormatting sqref="H49">
    <cfRule type="expression" dxfId="43" priority="1">
      <formula>OR($H$49&lt;0, INT($H$49)&lt;&gt;$H$49)</formula>
    </cfRule>
  </conditionalFormatting>
  <conditionalFormatting sqref="C13">
    <cfRule type="expression" dxfId="42" priority="285">
      <formula>OR($C$13&gt;=$C$9, $C$13&gt;=$C$42)</formula>
    </cfRule>
  </conditionalFormatting>
  <conditionalFormatting sqref="C14">
    <cfRule type="expression" dxfId="41" priority="286">
      <formula>OR($C$14&gt;=$C$10, $C$14&gt;=$C$42)</formula>
    </cfRule>
  </conditionalFormatting>
  <dataValidations count="1">
    <dataValidation imeMode="disabled" allowBlank="1" showInputMessage="1" showErrorMessage="1" sqref="H79 N140:N153 C49:C52 C55:C58 H54:H72 H81:H96 C3:C32 C60:C71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3"/>
  <sheetViews>
    <sheetView tabSelected="1" workbookViewId="0">
      <selection activeCell="H20" sqref="H20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157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217</v>
      </c>
      <c r="I2" s="3" t="s">
        <v>98</v>
      </c>
      <c r="K2" s="3">
        <f>ROW(K2)</f>
        <v>2</v>
      </c>
      <c r="L2" s="45" t="s">
        <v>372</v>
      </c>
      <c r="M2" s="54" t="s">
        <v>80</v>
      </c>
      <c r="N2" s="2">
        <f>RADIANS($H$7)</f>
        <v>1.1205013797803596E-2</v>
      </c>
      <c r="P2" s="9" t="s">
        <v>58</v>
      </c>
      <c r="Q2" s="10">
        <f>C4+N167</f>
        <v>499.92803488790344</v>
      </c>
      <c r="R2" s="10">
        <f>C67+Q2</f>
        <v>-650.0459651120965</v>
      </c>
    </row>
    <row r="3" spans="1:18" ht="15" thickTop="1" x14ac:dyDescent="0.4">
      <c r="A3" s="3" t="s">
        <v>158</v>
      </c>
      <c r="B3" s="11" t="s">
        <v>5</v>
      </c>
      <c r="C3" s="12">
        <v>8922.7000000000007</v>
      </c>
      <c r="E3" s="3" t="s">
        <v>229</v>
      </c>
      <c r="F3" s="9" t="s">
        <v>377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373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159</v>
      </c>
      <c r="B4" s="14" t="s">
        <v>7</v>
      </c>
      <c r="C4" s="15">
        <v>400</v>
      </c>
      <c r="E4" s="3" t="s">
        <v>230</v>
      </c>
      <c r="F4" s="9" t="s">
        <v>378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374</v>
      </c>
      <c r="M4" s="54" t="s">
        <v>231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160</v>
      </c>
      <c r="B5" s="14" t="s">
        <v>8</v>
      </c>
      <c r="C5" s="15">
        <v>600</v>
      </c>
      <c r="D5" s="2"/>
      <c r="F5" s="9" t="s">
        <v>379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380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N162-N163</f>
        <v>7.1118522502201813</v>
      </c>
    </row>
    <row r="7" spans="1:18" x14ac:dyDescent="0.4">
      <c r="B7" s="21"/>
      <c r="C7" s="22"/>
      <c r="E7" s="3" t="s">
        <v>79</v>
      </c>
      <c r="F7" s="17" t="s">
        <v>375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161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376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162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-C64+(N16+N17)/2+C6/2-N166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-C64+N15+C6/2-N166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163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C64-(N19+N20)/2-C6/2+N166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164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C64-N18-C6/2+N166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165</v>
      </c>
      <c r="M12" s="54" t="s">
        <v>381</v>
      </c>
      <c r="N12" s="2">
        <f>($C$5-$C$4)/2</f>
        <v>100</v>
      </c>
      <c r="P12" s="9" t="s">
        <v>71</v>
      </c>
      <c r="Q12" s="10" t="e">
        <f>C64-(N19+N20)/2-C6/2+N166-#REF!/2-C35+C36/2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201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166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-C64+(N16+N17)/2+C6/2-N166+#REF!/2+C41-C42/2</f>
        <v>#REF!</v>
      </c>
      <c r="R14" s="10" t="e">
        <f t="shared" si="1"/>
        <v>#REF!</v>
      </c>
    </row>
    <row r="15" spans="1:18" x14ac:dyDescent="0.4">
      <c r="A15" s="3" t="s">
        <v>421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167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422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168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432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169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N28-C64+C6/2-N166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143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170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171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N29-C17-C13/2+N168-N13</f>
        <v>-7.6247869906728738</v>
      </c>
      <c r="R19" s="10">
        <f>$C$66+Q19</f>
        <v>-557.64378699067288</v>
      </c>
    </row>
    <row r="20" spans="1:18" x14ac:dyDescent="0.4">
      <c r="A20" s="3" t="s">
        <v>142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172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175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366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176</v>
      </c>
      <c r="B22" s="14" t="s">
        <v>54</v>
      </c>
      <c r="C22" s="15">
        <v>17</v>
      </c>
      <c r="E22" s="3" t="s">
        <v>200</v>
      </c>
      <c r="F22" s="9" t="s">
        <v>141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367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303</v>
      </c>
      <c r="B23" s="14" t="s">
        <v>389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173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304</v>
      </c>
      <c r="B24" s="14" t="s">
        <v>390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174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146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414</v>
      </c>
      <c r="M25" s="54" t="s">
        <v>416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395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415</v>
      </c>
      <c r="M26" s="54" t="s">
        <v>419</v>
      </c>
      <c r="N26" s="2">
        <f>$C$4-$N$25</f>
        <v>379.9</v>
      </c>
    </row>
    <row r="27" spans="1:18" x14ac:dyDescent="0.4">
      <c r="B27" s="14" t="s">
        <v>396</v>
      </c>
      <c r="C27" s="19">
        <v>32</v>
      </c>
      <c r="H27" s="5"/>
      <c r="I27" s="5"/>
      <c r="K27" s="3">
        <f t="shared" si="0"/>
        <v>27</v>
      </c>
      <c r="L27" s="45" t="s">
        <v>418</v>
      </c>
      <c r="M27" s="54" t="s">
        <v>420</v>
      </c>
      <c r="N27" s="2">
        <f>$C$4-$C$15</f>
        <v>387.95</v>
      </c>
      <c r="P27" s="2"/>
    </row>
    <row r="28" spans="1:18" x14ac:dyDescent="0.4">
      <c r="B28" s="14" t="s">
        <v>218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368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369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219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370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220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412</v>
      </c>
      <c r="M31" s="54" t="s">
        <v>413</v>
      </c>
      <c r="N31" s="2">
        <f>SQRT($N$11^2-$N$26^2)</f>
        <v>9007.1919614272683</v>
      </c>
    </row>
    <row r="32" spans="1:18" x14ac:dyDescent="0.4">
      <c r="B32" s="14" t="s">
        <v>221</v>
      </c>
      <c r="C32" s="39" t="s">
        <v>222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417</v>
      </c>
      <c r="M32" s="54" t="s">
        <v>435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423</v>
      </c>
      <c r="M33" s="54" t="s">
        <v>425</v>
      </c>
      <c r="N33" s="2">
        <f>($N$31-$N$32)/$C$16</f>
        <v>4.262508389491932E-2</v>
      </c>
    </row>
    <row r="34" spans="2:16" x14ac:dyDescent="0.4">
      <c r="B34" s="4" t="s">
        <v>437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424</v>
      </c>
      <c r="M34" s="54" t="s">
        <v>426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427</v>
      </c>
      <c r="M35" s="54" t="s">
        <v>428</v>
      </c>
      <c r="N35" s="2">
        <f>COS(ATAN($N$33))</f>
        <v>0.99909278715921468</v>
      </c>
    </row>
    <row r="36" spans="2:16" x14ac:dyDescent="0.4">
      <c r="B36" s="14" t="s">
        <v>202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434</v>
      </c>
      <c r="N36" s="2">
        <f>2*$N$35/(1+$N$35^2)</f>
        <v>0.99999958810892742</v>
      </c>
    </row>
    <row r="37" spans="2:16" x14ac:dyDescent="0.4">
      <c r="B37" s="14" t="s">
        <v>203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429</v>
      </c>
      <c r="M37" s="54" t="s">
        <v>436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430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431</v>
      </c>
      <c r="M39" s="54" t="s">
        <v>433</v>
      </c>
      <c r="N39" s="2">
        <f>$N$36*($C$17-$N$38)+$N$37</f>
        <v>6.1370541572370785</v>
      </c>
    </row>
    <row r="40" spans="2:16" x14ac:dyDescent="0.4">
      <c r="B40" s="25" t="s">
        <v>438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408</v>
      </c>
      <c r="M40" s="54" t="s">
        <v>385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409</v>
      </c>
      <c r="M41" s="54" t="s">
        <v>386</v>
      </c>
      <c r="N41" s="2">
        <f>SQRT($C$3^2-$N$40^2)</f>
        <v>8903.1722037709678</v>
      </c>
    </row>
    <row r="42" spans="2:16" x14ac:dyDescent="0.4">
      <c r="B42" s="14" t="s">
        <v>382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449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177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371</v>
      </c>
      <c r="G44" s="30" t="s">
        <v>126</v>
      </c>
      <c r="H44" s="30"/>
      <c r="I44" s="53"/>
      <c r="K44" s="3">
        <f t="shared" si="0"/>
        <v>44</v>
      </c>
      <c r="L44" s="45" t="s">
        <v>232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233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234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236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383</v>
      </c>
      <c r="E48" s="3" t="s">
        <v>254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235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448</v>
      </c>
      <c r="C49" s="15">
        <v>4</v>
      </c>
      <c r="E49" s="3" t="s">
        <v>255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181</v>
      </c>
      <c r="M49" s="54" t="s">
        <v>154</v>
      </c>
      <c r="N49" s="44">
        <f>$N$43-($C$25-2)*$C$21</f>
        <v>230</v>
      </c>
    </row>
    <row r="50" spans="1:14" x14ac:dyDescent="0.4">
      <c r="B50" s="14" t="s">
        <v>134</v>
      </c>
      <c r="C50" s="15">
        <v>15</v>
      </c>
      <c r="F50" s="10" t="s">
        <v>227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180</v>
      </c>
      <c r="M50" s="54" t="s">
        <v>153</v>
      </c>
      <c r="N50" s="44">
        <f>$N$43-($C$25-1)*$C$21</f>
        <v>210</v>
      </c>
    </row>
    <row r="51" spans="1:14" x14ac:dyDescent="0.4">
      <c r="B51" s="14" t="s">
        <v>447</v>
      </c>
      <c r="C51" s="15">
        <v>10</v>
      </c>
      <c r="F51" s="10" t="s">
        <v>228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178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136</v>
      </c>
      <c r="C52" s="15">
        <v>15</v>
      </c>
      <c r="F52" s="10" t="s">
        <v>221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237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388</v>
      </c>
      <c r="K53" s="3">
        <f t="shared" si="0"/>
        <v>53</v>
      </c>
      <c r="L53" s="45" t="s">
        <v>239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384</v>
      </c>
      <c r="E54" s="3" t="s">
        <v>300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241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137</v>
      </c>
      <c r="C55" s="15">
        <v>1</v>
      </c>
      <c r="E55" s="3" t="s">
        <v>301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242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138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243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139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245</v>
      </c>
      <c r="M57" s="54" t="s">
        <v>247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244</v>
      </c>
      <c r="M58" s="54" t="s">
        <v>246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179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269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238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439</v>
      </c>
      <c r="C61" s="19">
        <f>AVERAGE(C76,C77)</f>
        <v>330.22300000000001</v>
      </c>
      <c r="E61" s="3" t="s">
        <v>302</v>
      </c>
      <c r="F61" s="10" t="s">
        <v>268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240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345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248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344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249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250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251</v>
      </c>
      <c r="M65" s="54" t="s">
        <v>253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252</v>
      </c>
      <c r="M66" s="54" t="s">
        <v>147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148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346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256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440</v>
      </c>
      <c r="C69" s="19">
        <v>251.90899999999999</v>
      </c>
      <c r="E69" s="3" t="s">
        <v>348</v>
      </c>
      <c r="F69" s="9" t="s">
        <v>347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257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441</v>
      </c>
      <c r="C70" s="19">
        <v>244.4</v>
      </c>
      <c r="E70" s="3" t="s">
        <v>305</v>
      </c>
      <c r="F70" s="10" t="s">
        <v>308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258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140</v>
      </c>
      <c r="C71" s="38">
        <v>8</v>
      </c>
      <c r="E71" s="3" t="s">
        <v>307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259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309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260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397</v>
      </c>
      <c r="C73" s="5">
        <v>-561.11400000000003</v>
      </c>
      <c r="E73" s="3" t="s">
        <v>322</v>
      </c>
      <c r="F73" s="10" t="s">
        <v>225</v>
      </c>
      <c r="G73" s="30" t="s">
        <v>124</v>
      </c>
      <c r="H73" s="30">
        <f ca="1">ROUND(DEGREES($N$112),3)</f>
        <v>2.13</v>
      </c>
      <c r="I73" s="5"/>
      <c r="K73" s="3">
        <f t="shared" si="0"/>
        <v>73</v>
      </c>
      <c r="L73" s="45" t="s">
        <v>261</v>
      </c>
      <c r="M73" s="54" t="s">
        <v>261</v>
      </c>
      <c r="N73" s="44">
        <f ca="1">$C$20+($C$25-2)*$C$21-$N$57</f>
        <v>20</v>
      </c>
    </row>
    <row r="74" spans="2:14" x14ac:dyDescent="0.4">
      <c r="B74" s="1" t="s">
        <v>398</v>
      </c>
      <c r="C74" s="5">
        <v>-648.33199999999999</v>
      </c>
      <c r="E74" s="3" t="s">
        <v>322</v>
      </c>
      <c r="F74" s="10" t="s">
        <v>226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150</v>
      </c>
      <c r="M74" s="54" t="s">
        <v>150</v>
      </c>
      <c r="N74" s="44">
        <f ca="1">$C$20+($C$25-1)*$C$21-$N$58</f>
        <v>15</v>
      </c>
    </row>
    <row r="75" spans="2:14" x14ac:dyDescent="0.4">
      <c r="E75" s="3" t="s">
        <v>323</v>
      </c>
      <c r="F75" s="59" t="s">
        <v>321</v>
      </c>
      <c r="G75" s="56" t="s">
        <v>124</v>
      </c>
      <c r="H75" s="56">
        <f ca="1">DEGREES($N$120)</f>
        <v>1.8081075579837422</v>
      </c>
      <c r="K75" s="3">
        <f t="shared" si="0"/>
        <v>75</v>
      </c>
      <c r="L75" s="45" t="s">
        <v>149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445</v>
      </c>
      <c r="C76" s="19">
        <v>330.26600000000002</v>
      </c>
      <c r="E76" s="3" t="s">
        <v>323</v>
      </c>
      <c r="F76" s="59" t="s">
        <v>318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262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446</v>
      </c>
      <c r="C77" s="19">
        <v>330.18</v>
      </c>
      <c r="F77" s="10" t="s">
        <v>197</v>
      </c>
      <c r="G77" s="30" t="s">
        <v>126</v>
      </c>
      <c r="H77" s="30">
        <f ca="1">MIN($N$123, $N$124)</f>
        <v>21.495936780292737</v>
      </c>
      <c r="K77" s="3">
        <f t="shared" ref="K77:K167" si="2">ROW(K77)</f>
        <v>77</v>
      </c>
      <c r="L77" s="45" t="s">
        <v>263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349</v>
      </c>
      <c r="F78" s="10" t="s">
        <v>410</v>
      </c>
      <c r="G78" s="13" t="s">
        <v>125</v>
      </c>
      <c r="H78" s="30">
        <f ca="1">($N$67*$N$133+$N$75*$N$125)/($N$59-$N$51)+$C$31*2</f>
        <v>154.57380000000001</v>
      </c>
      <c r="K78" s="3">
        <f t="shared" si="2"/>
        <v>78</v>
      </c>
      <c r="L78" s="45" t="s">
        <v>264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351</v>
      </c>
      <c r="G79" s="13" t="s">
        <v>125</v>
      </c>
      <c r="H79" s="30">
        <f ca="1">($N$74*$N$140+$N$82*$N$132)/($N$66-$N$58)+$C$31*2</f>
        <v>154.14839999999998</v>
      </c>
      <c r="K79" s="3">
        <f t="shared" si="2"/>
        <v>79</v>
      </c>
      <c r="L79" s="45" t="s">
        <v>265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387</v>
      </c>
      <c r="K80" s="3">
        <f t="shared" si="2"/>
        <v>80</v>
      </c>
      <c r="L80" s="45" t="s">
        <v>266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IF($C$25&gt;=$C$71-5,$H$54*$N$114-$C$20*$N$113, "-")</f>
        <v>0.23613623834420849</v>
      </c>
      <c r="K81" s="3">
        <f t="shared" si="2"/>
        <v>81</v>
      </c>
      <c r="L81" s="45" t="s">
        <v>267</v>
      </c>
      <c r="M81" s="54" t="s">
        <v>267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IF($C$25&gt;=$C$71-4,$H$55*$N$114-($C$20+$C21)*$N$113, "-")</f>
        <v>0.16515537313498907</v>
      </c>
      <c r="K82" s="3">
        <f t="shared" si="2"/>
        <v>82</v>
      </c>
      <c r="L82" s="45" t="s">
        <v>182</v>
      </c>
      <c r="M82" s="54" t="s">
        <v>182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IF($C$25&gt;=$C$71-3,$H$56*$N$114-($C$20+2*$C$21)*$N$113, "-")</f>
        <v>4.930486789530697E-2</v>
      </c>
      <c r="K83" s="3">
        <f t="shared" si="2"/>
        <v>83</v>
      </c>
      <c r="L83" s="45" t="s">
        <v>270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IF($C$25&gt;=$C$71-2,$H$57*$N$114-($C$20+3*$C$21)*$N$113, "-")</f>
        <v>-0.11140580074584783</v>
      </c>
      <c r="K84" s="3">
        <f t="shared" si="2"/>
        <v>84</v>
      </c>
      <c r="L84" s="45" t="s">
        <v>271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IF($C$25&gt;=$C$71-1,$H$58*$N$114-($C$20+4*$C$21)*$N$113, "-")</f>
        <v>-</v>
      </c>
      <c r="K85" s="3">
        <f t="shared" si="2"/>
        <v>85</v>
      </c>
      <c r="L85" s="45" t="s">
        <v>272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IF($C$25&gt;=$C$71,$H$59*$N$114-($C$20+5*$C$21)*$N$113, "-")</f>
        <v>-</v>
      </c>
      <c r="K86" s="3">
        <f t="shared" si="2"/>
        <v>86</v>
      </c>
      <c r="L86" s="45" t="s">
        <v>273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269</v>
      </c>
      <c r="G87" s="13" t="s">
        <v>126</v>
      </c>
      <c r="H87" s="30">
        <f ca="1">$H$60*$N$114-($C$20+($C$25-2)*$C$21)*$N$113</f>
        <v>-0.31696783604237844</v>
      </c>
      <c r="K87" s="3">
        <f t="shared" si="2"/>
        <v>87</v>
      </c>
      <c r="L87" s="45" t="s">
        <v>274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268</v>
      </c>
      <c r="G88" s="13" t="s">
        <v>126</v>
      </c>
      <c r="H88" s="30">
        <f ca="1">$H$61*$N$114-($C$20+($C$25-1)*$C$21)*$N$113</f>
        <v>-0.56737312047669697</v>
      </c>
      <c r="K88" s="3">
        <f t="shared" si="2"/>
        <v>88</v>
      </c>
      <c r="L88" s="45" t="s">
        <v>275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IF($C$25&gt;=$C$71-5,$H$54*$N$113+$C$20*$N$114, "-")</f>
        <v>90.071009208980442</v>
      </c>
      <c r="K89" s="3">
        <f t="shared" si="2"/>
        <v>89</v>
      </c>
      <c r="L89" s="45" t="s">
        <v>276</v>
      </c>
      <c r="M89" s="54" t="s">
        <v>278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IF($C$25&gt;=$C$71-4,$H$55*$N$113+($C$20+$C$21)*$N$114, "-")</f>
        <v>110.08219739305159</v>
      </c>
      <c r="K90" s="3">
        <f t="shared" si="2"/>
        <v>90</v>
      </c>
      <c r="L90" s="45" t="s">
        <v>277</v>
      </c>
      <c r="M90" s="54" t="s">
        <v>279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IF($C$25&gt;=$C$71-3,$H$56*$N$113+($C$20+2*$C$21)*$N$114, "-")</f>
        <v>130.09171675638208</v>
      </c>
      <c r="K91" s="3">
        <f t="shared" si="2"/>
        <v>91</v>
      </c>
      <c r="L91" s="45" t="s">
        <v>280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IF($C$25&gt;=$C$71-2,$H$57*$N$113+($C$20+3*$C$21)*$N$114, "-")</f>
        <v>150.09956765143286</v>
      </c>
      <c r="K92" s="3">
        <f t="shared" si="2"/>
        <v>92</v>
      </c>
      <c r="L92" s="45" t="s">
        <v>281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IF($C$25&gt;=$C$71-1,$H$58*$N$113+($C$20+4*$C$21)*$N$114, "-")</f>
        <v>-</v>
      </c>
      <c r="K93" s="3">
        <f t="shared" si="2"/>
        <v>93</v>
      </c>
      <c r="L93" s="45" t="s">
        <v>282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IF($C$25&gt;=$C$71-0,$H$59*$N$113+($C$20+5*$C$21)*$N$114, "-")</f>
        <v>-</v>
      </c>
      <c r="K94" s="3">
        <f t="shared" si="2"/>
        <v>94</v>
      </c>
      <c r="L94" s="45" t="s">
        <v>283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393</v>
      </c>
      <c r="G95" s="13" t="s">
        <v>123</v>
      </c>
      <c r="H95" s="30">
        <f ca="1">$H$60*$N$113+($C$20+($C$25-2)*$C$21)*$N$114</f>
        <v>170.10575040537816</v>
      </c>
      <c r="K95" s="3">
        <f t="shared" si="2"/>
        <v>95</v>
      </c>
      <c r="L95" s="45" t="s">
        <v>284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394</v>
      </c>
      <c r="G96" s="13" t="s">
        <v>123</v>
      </c>
      <c r="H96" s="30">
        <f ca="1">$H$61*$N$113+($C$20+($C$25-1)*$C$21)*$N$114</f>
        <v>190.11026532013003</v>
      </c>
      <c r="K96" s="3">
        <f t="shared" si="2"/>
        <v>96</v>
      </c>
      <c r="L96" s="45" t="s">
        <v>285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411</v>
      </c>
      <c r="K97" s="3">
        <f t="shared" si="2"/>
        <v>97</v>
      </c>
      <c r="L97" s="45" t="s">
        <v>286</v>
      </c>
      <c r="M97" s="54" t="s">
        <v>288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399</v>
      </c>
      <c r="F98" s="9" t="s">
        <v>404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287</v>
      </c>
      <c r="M98" s="54" t="s">
        <v>289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400</v>
      </c>
      <c r="F99" s="9" t="s">
        <v>405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290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401</v>
      </c>
      <c r="F100" s="9" t="s">
        <v>406</v>
      </c>
      <c r="G100" s="13" t="s">
        <v>126</v>
      </c>
      <c r="H100" s="30">
        <f ca="1">$H$98*$N$114+$H$99*$N$113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291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402</v>
      </c>
      <c r="F101" s="9" t="s">
        <v>407</v>
      </c>
      <c r="G101" s="13" t="s">
        <v>123</v>
      </c>
      <c r="H101" s="30">
        <f ca="1">-$H$98*$N$113+$H$99*$N$114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292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403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293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403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294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295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442</v>
      </c>
      <c r="G105" s="28"/>
      <c r="H105" s="28"/>
      <c r="K105" s="3">
        <f t="shared" si="2"/>
        <v>105</v>
      </c>
      <c r="L105" s="45" t="s">
        <v>296</v>
      </c>
      <c r="M105" s="54" t="s">
        <v>298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444</v>
      </c>
      <c r="G106" s="61"/>
      <c r="H106" s="13"/>
      <c r="K106" s="3">
        <f t="shared" si="2"/>
        <v>106</v>
      </c>
      <c r="L106" s="45" t="s">
        <v>297</v>
      </c>
      <c r="M106" s="54" t="s">
        <v>299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443</v>
      </c>
      <c r="G107" s="61"/>
      <c r="H107" s="13"/>
      <c r="K107" s="3">
        <f t="shared" si="2"/>
        <v>107</v>
      </c>
      <c r="L107" s="45" t="s">
        <v>310</v>
      </c>
      <c r="M107" s="54" t="s">
        <v>223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311</v>
      </c>
      <c r="M108" s="54" t="s">
        <v>224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314</v>
      </c>
      <c r="M109" s="54" t="s">
        <v>195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315</v>
      </c>
      <c r="M110" s="54" t="s">
        <v>195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183</v>
      </c>
      <c r="M111" s="54" t="s">
        <v>183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184</v>
      </c>
      <c r="M112" s="54" t="s">
        <v>151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392</v>
      </c>
      <c r="M113" s="54" t="s">
        <v>392</v>
      </c>
      <c r="N113" s="2">
        <f ca="1">SIN(RADIANS($H$73))</f>
        <v>3.7166950783010577E-2</v>
      </c>
    </row>
    <row r="114" spans="11:14" x14ac:dyDescent="0.4">
      <c r="K114" s="3">
        <f t="shared" si="2"/>
        <v>114</v>
      </c>
      <c r="L114" s="45" t="s">
        <v>391</v>
      </c>
      <c r="M114" s="54" t="s">
        <v>391</v>
      </c>
      <c r="N114" s="2">
        <f ca="1">COS(RADIANS($H$73))</f>
        <v>0.9993090701927474</v>
      </c>
    </row>
    <row r="115" spans="11:14" x14ac:dyDescent="0.4">
      <c r="K115" s="3">
        <f t="shared" si="2"/>
        <v>115</v>
      </c>
      <c r="L115" s="45" t="s">
        <v>312</v>
      </c>
      <c r="M115" s="54" t="s">
        <v>144</v>
      </c>
      <c r="N115" s="2">
        <f ca="1">$C$3-$H$71/2</f>
        <v>8844.4037000000008</v>
      </c>
    </row>
    <row r="116" spans="11:14" x14ac:dyDescent="0.4">
      <c r="K116" s="3">
        <f t="shared" si="2"/>
        <v>116</v>
      </c>
      <c r="L116" s="45" t="s">
        <v>313</v>
      </c>
      <c r="M116" s="54" t="s">
        <v>145</v>
      </c>
      <c r="N116" s="2">
        <f ca="1">$C$3-$H$72/2</f>
        <v>8844.6194000000014</v>
      </c>
    </row>
    <row r="117" spans="11:14" x14ac:dyDescent="0.4">
      <c r="K117" s="3">
        <f t="shared" si="2"/>
        <v>117</v>
      </c>
      <c r="L117" s="45" t="s">
        <v>316</v>
      </c>
      <c r="M117" s="54" t="s">
        <v>196</v>
      </c>
      <c r="N117" s="2">
        <f ca="1">SQRT($N$116^2-$N$50^2)</f>
        <v>8842.1260074066122</v>
      </c>
    </row>
    <row r="118" spans="11:14" x14ac:dyDescent="0.4">
      <c r="K118" s="3">
        <f t="shared" si="2"/>
        <v>118</v>
      </c>
      <c r="L118" s="45" t="s">
        <v>317</v>
      </c>
      <c r="M118" s="54" t="s">
        <v>196</v>
      </c>
      <c r="N118" s="2">
        <f ca="1">SQRT($N$115^2-$N$43^2)</f>
        <v>8838.9692164060452</v>
      </c>
    </row>
    <row r="119" spans="11:14" x14ac:dyDescent="0.4">
      <c r="K119" s="3">
        <f t="shared" si="2"/>
        <v>119</v>
      </c>
      <c r="L119" s="45" t="s">
        <v>185</v>
      </c>
      <c r="N119" s="2">
        <f ca="1">($N117-$N118)/($N$43-$N$50)</f>
        <v>3.1567910005669546E-2</v>
      </c>
    </row>
    <row r="120" spans="11:14" x14ac:dyDescent="0.4">
      <c r="K120" s="3">
        <f t="shared" si="2"/>
        <v>120</v>
      </c>
      <c r="L120" s="45" t="s">
        <v>186</v>
      </c>
      <c r="M120" s="54" t="s">
        <v>152</v>
      </c>
      <c r="N120" s="2">
        <f ca="1">ATAN($N$119)</f>
        <v>3.1557430117010586E-2</v>
      </c>
    </row>
    <row r="121" spans="11:14" x14ac:dyDescent="0.4">
      <c r="K121" s="3">
        <f>ROW(K121)</f>
        <v>121</v>
      </c>
      <c r="L121" s="45" t="s">
        <v>188</v>
      </c>
      <c r="M121" s="54" t="s">
        <v>156</v>
      </c>
      <c r="N121" s="2">
        <f>IF(MOD($C$25, 2)=0, $C$23, $C$24)</f>
        <v>102</v>
      </c>
    </row>
    <row r="122" spans="11:14" x14ac:dyDescent="0.4">
      <c r="K122" s="3">
        <f t="shared" si="2"/>
        <v>122</v>
      </c>
      <c r="L122" s="45" t="s">
        <v>187</v>
      </c>
      <c r="M122" s="54" t="s">
        <v>155</v>
      </c>
      <c r="N122" s="2">
        <f>IF(MOD($C$25, 2)=0, $C$24, $C$23)</f>
        <v>85</v>
      </c>
    </row>
    <row r="123" spans="11:14" x14ac:dyDescent="0.4">
      <c r="K123" s="3">
        <f t="shared" si="2"/>
        <v>123</v>
      </c>
      <c r="L123" s="45" t="s">
        <v>319</v>
      </c>
      <c r="M123" s="54" t="s">
        <v>198</v>
      </c>
      <c r="N123" s="2">
        <f ca="1">$H$70/2-$H$60-$N$121/2</f>
        <v>21.495936780292737</v>
      </c>
    </row>
    <row r="124" spans="11:14" x14ac:dyDescent="0.4">
      <c r="K124" s="3">
        <f t="shared" si="2"/>
        <v>124</v>
      </c>
      <c r="L124" s="45" t="s">
        <v>320</v>
      </c>
      <c r="M124" s="54" t="s">
        <v>199</v>
      </c>
      <c r="N124" s="2">
        <f ca="1">$H$70/2-$H$61-$N$122/2</f>
        <v>29.502662230977563</v>
      </c>
    </row>
    <row r="125" spans="11:14" x14ac:dyDescent="0.4">
      <c r="K125" s="3">
        <f t="shared" si="2"/>
        <v>125</v>
      </c>
      <c r="L125" s="45" t="s">
        <v>324</v>
      </c>
      <c r="M125" s="54" t="str">
        <f>IF($C$25&gt;=3,"λj ≦ q &lt; λj+1 の wBj", "-")</f>
        <v>λj ≦ q &lt; λj+1 の wBj</v>
      </c>
      <c r="N125" s="44">
        <f ca="1">IF($C$25&gt;=3, INDEX(INDIRECT($H$52&amp;"!C:C"), MATCH($N$51, INDIRECT($H$52&amp;"!A:A"), 0)),"-")</f>
        <v>154.501</v>
      </c>
    </row>
    <row r="126" spans="11:14" x14ac:dyDescent="0.4">
      <c r="K126" s="3">
        <f t="shared" si="2"/>
        <v>126</v>
      </c>
      <c r="L126" s="45" t="s">
        <v>325</v>
      </c>
      <c r="M126" s="54" t="str">
        <f>IF($C$25&gt;=4,"λj ≦ q+pz &lt; λj+1 の wBj", "-")</f>
        <v>λj ≦ q+pz &lt; λj+1 の wBj</v>
      </c>
      <c r="N126" s="44">
        <f ca="1">IF($C$25&gt;=4, INDEX(INDIRECT($H$52&amp;"!C:C"), MATCH($N$52, INDIRECT($H$52&amp;"!A:A"), 0)),"-")</f>
        <v>154.38900000000001</v>
      </c>
    </row>
    <row r="127" spans="11:14" x14ac:dyDescent="0.4">
      <c r="K127" s="3">
        <f t="shared" si="2"/>
        <v>127</v>
      </c>
      <c r="L127" s="45" t="s">
        <v>326</v>
      </c>
      <c r="M127" s="54" t="str">
        <f>IF($C$25&gt;=5,"λj ≦ q+2pz &lt; λj+1 の wBj", "-")</f>
        <v>λj ≦ q+2pz &lt; λj+1 の wBj</v>
      </c>
      <c r="N127" s="44">
        <f ca="1">IF($C$25&gt;=5, INDEX(INDIRECT($H$52&amp;"!C:C"), MATCH($N$53, INDIRECT($H$52&amp;"!A:A"), 0)),"-")</f>
        <v>154.27600000000001</v>
      </c>
    </row>
    <row r="128" spans="11:14" x14ac:dyDescent="0.4">
      <c r="K128" s="3">
        <f t="shared" si="2"/>
        <v>128</v>
      </c>
      <c r="L128" s="45" t="s">
        <v>327</v>
      </c>
      <c r="M128" s="54" t="str">
        <f>IF($C$25&gt;=6,"λj ≦ q+3pz &lt; λj+1 の wBj", "-")</f>
        <v>λj ≦ q+3pz &lt; λj+1 の wBj</v>
      </c>
      <c r="N128" s="44">
        <f ca="1">IF($C$25&gt;=6, INDEX(INDIRECT($H$52&amp;"!C:C"), MATCH($N$54, INDIRECT($H$52&amp;"!A:A"), 0)),"-")</f>
        <v>154.16399999999999</v>
      </c>
    </row>
    <row r="129" spans="11:14" x14ac:dyDescent="0.4">
      <c r="K129" s="3">
        <f t="shared" si="2"/>
        <v>129</v>
      </c>
      <c r="L129" s="45" t="s">
        <v>328</v>
      </c>
      <c r="M129" s="54" t="str">
        <f>IF($C$25&gt;=7,"λj ≦ q+4pz &lt; λj+1 の wBj", "-")</f>
        <v>-</v>
      </c>
      <c r="N129" s="44" t="str">
        <f ca="1">IF($C$25&gt;=7,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329</v>
      </c>
      <c r="M130" s="54" t="str">
        <f>IF($C$25&gt;=8,"λj ≦ q+5pz &lt; λj+1 の wBj", "-")</f>
        <v>-</v>
      </c>
      <c r="N130" s="44" t="str">
        <f ca="1">IF($C$25&gt;=8, INDEX(INDIRECT($H$52&amp;"!C:C"), MATCH($N$56, INDIRECT($H$52&amp;"!A:A"), 0)),"-")</f>
        <v>-</v>
      </c>
    </row>
    <row r="131" spans="11:14" x14ac:dyDescent="0.4">
      <c r="K131" s="3">
        <f t="shared" si="2"/>
        <v>131</v>
      </c>
      <c r="L131" s="45" t="s">
        <v>330</v>
      </c>
      <c r="M131" s="54" t="s">
        <v>340</v>
      </c>
      <c r="N131" s="44">
        <f ca="1">INDEX(INDIRECT($H$52&amp;"!C:C"), MATCH($N$57, INDIRECT($H$52&amp;"!A:A"), 0))</f>
        <v>154.16399999999999</v>
      </c>
    </row>
    <row r="132" spans="11:14" x14ac:dyDescent="0.4">
      <c r="K132" s="3">
        <f t="shared" si="2"/>
        <v>132</v>
      </c>
      <c r="L132" s="45" t="s">
        <v>331</v>
      </c>
      <c r="M132" s="54" t="s">
        <v>341</v>
      </c>
      <c r="N132" s="44">
        <f ca="1">INDEX(INDIRECT($H$52&amp;"!C:C"), MATCH($N$58, INDIRECT($H$52&amp;"!A:A"), 0))</f>
        <v>154.06299999999999</v>
      </c>
    </row>
    <row r="133" spans="11:14" x14ac:dyDescent="0.4">
      <c r="K133" s="3">
        <f t="shared" si="2"/>
        <v>133</v>
      </c>
      <c r="L133" s="45" t="s">
        <v>332</v>
      </c>
      <c r="M133" s="54" t="str">
        <f>IF($C$25&gt;=3,"λj ≦ q &lt; λj+1 の wBj+1", "-")</f>
        <v>λj ≦ q &lt; λj+1 の wBj+1</v>
      </c>
      <c r="N133" s="44">
        <f ca="1">IF($C$25&gt;=3, INDEX(INDIRECT($H$52&amp;"!C:C"), MATCH($N$59, INDIRECT($H$52&amp;"!A:A"), 0)),"-")</f>
        <v>154.38900000000001</v>
      </c>
    </row>
    <row r="134" spans="11:14" x14ac:dyDescent="0.4">
      <c r="K134" s="3">
        <f t="shared" si="2"/>
        <v>134</v>
      </c>
      <c r="L134" s="45" t="s">
        <v>333</v>
      </c>
      <c r="M134" s="54" t="str">
        <f>IF($C$25&gt;=4,"λj ≦ q+pz &lt; λj+1 の wBj+1", "-")</f>
        <v>λj ≦ q+pz &lt; λj+1 の wBj+1</v>
      </c>
      <c r="N134" s="44">
        <f ca="1">IF($C$25&gt;=4, INDEX(INDIRECT($H$52&amp;"!C:C"), MATCH($N$60, INDIRECT($H$52&amp;"!A:A"), 0)),"-")</f>
        <v>154.27600000000001</v>
      </c>
    </row>
    <row r="135" spans="11:14" x14ac:dyDescent="0.4">
      <c r="K135" s="3">
        <f t="shared" si="2"/>
        <v>135</v>
      </c>
      <c r="L135" s="45" t="s">
        <v>334</v>
      </c>
      <c r="M135" s="54" t="str">
        <f>IF($C$25&gt;=5,"λj ≦ q+2pz &lt; λj+1 の wBj+1", "-")</f>
        <v>λj ≦ q+2pz &lt; λj+1 の wBj+1</v>
      </c>
      <c r="N135" s="44">
        <f ca="1">IF($C$25&gt;=5, INDEX(INDIRECT($H$52&amp;"!C:C"), MATCH($N$61, INDIRECT($H$52&amp;"!A:A"), 0)),"-")</f>
        <v>154.16399999999999</v>
      </c>
    </row>
    <row r="136" spans="11:14" x14ac:dyDescent="0.4">
      <c r="K136" s="3">
        <f t="shared" si="2"/>
        <v>136</v>
      </c>
      <c r="L136" s="45" t="s">
        <v>335</v>
      </c>
      <c r="M136" s="54" t="str">
        <f>IF($C$25&gt;=6,"λj ≦ q+3pz &lt; λj+1 の wBj+1", "-")</f>
        <v>λj ≦ q+3pz &lt; λj+1 の wBj+1</v>
      </c>
      <c r="N136" s="44">
        <f ca="1">IF($C$25&gt;=6, INDEX(INDIRECT($H$52&amp;"!C:C"), MATCH($N$62, INDIRECT($H$52&amp;"!A:A"), 0)),"-")</f>
        <v>154.06299999999999</v>
      </c>
    </row>
    <row r="137" spans="11:14" x14ac:dyDescent="0.4">
      <c r="K137" s="3">
        <f t="shared" si="2"/>
        <v>137</v>
      </c>
      <c r="L137" s="45" t="s">
        <v>336</v>
      </c>
      <c r="M137" s="54" t="str">
        <f>IF($C$25&gt;=7,"λj ≦ q+4pz &lt; λj+1 の wBj+1", "-")</f>
        <v>-</v>
      </c>
      <c r="N137" s="44" t="str">
        <f ca="1">IF($C$25&gt;=7,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337</v>
      </c>
      <c r="M138" s="54" t="str">
        <f>IF($C$25&gt;=8,"λj ≦ q+5pz &lt; λj+1 の wBj+1", "-")</f>
        <v>-</v>
      </c>
      <c r="N138" s="44" t="str">
        <f ca="1">IF($C$25&gt;=8, INDEX(INDIRECT($H$52&amp;"!C:C"), MATCH($N$64, INDIRECT($H$52&amp;"!A:A"), 0)),"-")</f>
        <v>-</v>
      </c>
    </row>
    <row r="139" spans="11:14" x14ac:dyDescent="0.4">
      <c r="K139" s="3">
        <f t="shared" si="2"/>
        <v>139</v>
      </c>
      <c r="L139" s="45" t="s">
        <v>338</v>
      </c>
      <c r="M139" s="54" t="s">
        <v>342</v>
      </c>
      <c r="N139" s="2">
        <f ca="1">INDEX(INDIRECT($H$52&amp;"!C:C"), MATCH($N$65, INDIRECT($H$52&amp;"!A:A"), 0))</f>
        <v>154.06299999999999</v>
      </c>
    </row>
    <row r="140" spans="11:14" x14ac:dyDescent="0.4">
      <c r="K140" s="3">
        <f t="shared" si="2"/>
        <v>140</v>
      </c>
      <c r="L140" s="45" t="s">
        <v>339</v>
      </c>
      <c r="M140" s="54" t="s">
        <v>343</v>
      </c>
      <c r="N140" s="2">
        <f ca="1">INDEX(INDIRECT($H$52&amp;"!C:C"), MATCH($N$66, INDIRECT($H$52&amp;"!A:A"), 0))</f>
        <v>153.97200000000001</v>
      </c>
    </row>
    <row r="141" spans="11:14" x14ac:dyDescent="0.4">
      <c r="K141" s="3">
        <f t="shared" si="2"/>
        <v>141</v>
      </c>
      <c r="L141" s="45" t="s">
        <v>360</v>
      </c>
      <c r="M141" s="55" t="str">
        <f>IF($C$25&gt;=4,"2列目AC内径（水平・めっき含・概算）","-")</f>
        <v>2列目AC内径（水平・めっき含・概算）</v>
      </c>
      <c r="N141" s="44">
        <f ca="1">IF($C$25&gt;=4,($N$68*$N$100+$N$76*$N$92)/($N$60-$N$52)+$C$31*2,"-")</f>
        <v>156.50139999999999</v>
      </c>
    </row>
    <row r="142" spans="11:14" x14ac:dyDescent="0.4">
      <c r="K142" s="3">
        <f t="shared" si="2"/>
        <v>142</v>
      </c>
      <c r="L142" s="45" t="s">
        <v>361</v>
      </c>
      <c r="M142" s="55" t="str">
        <f>IF($C$25&gt;=5,"3列目AC内径（水平・めっき含・概算）","-")</f>
        <v>3列目AC内径（水平・めっき含・概算）</v>
      </c>
      <c r="N142" s="44">
        <f ca="1">IF($C$25&gt;=5,($N$69*$N$101+$N$77*$N$93)/($N$61-$N$53)+$C$31*2,"-")</f>
        <v>156.4102</v>
      </c>
    </row>
    <row r="143" spans="11:14" x14ac:dyDescent="0.4">
      <c r="K143" s="3">
        <f t="shared" si="2"/>
        <v>143</v>
      </c>
      <c r="L143" s="45" t="s">
        <v>362</v>
      </c>
      <c r="M143" s="55" t="str">
        <f>IF($C$25&gt;=6,"4列目AC内径（水平・めっき含・概算）","-")</f>
        <v>4列目AC内径（水平・めっき含・概算）</v>
      </c>
      <c r="N143" s="44">
        <f ca="1">IF($C$25&gt;=6,($N$70*$N$102+$N$78*$N$94)/($N$62-$N$54)+$C$31*2,"-")</f>
        <v>156.31899999999999</v>
      </c>
    </row>
    <row r="144" spans="11:14" x14ac:dyDescent="0.4">
      <c r="K144" s="3">
        <f t="shared" si="2"/>
        <v>144</v>
      </c>
      <c r="L144" s="45" t="s">
        <v>363</v>
      </c>
      <c r="M144" s="55" t="str">
        <f>IF($C$25&gt;=7,"5列目AC内径（水平・めっき含・概算）","-")</f>
        <v>-</v>
      </c>
      <c r="N144" s="44" t="str">
        <f>IF($C$25&gt;=7,($N$71*$N$103+$N$79*$N$95)/($N$63-$N$55)+$C$31*2,"-")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364</v>
      </c>
      <c r="M145" s="55" t="str">
        <f>IF($C$25&gt;=8,"6列目AC内径（水平・めっき含・概算）","-")</f>
        <v>-</v>
      </c>
      <c r="N145" s="44" t="str">
        <f>IF($C$25&gt;=8,($N$72*$N$104+$N$80*$N$96)/($N$64-$N$56)+$C$31*2,"-")</f>
        <v>-</v>
      </c>
    </row>
    <row r="146" spans="11:14" x14ac:dyDescent="0.4">
      <c r="K146" s="3">
        <f t="shared" si="2"/>
        <v>146</v>
      </c>
      <c r="L146" s="45" t="s">
        <v>365</v>
      </c>
      <c r="M146" s="55" t="s">
        <v>350</v>
      </c>
      <c r="N146" s="2">
        <f ca="1">($N$73*$N$105+$N$81*$N$97)/($N$65-$N$57)+$C$31*2</f>
        <v>156.23739999999998</v>
      </c>
    </row>
    <row r="147" spans="11:14" x14ac:dyDescent="0.4">
      <c r="K147" s="3">
        <f t="shared" si="2"/>
        <v>147</v>
      </c>
      <c r="L147" s="45" t="s">
        <v>306</v>
      </c>
      <c r="M147" s="55" t="s">
        <v>352</v>
      </c>
      <c r="N147" s="2">
        <f ca="1">INDEX(INDIRECT($H$52&amp;"!C:C"), MATCH(0, INDIRECT($H$52&amp;"!A:A"), 0))+$C$31*2</f>
        <v>154.97899999999998</v>
      </c>
    </row>
    <row r="148" spans="11:14" x14ac:dyDescent="0.4">
      <c r="K148" s="3">
        <f t="shared" si="2"/>
        <v>148</v>
      </c>
      <c r="L148" s="45" t="s">
        <v>349</v>
      </c>
      <c r="M148" s="55" t="str">
        <f>IF($C$25&gt;=3,"1列目 BD内径（めっき含・概算）","-")</f>
        <v>1列目 BD内径（めっき含・概算）</v>
      </c>
      <c r="N148" s="44">
        <f ca="1">IF($C$25&gt;=3,($N$67*$N$133+$N$75*$N$125)/($N$59-$N$51)+$C$31*2,"-")</f>
        <v>154.57380000000001</v>
      </c>
    </row>
    <row r="149" spans="11:14" x14ac:dyDescent="0.4">
      <c r="K149" s="3">
        <f t="shared" si="2"/>
        <v>149</v>
      </c>
      <c r="L149" s="45" t="s">
        <v>354</v>
      </c>
      <c r="M149" s="55" t="str">
        <f>IF($C$25&gt;=4,"2列目 BD内径（めっき含・概算）","-")</f>
        <v>2列目 BD内径（めっき含・概算）</v>
      </c>
      <c r="N149" s="44">
        <f ca="1">IF($C$25&gt;=4,($N$68*$N$134+$N$76*$N$126)/($N$60-$N$52)+$C$31*2,"-")</f>
        <v>154.4838</v>
      </c>
    </row>
    <row r="150" spans="11:14" x14ac:dyDescent="0.4">
      <c r="K150" s="3">
        <f t="shared" si="2"/>
        <v>150</v>
      </c>
      <c r="L150" s="45" t="s">
        <v>355</v>
      </c>
      <c r="M150" s="55" t="str">
        <f>IF($C$25&gt;=5,"3列目 BD内径（めっき含・概算）","-")</f>
        <v>3列目 BD内径（めっき含・概算）</v>
      </c>
      <c r="N150" s="44">
        <f ca="1">IF($C$25&gt;=5,($N$69*$N$135+$N$77*$N$127)/($N$61-$N$53)+$C$31*2,"-")</f>
        <v>154.39359999999999</v>
      </c>
    </row>
    <row r="151" spans="11:14" x14ac:dyDescent="0.4">
      <c r="K151" s="3">
        <f t="shared" si="2"/>
        <v>151</v>
      </c>
      <c r="L151" s="45" t="s">
        <v>356</v>
      </c>
      <c r="M151" s="55" t="str">
        <f>IF($C$25&gt;=6,"4列目 BD内径（めっき含・概算）","-")</f>
        <v>4列目 BD内径（めっき含・概算）</v>
      </c>
      <c r="N151" s="44">
        <f ca="1">IF($C$25&gt;=6,($N$70*$N$136+$N$78*$N$128)/($N$62-$N$54)+$C$31*2,"-")</f>
        <v>154.30399999999997</v>
      </c>
    </row>
    <row r="152" spans="11:14" x14ac:dyDescent="0.4">
      <c r="K152" s="3">
        <f t="shared" si="2"/>
        <v>152</v>
      </c>
      <c r="L152" s="45" t="s">
        <v>357</v>
      </c>
      <c r="M152" s="55" t="str">
        <f>IF($C$25&gt;=7,"5列目 BD内径（めっき含・概算）","-")</f>
        <v>-</v>
      </c>
      <c r="N152" s="44" t="str">
        <f>IF($C$25&gt;=7,($N$71*$N$137+$N$79*$N$129)/($N$63-$N$55)+$C$31*2,"-")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358</v>
      </c>
      <c r="M153" s="55" t="str">
        <f>IF($C$25&gt;=8,"6列目 BD内径（めっき含・概算）","-")</f>
        <v>-</v>
      </c>
      <c r="N153" s="44" t="str">
        <f>IF($C$25&gt;=8,($N$72*$N$138+$N$80*$N$130)/($N$64-$N$56)+$C$31*2,"-")</f>
        <v>-</v>
      </c>
    </row>
    <row r="154" spans="11:14" x14ac:dyDescent="0.4">
      <c r="K154" s="3">
        <f t="shared" si="2"/>
        <v>154</v>
      </c>
      <c r="L154" s="45" t="s">
        <v>359</v>
      </c>
      <c r="M154" s="55" t="s">
        <v>353</v>
      </c>
      <c r="N154" s="2">
        <f ca="1">($N$73*$N$139+$N$81*$N$131)/($N$65-$N$57)+$C$31*2</f>
        <v>154.22319999999999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  <c r="L158" s="45" t="s">
        <v>189</v>
      </c>
      <c r="N158" s="2">
        <f>C6^2+(2*N9)^2</f>
        <v>385003.74457739823</v>
      </c>
    </row>
    <row r="159" spans="11:14" x14ac:dyDescent="0.4">
      <c r="K159" s="3">
        <f t="shared" si="2"/>
        <v>159</v>
      </c>
      <c r="L159" s="45" t="s">
        <v>190</v>
      </c>
      <c r="M159" s="54" t="s">
        <v>29</v>
      </c>
      <c r="N159" s="2">
        <f>SQRT(N158)</f>
        <v>620.4866997586638</v>
      </c>
    </row>
    <row r="160" spans="11:14" x14ac:dyDescent="0.4">
      <c r="K160" s="3">
        <f t="shared" si="2"/>
        <v>160</v>
      </c>
      <c r="L160" s="45" t="s">
        <v>64</v>
      </c>
      <c r="M160" s="54" t="s">
        <v>30</v>
      </c>
      <c r="N160" s="2">
        <f>2*N9/N159</f>
        <v>0.99993440671866196</v>
      </c>
    </row>
    <row r="161" spans="11:14" x14ac:dyDescent="0.4">
      <c r="K161" s="3">
        <f t="shared" si="2"/>
        <v>161</v>
      </c>
      <c r="L161" s="45" t="s">
        <v>65</v>
      </c>
      <c r="M161" s="54" t="s">
        <v>31</v>
      </c>
      <c r="N161" s="2">
        <f>C6/N159</f>
        <v>1.1453482448474855E-2</v>
      </c>
    </row>
    <row r="162" spans="11:14" x14ac:dyDescent="0.4">
      <c r="K162" s="3">
        <f t="shared" si="2"/>
        <v>162</v>
      </c>
      <c r="L162" s="45" t="s">
        <v>191</v>
      </c>
      <c r="N162" s="2">
        <f>SQRT(N8^2-(N9-N12)^2)</f>
        <v>8727.6685506652357</v>
      </c>
    </row>
    <row r="163" spans="11:14" x14ac:dyDescent="0.4">
      <c r="K163" s="3">
        <f t="shared" si="2"/>
        <v>163</v>
      </c>
      <c r="L163" s="45" t="s">
        <v>192</v>
      </c>
      <c r="N163" s="2">
        <f>SQRT(N8^2-(N9+N12)^2)</f>
        <v>8720.5566984150155</v>
      </c>
    </row>
    <row r="164" spans="11:14" x14ac:dyDescent="0.4">
      <c r="K164" s="3">
        <f t="shared" si="2"/>
        <v>164</v>
      </c>
      <c r="L164" s="45" t="s">
        <v>193</v>
      </c>
      <c r="N164" s="2">
        <f>N12*N9</f>
        <v>31022.300000000003</v>
      </c>
    </row>
    <row r="165" spans="11:14" x14ac:dyDescent="0.4">
      <c r="K165" s="3">
        <f t="shared" si="2"/>
        <v>165</v>
      </c>
      <c r="L165" s="45" t="s">
        <v>194</v>
      </c>
      <c r="N165" s="2">
        <f>SQRT(N8^2-N158/4)</f>
        <v>8724.6857309507523</v>
      </c>
    </row>
    <row r="166" spans="11:14" x14ac:dyDescent="0.4">
      <c r="K166" s="3">
        <f t="shared" si="2"/>
        <v>166</v>
      </c>
      <c r="L166" s="45" t="s">
        <v>75</v>
      </c>
      <c r="N166" s="2">
        <f>N165*N160</f>
        <v>8724.1134501850156</v>
      </c>
    </row>
    <row r="167" spans="11:14" x14ac:dyDescent="0.4">
      <c r="K167" s="3">
        <f t="shared" si="2"/>
        <v>167</v>
      </c>
      <c r="L167" s="45" t="s">
        <v>76</v>
      </c>
      <c r="M167" s="54" t="s">
        <v>27</v>
      </c>
      <c r="N167" s="2">
        <f>N165*N161</f>
        <v>99.928034887903451</v>
      </c>
    </row>
    <row r="168" spans="11:14" x14ac:dyDescent="0.4">
      <c r="K168" s="3">
        <f t="shared" ref="K168" si="3">ROW(K168)</f>
        <v>168</v>
      </c>
      <c r="L168" s="45" t="s">
        <v>42</v>
      </c>
      <c r="M168" s="54" t="s">
        <v>26</v>
      </c>
      <c r="N168" s="2">
        <f>C6/2+N7-N166</f>
        <v>4.126371131180349</v>
      </c>
    </row>
    <row r="183" spans="12:14" x14ac:dyDescent="0.4">
      <c r="L183" s="54"/>
      <c r="M183" s="55"/>
      <c r="N183" s="1"/>
    </row>
  </sheetData>
  <phoneticPr fontId="1"/>
  <conditionalFormatting sqref="C3">
    <cfRule type="expression" dxfId="40" priority="30">
      <formula>$C$3&gt;2*N164</formula>
    </cfRule>
  </conditionalFormatting>
  <conditionalFormatting sqref="C4">
    <cfRule type="expression" dxfId="39" priority="23">
      <formula>C4&lt;0</formula>
    </cfRule>
  </conditionalFormatting>
  <conditionalFormatting sqref="C6">
    <cfRule type="expression" dxfId="38" priority="15">
      <formula>$C$6&lt;0</formula>
    </cfRule>
  </conditionalFormatting>
  <conditionalFormatting sqref="C9">
    <cfRule type="expression" dxfId="37" priority="24">
      <formula>$C$9&lt;=0</formula>
    </cfRule>
  </conditionalFormatting>
  <conditionalFormatting sqref="C10:C11">
    <cfRule type="expression" dxfId="36" priority="16">
      <formula>$C$10&lt;0</formula>
    </cfRule>
  </conditionalFormatting>
  <conditionalFormatting sqref="C15">
    <cfRule type="expression" dxfId="35" priority="28">
      <formula>OR(C15&lt;=0, C15&gt;Q2)</formula>
    </cfRule>
  </conditionalFormatting>
  <conditionalFormatting sqref="C35">
    <cfRule type="expression" dxfId="34" priority="22">
      <formula>C35&lt;0</formula>
    </cfRule>
  </conditionalFormatting>
  <conditionalFormatting sqref="C36">
    <cfRule type="expression" dxfId="33" priority="27">
      <formula>OR($C$36&lt;0, $C$36&gt;=$C$9)</formula>
    </cfRule>
  </conditionalFormatting>
  <conditionalFormatting sqref="C37">
    <cfRule type="expression" dxfId="32" priority="14">
      <formula>OR($C$37&lt;0, $C$37&gt;=$C$10)</formula>
    </cfRule>
  </conditionalFormatting>
  <conditionalFormatting sqref="C38">
    <cfRule type="expression" dxfId="31" priority="29">
      <formula>OR(C38&lt;0, C38&gt;=C9)</formula>
    </cfRule>
  </conditionalFormatting>
  <conditionalFormatting sqref="C41">
    <cfRule type="expression" dxfId="30" priority="31">
      <formula>OR(C41&lt;0, C41&gt;=C4)</formula>
    </cfRule>
  </conditionalFormatting>
  <conditionalFormatting sqref="C44">
    <cfRule type="expression" dxfId="29" priority="32">
      <formula>OR(C44&lt;0, C44&gt;=C4)</formula>
    </cfRule>
  </conditionalFormatting>
  <conditionalFormatting sqref="C61">
    <cfRule type="expression" dxfId="28" priority="26">
      <formula>AND(C61&lt;&gt;330.223, C61&lt;&gt;270, C61&lt;&gt;250)</formula>
    </cfRule>
  </conditionalFormatting>
  <conditionalFormatting sqref="C62">
    <cfRule type="expression" dxfId="27" priority="25">
      <formula>C62&lt;&gt;40</formula>
    </cfRule>
  </conditionalFormatting>
  <conditionalFormatting sqref="C65">
    <cfRule type="expression" dxfId="26" priority="18">
      <formula>OR(C65&gt;0, ABS(ABS(C65)-740)&gt;=1)</formula>
    </cfRule>
  </conditionalFormatting>
  <conditionalFormatting sqref="C66">
    <cfRule type="expression" dxfId="25" priority="21">
      <formula>OR(C66&gt;0, ABS(ABS(C66)-550)&gt;=1)</formula>
    </cfRule>
  </conditionalFormatting>
  <conditionalFormatting sqref="C67">
    <cfRule type="expression" dxfId="24" priority="19">
      <formula>OR(C67&gt;0, ABS(ABS(C67)-1150)&gt;=1)</formula>
    </cfRule>
  </conditionalFormatting>
  <conditionalFormatting sqref="C68">
    <cfRule type="expression" dxfId="23" priority="20">
      <formula>OR(ABS(C68)&gt;=0.2)</formula>
    </cfRule>
  </conditionalFormatting>
  <conditionalFormatting sqref="H48">
    <cfRule type="expression" dxfId="22" priority="17">
      <formula>OR($H$48&lt;=1, INT($H$48)&lt;&gt;$H$48)</formula>
    </cfRule>
  </conditionalFormatting>
  <conditionalFormatting sqref="H52">
    <cfRule type="expression" dxfId="21" priority="13">
      <formula>ISERROR(INDIRECT($H$52&amp;"!$G$45"))</formula>
    </cfRule>
  </conditionalFormatting>
  <conditionalFormatting sqref="C25">
    <cfRule type="expression" dxfId="20" priority="33">
      <formula>OR(C25-QUOTIENT(C25,1)&lt;&gt;0, C25&lt;0, C25&gt;$C$71)</formula>
    </cfRule>
  </conditionalFormatting>
  <conditionalFormatting sqref="H50">
    <cfRule type="expression" dxfId="19" priority="12">
      <formula>OR($H$50&lt;1, INT($H$50)&lt;&gt;$H$50)</formula>
    </cfRule>
  </conditionalFormatting>
  <conditionalFormatting sqref="H51">
    <cfRule type="expression" dxfId="18" priority="11">
      <formula>OR($H$51&lt;0, INT($H$51)&lt;&gt;$H$51)</formula>
    </cfRule>
  </conditionalFormatting>
  <conditionalFormatting sqref="C23">
    <cfRule type="expression" dxfId="17" priority="34">
      <formula>OR($C$23&lt;=0, MOD($C$23,$C$22)&lt;&gt;0, $C$23&gt;=#REF!)</formula>
    </cfRule>
  </conditionalFormatting>
  <conditionalFormatting sqref="C26">
    <cfRule type="expression" dxfId="16" priority="35">
      <formula>OR($C$26&lt;=0, $C$26&gt;=MIN($C$23, $C$24))</formula>
    </cfRule>
  </conditionalFormatting>
  <conditionalFormatting sqref="N141:N146">
    <cfRule type="expression" dxfId="15" priority="10">
      <formula>$H$51&lt;0</formula>
    </cfRule>
  </conditionalFormatting>
  <conditionalFormatting sqref="N147:N154">
    <cfRule type="expression" dxfId="14" priority="9">
      <formula>$H$51&lt;0</formula>
    </cfRule>
  </conditionalFormatting>
  <conditionalFormatting sqref="C16">
    <cfRule type="expression" dxfId="13" priority="36">
      <formula>OR(C16&lt;=0, C16+C15&gt;Q2)</formula>
    </cfRule>
  </conditionalFormatting>
  <conditionalFormatting sqref="G1:G1048576">
    <cfRule type="expression" dxfId="12" priority="5">
      <formula>G1="X"</formula>
    </cfRule>
    <cfRule type="expression" dxfId="11" priority="6">
      <formula>G1="Y"</formula>
    </cfRule>
    <cfRule type="expression" dxfId="10" priority="7">
      <formula>G1="Z"</formula>
    </cfRule>
    <cfRule type="expression" dxfId="9" priority="8">
      <formula>G1="B"</formula>
    </cfRule>
  </conditionalFormatting>
  <conditionalFormatting sqref="H81:H96">
    <cfRule type="expression" dxfId="8" priority="4">
      <formula>$H$51&lt;0</formula>
    </cfRule>
  </conditionalFormatting>
  <conditionalFormatting sqref="C17">
    <cfRule type="expression" dxfId="7" priority="37">
      <formula>OR($C$17&lt;=0, $C$17&gt;=($C$9-#REF!)/2, $C$17&gt;=($C$36-#REF!)/2)</formula>
    </cfRule>
  </conditionalFormatting>
  <conditionalFormatting sqref="H77">
    <cfRule type="expression" dxfId="6" priority="38">
      <formula>$H$77&lt;=$C$27/2+$C$28</formula>
    </cfRule>
  </conditionalFormatting>
  <conditionalFormatting sqref="C27">
    <cfRule type="expression" dxfId="5" priority="3">
      <formula>OR($C$27&lt;=0, $C$27&gt;$C$26)</formula>
    </cfRule>
  </conditionalFormatting>
  <conditionalFormatting sqref="H49">
    <cfRule type="expression" dxfId="4" priority="2">
      <formula>OR($H$49&lt;0, INT($H$49)&lt;&gt;$H$49)</formula>
    </cfRule>
  </conditionalFormatting>
  <conditionalFormatting sqref="C13">
    <cfRule type="expression" dxfId="3" priority="39">
      <formula>OR($C$13&gt;=$C$9, $C$13&gt;=$C$42)</formula>
    </cfRule>
  </conditionalFormatting>
  <conditionalFormatting sqref="C14">
    <cfRule type="expression" dxfId="2" priority="40">
      <formula>OR($C$14&gt;=$C$10, $C$14&gt;=$C$42)</formula>
    </cfRule>
  </conditionalFormatting>
  <dataValidations count="1">
    <dataValidation imeMode="disabled" allowBlank="1" showInputMessage="1" showErrorMessage="1" sqref="H79 N141:N154 C49:C52 C55:C58 H54:H72 H81:H96 C3:C32 C60:C71 G1:G1048576 C76:C77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204</v>
      </c>
      <c r="B1" s="41" t="s">
        <v>205</v>
      </c>
      <c r="C1" s="41" t="s">
        <v>206</v>
      </c>
      <c r="D1" s="40" t="s">
        <v>207</v>
      </c>
      <c r="E1" s="42" t="s">
        <v>208</v>
      </c>
      <c r="F1" s="42" t="s">
        <v>209</v>
      </c>
      <c r="G1" s="42" t="s">
        <v>210</v>
      </c>
      <c r="H1" s="40" t="s">
        <v>211</v>
      </c>
      <c r="I1" s="40" t="s">
        <v>212</v>
      </c>
      <c r="J1" s="40" t="s">
        <v>213</v>
      </c>
      <c r="K1" s="40" t="s">
        <v>214</v>
      </c>
      <c r="L1" s="40" t="s">
        <v>215</v>
      </c>
      <c r="M1" s="40" t="s">
        <v>215</v>
      </c>
      <c r="N1" s="40" t="s">
        <v>216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2024-02-29T00:05:19Z</dcterms:modified>
</cp:coreProperties>
</file>