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01\Documents\kurahashi nobuaki\LaTeX\"/>
    </mc:Choice>
  </mc:AlternateContent>
  <xr:revisionPtr revIDLastSave="0" documentId="13_ncr:1_{3AB2B7FE-E551-40EE-BC1E-6D1CBCC06487}" xr6:coauthVersionLast="47" xr6:coauthVersionMax="47" xr10:uidLastSave="{00000000-0000-0000-0000-000000000000}"/>
  <bookViews>
    <workbookView xWindow="0" yWindow="0" windowWidth="20085" windowHeight="15600" tabRatio="638" firstSheet="13" activeTab="15" xr2:uid="{331D296A-DE97-4357-9338-22F5C8F49D08}"/>
  </bookViews>
  <sheets>
    <sheet name="master" sheetId="2" r:id="rId1"/>
    <sheet name="wankyoku" sheetId="5" r:id="rId2"/>
    <sheet name="huriwake" sheetId="6" r:id="rId3"/>
    <sheet name="spacer" sheetId="3" r:id="rId4"/>
    <sheet name="gaikei" sheetId="7" r:id="rId5"/>
    <sheet name="naikei" sheetId="8" r:id="rId6"/>
    <sheet name="keyMizo" sheetId="9" r:id="rId7"/>
    <sheet name="bGaisaku" sheetId="10" r:id="rId8"/>
    <sheet name="tGaisaku" sheetId="11" r:id="rId9"/>
    <sheet name="bChanfer" sheetId="12" r:id="rId10"/>
    <sheet name="tChanfer" sheetId="13" r:id="rId11"/>
    <sheet name="zaguri" sheetId="14" r:id="rId12"/>
    <sheet name="palette" sheetId="4" r:id="rId13"/>
    <sheet name="cycleTime" sheetId="1" r:id="rId14"/>
    <sheet name="spacer calculator" sheetId="16" r:id="rId15"/>
    <sheet name="position" sheetId="17" r:id="rId16"/>
    <sheet name="e00937" sheetId="19"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50" i="17" l="1"/>
  <c r="H93" i="17"/>
  <c r="H92" i="17"/>
  <c r="F93" i="17"/>
  <c r="F92" i="17"/>
  <c r="F91" i="17"/>
  <c r="F90" i="17"/>
  <c r="F89" i="17"/>
  <c r="F88" i="17"/>
  <c r="K100" i="17"/>
  <c r="K101" i="17"/>
  <c r="K102" i="17"/>
  <c r="K103" i="17"/>
  <c r="K98" i="17"/>
  <c r="K99" i="17"/>
  <c r="F85" i="17"/>
  <c r="F84" i="17"/>
  <c r="F83" i="17"/>
  <c r="F82" i="17"/>
  <c r="F81" i="17"/>
  <c r="F80" i="17"/>
  <c r="N12" i="17"/>
  <c r="K4" i="17"/>
  <c r="N23" i="17"/>
  <c r="N28" i="17"/>
  <c r="N29" i="17" s="1"/>
  <c r="K142" i="17"/>
  <c r="K143" i="17"/>
  <c r="M140" i="17"/>
  <c r="M139" i="17"/>
  <c r="M138" i="17"/>
  <c r="M137" i="17"/>
  <c r="M136" i="17"/>
  <c r="M135" i="17"/>
  <c r="K136" i="17"/>
  <c r="K135" i="17"/>
  <c r="K134" i="17"/>
  <c r="M132" i="17"/>
  <c r="M131" i="17"/>
  <c r="M130" i="17"/>
  <c r="M129" i="17"/>
  <c r="M128" i="17"/>
  <c r="K133" i="17"/>
  <c r="K132" i="17"/>
  <c r="K131" i="17"/>
  <c r="K130" i="17"/>
  <c r="K129" i="17"/>
  <c r="K128" i="17"/>
  <c r="K139" i="17"/>
  <c r="K138" i="17"/>
  <c r="K137" i="17"/>
  <c r="H67" i="17"/>
  <c r="I67" i="17" s="1"/>
  <c r="F67" i="17"/>
  <c r="H66" i="17"/>
  <c r="I66" i="17" s="1"/>
  <c r="F66" i="17"/>
  <c r="F65" i="17"/>
  <c r="F64" i="17"/>
  <c r="F63" i="17"/>
  <c r="F62" i="17"/>
  <c r="M125" i="17"/>
  <c r="M124" i="17"/>
  <c r="M123" i="17"/>
  <c r="M122" i="17"/>
  <c r="M121" i="17"/>
  <c r="M120" i="17"/>
  <c r="M117" i="17"/>
  <c r="M116" i="17"/>
  <c r="M115" i="17"/>
  <c r="M114" i="17"/>
  <c r="M113" i="17"/>
  <c r="M112" i="17"/>
  <c r="K127" i="17"/>
  <c r="K126" i="17"/>
  <c r="K125" i="17"/>
  <c r="K124" i="17"/>
  <c r="K123" i="17"/>
  <c r="K122" i="17"/>
  <c r="K121" i="17"/>
  <c r="K120" i="17"/>
  <c r="K119" i="17"/>
  <c r="K118" i="17"/>
  <c r="K117" i="17"/>
  <c r="K116" i="17"/>
  <c r="K115" i="17"/>
  <c r="K114" i="17"/>
  <c r="K113" i="17"/>
  <c r="K112" i="17"/>
  <c r="F71" i="17" l="1"/>
  <c r="H19" i="17"/>
  <c r="K140" i="17"/>
  <c r="K141" i="17"/>
  <c r="K144" i="17"/>
  <c r="K145" i="17"/>
  <c r="K146" i="17"/>
  <c r="K147" i="17"/>
  <c r="K148" i="17"/>
  <c r="K149" i="17"/>
  <c r="K150" i="17"/>
  <c r="K151" i="17"/>
  <c r="K152" i="17"/>
  <c r="K153" i="17"/>
  <c r="K154" i="17"/>
  <c r="K155" i="17"/>
  <c r="M91" i="17"/>
  <c r="M90" i="17"/>
  <c r="M89" i="17"/>
  <c r="M88" i="17"/>
  <c r="M87" i="17"/>
  <c r="M86" i="17"/>
  <c r="M83" i="17"/>
  <c r="M82" i="17"/>
  <c r="M81" i="17"/>
  <c r="M80" i="17"/>
  <c r="M79" i="17"/>
  <c r="M78" i="17"/>
  <c r="M75" i="17"/>
  <c r="M74" i="17"/>
  <c r="M73" i="17"/>
  <c r="M72" i="17"/>
  <c r="K3"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104" i="17"/>
  <c r="K105" i="17"/>
  <c r="K106" i="17"/>
  <c r="K107" i="17"/>
  <c r="K109" i="17"/>
  <c r="K108" i="17"/>
  <c r="K110" i="17"/>
  <c r="K111" i="17"/>
  <c r="K2" i="17"/>
  <c r="M71" i="17"/>
  <c r="M70" i="17"/>
  <c r="F54" i="17"/>
  <c r="F55" i="17"/>
  <c r="F56" i="17"/>
  <c r="F57" i="17"/>
  <c r="F59" i="17"/>
  <c r="F58" i="17"/>
  <c r="M67" i="17"/>
  <c r="M66" i="17"/>
  <c r="M65" i="17"/>
  <c r="M64" i="17"/>
  <c r="M63" i="17"/>
  <c r="M62" i="17"/>
  <c r="M59" i="17"/>
  <c r="M58" i="17"/>
  <c r="M57" i="17"/>
  <c r="M56" i="17"/>
  <c r="M55" i="17"/>
  <c r="M54" i="17"/>
  <c r="H52" i="17"/>
  <c r="M51" i="17"/>
  <c r="M50" i="17"/>
  <c r="M49" i="17"/>
  <c r="M48" i="17"/>
  <c r="M43" i="17"/>
  <c r="M42" i="17"/>
  <c r="M41" i="17"/>
  <c r="M40" i="17"/>
  <c r="M47" i="17"/>
  <c r="M39" i="17"/>
  <c r="M46" i="17"/>
  <c r="M38" i="17"/>
  <c r="N30" i="17"/>
  <c r="N70" i="17" s="1"/>
  <c r="N34" i="17"/>
  <c r="N74" i="17" s="1"/>
  <c r="H58" i="17" s="1"/>
  <c r="N35" i="17"/>
  <c r="N75" i="17" s="1"/>
  <c r="H59" i="17" s="1"/>
  <c r="M30" i="17"/>
  <c r="M31" i="17"/>
  <c r="M32" i="17"/>
  <c r="M33" i="17"/>
  <c r="M34" i="17"/>
  <c r="M35" i="17"/>
  <c r="H51" i="17"/>
  <c r="N43" i="17"/>
  <c r="N42" i="17"/>
  <c r="N116" i="17" s="1"/>
  <c r="N82" i="17"/>
  <c r="N51" i="17" a="1"/>
  <c r="N50" i="17" a="1"/>
  <c r="N83" i="17"/>
  <c r="N117" i="17"/>
  <c r="N38" i="17"/>
  <c r="N112" i="17"/>
  <c r="N78" i="17"/>
  <c r="N41" i="17"/>
  <c r="N49" i="17" a="1"/>
  <c r="N115" i="17"/>
  <c r="N81" i="17"/>
  <c r="N134" i="17"/>
  <c r="H22" i="17"/>
  <c r="N40" i="17"/>
  <c r="N48" i="17" a="1"/>
  <c r="H18" i="17" a="1"/>
  <c r="N45" i="17"/>
  <c r="N53" i="17" s="1" a="1"/>
  <c r="N44" i="17"/>
  <c r="N39" i="17"/>
  <c r="N47" i="17" a="1"/>
  <c r="N79" i="17"/>
  <c r="N59" i="17" l="1"/>
  <c r="H70" i="17"/>
  <c r="N94" i="17" s="1"/>
  <c r="N97" i="17" s="1"/>
  <c r="N58" i="17"/>
  <c r="H18" i="17"/>
  <c r="N61" i="17"/>
  <c r="N60" i="17"/>
  <c r="N57" i="17"/>
  <c r="N56" i="17"/>
  <c r="N55" i="17"/>
  <c r="N54" i="17"/>
  <c r="N53" i="17"/>
  <c r="N50" i="17"/>
  <c r="N51" i="17"/>
  <c r="N49" i="17"/>
  <c r="N48" i="17"/>
  <c r="N47" i="17"/>
  <c r="M42" i="19"/>
  <c r="L42" i="19"/>
  <c r="K42" i="19"/>
  <c r="J42" i="19"/>
  <c r="I42" i="19"/>
  <c r="F42" i="19"/>
  <c r="E42" i="19"/>
  <c r="G42" i="19" s="1"/>
  <c r="D42" i="19"/>
  <c r="N42" i="19" s="1"/>
  <c r="N41" i="19"/>
  <c r="M41" i="19"/>
  <c r="L41" i="19"/>
  <c r="K41" i="19"/>
  <c r="J41" i="19"/>
  <c r="I41" i="19"/>
  <c r="F41" i="19"/>
  <c r="G41" i="19" s="1"/>
  <c r="E41" i="19"/>
  <c r="D41" i="19"/>
  <c r="M40" i="19"/>
  <c r="L40" i="19"/>
  <c r="K40" i="19"/>
  <c r="J40" i="19"/>
  <c r="I40" i="19"/>
  <c r="F40" i="19"/>
  <c r="E40" i="19"/>
  <c r="G40" i="19" s="1"/>
  <c r="D40" i="19"/>
  <c r="N40" i="19" s="1"/>
  <c r="M39" i="19"/>
  <c r="L39" i="19"/>
  <c r="K39" i="19"/>
  <c r="J39" i="19"/>
  <c r="I39" i="19"/>
  <c r="F39" i="19"/>
  <c r="E39" i="19"/>
  <c r="G39" i="19" s="1"/>
  <c r="D39" i="19"/>
  <c r="N39" i="19" s="1"/>
  <c r="M38" i="19"/>
  <c r="L38" i="19"/>
  <c r="K38" i="19"/>
  <c r="J38" i="19"/>
  <c r="I38" i="19"/>
  <c r="F38" i="19"/>
  <c r="E38" i="19"/>
  <c r="G38" i="19" s="1"/>
  <c r="D38" i="19"/>
  <c r="N38" i="19" s="1"/>
  <c r="M37" i="19"/>
  <c r="L37" i="19"/>
  <c r="K37" i="19"/>
  <c r="J37" i="19"/>
  <c r="I37" i="19"/>
  <c r="F37" i="19"/>
  <c r="G37" i="19" s="1"/>
  <c r="E37" i="19"/>
  <c r="D37" i="19"/>
  <c r="N37" i="19" s="1"/>
  <c r="M36" i="19"/>
  <c r="L36" i="19"/>
  <c r="K36" i="19"/>
  <c r="J36" i="19"/>
  <c r="I36" i="19"/>
  <c r="F36" i="19"/>
  <c r="G36" i="19" s="1"/>
  <c r="E36" i="19"/>
  <c r="D36" i="19"/>
  <c r="N36" i="19" s="1"/>
  <c r="M35" i="19"/>
  <c r="L35" i="19"/>
  <c r="K35" i="19"/>
  <c r="J35" i="19"/>
  <c r="I35" i="19"/>
  <c r="F35" i="19"/>
  <c r="G35" i="19" s="1"/>
  <c r="E35" i="19"/>
  <c r="D35" i="19"/>
  <c r="N35" i="19" s="1"/>
  <c r="N34" i="19"/>
  <c r="M34" i="19"/>
  <c r="L34" i="19"/>
  <c r="K34" i="19"/>
  <c r="J34" i="19"/>
  <c r="I34" i="19"/>
  <c r="F34" i="19"/>
  <c r="E34" i="19"/>
  <c r="D34" i="19"/>
  <c r="M33" i="19"/>
  <c r="L33" i="19"/>
  <c r="K33" i="19"/>
  <c r="J33" i="19"/>
  <c r="I33" i="19"/>
  <c r="G33" i="19"/>
  <c r="F33" i="19"/>
  <c r="E33" i="19"/>
  <c r="D33" i="19"/>
  <c r="N33" i="19" s="1"/>
  <c r="M32" i="19"/>
  <c r="L32" i="19"/>
  <c r="K32" i="19"/>
  <c r="J32" i="19"/>
  <c r="I32" i="19"/>
  <c r="F32" i="19"/>
  <c r="E32" i="19"/>
  <c r="G32" i="19" s="1"/>
  <c r="D32" i="19"/>
  <c r="N32" i="19" s="1"/>
  <c r="M31" i="19"/>
  <c r="L31" i="19"/>
  <c r="K31" i="19"/>
  <c r="J31" i="19"/>
  <c r="I31" i="19"/>
  <c r="F31" i="19"/>
  <c r="E31" i="19"/>
  <c r="G31" i="19" s="1"/>
  <c r="D31" i="19"/>
  <c r="N31" i="19" s="1"/>
  <c r="M30" i="19"/>
  <c r="L30" i="19"/>
  <c r="K30" i="19"/>
  <c r="J30" i="19"/>
  <c r="I30" i="19"/>
  <c r="F30" i="19"/>
  <c r="E30" i="19"/>
  <c r="G30" i="19" s="1"/>
  <c r="D30" i="19"/>
  <c r="N30" i="19" s="1"/>
  <c r="N29" i="19"/>
  <c r="M29" i="19"/>
  <c r="L29" i="19"/>
  <c r="K29" i="19"/>
  <c r="J29" i="19"/>
  <c r="I29" i="19"/>
  <c r="F29" i="19"/>
  <c r="E29" i="19"/>
  <c r="G29" i="19" s="1"/>
  <c r="D29" i="19"/>
  <c r="M28" i="19"/>
  <c r="L28" i="19"/>
  <c r="K28" i="19"/>
  <c r="J28" i="19"/>
  <c r="I28" i="19"/>
  <c r="F28" i="19"/>
  <c r="E28" i="19"/>
  <c r="D28" i="19"/>
  <c r="N28" i="19" s="1"/>
  <c r="M27" i="19"/>
  <c r="L27" i="19"/>
  <c r="K27" i="19"/>
  <c r="J27" i="19"/>
  <c r="I27" i="19"/>
  <c r="G27" i="19"/>
  <c r="F27" i="19"/>
  <c r="E27" i="19"/>
  <c r="D27" i="19"/>
  <c r="N27" i="19" s="1"/>
  <c r="N26" i="19"/>
  <c r="M26" i="19"/>
  <c r="L26" i="19"/>
  <c r="K26" i="19"/>
  <c r="J26" i="19"/>
  <c r="I26" i="19"/>
  <c r="F26" i="19"/>
  <c r="E26" i="19"/>
  <c r="D26" i="19"/>
  <c r="M25" i="19"/>
  <c r="L25" i="19"/>
  <c r="K25" i="19"/>
  <c r="J25" i="19"/>
  <c r="I25" i="19"/>
  <c r="F25" i="19"/>
  <c r="E25" i="19"/>
  <c r="G25" i="19" s="1"/>
  <c r="D25" i="19"/>
  <c r="N25" i="19" s="1"/>
  <c r="M24" i="19"/>
  <c r="L24" i="19"/>
  <c r="K24" i="19"/>
  <c r="J24" i="19"/>
  <c r="I24" i="19"/>
  <c r="F24" i="19"/>
  <c r="E24" i="19"/>
  <c r="D24" i="19"/>
  <c r="N24" i="19" s="1"/>
  <c r="M23" i="19"/>
  <c r="L23" i="19"/>
  <c r="K23" i="19"/>
  <c r="J23" i="19"/>
  <c r="I23" i="19"/>
  <c r="F23" i="19"/>
  <c r="E23" i="19"/>
  <c r="G23" i="19" s="1"/>
  <c r="D23" i="19"/>
  <c r="N23" i="19" s="1"/>
  <c r="N22" i="19"/>
  <c r="M22" i="19"/>
  <c r="L22" i="19"/>
  <c r="K22" i="19"/>
  <c r="J22" i="19"/>
  <c r="I22" i="19"/>
  <c r="F22" i="19"/>
  <c r="E22" i="19"/>
  <c r="G22" i="19" s="1"/>
  <c r="D22" i="19"/>
  <c r="M21" i="19"/>
  <c r="L21" i="19"/>
  <c r="K21" i="19"/>
  <c r="J21" i="19"/>
  <c r="I21" i="19"/>
  <c r="F21" i="19"/>
  <c r="G21" i="19" s="1"/>
  <c r="E21" i="19"/>
  <c r="D21" i="19"/>
  <c r="N21" i="19" s="1"/>
  <c r="M20" i="19"/>
  <c r="L20" i="19"/>
  <c r="K20" i="19"/>
  <c r="J20" i="19"/>
  <c r="I20" i="19"/>
  <c r="F20" i="19"/>
  <c r="E20" i="19"/>
  <c r="D20" i="19"/>
  <c r="N20" i="19" s="1"/>
  <c r="M19" i="19"/>
  <c r="L19" i="19"/>
  <c r="K19" i="19"/>
  <c r="J19" i="19"/>
  <c r="I19" i="19"/>
  <c r="F19" i="19"/>
  <c r="E19" i="19"/>
  <c r="G19" i="19" s="1"/>
  <c r="D19" i="19"/>
  <c r="N19" i="19" s="1"/>
  <c r="M18" i="19"/>
  <c r="L18" i="19"/>
  <c r="K18" i="19"/>
  <c r="J18" i="19"/>
  <c r="I18" i="19"/>
  <c r="G18" i="19"/>
  <c r="F18" i="19"/>
  <c r="E18" i="19"/>
  <c r="D18" i="19"/>
  <c r="N18" i="19" s="1"/>
  <c r="N17" i="19"/>
  <c r="M17" i="19"/>
  <c r="L17" i="19"/>
  <c r="K17" i="19"/>
  <c r="J17" i="19"/>
  <c r="I17" i="19"/>
  <c r="F17" i="19"/>
  <c r="E17" i="19"/>
  <c r="G17" i="19" s="1"/>
  <c r="D17" i="19"/>
  <c r="M16" i="19"/>
  <c r="L16" i="19"/>
  <c r="K16" i="19"/>
  <c r="J16" i="19"/>
  <c r="I16" i="19"/>
  <c r="F16" i="19"/>
  <c r="E16" i="19"/>
  <c r="G16" i="19" s="1"/>
  <c r="D16" i="19"/>
  <c r="N16" i="19" s="1"/>
  <c r="N15" i="19"/>
  <c r="M15" i="19"/>
  <c r="L15" i="19"/>
  <c r="K15" i="19"/>
  <c r="J15" i="19"/>
  <c r="I15" i="19"/>
  <c r="F15" i="19"/>
  <c r="G15" i="19" s="1"/>
  <c r="E15" i="19"/>
  <c r="D15" i="19"/>
  <c r="M14" i="19"/>
  <c r="L14" i="19"/>
  <c r="K14" i="19"/>
  <c r="J14" i="19"/>
  <c r="I14" i="19"/>
  <c r="F14" i="19"/>
  <c r="E14" i="19"/>
  <c r="D14" i="19"/>
  <c r="N14" i="19" s="1"/>
  <c r="M13" i="19"/>
  <c r="L13" i="19"/>
  <c r="K13" i="19"/>
  <c r="J13" i="19"/>
  <c r="I13" i="19"/>
  <c r="G13" i="19"/>
  <c r="F13" i="19"/>
  <c r="E13" i="19"/>
  <c r="D13" i="19"/>
  <c r="N13" i="19" s="1"/>
  <c r="N12" i="19"/>
  <c r="M12" i="19"/>
  <c r="L12" i="19"/>
  <c r="K12" i="19"/>
  <c r="J12" i="19"/>
  <c r="I12" i="19"/>
  <c r="F12" i="19"/>
  <c r="E12" i="19"/>
  <c r="D12" i="19"/>
  <c r="M11" i="19"/>
  <c r="L11" i="19"/>
  <c r="K11" i="19"/>
  <c r="J11" i="19"/>
  <c r="I11" i="19"/>
  <c r="F11" i="19"/>
  <c r="E11" i="19"/>
  <c r="G11" i="19" s="1"/>
  <c r="D11" i="19"/>
  <c r="N11" i="19" s="1"/>
  <c r="M10" i="19"/>
  <c r="L10" i="19"/>
  <c r="K10" i="19"/>
  <c r="J10" i="19"/>
  <c r="I10" i="19"/>
  <c r="F10" i="19"/>
  <c r="E10" i="19"/>
  <c r="G10" i="19" s="1"/>
  <c r="D10" i="19"/>
  <c r="N10" i="19" s="1"/>
  <c r="M9" i="19"/>
  <c r="L9" i="19"/>
  <c r="K9" i="19"/>
  <c r="J9" i="19"/>
  <c r="I9" i="19"/>
  <c r="F9" i="19"/>
  <c r="E9" i="19"/>
  <c r="G9" i="19" s="1"/>
  <c r="D9" i="19"/>
  <c r="N9" i="19" s="1"/>
  <c r="N8" i="19"/>
  <c r="M8" i="19"/>
  <c r="L8" i="19"/>
  <c r="K8" i="19"/>
  <c r="J8" i="19"/>
  <c r="I8" i="19"/>
  <c r="F8" i="19"/>
  <c r="E8" i="19"/>
  <c r="G8" i="19" s="1"/>
  <c r="D8" i="19"/>
  <c r="M7" i="19"/>
  <c r="L7" i="19"/>
  <c r="K7" i="19"/>
  <c r="J7" i="19"/>
  <c r="I7" i="19"/>
  <c r="G7" i="19"/>
  <c r="F7" i="19"/>
  <c r="E7" i="19"/>
  <c r="D7" i="19"/>
  <c r="N7" i="19" s="1"/>
  <c r="M6" i="19"/>
  <c r="L6" i="19"/>
  <c r="K6" i="19"/>
  <c r="J6" i="19"/>
  <c r="I6" i="19"/>
  <c r="F6" i="19"/>
  <c r="E6" i="19"/>
  <c r="G6" i="19" s="1"/>
  <c r="D6" i="19"/>
  <c r="N6" i="19" s="1"/>
  <c r="N5" i="19"/>
  <c r="M5" i="19"/>
  <c r="L5" i="19"/>
  <c r="K5" i="19"/>
  <c r="J5" i="19"/>
  <c r="I5" i="19"/>
  <c r="G5" i="19"/>
  <c r="F5" i="19"/>
  <c r="E5" i="19"/>
  <c r="D5" i="19"/>
  <c r="M4" i="19"/>
  <c r="L4" i="19"/>
  <c r="K4" i="19"/>
  <c r="J4" i="19"/>
  <c r="I4" i="19"/>
  <c r="F4" i="19"/>
  <c r="E4" i="19"/>
  <c r="G4" i="19" s="1"/>
  <c r="D4" i="19"/>
  <c r="N4" i="19" s="1"/>
  <c r="M3" i="19"/>
  <c r="L3" i="19"/>
  <c r="K3" i="19"/>
  <c r="J3" i="19"/>
  <c r="I3" i="19"/>
  <c r="F3" i="19"/>
  <c r="E3" i="19"/>
  <c r="G3" i="19" s="1"/>
  <c r="D3" i="19"/>
  <c r="N3" i="19" s="1"/>
  <c r="N2" i="19"/>
  <c r="M2" i="19"/>
  <c r="L2" i="19"/>
  <c r="K2" i="19"/>
  <c r="J2" i="19"/>
  <c r="I2" i="19"/>
  <c r="D2" i="19"/>
  <c r="N90" i="17"/>
  <c r="N91" i="17"/>
  <c r="N125" i="17"/>
  <c r="N124" i="17"/>
  <c r="N122" i="17"/>
  <c r="N118" i="17"/>
  <c r="N123" i="17"/>
  <c r="N113" i="17"/>
  <c r="N89" i="17"/>
  <c r="N84" i="17"/>
  <c r="N85" i="17"/>
  <c r="N121" i="17"/>
  <c r="N119" i="17"/>
  <c r="N46" i="17" a="1"/>
  <c r="N88" i="17"/>
  <c r="N114" i="17"/>
  <c r="N87" i="17"/>
  <c r="N80" i="17"/>
  <c r="N52" i="17" a="1"/>
  <c r="N127" i="17"/>
  <c r="N67" i="17" l="1"/>
  <c r="N132" i="17" s="1"/>
  <c r="N46" i="17"/>
  <c r="N62" i="17" s="1"/>
  <c r="N52" i="17"/>
  <c r="N68" i="17" s="1"/>
  <c r="N66" i="17"/>
  <c r="N139" i="17" s="1"/>
  <c r="N69" i="17"/>
  <c r="H78" i="17" s="1"/>
  <c r="N65" i="17"/>
  <c r="N138" i="17" s="1"/>
  <c r="N64" i="17"/>
  <c r="N137" i="17" s="1"/>
  <c r="N63" i="17"/>
  <c r="N136" i="17" s="1"/>
  <c r="G24" i="19"/>
  <c r="G14" i="19"/>
  <c r="G12" i="19"/>
  <c r="G20" i="19"/>
  <c r="G28" i="19"/>
  <c r="G26" i="19"/>
  <c r="G34" i="19"/>
  <c r="N18" i="17"/>
  <c r="N15" i="17"/>
  <c r="N11" i="17"/>
  <c r="N10" i="17"/>
  <c r="N9" i="17"/>
  <c r="N108" i="17"/>
  <c r="N109" i="17"/>
  <c r="N120" i="17"/>
  <c r="N93" i="17"/>
  <c r="N86" i="17"/>
  <c r="N140" i="17" l="1"/>
  <c r="N131" i="17"/>
  <c r="H54" i="17"/>
  <c r="N19" i="17"/>
  <c r="N20" i="17"/>
  <c r="N135" i="17"/>
  <c r="N129" i="17"/>
  <c r="N130" i="17"/>
  <c r="N128" i="17"/>
  <c r="H71" i="17"/>
  <c r="N102" i="17" s="1"/>
  <c r="H72" i="17"/>
  <c r="N103" i="17" s="1"/>
  <c r="N16" i="17"/>
  <c r="N17" i="17"/>
  <c r="N8" i="17"/>
  <c r="N7" i="17" s="1"/>
  <c r="N13" i="17" s="1"/>
  <c r="N126" i="17"/>
  <c r="N92" i="17"/>
  <c r="N105" i="17" l="1"/>
  <c r="N133" i="17"/>
  <c r="N141" i="17"/>
  <c r="N22" i="17"/>
  <c r="N95" i="17"/>
  <c r="N96" i="17" s="1"/>
  <c r="N98" i="17" s="1"/>
  <c r="N99" i="17" s="1"/>
  <c r="H73" i="17" s="1"/>
  <c r="N21" i="17"/>
  <c r="H49" i="17"/>
  <c r="H48" i="17"/>
  <c r="Q22" i="17"/>
  <c r="Q21" i="17"/>
  <c r="H11" i="17"/>
  <c r="C38" i="17"/>
  <c r="H23" i="17" s="1"/>
  <c r="Q7" i="17"/>
  <c r="Q16" i="17"/>
  <c r="N24" i="17" s="1"/>
  <c r="G2" i="16"/>
  <c r="G3" i="16" s="1"/>
  <c r="G4" i="16"/>
  <c r="N24" i="16" s="1"/>
  <c r="G8" i="16"/>
  <c r="G10" i="16" s="1"/>
  <c r="N8" i="16"/>
  <c r="N9" i="16"/>
  <c r="N10" i="16"/>
  <c r="N11" i="16"/>
  <c r="N12" i="16"/>
  <c r="N13" i="16"/>
  <c r="O16" i="16"/>
  <c r="P16" i="16"/>
  <c r="Q16" i="16"/>
  <c r="R16" i="16"/>
  <c r="N17" i="16"/>
  <c r="O17" i="16"/>
  <c r="P17" i="16"/>
  <c r="Q17" i="16"/>
  <c r="R17" i="16"/>
  <c r="N18" i="16"/>
  <c r="O18" i="16"/>
  <c r="P18" i="16"/>
  <c r="Q18" i="16"/>
  <c r="R18" i="16"/>
  <c r="O19" i="16"/>
  <c r="P19" i="16"/>
  <c r="Q19" i="16"/>
  <c r="R19" i="16"/>
  <c r="N20" i="16"/>
  <c r="O20" i="16"/>
  <c r="P20" i="16"/>
  <c r="Q20" i="16"/>
  <c r="R20" i="16"/>
  <c r="O21" i="16"/>
  <c r="P21" i="16"/>
  <c r="Q21" i="16"/>
  <c r="R21" i="16"/>
  <c r="N22" i="16"/>
  <c r="O22" i="16"/>
  <c r="P22" i="16"/>
  <c r="Q22" i="16"/>
  <c r="R22" i="16"/>
  <c r="N23" i="16"/>
  <c r="O23" i="16"/>
  <c r="P23" i="16"/>
  <c r="Q23" i="16"/>
  <c r="R23" i="16"/>
  <c r="O24" i="16"/>
  <c r="P24" i="16"/>
  <c r="Q24" i="16"/>
  <c r="R24" i="16"/>
  <c r="O25" i="16"/>
  <c r="P25" i="16"/>
  <c r="Q25" i="16"/>
  <c r="R25" i="16"/>
  <c r="O26" i="16"/>
  <c r="P26" i="16"/>
  <c r="Q26" i="16"/>
  <c r="R26" i="16"/>
  <c r="N27" i="16"/>
  <c r="O27" i="16"/>
  <c r="P27" i="16"/>
  <c r="Q27" i="16"/>
  <c r="R27" i="16"/>
  <c r="N28" i="16"/>
  <c r="O28" i="16"/>
  <c r="P28" i="16"/>
  <c r="Q28" i="16"/>
  <c r="R28" i="16"/>
  <c r="O29" i="16"/>
  <c r="P29" i="16"/>
  <c r="Q29" i="16"/>
  <c r="R29" i="16"/>
  <c r="O30" i="16"/>
  <c r="P30" i="16"/>
  <c r="Q30" i="16"/>
  <c r="R30" i="16"/>
  <c r="O31" i="16"/>
  <c r="P31" i="16"/>
  <c r="Q31" i="16"/>
  <c r="R31" i="16"/>
  <c r="N32" i="16"/>
  <c r="O32" i="16"/>
  <c r="P32" i="16"/>
  <c r="Q32" i="16"/>
  <c r="R32" i="16"/>
  <c r="C2" i="4"/>
  <c r="C3" i="4"/>
  <c r="C4" i="4"/>
  <c r="C14" i="1"/>
  <c r="C4" i="1"/>
  <c r="C17" i="1"/>
  <c r="C7" i="1"/>
  <c r="C23" i="1"/>
  <c r="C20" i="1"/>
  <c r="C24" i="1"/>
  <c r="C25" i="1"/>
  <c r="C2" i="1"/>
  <c r="C3" i="1"/>
  <c r="C5" i="1"/>
  <c r="C6" i="1"/>
  <c r="C8" i="1"/>
  <c r="C9" i="1"/>
  <c r="C10" i="1"/>
  <c r="C11" i="1"/>
  <c r="C12" i="1"/>
  <c r="C13" i="1"/>
  <c r="C15" i="1"/>
  <c r="C16" i="1"/>
  <c r="C18" i="1"/>
  <c r="C19" i="1"/>
  <c r="C21" i="1"/>
  <c r="C22" i="1"/>
  <c r="N101" i="17" l="1"/>
  <c r="N25" i="17"/>
  <c r="Q15" i="17" s="1"/>
  <c r="N26" i="17"/>
  <c r="N27" i="17"/>
  <c r="H45" i="17"/>
  <c r="N149" i="17"/>
  <c r="N150" i="17"/>
  <c r="N145" i="17"/>
  <c r="N151" i="17"/>
  <c r="N4" i="16"/>
  <c r="N26" i="16"/>
  <c r="N21" i="16"/>
  <c r="N31" i="16"/>
  <c r="N15" i="16"/>
  <c r="O15" i="16" s="1"/>
  <c r="N25" i="16"/>
  <c r="N5" i="16"/>
  <c r="N19" i="16"/>
  <c r="N14" i="16"/>
  <c r="O14" i="16" s="1"/>
  <c r="G14" i="16"/>
  <c r="K6" i="16" s="1"/>
  <c r="N6" i="16"/>
  <c r="N16" i="16"/>
  <c r="O10" i="16"/>
  <c r="O4" i="16"/>
  <c r="O11" i="16"/>
  <c r="O8" i="16"/>
  <c r="O12" i="16"/>
  <c r="G5" i="16"/>
  <c r="G9" i="16"/>
  <c r="G11" i="16" s="1"/>
  <c r="C12" i="16" s="1"/>
  <c r="O5" i="16"/>
  <c r="O9" i="16"/>
  <c r="O13" i="16"/>
  <c r="O6" i="16"/>
  <c r="N30" i="16"/>
  <c r="N7" i="16"/>
  <c r="O7" i="16" s="1"/>
  <c r="N3" i="16"/>
  <c r="O3" i="16" s="1"/>
  <c r="N29" i="16"/>
  <c r="N100" i="17" l="1"/>
  <c r="H32" i="17"/>
  <c r="P15" i="16"/>
  <c r="R15" i="16" s="1"/>
  <c r="P14" i="16"/>
  <c r="R14" i="16" s="1"/>
  <c r="Q6" i="17"/>
  <c r="Q23" i="17"/>
  <c r="H36" i="17"/>
  <c r="N152" i="17"/>
  <c r="N146" i="17"/>
  <c r="P3" i="16"/>
  <c r="Q3" i="16" s="1"/>
  <c r="P7" i="16"/>
  <c r="Q7" i="16" s="1"/>
  <c r="P8" i="16"/>
  <c r="R8" i="16" s="1"/>
  <c r="P12" i="16"/>
  <c r="Q12" i="16" s="1"/>
  <c r="P9" i="16"/>
  <c r="Q9" i="16" s="1"/>
  <c r="R9" i="16"/>
  <c r="P13" i="16"/>
  <c r="R13" i="16" s="1"/>
  <c r="K7" i="16"/>
  <c r="K8" i="16"/>
  <c r="K9" i="16"/>
  <c r="P4" i="16"/>
  <c r="Q4" i="16" s="1"/>
  <c r="R4" i="16"/>
  <c r="P6" i="16"/>
  <c r="R6" i="16" s="1"/>
  <c r="Q6" i="16"/>
  <c r="P5" i="16"/>
  <c r="Q5" i="16"/>
  <c r="R5" i="16"/>
  <c r="P11" i="16"/>
  <c r="Q11" i="16" s="1"/>
  <c r="P10" i="16"/>
  <c r="Q10" i="16" s="1"/>
  <c r="H88" i="17" l="1"/>
  <c r="H85" i="17"/>
  <c r="H84" i="17"/>
  <c r="H80" i="17"/>
  <c r="H35" i="17"/>
  <c r="I35" i="17" s="1"/>
  <c r="R7" i="16"/>
  <c r="Q15" i="16"/>
  <c r="Q14" i="16"/>
  <c r="R3" i="16"/>
  <c r="N14" i="17"/>
  <c r="R12" i="16"/>
  <c r="N148" i="17"/>
  <c r="N154" i="17" s="1"/>
  <c r="N147" i="17"/>
  <c r="N153" i="17" s="1"/>
  <c r="R10" i="16"/>
  <c r="Q8" i="16"/>
  <c r="K10" i="16"/>
  <c r="R11" i="16"/>
  <c r="Q13" i="16"/>
  <c r="N3" i="17" l="1"/>
  <c r="N4" i="17" s="1"/>
  <c r="H8" i="17" s="1"/>
  <c r="I8" i="17" s="1"/>
  <c r="Q17" i="17"/>
  <c r="N155" i="17"/>
  <c r="Q2" i="17"/>
  <c r="Q9" i="17"/>
  <c r="Q11" i="17"/>
  <c r="R11" i="17" s="1"/>
  <c r="Q10" i="17"/>
  <c r="Q8" i="17"/>
  <c r="H7" i="17" l="1"/>
  <c r="Q19" i="17"/>
  <c r="R19" i="17" s="1"/>
  <c r="R9" i="17"/>
  <c r="R8" i="17"/>
  <c r="R17" i="17"/>
  <c r="Q3" i="17"/>
  <c r="R2" i="17"/>
  <c r="R10" i="17"/>
  <c r="Q4" i="17"/>
  <c r="N2" i="17" l="1"/>
  <c r="I7" i="17"/>
  <c r="Q20" i="17"/>
  <c r="R20" i="17" s="1"/>
  <c r="R3" i="17"/>
  <c r="Q5" i="17"/>
  <c r="N5" i="17" l="1"/>
  <c r="H3" i="17" s="1"/>
  <c r="N6" i="17"/>
  <c r="H14" i="17" s="1"/>
  <c r="Q12" i="17"/>
  <c r="R12" i="17" s="1"/>
  <c r="Q14" i="17"/>
  <c r="R14" i="17" s="1"/>
  <c r="H24" i="17" l="1"/>
  <c r="H37" i="17" s="1"/>
  <c r="I37" i="17" s="1"/>
  <c r="H33" i="17"/>
  <c r="I33" i="17" s="1"/>
  <c r="H13" i="17"/>
  <c r="H15" i="17"/>
  <c r="I15" i="17" s="1"/>
  <c r="H12" i="17"/>
  <c r="I12" i="17" s="1"/>
  <c r="I14" i="17"/>
  <c r="H4" i="17"/>
  <c r="H62" i="17"/>
  <c r="I62" i="17" s="1"/>
  <c r="H69" i="17"/>
  <c r="I69" i="17" s="1"/>
  <c r="H64" i="17"/>
  <c r="I64" i="17" s="1"/>
  <c r="H65" i="17"/>
  <c r="I65" i="17" s="1"/>
  <c r="H31" i="17"/>
  <c r="I31" i="17" s="1"/>
  <c r="H41" i="17"/>
  <c r="I41" i="17" s="1"/>
  <c r="H68" i="17"/>
  <c r="I68" i="17" s="1"/>
  <c r="H40" i="17"/>
  <c r="I40" i="17" s="1"/>
  <c r="H25" i="17"/>
  <c r="I25" i="17" s="1"/>
  <c r="H63" i="17"/>
  <c r="I63" i="17" s="1"/>
  <c r="H5" i="17"/>
  <c r="H29" i="17"/>
  <c r="I3" i="17"/>
  <c r="Q13" i="17"/>
  <c r="R13" i="17" s="1"/>
  <c r="Q18" i="17"/>
  <c r="R18" i="17" s="1"/>
  <c r="I24" i="17" l="1"/>
  <c r="H26" i="17"/>
  <c r="I26" i="17" s="1"/>
  <c r="H42" i="17"/>
  <c r="I42" i="17" s="1"/>
  <c r="H43" i="17"/>
  <c r="I43" i="17" s="1"/>
  <c r="I4" i="17"/>
  <c r="H6" i="17"/>
  <c r="H20" i="17"/>
  <c r="I13" i="17"/>
  <c r="H30" i="17"/>
  <c r="I30" i="17" s="1"/>
  <c r="I29" i="17"/>
  <c r="Q24" i="17"/>
  <c r="Q25" i="17"/>
  <c r="N36" i="17"/>
  <c r="N76" i="17" s="1"/>
  <c r="N31" i="17"/>
  <c r="N71" i="17" s="1"/>
  <c r="N37" i="17"/>
  <c r="N32" i="17"/>
  <c r="N72" i="17" s="1"/>
  <c r="N33" i="17"/>
  <c r="N73" i="17" s="1"/>
  <c r="H74" i="17" l="1"/>
  <c r="H56" i="17"/>
  <c r="H90" i="17" s="1"/>
  <c r="H55" i="17"/>
  <c r="H89" i="17" s="1"/>
  <c r="H60" i="17"/>
  <c r="H94" i="17" s="1"/>
  <c r="H57" i="17"/>
  <c r="H91" i="17" s="1"/>
  <c r="H21" i="17"/>
  <c r="I20" i="17"/>
  <c r="N77" i="17"/>
  <c r="N104" i="17"/>
  <c r="N106" i="17" s="1"/>
  <c r="N107" i="17" s="1"/>
  <c r="H83" i="17" l="1"/>
  <c r="H81" i="17"/>
  <c r="N110" i="17"/>
  <c r="H86" i="17"/>
  <c r="H82" i="17"/>
  <c r="H61" i="17"/>
  <c r="H34" i="17"/>
  <c r="I34" i="17" s="1"/>
  <c r="I21" i="17"/>
  <c r="I74" i="17"/>
  <c r="H75" i="17"/>
  <c r="H76" i="17" s="1"/>
  <c r="H87" i="17" l="1"/>
  <c r="H95" i="17"/>
  <c r="N111" i="17"/>
  <c r="H77" i="17" s="1"/>
  <c r="I76"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<sst xmlns="http://schemas.openxmlformats.org/spreadsheetml/2006/main" count="606" uniqueCount="478">
  <si>
    <t>列1</t>
  </si>
  <si>
    <t>sp#</t>
    <phoneticPr fontId="1"/>
  </si>
  <si>
    <t>#wankyoku</t>
    <phoneticPr fontId="1"/>
  </si>
  <si>
    <t>#program</t>
    <phoneticPr fontId="1"/>
  </si>
  <si>
    <t>#zumen</t>
    <phoneticPr fontId="1"/>
  </si>
  <si>
    <t>#huriwake</t>
    <phoneticPr fontId="1"/>
  </si>
  <si>
    <t>#gaikei</t>
    <phoneticPr fontId="1"/>
  </si>
  <si>
    <t>#naikei</t>
    <phoneticPr fontId="1"/>
  </si>
  <si>
    <t>#bGaisaku</t>
    <phoneticPr fontId="1"/>
  </si>
  <si>
    <t>#tGaisaku</t>
    <phoneticPr fontId="1"/>
  </si>
  <si>
    <t>#bChanfer</t>
    <phoneticPr fontId="1"/>
  </si>
  <si>
    <t>#tChanfer</t>
    <phoneticPr fontId="1"/>
  </si>
  <si>
    <t>#zaguri</t>
    <phoneticPr fontId="1"/>
  </si>
  <si>
    <t>#haridashi</t>
    <phoneticPr fontId="1"/>
  </si>
  <si>
    <t>#length</t>
    <phoneticPr fontId="1"/>
  </si>
  <si>
    <t>#fixedPoint</t>
    <phoneticPr fontId="1"/>
  </si>
  <si>
    <t>#fixingHight</t>
    <phoneticPr fontId="1"/>
  </si>
  <si>
    <t>#fixingWidth</t>
    <phoneticPr fontId="1"/>
  </si>
  <si>
    <t>#palette</t>
    <phoneticPr fontId="1"/>
  </si>
  <si>
    <t>#fixedPointBX</t>
    <phoneticPr fontId="1"/>
  </si>
  <si>
    <t>#fixedPointTX</t>
    <phoneticPr fontId="1"/>
  </si>
  <si>
    <t>#cycleTime</t>
    <phoneticPr fontId="1"/>
  </si>
  <si>
    <t>#cycleTimeS</t>
    <phoneticPr fontId="1"/>
  </si>
  <si>
    <t>#dimle</t>
    <phoneticPr fontId="1"/>
  </si>
  <si>
    <t>#nigashi</t>
    <phoneticPr fontId="1"/>
  </si>
  <si>
    <t>#keyMizo</t>
    <phoneticPr fontId="1"/>
  </si>
  <si>
    <t>ジグの長さの半分</t>
    <rPh sb="3" eb="4">
      <t>ナガ</t>
    </rPh>
    <rPh sb="6" eb="8">
      <t>ハンブン</t>
    </rPh>
    <phoneticPr fontId="1"/>
  </si>
  <si>
    <t>受板の長さ</t>
    <rPh sb="0" eb="1">
      <t>ウケ</t>
    </rPh>
    <rPh sb="1" eb="2">
      <t>イタ</t>
    </rPh>
    <rPh sb="3" eb="4">
      <t>ナガ</t>
    </rPh>
    <phoneticPr fontId="1"/>
  </si>
  <si>
    <t>l</t>
    <phoneticPr fontId="1"/>
  </si>
  <si>
    <t>σ</t>
    <phoneticPr fontId="1"/>
  </si>
  <si>
    <t>ρ</t>
    <phoneticPr fontId="1"/>
  </si>
  <si>
    <t>受板の半径</t>
    <rPh sb="0" eb="1">
      <t>ウケ</t>
    </rPh>
    <rPh sb="1" eb="2">
      <t>イタ</t>
    </rPh>
    <rPh sb="3" eb="4">
      <t>ハン</t>
    </rPh>
    <rPh sb="4" eb="5">
      <t>ケイ</t>
    </rPh>
    <phoneticPr fontId="1"/>
  </si>
  <si>
    <t>中心湾曲</t>
    <rPh sb="0" eb="2">
      <t>チュウシン</t>
    </rPh>
    <rPh sb="2" eb="4">
      <t>ワン</t>
    </rPh>
    <phoneticPr fontId="1"/>
  </si>
  <si>
    <t>w</t>
    <phoneticPr fontId="1"/>
  </si>
  <si>
    <t>外径</t>
    <rPh sb="0" eb="2">
      <t>ガイケイ</t>
    </rPh>
    <phoneticPr fontId="1"/>
  </si>
  <si>
    <t>トップ振分長</t>
    <rPh sb="3" eb="5">
      <t>フリワ</t>
    </rPh>
    <rPh sb="5" eb="6">
      <t>チョウ</t>
    </rPh>
    <phoneticPr fontId="1"/>
  </si>
  <si>
    <t>ボトム振分長</t>
    <rPh sb="3" eb="5">
      <t>フリ</t>
    </rPh>
    <rPh sb="5" eb="6">
      <t>チョウ</t>
    </rPh>
    <phoneticPr fontId="1"/>
  </si>
  <si>
    <t>δ</t>
    <phoneticPr fontId="1"/>
  </si>
  <si>
    <r>
      <t>R</t>
    </r>
    <r>
      <rPr>
        <vertAlign val="subscript"/>
        <sz val="10"/>
        <color theme="1"/>
        <rFont val="メイリオ"/>
        <family val="3"/>
        <charset val="128"/>
      </rPr>
      <t>i</t>
    </r>
    <r>
      <rPr>
        <sz val="10"/>
        <color theme="1"/>
        <rFont val="メイリオ"/>
        <family val="2"/>
        <charset val="128"/>
      </rPr>
      <t>'</t>
    </r>
    <r>
      <rPr>
        <vertAlign val="superscript"/>
        <sz val="10"/>
        <color theme="1"/>
        <rFont val="メイリオ"/>
        <family val="3"/>
        <charset val="128"/>
      </rPr>
      <t>2</t>
    </r>
    <r>
      <rPr>
        <sz val="10"/>
        <color theme="1"/>
        <rFont val="メイリオ"/>
        <family val="2"/>
        <charset val="128"/>
      </rPr>
      <t>-bar l</t>
    </r>
    <r>
      <rPr>
        <vertAlign val="superscript"/>
        <sz val="10"/>
        <color theme="1"/>
        <rFont val="メイリオ"/>
        <family val="3"/>
        <charset val="128"/>
      </rPr>
      <t>2</t>
    </r>
    <r>
      <rPr>
        <sz val="10"/>
        <color theme="1"/>
        <rFont val="メイリオ"/>
        <family val="2"/>
        <charset val="128"/>
      </rPr>
      <t>-d</t>
    </r>
    <r>
      <rPr>
        <vertAlign val="superscript"/>
        <sz val="10"/>
        <color theme="1"/>
        <rFont val="メイリオ"/>
        <family val="3"/>
        <charset val="128"/>
      </rPr>
      <t>2</t>
    </r>
    <phoneticPr fontId="1"/>
  </si>
  <si>
    <t>d*bar l</t>
    <phoneticPr fontId="1"/>
  </si>
  <si>
    <t>外面C側湾曲</t>
    <rPh sb="0" eb="2">
      <t>ガイメン</t>
    </rPh>
    <rPh sb="3" eb="4">
      <t>ガワ</t>
    </rPh>
    <rPh sb="4" eb="6">
      <t>ワンキョク</t>
    </rPh>
    <phoneticPr fontId="1"/>
  </si>
  <si>
    <t>受板までの径</t>
    <rPh sb="0" eb="1">
      <t>ウケ</t>
    </rPh>
    <rPh sb="1" eb="2">
      <t>イタ</t>
    </rPh>
    <rPh sb="5" eb="6">
      <t>ケイ</t>
    </rPh>
    <phoneticPr fontId="1"/>
  </si>
  <si>
    <t>受板中心間の距離</t>
    <rPh sb="0" eb="1">
      <t>ウケ</t>
    </rPh>
    <rPh sb="1" eb="2">
      <t>イタ</t>
    </rPh>
    <rPh sb="2" eb="4">
      <t>チュウシン</t>
    </rPh>
    <rPh sb="4" eb="5">
      <t>カン</t>
    </rPh>
    <rPh sb="6" eb="8">
      <t>キョリ</t>
    </rPh>
    <phoneticPr fontId="1"/>
  </si>
  <si>
    <t>均等振分</t>
    <rPh sb="0" eb="2">
      <t>キントウ</t>
    </rPh>
    <rPh sb="2" eb="4">
      <t>フリワ</t>
    </rPh>
    <phoneticPr fontId="1"/>
  </si>
  <si>
    <r>
      <t>δ</t>
    </r>
    <r>
      <rPr>
        <vertAlign val="superscript"/>
        <sz val="10"/>
        <color theme="1"/>
        <rFont val="メイリオ"/>
        <family val="3"/>
        <charset val="128"/>
      </rPr>
      <t>2</t>
    </r>
    <r>
      <rPr>
        <sz val="10"/>
        <color theme="1"/>
        <rFont val="メイリオ"/>
        <family val="2"/>
        <charset val="128"/>
      </rPr>
      <t>+(2bar l)</t>
    </r>
    <r>
      <rPr>
        <vertAlign val="superscript"/>
        <sz val="10"/>
        <color theme="1"/>
        <rFont val="メイリオ"/>
        <family val="3"/>
        <charset val="128"/>
      </rPr>
      <t>2</t>
    </r>
    <phoneticPr fontId="1"/>
  </si>
  <si>
    <t>Δ</t>
    <phoneticPr fontId="1"/>
  </si>
  <si>
    <t>BD外径</t>
    <rPh sb="2" eb="4">
      <t>ガイケイ</t>
    </rPh>
    <phoneticPr fontId="1"/>
  </si>
  <si>
    <r>
      <t>f</t>
    </r>
    <r>
      <rPr>
        <vertAlign val="subscript"/>
        <sz val="10"/>
        <color theme="1"/>
        <rFont val="メイリオ"/>
        <family val="3"/>
        <charset val="128"/>
      </rPr>
      <t>b</t>
    </r>
    <r>
      <rPr>
        <sz val="10"/>
        <color theme="1"/>
        <rFont val="メイリオ"/>
        <family val="2"/>
        <charset val="128"/>
      </rPr>
      <t>'</t>
    </r>
    <phoneticPr fontId="1"/>
  </si>
  <si>
    <t>任意スペーサ</t>
    <rPh sb="0" eb="2">
      <t>ニンイ</t>
    </rPh>
    <phoneticPr fontId="1"/>
  </si>
  <si>
    <t>※</t>
    <phoneticPr fontId="1"/>
  </si>
  <si>
    <r>
      <t>f</t>
    </r>
    <r>
      <rPr>
        <vertAlign val="subscript"/>
        <sz val="10"/>
        <color theme="1"/>
        <rFont val="メイリオ"/>
        <family val="3"/>
        <charset val="128"/>
      </rPr>
      <t>t</t>
    </r>
    <r>
      <rPr>
        <sz val="10"/>
        <color theme="1"/>
        <rFont val="メイリオ"/>
        <family val="2"/>
        <charset val="128"/>
      </rPr>
      <t>'</t>
    </r>
    <phoneticPr fontId="1"/>
  </si>
  <si>
    <t>理論値スペーサ</t>
    <rPh sb="0" eb="3">
      <t>リロンチ</t>
    </rPh>
    <phoneticPr fontId="1"/>
  </si>
  <si>
    <t>（スペーサ取付前の）トップ振分長がボトム振分長より長い場合は想定していない</t>
    <rPh sb="7" eb="8">
      <t>マエ</t>
    </rPh>
    <rPh sb="13" eb="15">
      <t>フリワ</t>
    </rPh>
    <rPh sb="15" eb="16">
      <t>チョウ</t>
    </rPh>
    <rPh sb="20" eb="22">
      <t>フリワケ</t>
    </rPh>
    <rPh sb="22" eb="23">
      <t>チョウ</t>
    </rPh>
    <rPh sb="25" eb="26">
      <t>ナガ</t>
    </rPh>
    <rPh sb="27" eb="29">
      <t>バアイ</t>
    </rPh>
    <rPh sb="30" eb="32">
      <t>ソウテイ</t>
    </rPh>
    <phoneticPr fontId="1"/>
  </si>
  <si>
    <r>
      <t>δ</t>
    </r>
    <r>
      <rPr>
        <vertAlign val="subscript"/>
        <sz val="10"/>
        <color theme="1"/>
        <rFont val="メイリオ"/>
        <family val="3"/>
        <charset val="128"/>
      </rPr>
      <t>h</t>
    </r>
    <r>
      <rPr>
        <vertAlign val="superscript"/>
        <sz val="10"/>
        <color theme="1"/>
        <rFont val="メイリオ"/>
        <family val="3"/>
        <charset val="128"/>
      </rPr>
      <t>2</t>
    </r>
    <phoneticPr fontId="1"/>
  </si>
  <si>
    <t>均等振分</t>
    <rPh sb="0" eb="2">
      <t>キントウ</t>
    </rPh>
    <rPh sb="2" eb="4">
      <t>フリワケ</t>
    </rPh>
    <phoneticPr fontId="1"/>
  </si>
  <si>
    <t>注意事項</t>
    <rPh sb="0" eb="4">
      <t>チュウイジコウ</t>
    </rPh>
    <phoneticPr fontId="1"/>
  </si>
  <si>
    <t>差(T-B)</t>
    <rPh sb="0" eb="1">
      <t>サ</t>
    </rPh>
    <phoneticPr fontId="1"/>
  </si>
  <si>
    <t>↓</t>
    <phoneticPr fontId="1"/>
  </si>
  <si>
    <t>取付後張出ボトム</t>
    <rPh sb="3" eb="5">
      <t>ハリダ</t>
    </rPh>
    <phoneticPr fontId="1"/>
  </si>
  <si>
    <t>要確認</t>
    <rPh sb="0" eb="3">
      <t>ヨウカクニン</t>
    </rPh>
    <phoneticPr fontId="1"/>
  </si>
  <si>
    <t>取付後張出トップ</t>
    <rPh sb="3" eb="5">
      <t>ハリダ</t>
    </rPh>
    <phoneticPr fontId="1"/>
  </si>
  <si>
    <r>
      <t>d=(f</t>
    </r>
    <r>
      <rPr>
        <vertAlign val="subscript"/>
        <sz val="10"/>
        <color theme="1"/>
        <rFont val="メイリオ"/>
        <family val="3"/>
        <charset val="128"/>
      </rPr>
      <t>b</t>
    </r>
    <r>
      <rPr>
        <sz val="10"/>
        <color theme="1"/>
        <rFont val="メイリオ"/>
        <family val="2"/>
        <charset val="128"/>
      </rPr>
      <t>-f</t>
    </r>
    <r>
      <rPr>
        <vertAlign val="subscript"/>
        <sz val="10"/>
        <color theme="1"/>
        <rFont val="メイリオ"/>
        <family val="3"/>
        <charset val="128"/>
      </rPr>
      <t>t</t>
    </r>
    <r>
      <rPr>
        <sz val="10"/>
        <color theme="1"/>
        <rFont val="メイリオ"/>
        <family val="2"/>
        <charset val="128"/>
      </rPr>
      <t>)/2</t>
    </r>
    <phoneticPr fontId="1"/>
  </si>
  <si>
    <r>
      <t>入力</t>
    </r>
    <r>
      <rPr>
        <b/>
        <sz val="10"/>
        <color theme="1"/>
        <rFont val="メイリオ"/>
        <family val="3"/>
        <charset val="128"/>
      </rPr>
      <t>しない</t>
    </r>
    <r>
      <rPr>
        <sz val="10"/>
        <color theme="1"/>
        <rFont val="メイリオ"/>
        <family val="2"/>
        <charset val="128"/>
      </rPr>
      <t>（自動計算）</t>
    </r>
    <rPh sb="0" eb="2">
      <t>ニュウリョ</t>
    </rPh>
    <rPh sb="6" eb="10">
      <t>ジドウケイサン</t>
    </rPh>
    <phoneticPr fontId="1"/>
  </si>
  <si>
    <t>取付後振分ボトム</t>
    <rPh sb="2" eb="3">
      <t>ゴ</t>
    </rPh>
    <rPh sb="3" eb="5">
      <t>フリワ</t>
    </rPh>
    <phoneticPr fontId="1"/>
  </si>
  <si>
    <t>参照する値</t>
    <rPh sb="0" eb="2">
      <t>サンショウ</t>
    </rPh>
    <rPh sb="4" eb="5">
      <t>アタイ</t>
    </rPh>
    <phoneticPr fontId="1"/>
  </si>
  <si>
    <t>取付後振分トップ</t>
    <rPh sb="2" eb="3">
      <t>ゴ</t>
    </rPh>
    <rPh sb="3" eb="5">
      <t>フリワ</t>
    </rPh>
    <phoneticPr fontId="1"/>
  </si>
  <si>
    <r>
      <t>f</t>
    </r>
    <r>
      <rPr>
        <vertAlign val="subscript"/>
        <sz val="10"/>
        <color theme="1"/>
        <rFont val="メイリオ"/>
        <family val="3"/>
        <charset val="128"/>
      </rPr>
      <t>b</t>
    </r>
    <phoneticPr fontId="1"/>
  </si>
  <si>
    <t>取付後の振分</t>
    <rPh sb="0" eb="2">
      <t>トリツケ</t>
    </rPh>
    <rPh sb="2" eb="3">
      <t>ゴ</t>
    </rPh>
    <rPh sb="4" eb="6">
      <t>フリワ</t>
    </rPh>
    <phoneticPr fontId="1"/>
  </si>
  <si>
    <r>
      <t>sqrt(R</t>
    </r>
    <r>
      <rPr>
        <vertAlign val="subscript"/>
        <sz val="10"/>
        <color theme="1"/>
        <rFont val="メイリオ"/>
        <family val="3"/>
        <charset val="128"/>
      </rPr>
      <t>i</t>
    </r>
    <r>
      <rPr>
        <sz val="10"/>
        <color theme="1"/>
        <rFont val="メイリオ"/>
        <family val="2"/>
        <charset val="128"/>
      </rPr>
      <t>'</t>
    </r>
    <r>
      <rPr>
        <vertAlign val="superscript"/>
        <sz val="10"/>
        <color theme="1"/>
        <rFont val="メイリオ"/>
        <family val="3"/>
        <charset val="128"/>
      </rPr>
      <t>2</t>
    </r>
    <r>
      <rPr>
        <sz val="10"/>
        <color theme="1"/>
        <rFont val="メイリオ"/>
        <family val="2"/>
        <charset val="128"/>
      </rPr>
      <t>-bar l</t>
    </r>
    <r>
      <rPr>
        <vertAlign val="superscript"/>
        <sz val="10"/>
        <color theme="1"/>
        <rFont val="メイリオ"/>
        <family val="3"/>
        <charset val="128"/>
      </rPr>
      <t>2</t>
    </r>
    <r>
      <rPr>
        <sz val="10"/>
        <color theme="1"/>
        <rFont val="メイリオ"/>
        <family val="2"/>
        <charset val="128"/>
      </rPr>
      <t>)</t>
    </r>
    <phoneticPr fontId="1"/>
  </si>
  <si>
    <r>
      <t>f</t>
    </r>
    <r>
      <rPr>
        <vertAlign val="subscript"/>
        <sz val="10"/>
        <color theme="1"/>
        <rFont val="メイリオ"/>
        <family val="3"/>
        <charset val="128"/>
      </rPr>
      <t>t</t>
    </r>
    <phoneticPr fontId="1"/>
  </si>
  <si>
    <t>bar l=l-σ/2</t>
    <phoneticPr fontId="1"/>
  </si>
  <si>
    <t>使用スペーサ</t>
    <rPh sb="0" eb="2">
      <t>シヨウ</t>
    </rPh>
    <phoneticPr fontId="1"/>
  </si>
  <si>
    <r>
      <t>δ</t>
    </r>
    <r>
      <rPr>
        <vertAlign val="subscript"/>
        <sz val="10"/>
        <color theme="1"/>
        <rFont val="メイリオ"/>
        <family val="3"/>
        <charset val="128"/>
      </rPr>
      <t>h</t>
    </r>
    <phoneticPr fontId="1"/>
  </si>
  <si>
    <r>
      <t>R</t>
    </r>
    <r>
      <rPr>
        <vertAlign val="subscript"/>
        <sz val="10"/>
        <color theme="1"/>
        <rFont val="メイリオ"/>
        <family val="3"/>
        <charset val="128"/>
      </rPr>
      <t>i</t>
    </r>
    <r>
      <rPr>
        <sz val="10"/>
        <color theme="1"/>
        <rFont val="メイリオ"/>
        <family val="2"/>
        <charset val="128"/>
      </rPr>
      <t>'=R</t>
    </r>
    <r>
      <rPr>
        <vertAlign val="subscript"/>
        <sz val="10"/>
        <color theme="1"/>
        <rFont val="メイリオ"/>
        <family val="3"/>
        <charset val="128"/>
      </rPr>
      <t>i</t>
    </r>
    <r>
      <rPr>
        <sz val="10"/>
        <color theme="1"/>
        <rFont val="メイリオ"/>
        <family val="2"/>
        <charset val="128"/>
      </rPr>
      <t>-ρ</t>
    </r>
    <phoneticPr fontId="1"/>
  </si>
  <si>
    <r>
      <t>R</t>
    </r>
    <r>
      <rPr>
        <vertAlign val="subscript"/>
        <sz val="10"/>
        <color theme="1"/>
        <rFont val="メイリオ"/>
        <family val="3"/>
        <charset val="128"/>
      </rPr>
      <t>c</t>
    </r>
    <phoneticPr fontId="1"/>
  </si>
  <si>
    <t>人が入力するかどうか</t>
    <rPh sb="0" eb="1">
      <t>ヒト</t>
    </rPh>
    <rPh sb="2" eb="4">
      <t>ニュウリョク</t>
    </rPh>
    <phoneticPr fontId="1"/>
  </si>
  <si>
    <t>内容</t>
    <rPh sb="0" eb="2">
      <t>ナイヨウ</t>
    </rPh>
    <phoneticPr fontId="1"/>
  </si>
  <si>
    <t>色</t>
    <rPh sb="0" eb="1">
      <t>イロ</t>
    </rPh>
    <phoneticPr fontId="1"/>
  </si>
  <si>
    <t>再振分B</t>
    <rPh sb="0" eb="3">
      <t>サイフリワ</t>
    </rPh>
    <phoneticPr fontId="1"/>
  </si>
  <si>
    <t>再振分T</t>
    <rPh sb="0" eb="1">
      <t>サイ</t>
    </rPh>
    <rPh sb="1" eb="3">
      <t>フリワケ</t>
    </rPh>
    <phoneticPr fontId="1"/>
  </si>
  <si>
    <t>所持スペーサ</t>
    <rPh sb="0" eb="2">
      <t>ショジ</t>
    </rPh>
    <phoneticPr fontId="1"/>
  </si>
  <si>
    <t>要入力</t>
    <rPh sb="0" eb="3">
      <t>ヨウニュウリョク</t>
    </rPh>
    <phoneticPr fontId="1"/>
  </si>
  <si>
    <r>
      <t>R</t>
    </r>
    <r>
      <rPr>
        <vertAlign val="subscript"/>
        <sz val="10"/>
        <color theme="1"/>
        <rFont val="メイリオ"/>
        <family val="3"/>
        <charset val="128"/>
      </rPr>
      <t>i</t>
    </r>
    <r>
      <rPr>
        <sz val="10"/>
        <color theme="1"/>
        <rFont val="メイリオ"/>
        <family val="2"/>
        <charset val="128"/>
      </rPr>
      <t>=R</t>
    </r>
    <r>
      <rPr>
        <vertAlign val="subscript"/>
        <sz val="10"/>
        <color theme="1"/>
        <rFont val="メイリオ"/>
        <family val="3"/>
        <charset val="128"/>
      </rPr>
      <t>c</t>
    </r>
    <r>
      <rPr>
        <sz val="10"/>
        <color theme="1"/>
        <rFont val="メイリオ"/>
        <family val="2"/>
        <charset val="128"/>
      </rPr>
      <t>-w/2</t>
    </r>
    <phoneticPr fontId="1"/>
  </si>
  <si>
    <t>各々の数値のセルに対する色分け</t>
    <rPh sb="0" eb="2">
      <t>オノオ</t>
    </rPh>
    <rPh sb="3" eb="5">
      <t>スウチ</t>
    </rPh>
    <rPh sb="9" eb="10">
      <t>タイ</t>
    </rPh>
    <rPh sb="12" eb="14">
      <t>イロワ</t>
    </rPh>
    <phoneticPr fontId="1"/>
  </si>
  <si>
    <t>所持スペーサによる再振分計算および一覧</t>
    <rPh sb="0" eb="2">
      <t>ショジ</t>
    </rPh>
    <rPh sb="9" eb="10">
      <t>サイ</t>
    </rPh>
    <rPh sb="10" eb="12">
      <t>フリワケ</t>
    </rPh>
    <rPh sb="12" eb="14">
      <t>ケイサン</t>
    </rPh>
    <rPh sb="17" eb="19">
      <t>イチラン</t>
    </rPh>
    <phoneticPr fontId="1"/>
  </si>
  <si>
    <t>任意スペーサ取付後 振分計算</t>
    <rPh sb="6" eb="8">
      <t>トリツケ</t>
    </rPh>
    <phoneticPr fontId="1"/>
  </si>
  <si>
    <t>均等振分用スペーサ計算</t>
    <rPh sb="0" eb="2">
      <t>キントウ</t>
    </rPh>
    <rPh sb="2" eb="4">
      <t>フリワ</t>
    </rPh>
    <rPh sb="4" eb="5">
      <t>ヨウ</t>
    </rPh>
    <rPh sb="9" eb="11">
      <t>ケイサン</t>
    </rPh>
    <phoneticPr fontId="1"/>
  </si>
  <si>
    <t>ジグがディンプルマシニングと同様であれば三菱マシニングでも使用可</t>
    <rPh sb="14" eb="16">
      <t>ドウヨウ</t>
    </rPh>
    <rPh sb="20" eb="22">
      <t>ミツビシ</t>
    </rPh>
    <rPh sb="29" eb="31">
      <t>シヨウ</t>
    </rPh>
    <rPh sb="31" eb="32">
      <t>カ</t>
    </rPh>
    <phoneticPr fontId="1"/>
  </si>
  <si>
    <t>図面上の値（モールド）および使用スペーサ</t>
    <rPh sb="0" eb="3">
      <t>ズメンジョウ</t>
    </rPh>
    <rPh sb="4" eb="5">
      <t>アタイ</t>
    </rPh>
    <rPh sb="14" eb="16">
      <t>シヨウ</t>
    </rPh>
    <phoneticPr fontId="1"/>
  </si>
  <si>
    <t>図面上の値（ジグ）および所有スペーサ</t>
    <rPh sb="0" eb="3">
      <t>ズメンジョウ</t>
    </rPh>
    <rPh sb="4" eb="5">
      <t>アタイ</t>
    </rPh>
    <rPh sb="12" eb="14">
      <t>ショユウ</t>
    </rPh>
    <phoneticPr fontId="1"/>
  </si>
  <si>
    <t>振分長の差が最も小さいところの値</t>
    <rPh sb="0" eb="2">
      <t>フリワケ</t>
    </rPh>
    <rPh sb="2" eb="3">
      <t>チョウ</t>
    </rPh>
    <rPh sb="4" eb="5">
      <t>サ</t>
    </rPh>
    <rPh sb="6" eb="7">
      <t>モット</t>
    </rPh>
    <rPh sb="8" eb="9">
      <t>チイ</t>
    </rPh>
    <rPh sb="15" eb="16">
      <t>アタイ</t>
    </rPh>
    <phoneticPr fontId="1"/>
  </si>
  <si>
    <t>誤入力の可能性の高いセル</t>
    <rPh sb="0" eb="3">
      <t>ゴニュウリョク</t>
    </rPh>
    <rPh sb="4" eb="7">
      <t>カノウセイ</t>
    </rPh>
    <rPh sb="8" eb="9">
      <t>タカ</t>
    </rPh>
    <phoneticPr fontId="1"/>
  </si>
  <si>
    <t>セルが赤色でも計算は可能（赤色はエラーではなく警告）</t>
    <rPh sb="3" eb="5">
      <t>アカイロ</t>
    </rPh>
    <rPh sb="7" eb="9">
      <t>ケイサン</t>
    </rPh>
    <rPh sb="10" eb="12">
      <t>カノウ</t>
    </rPh>
    <rPh sb="13" eb="14">
      <t>アカ</t>
    </rPh>
    <rPh sb="14" eb="15">
      <t>イロ</t>
    </rPh>
    <rPh sb="23" eb="25">
      <t>ケイコク</t>
    </rPh>
    <phoneticPr fontId="1"/>
  </si>
  <si>
    <t>入力する</t>
    <rPh sb="0" eb="2">
      <t>ニュウリョク</t>
    </rPh>
    <phoneticPr fontId="1"/>
  </si>
  <si>
    <t>入力する（頻度少）</t>
    <rPh sb="0" eb="2">
      <t>ニュウリョク</t>
    </rPh>
    <rPh sb="5" eb="7">
      <t>ヒンド</t>
    </rPh>
    <rPh sb="7" eb="8">
      <t>ショウ</t>
    </rPh>
    <phoneticPr fontId="1"/>
  </si>
  <si>
    <t>テーブル・受板中心間距離</t>
    <rPh sb="5" eb="6">
      <t>ウケ</t>
    </rPh>
    <rPh sb="6" eb="7">
      <t>イタ</t>
    </rPh>
    <rPh sb="7" eb="9">
      <t>チュウシン</t>
    </rPh>
    <rPh sb="9" eb="10">
      <t>カン</t>
    </rPh>
    <rPh sb="10" eb="12">
      <t>キョリ</t>
    </rPh>
    <phoneticPr fontId="1"/>
  </si>
  <si>
    <t>湾曲中心トップ端</t>
    <rPh sb="0" eb="2">
      <t>ワンキョク</t>
    </rPh>
    <rPh sb="2" eb="4">
      <t>チュウシン</t>
    </rPh>
    <rPh sb="7" eb="8">
      <t>ハシ</t>
    </rPh>
    <phoneticPr fontId="1"/>
  </si>
  <si>
    <t>外面A側湾曲</t>
    <rPh sb="0" eb="2">
      <t>ガイメン</t>
    </rPh>
    <rPh sb="3" eb="4">
      <t>ガワ</t>
    </rPh>
    <rPh sb="4" eb="6">
      <t>ワンキョク</t>
    </rPh>
    <phoneticPr fontId="1"/>
  </si>
  <si>
    <t>湾曲・受板中心間</t>
    <rPh sb="0" eb="2">
      <t>ワンキョク</t>
    </rPh>
    <rPh sb="3" eb="4">
      <t>ウケ</t>
    </rPh>
    <rPh sb="4" eb="5">
      <t>イタ</t>
    </rPh>
    <rPh sb="5" eb="7">
      <t>チュウシン</t>
    </rPh>
    <rPh sb="7" eb="8">
      <t>カン</t>
    </rPh>
    <phoneticPr fontId="1"/>
  </si>
  <si>
    <t>湾曲中心ボトム端</t>
    <rPh sb="0" eb="2">
      <t>ワンキョク</t>
    </rPh>
    <rPh sb="2" eb="4">
      <t>チュウシン</t>
    </rPh>
    <rPh sb="7" eb="8">
      <t>ハシ</t>
    </rPh>
    <phoneticPr fontId="1"/>
  </si>
  <si>
    <t>内面めっき膜厚</t>
    <rPh sb="0" eb="2">
      <t>ナイメン</t>
    </rPh>
    <rPh sb="5" eb="6">
      <t>マク</t>
    </rPh>
    <rPh sb="6" eb="7">
      <t>アツ</t>
    </rPh>
    <phoneticPr fontId="1"/>
  </si>
  <si>
    <t>ボトム外削A側面肉厚</t>
    <rPh sb="3" eb="5">
      <t>ガイサク</t>
    </rPh>
    <rPh sb="6" eb="7">
      <t>ガワ</t>
    </rPh>
    <rPh sb="7" eb="8">
      <t>メン</t>
    </rPh>
    <rPh sb="8" eb="10">
      <t>ニクアツ</t>
    </rPh>
    <phoneticPr fontId="1"/>
  </si>
  <si>
    <t>通り芯</t>
    <rPh sb="0" eb="1">
      <t>トオ</t>
    </rPh>
    <rPh sb="2" eb="3">
      <t>シン</t>
    </rPh>
    <phoneticPr fontId="1"/>
  </si>
  <si>
    <t>テーブル回転中心X</t>
    <rPh sb="4" eb="8">
      <t>カイテン</t>
    </rPh>
    <phoneticPr fontId="1"/>
  </si>
  <si>
    <t>テーブル回転中心Z</t>
    <rPh sb="4" eb="8">
      <t>カイテン</t>
    </rPh>
    <phoneticPr fontId="1"/>
  </si>
  <si>
    <t>トップ外削A側面肉厚</t>
    <rPh sb="3" eb="5">
      <t>ガイサク</t>
    </rPh>
    <rPh sb="6" eb="7">
      <t>ガワ</t>
    </rPh>
    <rPh sb="7" eb="8">
      <t>メン</t>
    </rPh>
    <rPh sb="8" eb="10">
      <t>ニクアツ</t>
    </rPh>
    <phoneticPr fontId="1"/>
  </si>
  <si>
    <t>モールド移動距離水平</t>
    <rPh sb="4" eb="8">
      <t>イドウ</t>
    </rPh>
    <rPh sb="8" eb="10">
      <t>スイヘイ</t>
    </rPh>
    <phoneticPr fontId="1"/>
  </si>
  <si>
    <t>モールド移動距離鉛直</t>
    <rPh sb="4" eb="8">
      <t>イドウ</t>
    </rPh>
    <rPh sb="8" eb="10">
      <t>エンチョク</t>
    </rPh>
    <phoneticPr fontId="1"/>
  </si>
  <si>
    <t>均等振分スペーサ</t>
    <rPh sb="0" eb="2">
      <t>キントウ</t>
    </rPh>
    <rPh sb="2" eb="4">
      <t>フリワケ</t>
    </rPh>
    <phoneticPr fontId="1"/>
  </si>
  <si>
    <t>両受板中心間（後）</t>
    <rPh sb="0" eb="1">
      <t>リョウ</t>
    </rPh>
    <rPh sb="1" eb="2">
      <t>ウケ</t>
    </rPh>
    <rPh sb="2" eb="3">
      <t>イタ</t>
    </rPh>
    <rPh sb="3" eb="5">
      <t>チュウシン</t>
    </rPh>
    <rPh sb="5" eb="6">
      <t>カン</t>
    </rPh>
    <rPh sb="7" eb="8">
      <t>アト</t>
    </rPh>
    <phoneticPr fontId="1"/>
  </si>
  <si>
    <t>cos</t>
    <phoneticPr fontId="1"/>
  </si>
  <si>
    <t>sin</t>
    <phoneticPr fontId="1"/>
  </si>
  <si>
    <t>トップ端湾曲中心水平距離</t>
    <rPh sb="3" eb="4">
      <t>タン</t>
    </rPh>
    <rPh sb="4" eb="6">
      <t>ワンキョク</t>
    </rPh>
    <rPh sb="6" eb="8">
      <t>チュウシン</t>
    </rPh>
    <rPh sb="8" eb="10">
      <t>スイヘイ</t>
    </rPh>
    <rPh sb="10" eb="12">
      <t>キョリ</t>
    </rPh>
    <phoneticPr fontId="1"/>
  </si>
  <si>
    <t>外面A側トップ端水平距離</t>
    <rPh sb="0" eb="2">
      <t>ガイメン</t>
    </rPh>
    <rPh sb="3" eb="4">
      <t>ガワ</t>
    </rPh>
    <rPh sb="7" eb="8">
      <t>タン</t>
    </rPh>
    <rPh sb="8" eb="10">
      <t>スイヘイ</t>
    </rPh>
    <rPh sb="10" eb="12">
      <t>キョリ</t>
    </rPh>
    <phoneticPr fontId="1"/>
  </si>
  <si>
    <t>外面C側トップ端水平距離</t>
    <rPh sb="0" eb="2">
      <t>ガイメン</t>
    </rPh>
    <rPh sb="3" eb="4">
      <t>ガワ</t>
    </rPh>
    <rPh sb="7" eb="8">
      <t>タン</t>
    </rPh>
    <rPh sb="8" eb="10">
      <t>スイヘイ</t>
    </rPh>
    <rPh sb="10" eb="12">
      <t>キョリ</t>
    </rPh>
    <phoneticPr fontId="1"/>
  </si>
  <si>
    <t>ボトム端湾曲中心水平距離</t>
    <rPh sb="3" eb="4">
      <t>タン</t>
    </rPh>
    <rPh sb="4" eb="6">
      <t>ワンキョク</t>
    </rPh>
    <rPh sb="6" eb="8">
      <t>チュウシン</t>
    </rPh>
    <rPh sb="8" eb="10">
      <t>スイヘイ</t>
    </rPh>
    <rPh sb="10" eb="12">
      <t>キョリ</t>
    </rPh>
    <phoneticPr fontId="1"/>
  </si>
  <si>
    <t>外面A側ボトム端水平距離</t>
    <rPh sb="0" eb="2">
      <t>ガイメン</t>
    </rPh>
    <rPh sb="3" eb="4">
      <t>ガワ</t>
    </rPh>
    <rPh sb="7" eb="8">
      <t>タン</t>
    </rPh>
    <rPh sb="8" eb="10">
      <t>スイヘイ</t>
    </rPh>
    <rPh sb="10" eb="12">
      <t>キョリ</t>
    </rPh>
    <phoneticPr fontId="1"/>
  </si>
  <si>
    <t>外面C側ボトム端水平距離</t>
    <rPh sb="0" eb="2">
      <t>ガイメン</t>
    </rPh>
    <rPh sb="3" eb="4">
      <t>ガワ</t>
    </rPh>
    <rPh sb="7" eb="8">
      <t>タン</t>
    </rPh>
    <rPh sb="8" eb="10">
      <t>スイヘイ</t>
    </rPh>
    <rPh sb="10" eb="12">
      <t>キョリ</t>
    </rPh>
    <phoneticPr fontId="1"/>
  </si>
  <si>
    <t>溝位置</t>
    <rPh sb="0" eb="1">
      <t>ミゾ</t>
    </rPh>
    <rPh sb="1" eb="3">
      <t>イチ</t>
    </rPh>
    <phoneticPr fontId="1"/>
  </si>
  <si>
    <t>溝幅</t>
    <rPh sb="0" eb="1">
      <t>ミゾ</t>
    </rPh>
    <rPh sb="1" eb="2">
      <t>ハバ</t>
    </rPh>
    <phoneticPr fontId="1"/>
  </si>
  <si>
    <t>A側溝深さ（指定時）</t>
    <rPh sb="1" eb="2">
      <t>ガワ</t>
    </rPh>
    <rPh sb="2" eb="3">
      <t>ミゾ</t>
    </rPh>
    <rPh sb="3" eb="4">
      <t>フカ</t>
    </rPh>
    <rPh sb="6" eb="8">
      <t>シテイ</t>
    </rPh>
    <rPh sb="8" eb="9">
      <t>ジ</t>
    </rPh>
    <phoneticPr fontId="1"/>
  </si>
  <si>
    <t>溝AC径</t>
    <rPh sb="0" eb="1">
      <t>ミゾ</t>
    </rPh>
    <rPh sb="3" eb="4">
      <t>ケイ</t>
    </rPh>
    <phoneticPr fontId="1"/>
  </si>
  <si>
    <t>δ/2+I6-I22</t>
    <phoneticPr fontId="1"/>
  </si>
  <si>
    <t>振分中心-溝中央間距離</t>
    <rPh sb="0" eb="2">
      <t>フリワケ</t>
    </rPh>
    <rPh sb="2" eb="4">
      <t>チュウシン</t>
    </rPh>
    <rPh sb="5" eb="6">
      <t>ミゾ</t>
    </rPh>
    <rPh sb="6" eb="8">
      <t>チュウオウ</t>
    </rPh>
    <rPh sb="8" eb="9">
      <t>カン</t>
    </rPh>
    <rPh sb="9" eb="11">
      <t>キョリ</t>
    </rPh>
    <phoneticPr fontId="1"/>
  </si>
  <si>
    <t>湾曲中心-溝中心間距離X</t>
    <rPh sb="0" eb="2">
      <t>ワンキョク</t>
    </rPh>
    <rPh sb="2" eb="4">
      <t>チュウシン</t>
    </rPh>
    <rPh sb="5" eb="6">
      <t>ミゾ</t>
    </rPh>
    <rPh sb="6" eb="8">
      <t>チュウシン</t>
    </rPh>
    <rPh sb="8" eb="9">
      <t>アイダ</t>
    </rPh>
    <rPh sb="9" eb="11">
      <t>キョリ</t>
    </rPh>
    <phoneticPr fontId="1"/>
  </si>
  <si>
    <t>溝中心AC（A側溝深さ基準）</t>
    <rPh sb="0" eb="1">
      <t>ミゾ</t>
    </rPh>
    <rPh sb="1" eb="3">
      <t>チュウシン</t>
    </rPh>
    <rPh sb="7" eb="8">
      <t>ガワ</t>
    </rPh>
    <rPh sb="8" eb="9">
      <t>ミゾ</t>
    </rPh>
    <rPh sb="9" eb="10">
      <t>フカ</t>
    </rPh>
    <rPh sb="11" eb="13">
      <t>キジュン</t>
    </rPh>
    <phoneticPr fontId="1"/>
  </si>
  <si>
    <t>溝中心AC（ボトム外削基準）</t>
    <rPh sb="0" eb="1">
      <t>ミゾ</t>
    </rPh>
    <rPh sb="1" eb="3">
      <t>チュウシン</t>
    </rPh>
    <rPh sb="9" eb="11">
      <t>ガイサク</t>
    </rPh>
    <rPh sb="11" eb="13">
      <t>キジュン</t>
    </rPh>
    <phoneticPr fontId="1"/>
  </si>
  <si>
    <t>溝中心tb</t>
    <rPh sb="0" eb="1">
      <t>ミゾ</t>
    </rPh>
    <rPh sb="1" eb="3">
      <t>チュウシン</t>
    </rPh>
    <phoneticPr fontId="1"/>
  </si>
  <si>
    <t>溝-トップ端 湾曲中心間距離水平</t>
    <rPh sb="0" eb="1">
      <t>ミゾ</t>
    </rPh>
    <rPh sb="5" eb="6">
      <t>タン</t>
    </rPh>
    <rPh sb="7" eb="9">
      <t>ワンキョク</t>
    </rPh>
    <rPh sb="9" eb="11">
      <t>チュウシン</t>
    </rPh>
    <rPh sb="11" eb="12">
      <t>カン</t>
    </rPh>
    <rPh sb="12" eb="14">
      <t>キョリ</t>
    </rPh>
    <rPh sb="14" eb="16">
      <t>スイヘイ</t>
    </rPh>
    <phoneticPr fontId="1"/>
  </si>
  <si>
    <t>溝-トップ端 湾曲中心間距離鉛直</t>
    <rPh sb="0" eb="1">
      <t>ミゾ</t>
    </rPh>
    <rPh sb="5" eb="6">
      <t>タン</t>
    </rPh>
    <rPh sb="7" eb="9">
      <t>ワンキョク</t>
    </rPh>
    <rPh sb="9" eb="11">
      <t>チュウシン</t>
    </rPh>
    <rPh sb="11" eb="12">
      <t>カン</t>
    </rPh>
    <rPh sb="12" eb="14">
      <t>キョリ</t>
    </rPh>
    <rPh sb="14" eb="16">
      <t>エ</t>
    </rPh>
    <phoneticPr fontId="1"/>
  </si>
  <si>
    <t>テーブル回転中心B</t>
    <rPh sb="4" eb="6">
      <t>カイテン</t>
    </rPh>
    <rPh sb="6" eb="8">
      <t>チュウシン</t>
    </rPh>
    <phoneticPr fontId="1"/>
  </si>
  <si>
    <t>溝中心AC（湾曲中心基準）</t>
    <rPh sb="0" eb="1">
      <t>ミゾ</t>
    </rPh>
    <rPh sb="1" eb="3">
      <t>チュウシン</t>
    </rPh>
    <rPh sb="6" eb="8">
      <t>ワンキョク</t>
    </rPh>
    <rPh sb="8" eb="10">
      <t>チュウシン</t>
    </rPh>
    <rPh sb="10" eb="12">
      <t>キジュン</t>
    </rPh>
    <phoneticPr fontId="1"/>
  </si>
  <si>
    <t>トップ端-内面溝１列目間距離</t>
    <rPh sb="3" eb="4">
      <t>タン</t>
    </rPh>
    <rPh sb="5" eb="8">
      <t>ナイメン</t>
    </rPh>
    <rPh sb="9" eb="10">
      <t>レツ</t>
    </rPh>
    <rPh sb="10" eb="11">
      <t>メ</t>
    </rPh>
    <rPh sb="11" eb="12">
      <t>カン</t>
    </rPh>
    <rPh sb="12" eb="14">
      <t>キョリ</t>
    </rPh>
    <phoneticPr fontId="1"/>
  </si>
  <si>
    <t>内面溝ピッチ鉛直</t>
    <rPh sb="0" eb="2">
      <t>ナイメン</t>
    </rPh>
    <rPh sb="2" eb="3">
      <t>ミゾ</t>
    </rPh>
    <rPh sb="6" eb="8">
      <t>エンチョク</t>
    </rPh>
    <phoneticPr fontId="1"/>
  </si>
  <si>
    <t>内面溝ピッチ水平</t>
    <rPh sb="0" eb="2">
      <t>ナイメン</t>
    </rPh>
    <rPh sb="2" eb="3">
      <t>ミゾ</t>
    </rPh>
    <rPh sb="6" eb="8">
      <t>スイヘイ</t>
    </rPh>
    <phoneticPr fontId="1"/>
  </si>
  <si>
    <t>内面溝列数</t>
    <rPh sb="0" eb="3">
      <t>ナイメ</t>
    </rPh>
    <rPh sb="3" eb="4">
      <t>レツ</t>
    </rPh>
    <rPh sb="4" eb="5">
      <t>スウ</t>
    </rPh>
    <phoneticPr fontId="1"/>
  </si>
  <si>
    <t>内面溝１列目個数</t>
    <rPh sb="0" eb="2">
      <t>ナイメン</t>
    </rPh>
    <rPh sb="2" eb="3">
      <t>ミゾ</t>
    </rPh>
    <rPh sb="4" eb="6">
      <t>レツメ</t>
    </rPh>
    <rPh sb="6" eb="8">
      <t>コスウ</t>
    </rPh>
    <phoneticPr fontId="1"/>
  </si>
  <si>
    <t>内面溝２列目個数</t>
    <rPh sb="0" eb="2">
      <t>ナイメン</t>
    </rPh>
    <rPh sb="2" eb="3">
      <t>ミゾ</t>
    </rPh>
    <rPh sb="4" eb="6">
      <t>レツメ</t>
    </rPh>
    <rPh sb="6" eb="8">
      <t>コスウ</t>
    </rPh>
    <phoneticPr fontId="1"/>
  </si>
  <si>
    <t>再振分長トップ</t>
    <rPh sb="0" eb="1">
      <t>サイ</t>
    </rPh>
    <rPh sb="1" eb="3">
      <t>フリワケ</t>
    </rPh>
    <rPh sb="3" eb="4">
      <t>チョウ</t>
    </rPh>
    <phoneticPr fontId="1"/>
  </si>
  <si>
    <t>再振分長ボトム</t>
    <rPh sb="0" eb="1">
      <t>サイ</t>
    </rPh>
    <rPh sb="1" eb="3">
      <t>フリワケ</t>
    </rPh>
    <rPh sb="3" eb="4">
      <t>チョウ</t>
    </rPh>
    <phoneticPr fontId="1"/>
  </si>
  <si>
    <t>再張出長トップ</t>
    <rPh sb="0" eb="1">
      <t>サイ</t>
    </rPh>
    <rPh sb="1" eb="3">
      <t>ハリダシ</t>
    </rPh>
    <rPh sb="3" eb="4">
      <t>チョウ</t>
    </rPh>
    <phoneticPr fontId="1"/>
  </si>
  <si>
    <t>再張出長ボトム</t>
    <rPh sb="0" eb="1">
      <t>サイ</t>
    </rPh>
    <rPh sb="1" eb="3">
      <t>ハリダシ</t>
    </rPh>
    <rPh sb="3" eb="4">
      <t>チョウ</t>
    </rPh>
    <phoneticPr fontId="1"/>
  </si>
  <si>
    <t>外面中心トップ端</t>
    <rPh sb="0" eb="2">
      <t>ガイメン</t>
    </rPh>
    <rPh sb="2" eb="4">
      <t>チュウシン</t>
    </rPh>
    <rPh sb="7" eb="8">
      <t>タン</t>
    </rPh>
    <phoneticPr fontId="1"/>
  </si>
  <si>
    <t>外面中心ボトム端</t>
    <rPh sb="0" eb="2">
      <t>ガイメン</t>
    </rPh>
    <rPh sb="2" eb="4">
      <t>チュウシン</t>
    </rPh>
    <rPh sb="7" eb="8">
      <t>タン</t>
    </rPh>
    <phoneticPr fontId="1"/>
  </si>
  <si>
    <t>2bar l/I8</t>
    <phoneticPr fontId="1"/>
  </si>
  <si>
    <t>δ/I8</t>
    <phoneticPr fontId="1"/>
  </si>
  <si>
    <t>外削中心トップ（ボトム基準）</t>
    <rPh sb="0" eb="2">
      <t>ガイサク</t>
    </rPh>
    <rPh sb="2" eb="4">
      <t>チュウシン</t>
    </rPh>
    <rPh sb="11" eb="13">
      <t>キジュン</t>
    </rPh>
    <phoneticPr fontId="1"/>
  </si>
  <si>
    <t>外削中心トップ（トップ基準）</t>
    <rPh sb="0" eb="2">
      <t>ガイサク</t>
    </rPh>
    <rPh sb="2" eb="4">
      <t>チュウシン</t>
    </rPh>
    <rPh sb="11" eb="13">
      <t>キジュン</t>
    </rPh>
    <phoneticPr fontId="1"/>
  </si>
  <si>
    <t>内面溝加工用傾き角（度）</t>
    <rPh sb="0" eb="3">
      <t>ナイ</t>
    </rPh>
    <rPh sb="3" eb="6">
      <t>カコウヨウ</t>
    </rPh>
    <rPh sb="6" eb="7">
      <t>カタム</t>
    </rPh>
    <rPh sb="8" eb="9">
      <t>カク</t>
    </rPh>
    <rPh sb="10" eb="11">
      <t>ド</t>
    </rPh>
    <phoneticPr fontId="1"/>
  </si>
  <si>
    <t>傾き後湾曲中心トップ端X</t>
    <rPh sb="0" eb="1">
      <t>カタム</t>
    </rPh>
    <rPh sb="2" eb="3">
      <t>ゴ</t>
    </rPh>
    <rPh sb="3" eb="7">
      <t>ワン</t>
    </rPh>
    <rPh sb="10" eb="11">
      <t>タン</t>
    </rPh>
    <phoneticPr fontId="1"/>
  </si>
  <si>
    <t>傾き後湾曲中心トップ端Z</t>
    <rPh sb="0" eb="1">
      <t>カタム</t>
    </rPh>
    <rPh sb="2" eb="3">
      <t>ゴ</t>
    </rPh>
    <rPh sb="3" eb="7">
      <t>ワン</t>
    </rPh>
    <rPh sb="10" eb="11">
      <t>タン</t>
    </rPh>
    <phoneticPr fontId="1"/>
  </si>
  <si>
    <t>外削中心ボトム（概算）</t>
    <rPh sb="0" eb="2">
      <t>ガイサク</t>
    </rPh>
    <rPh sb="2" eb="4">
      <t>チュウシン</t>
    </rPh>
    <rPh sb="8" eb="10">
      <t>ガイサン</t>
    </rPh>
    <phoneticPr fontId="1"/>
  </si>
  <si>
    <t>ジグの底Y</t>
    <rPh sb="3" eb="4">
      <t>ソコ</t>
    </rPh>
    <phoneticPr fontId="1"/>
  </si>
  <si>
    <t>中心Y</t>
    <rPh sb="0" eb="2">
      <t>チ</t>
    </rPh>
    <phoneticPr fontId="1"/>
  </si>
  <si>
    <t>AC外径</t>
    <rPh sb="2" eb="4">
      <t>ガイケイ</t>
    </rPh>
    <phoneticPr fontId="1"/>
  </si>
  <si>
    <t>I21*I9</t>
    <phoneticPr fontId="1"/>
  </si>
  <si>
    <t>I21*I10</t>
    <phoneticPr fontId="1"/>
  </si>
  <si>
    <t>両受板中心間（δ=0）</t>
    <rPh sb="0" eb="1">
      <t>リョウ</t>
    </rPh>
    <rPh sb="1" eb="2">
      <t>ウケ</t>
    </rPh>
    <rPh sb="2" eb="3">
      <t>イタ</t>
    </rPh>
    <rPh sb="3" eb="5">
      <t>チュウシン</t>
    </rPh>
    <rPh sb="5" eb="6">
      <t>カン</t>
    </rPh>
    <phoneticPr fontId="1"/>
  </si>
  <si>
    <t>Δ'</t>
    <phoneticPr fontId="1"/>
  </si>
  <si>
    <t>θ</t>
    <phoneticPr fontId="1"/>
  </si>
  <si>
    <t>振分用回転角(rad)</t>
    <rPh sb="0" eb="3">
      <t>フリ</t>
    </rPh>
    <rPh sb="3" eb="5">
      <t>カイテン</t>
    </rPh>
    <rPh sb="5" eb="6">
      <t>カク</t>
    </rPh>
    <phoneticPr fontId="1"/>
  </si>
  <si>
    <t>均等振分角度(rad)</t>
    <rPh sb="0" eb="2">
      <t>キントウ</t>
    </rPh>
    <rPh sb="2" eb="4">
      <t>フリワケ</t>
    </rPh>
    <rPh sb="4" eb="6">
      <t>カクド</t>
    </rPh>
    <phoneticPr fontId="1"/>
  </si>
  <si>
    <t>sinθ</t>
    <phoneticPr fontId="1"/>
  </si>
  <si>
    <t>sinθ'</t>
    <phoneticPr fontId="1"/>
  </si>
  <si>
    <t>cosθ</t>
    <phoneticPr fontId="1"/>
  </si>
  <si>
    <t>トップ端 内中心-A側内面 間距離</t>
    <rPh sb="3" eb="4">
      <t>タン</t>
    </rPh>
    <rPh sb="5" eb="6">
      <t>ウチ</t>
    </rPh>
    <rPh sb="6" eb="8">
      <t>チュウシン</t>
    </rPh>
    <rPh sb="10" eb="11">
      <t>ガワ</t>
    </rPh>
    <rPh sb="11" eb="13">
      <t>ナイメン</t>
    </rPh>
    <rPh sb="14" eb="15">
      <t>カン</t>
    </rPh>
    <rPh sb="15" eb="17">
      <t>キョリ</t>
    </rPh>
    <phoneticPr fontId="1"/>
  </si>
  <si>
    <t>溝幅中央-トップ端 間距離</t>
    <rPh sb="0" eb="1">
      <t>ミゾ</t>
    </rPh>
    <rPh sb="1" eb="2">
      <t>ハバ</t>
    </rPh>
    <rPh sb="2" eb="4">
      <t>チュウ</t>
    </rPh>
    <rPh sb="8" eb="9">
      <t>タン</t>
    </rPh>
    <rPh sb="10" eb="11">
      <t>カン</t>
    </rPh>
    <rPh sb="11" eb="13">
      <t>キョリ</t>
    </rPh>
    <phoneticPr fontId="1"/>
  </si>
  <si>
    <t>溝幅中央-トップ端 湾曲中心 間水平距離</t>
    <rPh sb="0" eb="1">
      <t>ミゾ</t>
    </rPh>
    <rPh sb="1" eb="2">
      <t>ハバ</t>
    </rPh>
    <rPh sb="2" eb="4">
      <t>チュウオウ</t>
    </rPh>
    <rPh sb="8" eb="9">
      <t>タン</t>
    </rPh>
    <rPh sb="10" eb="12">
      <t>ワンキョク</t>
    </rPh>
    <rPh sb="12" eb="14">
      <t>チュウシン</t>
    </rPh>
    <rPh sb="15" eb="16">
      <t>カン</t>
    </rPh>
    <rPh sb="16" eb="18">
      <t>スイヘイ</t>
    </rPh>
    <rPh sb="18" eb="20">
      <t>キョリ</t>
    </rPh>
    <phoneticPr fontId="1"/>
  </si>
  <si>
    <t>トップ端-溝中央 間距離</t>
    <rPh sb="3" eb="4">
      <t>タン</t>
    </rPh>
    <rPh sb="5" eb="6">
      <t>ミゾ</t>
    </rPh>
    <rPh sb="6" eb="8">
      <t>チュウオウ</t>
    </rPh>
    <rPh sb="9" eb="10">
      <t>カン</t>
    </rPh>
    <rPh sb="10" eb="12">
      <t>ky</t>
    </rPh>
    <phoneticPr fontId="1"/>
  </si>
  <si>
    <t>ボトム外径中心-O 間水平距離</t>
    <rPh sb="3" eb="5">
      <t>ガイケイ</t>
    </rPh>
    <rPh sb="5" eb="7">
      <t>チュウシン</t>
    </rPh>
    <rPh sb="10" eb="11">
      <t>カン</t>
    </rPh>
    <rPh sb="11" eb="13">
      <t>スイヘイ</t>
    </rPh>
    <rPh sb="13" eb="15">
      <t>キョリ</t>
    </rPh>
    <phoneticPr fontId="1"/>
  </si>
  <si>
    <t>トップ外径中心-O 間水平距離</t>
    <rPh sb="3" eb="5">
      <t>ガイケイ</t>
    </rPh>
    <rPh sb="5" eb="7">
      <t>チュウシン</t>
    </rPh>
    <rPh sb="10" eb="11">
      <t>カン</t>
    </rPh>
    <rPh sb="11" eb="13">
      <t>スイヘイ</t>
    </rPh>
    <rPh sb="13" eb="15">
      <t>キョリ</t>
    </rPh>
    <phoneticPr fontId="1"/>
  </si>
  <si>
    <t>溝中心AC（トップ外削基準）</t>
    <rPh sb="0" eb="1">
      <t>ミゾ</t>
    </rPh>
    <rPh sb="1" eb="3">
      <t>チュウシン</t>
    </rPh>
    <rPh sb="9" eb="11">
      <t>ガイサク</t>
    </rPh>
    <rPh sb="11" eb="13">
      <t>キジュン</t>
    </rPh>
    <phoneticPr fontId="1"/>
  </si>
  <si>
    <t>溝中央A側</t>
    <rPh sb="0" eb="1">
      <t>ミゾ</t>
    </rPh>
    <rPh sb="1" eb="3">
      <t>チュウオウ</t>
    </rPh>
    <phoneticPr fontId="1"/>
  </si>
  <si>
    <t>溝中央C側</t>
    <rPh sb="0" eb="1">
      <t>ミゾ</t>
    </rPh>
    <rPh sb="1" eb="3">
      <t>チュウオウ</t>
    </rPh>
    <phoneticPr fontId="1"/>
  </si>
  <si>
    <t>湾曲・テーブル両中心間距離</t>
    <rPh sb="0" eb="2">
      <t>ワンキョク</t>
    </rPh>
    <rPh sb="7" eb="8">
      <t>リョウ</t>
    </rPh>
    <rPh sb="8" eb="10">
      <t>チュウシン</t>
    </rPh>
    <rPh sb="10" eb="11">
      <t>カン</t>
    </rPh>
    <rPh sb="11" eb="13">
      <t>キョリ</t>
    </rPh>
    <phoneticPr fontId="1"/>
  </si>
  <si>
    <t>ボトム端 内中心-A側内面 間（負）距離</t>
    <rPh sb="3" eb="4">
      <t>タン</t>
    </rPh>
    <rPh sb="5" eb="6">
      <t>ウチ</t>
    </rPh>
    <rPh sb="6" eb="8">
      <t>チュウシン</t>
    </rPh>
    <rPh sb="10" eb="11">
      <t>ガワ</t>
    </rPh>
    <rPh sb="11" eb="13">
      <t>ナイメン</t>
    </rPh>
    <rPh sb="14" eb="15">
      <t>カン</t>
    </rPh>
    <rPh sb="16" eb="17">
      <t>フ</t>
    </rPh>
    <rPh sb="18" eb="20">
      <t>キョリ</t>
    </rPh>
    <phoneticPr fontId="1"/>
  </si>
  <si>
    <t>トップ外削深さ</t>
    <rPh sb="3" eb="5">
      <t>ガイサク</t>
    </rPh>
    <rPh sb="5" eb="6">
      <t>フカ</t>
    </rPh>
    <phoneticPr fontId="1"/>
  </si>
  <si>
    <t>ボトム外削深さ</t>
    <rPh sb="3" eb="5">
      <t>ガイサク</t>
    </rPh>
    <rPh sb="5" eb="6">
      <t>フカ</t>
    </rPh>
    <phoneticPr fontId="1"/>
  </si>
  <si>
    <t>機械座標</t>
    <rPh sb="0" eb="2">
      <t>キカイ</t>
    </rPh>
    <rPh sb="2" eb="4">
      <t>ザヒョウ</t>
    </rPh>
    <phoneticPr fontId="1"/>
  </si>
  <si>
    <t>[溝位置+溝幅]-トップ端距離</t>
    <rPh sb="1" eb="2">
      <t>ミゾ</t>
    </rPh>
    <rPh sb="2" eb="4">
      <t>イチ</t>
    </rPh>
    <rPh sb="5" eb="7">
      <t>ミゾハバ</t>
    </rPh>
    <rPh sb="12" eb="13">
      <t>タン</t>
    </rPh>
    <rPh sb="13" eb="15">
      <t>キョリ</t>
    </rPh>
    <phoneticPr fontId="1"/>
  </si>
  <si>
    <t>面取C トップ 内 深さ</t>
    <rPh sb="0" eb="2">
      <t>メントリ</t>
    </rPh>
    <rPh sb="8" eb="9">
      <t>ウチ</t>
    </rPh>
    <rPh sb="10" eb="11">
      <t>フカ</t>
    </rPh>
    <phoneticPr fontId="1"/>
  </si>
  <si>
    <t>面取C トップ 外 深さ</t>
    <rPh sb="0" eb="2">
      <t>メントリ</t>
    </rPh>
    <rPh sb="8" eb="9">
      <t>ソト</t>
    </rPh>
    <rPh sb="10" eb="11">
      <t>フカ</t>
    </rPh>
    <phoneticPr fontId="1"/>
  </si>
  <si>
    <t>面取C ボトム 外 深さ</t>
    <rPh sb="0" eb="2">
      <t>メントリ</t>
    </rPh>
    <rPh sb="8" eb="9">
      <t>ソト</t>
    </rPh>
    <rPh sb="10" eb="11">
      <t>フカ</t>
    </rPh>
    <phoneticPr fontId="1"/>
  </si>
  <si>
    <t>面取C ボトム 内 深さ</t>
    <rPh sb="0" eb="2">
      <t>メントリ</t>
    </rPh>
    <rPh sb="8" eb="9">
      <t>ウチ</t>
    </rPh>
    <rPh sb="10" eb="11">
      <t>フカ</t>
    </rPh>
    <phoneticPr fontId="1"/>
  </si>
  <si>
    <t>中心 外削 ボトム（概算）</t>
    <rPh sb="10" eb="12">
      <t>ガイサン</t>
    </rPh>
    <phoneticPr fontId="1"/>
  </si>
  <si>
    <t>中心 外削 トップ（ボトム基準）</t>
    <rPh sb="13" eb="15">
      <t>キジュン</t>
    </rPh>
    <phoneticPr fontId="1"/>
  </si>
  <si>
    <t>中心 外削 トップ（トップ基準）</t>
    <rPh sb="13" eb="15">
      <t>キジュン</t>
    </rPh>
    <phoneticPr fontId="1"/>
  </si>
  <si>
    <t>外削 トップ 先端</t>
    <rPh sb="7" eb="9">
      <t>センタン</t>
    </rPh>
    <phoneticPr fontId="1"/>
  </si>
  <si>
    <t>外削 ボトム 先端</t>
    <rPh sb="7" eb="9">
      <t>センタン</t>
    </rPh>
    <phoneticPr fontId="1"/>
  </si>
  <si>
    <t>ボトム端-面取先端 湾曲中心間水平距離</t>
    <rPh sb="3" eb="4">
      <t>タン</t>
    </rPh>
    <rPh sb="7" eb="9">
      <t>センタン</t>
    </rPh>
    <rPh sb="10" eb="12">
      <t>ワンキョク</t>
    </rPh>
    <rPh sb="12" eb="14">
      <t>チュウシン</t>
    </rPh>
    <rPh sb="14" eb="15">
      <t>カン</t>
    </rPh>
    <rPh sb="15" eb="19">
      <t>スイヘイ</t>
    </rPh>
    <phoneticPr fontId="1"/>
  </si>
  <si>
    <t>振分</t>
    <rPh sb="0" eb="2">
      <t>フリワ</t>
    </rPh>
    <phoneticPr fontId="1"/>
  </si>
  <si>
    <t>溝</t>
    <rPh sb="0" eb="1">
      <t>ミゾ</t>
    </rPh>
    <phoneticPr fontId="1"/>
  </si>
  <si>
    <t>内面溝</t>
    <rPh sb="0" eb="2">
      <t>ナイメン</t>
    </rPh>
    <rPh sb="2" eb="3">
      <t>ミゾ</t>
    </rPh>
    <phoneticPr fontId="1"/>
  </si>
  <si>
    <t>外削</t>
    <rPh sb="0" eb="2">
      <t>ガイサク</t>
    </rPh>
    <phoneticPr fontId="1"/>
  </si>
  <si>
    <t>両外削</t>
    <rPh sb="0" eb="1">
      <t>リョウ</t>
    </rPh>
    <rPh sb="1" eb="2">
      <t>ガイ</t>
    </rPh>
    <rPh sb="2" eb="3">
      <t>サク</t>
    </rPh>
    <phoneticPr fontId="1"/>
  </si>
  <si>
    <t>振分けテーブル回転の場合</t>
    <rPh sb="0" eb="3">
      <t>h</t>
    </rPh>
    <rPh sb="7" eb="9">
      <t>カイテン</t>
    </rPh>
    <rPh sb="10" eb="12">
      <t>バアイ</t>
    </rPh>
    <phoneticPr fontId="1"/>
  </si>
  <si>
    <t>振分けスペーサの場合</t>
    <rPh sb="0" eb="3">
      <t>フリ</t>
    </rPh>
    <rPh sb="8" eb="10">
      <t>バアイ</t>
    </rPh>
    <phoneticPr fontId="1"/>
  </si>
  <si>
    <t>-</t>
    <phoneticPr fontId="1"/>
  </si>
  <si>
    <t>Y中心</t>
    <rPh sb="1" eb="3">
      <t>チ</t>
    </rPh>
    <phoneticPr fontId="1"/>
  </si>
  <si>
    <t>X中心 外 トップ端</t>
    <rPh sb="1" eb="3">
      <t>チュウシン</t>
    </rPh>
    <rPh sb="4" eb="5">
      <t>ソト</t>
    </rPh>
    <phoneticPr fontId="1"/>
  </si>
  <si>
    <t xml:space="preserve">X湾曲中心 トップ端 </t>
    <rPh sb="9" eb="10">
      <t>タン</t>
    </rPh>
    <phoneticPr fontId="1"/>
  </si>
  <si>
    <t>X中心 外 ボトム端</t>
    <rPh sb="9" eb="10">
      <t>タン</t>
    </rPh>
    <phoneticPr fontId="1"/>
  </si>
  <si>
    <t>X湾曲中心 ボトム端</t>
    <phoneticPr fontId="1"/>
  </si>
  <si>
    <t>Z</t>
    <phoneticPr fontId="1"/>
  </si>
  <si>
    <t>B</t>
    <phoneticPr fontId="1"/>
  </si>
  <si>
    <t>Y</t>
    <phoneticPr fontId="1"/>
  </si>
  <si>
    <t>X</t>
    <phoneticPr fontId="1"/>
  </si>
  <si>
    <t>C面取</t>
    <rPh sb="1" eb="3">
      <t>メントリ</t>
    </rPh>
    <phoneticPr fontId="1"/>
  </si>
  <si>
    <t>外径・湾曲中心</t>
    <rPh sb="0" eb="2">
      <t>ガイケイ</t>
    </rPh>
    <rPh sb="3" eb="5">
      <t>ワン</t>
    </rPh>
    <rPh sb="5" eb="7">
      <t>チュウシン</t>
    </rPh>
    <phoneticPr fontId="1"/>
  </si>
  <si>
    <t>溝中心AC（A溝深さ基準）</t>
    <rPh sb="0" eb="1">
      <t>ミゾ</t>
    </rPh>
    <rPh sb="1" eb="3">
      <t>チュウシン</t>
    </rPh>
    <rPh sb="7" eb="8">
      <t>ミゾ</t>
    </rPh>
    <rPh sb="8" eb="9">
      <t>フカ</t>
    </rPh>
    <rPh sb="10" eb="12">
      <t>キジュン</t>
    </rPh>
    <phoneticPr fontId="1"/>
  </si>
  <si>
    <t>溝中心AC（A溝深さ基準）-A側外面距離</t>
    <rPh sb="0" eb="1">
      <t>ミゾ</t>
    </rPh>
    <rPh sb="1" eb="3">
      <t>チュウシン</t>
    </rPh>
    <rPh sb="7" eb="8">
      <t>ミゾ</t>
    </rPh>
    <rPh sb="8" eb="9">
      <t>フカ</t>
    </rPh>
    <rPh sb="10" eb="12">
      <t>キジュン</t>
    </rPh>
    <rPh sb="15" eb="16">
      <t>ガワ</t>
    </rPh>
    <rPh sb="16" eb="18">
      <t>ガイメン</t>
    </rPh>
    <rPh sb="18" eb="20">
      <t>キョ</t>
    </rPh>
    <phoneticPr fontId="1"/>
  </si>
  <si>
    <t>ジグ・テーブル寸法, その他</t>
    <rPh sb="7" eb="9">
      <t>スンポウ</t>
    </rPh>
    <rPh sb="13" eb="14">
      <t>タ</t>
    </rPh>
    <phoneticPr fontId="1"/>
  </si>
  <si>
    <t>トップ 内面取 角度(deg)</t>
    <rPh sb="4" eb="5">
      <t>ウチ</t>
    </rPh>
    <rPh sb="5" eb="7">
      <t>メントリ</t>
    </rPh>
    <rPh sb="8" eb="10">
      <t>カクド</t>
    </rPh>
    <phoneticPr fontId="1"/>
  </si>
  <si>
    <t>ボトム 外面取 深さ</t>
    <rPh sb="4" eb="5">
      <t>ソト</t>
    </rPh>
    <rPh sb="5" eb="7">
      <t>メントリ</t>
    </rPh>
    <rPh sb="8" eb="9">
      <t>フカ</t>
    </rPh>
    <phoneticPr fontId="1"/>
  </si>
  <si>
    <t>ボトム 外面取 角度(deg)</t>
    <rPh sb="4" eb="5">
      <t>ソト</t>
    </rPh>
    <rPh sb="5" eb="7">
      <t>メントリ</t>
    </rPh>
    <rPh sb="8" eb="10">
      <t>カクド</t>
    </rPh>
    <phoneticPr fontId="1"/>
  </si>
  <si>
    <t>ボトム 内面取 深さ</t>
    <rPh sb="4" eb="5">
      <t>ウチ</t>
    </rPh>
    <rPh sb="5" eb="7">
      <t>メントリ</t>
    </rPh>
    <rPh sb="8" eb="9">
      <t>フカ</t>
    </rPh>
    <phoneticPr fontId="1"/>
  </si>
  <si>
    <t>ボトム 内面取 角度(deg)</t>
    <rPh sb="4" eb="5">
      <t>ウチ</t>
    </rPh>
    <rPh sb="5" eb="7">
      <t>メントリ</t>
    </rPh>
    <rPh sb="8" eb="10">
      <t>カクド</t>
    </rPh>
    <phoneticPr fontId="1"/>
  </si>
  <si>
    <t>トップ 外面取 深さ</t>
    <rPh sb="4" eb="5">
      <t>ソト</t>
    </rPh>
    <rPh sb="6" eb="7">
      <t>トリ</t>
    </rPh>
    <rPh sb="8" eb="9">
      <t>フカ</t>
    </rPh>
    <phoneticPr fontId="1"/>
  </si>
  <si>
    <t>トップ 外面取 角度(deg)</t>
    <rPh sb="4" eb="5">
      <t>ソト</t>
    </rPh>
    <rPh sb="5" eb="7">
      <t>メントリ</t>
    </rPh>
    <rPh sb="8" eb="10">
      <t>カクド</t>
    </rPh>
    <phoneticPr fontId="1"/>
  </si>
  <si>
    <t>トップ 内面取 深さ</t>
    <rPh sb="4" eb="5">
      <t>ウチ</t>
    </rPh>
    <rPh sb="5" eb="7">
      <t>メントリ</t>
    </rPh>
    <rPh sb="8" eb="9">
      <t>フカ</t>
    </rPh>
    <phoneticPr fontId="1"/>
  </si>
  <si>
    <t>内面溝列（全明細中）最大数</t>
    <rPh sb="0" eb="2">
      <t>ナイメン</t>
    </rPh>
    <rPh sb="2" eb="3">
      <t>ミゾ</t>
    </rPh>
    <rPh sb="3" eb="4">
      <t>レツ</t>
    </rPh>
    <rPh sb="5" eb="6">
      <t>ゼン</t>
    </rPh>
    <rPh sb="6" eb="8">
      <t>メイサイ</t>
    </rPh>
    <rPh sb="8" eb="9">
      <t>チュウ</t>
    </rPh>
    <rPh sb="10" eb="13">
      <t>サイダイスウ</t>
    </rPh>
    <phoneticPr fontId="1"/>
  </si>
  <si>
    <t>トップ端 AC内径</t>
    <rPh sb="3" eb="4">
      <t>タン</t>
    </rPh>
    <rPh sb="7" eb="9">
      <t>ナイケイ</t>
    </rPh>
    <phoneticPr fontId="1"/>
  </si>
  <si>
    <t>q</t>
    <phoneticPr fontId="1"/>
  </si>
  <si>
    <t>ボトム端 AC内径</t>
    <rPh sb="3" eb="4">
      <t>タン</t>
    </rPh>
    <rPh sb="7" eb="9">
      <t>ナイケイ</t>
    </rPh>
    <phoneticPr fontId="1"/>
  </si>
  <si>
    <t>qのC側内面R</t>
    <rPh sb="3" eb="4">
      <t>ガワ</t>
    </rPh>
    <rPh sb="4" eb="6">
      <t>ナイメン</t>
    </rPh>
    <phoneticPr fontId="1"/>
  </si>
  <si>
    <t>m列目のC側内面R</t>
    <rPh sb="1" eb="2">
      <t>レツ</t>
    </rPh>
    <rPh sb="2" eb="3">
      <t>メ</t>
    </rPh>
    <rPh sb="5" eb="6">
      <t>ガワ</t>
    </rPh>
    <rPh sb="6" eb="8">
      <t>ナイメン</t>
    </rPh>
    <phoneticPr fontId="1"/>
  </si>
  <si>
    <t>m</t>
    <phoneticPr fontId="1"/>
  </si>
  <si>
    <r>
      <t>λ</t>
    </r>
    <r>
      <rPr>
        <vertAlign val="subscript"/>
        <sz val="8"/>
        <color theme="1"/>
        <rFont val="メイリオ"/>
        <family val="3"/>
        <charset val="128"/>
      </rPr>
      <t>j</t>
    </r>
    <r>
      <rPr>
        <sz val="8"/>
        <color theme="1"/>
        <rFont val="メイリオ"/>
        <family val="3"/>
        <charset val="128"/>
      </rPr>
      <t xml:space="preserve"> ≦ q+(m-1)p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λ</t>
    </r>
    <r>
      <rPr>
        <vertAlign val="subscript"/>
        <sz val="8"/>
        <color theme="1"/>
        <rFont val="メイリオ"/>
        <family val="3"/>
        <charset val="128"/>
      </rPr>
      <t>j+1</t>
    </r>
    <phoneticPr fontId="1"/>
  </si>
  <si>
    <r>
      <t>q-λ</t>
    </r>
    <r>
      <rPr>
        <vertAlign val="subscript"/>
        <sz val="8"/>
        <color theme="1"/>
        <rFont val="メイリオ"/>
        <family val="3"/>
        <charset val="128"/>
      </rPr>
      <t>j</t>
    </r>
    <phoneticPr fontId="1"/>
  </si>
  <si>
    <r>
      <t>λ</t>
    </r>
    <r>
      <rPr>
        <vertAlign val="subscript"/>
        <sz val="8"/>
        <color theme="1"/>
        <rFont val="メイリオ"/>
        <family val="3"/>
        <charset val="128"/>
      </rPr>
      <t>j+1</t>
    </r>
    <r>
      <rPr>
        <sz val="8"/>
        <color theme="1"/>
        <rFont val="メイリオ"/>
        <family val="3"/>
        <charset val="128"/>
      </rPr>
      <t>-q</t>
    </r>
    <phoneticPr fontId="1"/>
  </si>
  <si>
    <r>
      <t>q+(m-1)p</t>
    </r>
    <r>
      <rPr>
        <vertAlign val="subscript"/>
        <sz val="8"/>
        <color theme="1"/>
        <rFont val="メイリオ"/>
        <family val="3"/>
        <charset val="128"/>
      </rPr>
      <t>z</t>
    </r>
    <r>
      <rPr>
        <sz val="8"/>
        <color theme="1"/>
        <rFont val="メイリオ"/>
        <family val="3"/>
        <charset val="128"/>
      </rPr>
      <t>-λ</t>
    </r>
    <r>
      <rPr>
        <vertAlign val="subscript"/>
        <sz val="8"/>
        <color theme="1"/>
        <rFont val="メイリオ"/>
        <family val="3"/>
        <charset val="128"/>
      </rPr>
      <t>j</t>
    </r>
    <phoneticPr fontId="1"/>
  </si>
  <si>
    <r>
      <t>Φ</t>
    </r>
    <r>
      <rPr>
        <vertAlign val="subscript"/>
        <sz val="8"/>
        <color theme="1"/>
        <rFont val="メイリオ"/>
        <family val="3"/>
        <charset val="128"/>
      </rPr>
      <t>A</t>
    </r>
    <r>
      <rPr>
        <sz val="8"/>
        <color theme="1"/>
        <rFont val="メイリオ"/>
        <family val="3"/>
        <charset val="128"/>
      </rPr>
      <t xml:space="preserve"> (rad)</t>
    </r>
    <phoneticPr fontId="1"/>
  </si>
  <si>
    <r>
      <t>Φ</t>
    </r>
    <r>
      <rPr>
        <vertAlign val="subscript"/>
        <sz val="8"/>
        <color theme="1"/>
        <rFont val="メイリオ"/>
        <family val="3"/>
        <charset val="128"/>
      </rPr>
      <t>C</t>
    </r>
    <r>
      <rPr>
        <sz val="8"/>
        <color theme="1"/>
        <rFont val="メイリオ"/>
        <family val="3"/>
        <charset val="128"/>
      </rPr>
      <t xml:space="preserve"> (rad)</t>
    </r>
    <phoneticPr fontId="1"/>
  </si>
  <si>
    <t>振分中心-内面溝m列目間距離</t>
    <rPh sb="0" eb="2">
      <t>フリワケ</t>
    </rPh>
    <rPh sb="2" eb="4">
      <t>チュウシン</t>
    </rPh>
    <rPh sb="5" eb="8">
      <t>ナイメン</t>
    </rPh>
    <rPh sb="9" eb="10">
      <t>レツ</t>
    </rPh>
    <rPh sb="10" eb="11">
      <t>メ</t>
    </rPh>
    <rPh sb="11" eb="12">
      <t>カン</t>
    </rPh>
    <rPh sb="12" eb="14">
      <t>キョリ</t>
    </rPh>
    <phoneticPr fontId="1"/>
  </si>
  <si>
    <t>振分中心-内面溝m-1列目間距離</t>
    <rPh sb="0" eb="2">
      <t>フリワケ</t>
    </rPh>
    <rPh sb="2" eb="4">
      <t>チュウシン</t>
    </rPh>
    <rPh sb="5" eb="8">
      <t>ナイメン</t>
    </rPh>
    <rPh sb="11" eb="12">
      <t>レツ</t>
    </rPh>
    <rPh sb="12" eb="13">
      <t>メ</t>
    </rPh>
    <rPh sb="13" eb="14">
      <t>カン</t>
    </rPh>
    <rPh sb="14" eb="16">
      <t>キョリ</t>
    </rPh>
    <phoneticPr fontId="1"/>
  </si>
  <si>
    <t>内面溝m列目の長さ</t>
    <rPh sb="0" eb="3">
      <t>ナイメ</t>
    </rPh>
    <rPh sb="4" eb="5">
      <t>レツ</t>
    </rPh>
    <rPh sb="5" eb="6">
      <t>メ</t>
    </rPh>
    <rPh sb="7" eb="8">
      <t>ナガ</t>
    </rPh>
    <phoneticPr fontId="1"/>
  </si>
  <si>
    <t>内面溝m-1列目の長さ</t>
    <rPh sb="0" eb="3">
      <t>ナイメ</t>
    </rPh>
    <rPh sb="6" eb="7">
      <t>レツ</t>
    </rPh>
    <rPh sb="7" eb="8">
      <t>メ</t>
    </rPh>
    <rPh sb="9" eb="10">
      <t>ナガ</t>
    </rPh>
    <phoneticPr fontId="1"/>
  </si>
  <si>
    <t>湾曲・振分</t>
    <rPh sb="0" eb="2">
      <t>ワンキョク</t>
    </rPh>
    <rPh sb="3" eb="5">
      <t>フリワ</t>
    </rPh>
    <phoneticPr fontId="1"/>
  </si>
  <si>
    <r>
      <t>R</t>
    </r>
    <r>
      <rPr>
        <vertAlign val="subscript"/>
        <sz val="8"/>
        <color theme="1"/>
        <rFont val="メイリオ"/>
        <family val="3"/>
        <charset val="128"/>
      </rPr>
      <t>c</t>
    </r>
    <phoneticPr fontId="1"/>
  </si>
  <si>
    <r>
      <t>f</t>
    </r>
    <r>
      <rPr>
        <vertAlign val="subscript"/>
        <sz val="8"/>
        <color theme="1"/>
        <rFont val="メイリオ"/>
        <family val="3"/>
        <charset val="128"/>
      </rPr>
      <t>t</t>
    </r>
    <phoneticPr fontId="1"/>
  </si>
  <si>
    <r>
      <t>f</t>
    </r>
    <r>
      <rPr>
        <vertAlign val="subscript"/>
        <sz val="8"/>
        <color theme="1"/>
        <rFont val="メイリオ"/>
        <family val="3"/>
        <charset val="128"/>
      </rPr>
      <t>b</t>
    </r>
    <phoneticPr fontId="1"/>
  </si>
  <si>
    <r>
      <t>sqrt(R</t>
    </r>
    <r>
      <rPr>
        <vertAlign val="subscript"/>
        <sz val="8"/>
        <color theme="1"/>
        <rFont val="メイリオ"/>
        <family val="3"/>
        <charset val="128"/>
      </rPr>
      <t>i</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-bar l</t>
    </r>
    <r>
      <rPr>
        <vertAlign val="superscript"/>
        <sz val="8"/>
        <color theme="1"/>
        <rFont val="メイリオ"/>
        <family val="3"/>
        <charset val="128"/>
      </rPr>
      <t>2</t>
    </r>
    <r>
      <rPr>
        <sz val="8"/>
        <color theme="1"/>
        <rFont val="メイリオ"/>
        <family val="3"/>
        <charset val="128"/>
      </rPr>
      <t>)</t>
    </r>
    <phoneticPr fontId="1"/>
  </si>
  <si>
    <r>
      <t>R</t>
    </r>
    <r>
      <rPr>
        <vertAlign val="subscript"/>
        <sz val="8"/>
        <color theme="1"/>
        <rFont val="メイリオ"/>
        <family val="3"/>
        <charset val="128"/>
      </rPr>
      <t>i</t>
    </r>
    <r>
      <rPr>
        <sz val="8"/>
        <color theme="1"/>
        <rFont val="メイリオ"/>
        <family val="3"/>
        <charset val="128"/>
      </rPr>
      <t>'=R</t>
    </r>
    <r>
      <rPr>
        <vertAlign val="subscript"/>
        <sz val="8"/>
        <color theme="1"/>
        <rFont val="メイリオ"/>
        <family val="3"/>
        <charset val="128"/>
      </rPr>
      <t>i</t>
    </r>
    <r>
      <rPr>
        <sz val="8"/>
        <color theme="1"/>
        <rFont val="メイリオ"/>
        <family val="3"/>
        <charset val="128"/>
      </rPr>
      <t>-ρ</t>
    </r>
    <phoneticPr fontId="1"/>
  </si>
  <si>
    <r>
      <t>R</t>
    </r>
    <r>
      <rPr>
        <vertAlign val="subscript"/>
        <sz val="8"/>
        <color theme="1"/>
        <rFont val="メイリオ"/>
        <family val="3"/>
        <charset val="128"/>
      </rPr>
      <t>i</t>
    </r>
    <r>
      <rPr>
        <sz val="8"/>
        <color theme="1"/>
        <rFont val="メイリオ"/>
        <family val="3"/>
        <charset val="128"/>
      </rPr>
      <t>=R</t>
    </r>
    <r>
      <rPr>
        <vertAlign val="subscript"/>
        <sz val="8"/>
        <color theme="1"/>
        <rFont val="メイリオ"/>
        <family val="3"/>
        <charset val="128"/>
      </rPr>
      <t>c</t>
    </r>
    <r>
      <rPr>
        <sz val="8"/>
        <color theme="1"/>
        <rFont val="メイリオ"/>
        <family val="3"/>
        <charset val="128"/>
      </rPr>
      <t>-w/2</t>
    </r>
    <phoneticPr fontId="1"/>
  </si>
  <si>
    <r>
      <t>R</t>
    </r>
    <r>
      <rPr>
        <vertAlign val="subscript"/>
        <sz val="8"/>
        <color theme="1"/>
        <rFont val="メイリオ"/>
        <family val="3"/>
        <charset val="128"/>
      </rPr>
      <t>o</t>
    </r>
    <r>
      <rPr>
        <sz val="8"/>
        <color theme="1"/>
        <rFont val="メイリオ"/>
        <family val="3"/>
        <charset val="128"/>
      </rPr>
      <t>=R</t>
    </r>
    <r>
      <rPr>
        <vertAlign val="subscript"/>
        <sz val="8"/>
        <color theme="1"/>
        <rFont val="メイリオ"/>
        <family val="3"/>
        <charset val="128"/>
      </rPr>
      <t>c</t>
    </r>
    <r>
      <rPr>
        <sz val="8"/>
        <color theme="1"/>
        <rFont val="メイリオ"/>
        <family val="3"/>
        <charset val="128"/>
      </rPr>
      <t>+w/2</t>
    </r>
    <phoneticPr fontId="1"/>
  </si>
  <si>
    <r>
      <t>f</t>
    </r>
    <r>
      <rPr>
        <vertAlign val="subscript"/>
        <sz val="8"/>
        <color theme="1"/>
        <rFont val="メイリオ"/>
        <family val="3"/>
        <charset val="128"/>
      </rPr>
      <t>d</t>
    </r>
    <r>
      <rPr>
        <sz val="8"/>
        <color theme="1"/>
        <rFont val="メイリオ"/>
        <family val="3"/>
        <charset val="128"/>
      </rPr>
      <t>=(f</t>
    </r>
    <r>
      <rPr>
        <vertAlign val="subscript"/>
        <sz val="8"/>
        <color theme="1"/>
        <rFont val="メイリオ"/>
        <family val="3"/>
        <charset val="128"/>
      </rPr>
      <t>b</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)/2</t>
    </r>
    <phoneticPr fontId="1"/>
  </si>
  <si>
    <r>
      <t>f'</t>
    </r>
    <r>
      <rPr>
        <vertAlign val="subscript"/>
        <sz val="8"/>
        <color theme="1"/>
        <rFont val="メイリオ"/>
        <family val="3"/>
        <charset val="128"/>
      </rPr>
      <t>d</t>
    </r>
    <r>
      <rPr>
        <sz val="8"/>
        <color theme="1"/>
        <rFont val="メイリオ"/>
        <family val="3"/>
        <charset val="128"/>
      </rPr>
      <t>/Δ'</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</si>
  <si>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</si>
  <si>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o</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</si>
  <si>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i</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</si>
  <si>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b</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</si>
  <si>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o</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b</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</si>
  <si>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i</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b</t>
    </r>
    <r>
      <rPr>
        <vertAlign val="superscript"/>
        <sz val="8"/>
        <color theme="1"/>
        <rFont val="メイリオ"/>
        <family val="3"/>
        <charset val="128"/>
      </rPr>
      <t>2</t>
    </r>
    <r>
      <rPr>
        <sz val="8"/>
        <color theme="1"/>
        <rFont val="メイリオ"/>
        <family val="3"/>
        <charset val="128"/>
      </rPr>
      <t>)</t>
    </r>
    <phoneticPr fontId="1"/>
  </si>
  <si>
    <r>
      <t>κ</t>
    </r>
    <r>
      <rPr>
        <vertAlign val="subscript"/>
        <sz val="8"/>
        <color theme="1"/>
        <rFont val="メイリオ"/>
        <family val="3"/>
        <charset val="128"/>
      </rPr>
      <t>p</t>
    </r>
    <r>
      <rPr>
        <sz val="8"/>
        <color theme="1"/>
        <rFont val="メイリオ"/>
        <family val="3"/>
        <charset val="128"/>
      </rPr>
      <t>+κ</t>
    </r>
    <r>
      <rPr>
        <vertAlign val="subscript"/>
        <sz val="8"/>
        <color theme="1"/>
        <rFont val="メイリオ"/>
        <family val="3"/>
        <charset val="128"/>
      </rPr>
      <t>w</t>
    </r>
    <r>
      <rPr>
        <sz val="8"/>
        <color theme="1"/>
        <rFont val="メイリオ"/>
        <family val="3"/>
        <charset val="128"/>
      </rPr>
      <t>/2</t>
    </r>
    <phoneticPr fontId="1"/>
  </si>
  <si>
    <r>
      <t>f</t>
    </r>
    <r>
      <rPr>
        <vertAlign val="subscript"/>
        <sz val="8"/>
        <color theme="1"/>
        <rFont val="メイリオ"/>
        <family val="3"/>
        <charset val="128"/>
      </rPr>
      <t>t</t>
    </r>
    <r>
      <rPr>
        <sz val="8"/>
        <color theme="1"/>
        <rFont val="メイリオ"/>
        <family val="3"/>
        <charset val="128"/>
      </rPr>
      <t>-κ</t>
    </r>
    <r>
      <rPr>
        <vertAlign val="subscript"/>
        <sz val="8"/>
        <color theme="1"/>
        <rFont val="メイリオ"/>
        <family val="3"/>
        <charset val="128"/>
      </rPr>
      <t>p</t>
    </r>
    <r>
      <rPr>
        <sz val="8"/>
        <color theme="1"/>
        <rFont val="メイリオ"/>
        <family val="3"/>
        <charset val="128"/>
      </rPr>
      <t>-κ</t>
    </r>
    <r>
      <rPr>
        <vertAlign val="subscript"/>
        <sz val="8"/>
        <color theme="1"/>
        <rFont val="メイリオ"/>
        <family val="3"/>
        <charset val="128"/>
      </rPr>
      <t>w</t>
    </r>
    <r>
      <rPr>
        <sz val="8"/>
        <color theme="1"/>
        <rFont val="メイリオ"/>
        <family val="3"/>
        <charset val="128"/>
      </rPr>
      <t>/2</t>
    </r>
    <phoneticPr fontId="1"/>
  </si>
  <si>
    <r>
      <t>p</t>
    </r>
    <r>
      <rPr>
        <vertAlign val="subscript"/>
        <sz val="8"/>
        <color theme="1"/>
        <rFont val="メイリオ"/>
        <family val="3"/>
        <charset val="128"/>
      </rPr>
      <t>Z</t>
    </r>
    <phoneticPr fontId="1"/>
  </si>
  <si>
    <r>
      <t>p</t>
    </r>
    <r>
      <rPr>
        <vertAlign val="subscript"/>
        <sz val="8"/>
        <color theme="1"/>
        <rFont val="メイリオ"/>
        <family val="3"/>
        <charset val="128"/>
      </rPr>
      <t>x</t>
    </r>
    <phoneticPr fontId="1"/>
  </si>
  <si>
    <r>
      <t>f</t>
    </r>
    <r>
      <rPr>
        <vertAlign val="subscript"/>
        <sz val="8"/>
        <color theme="1"/>
        <rFont val="メイリオ"/>
        <family val="3"/>
        <charset val="128"/>
      </rPr>
      <t>t</t>
    </r>
    <r>
      <rPr>
        <sz val="8"/>
        <color theme="1"/>
        <rFont val="メイリオ"/>
        <family val="3"/>
        <charset val="128"/>
      </rPr>
      <t>-q</t>
    </r>
    <phoneticPr fontId="1"/>
  </si>
  <si>
    <r>
      <t>λ</t>
    </r>
    <r>
      <rPr>
        <vertAlign val="subscript"/>
        <sz val="8"/>
        <color theme="1"/>
        <rFont val="メイリオ"/>
        <family val="3"/>
        <charset val="128"/>
      </rPr>
      <t>j</t>
    </r>
    <r>
      <rPr>
        <sz val="8"/>
        <color theme="1"/>
        <rFont val="メイリオ"/>
        <family val="3"/>
        <charset val="128"/>
      </rPr>
      <t xml:space="preserve"> (q)</t>
    </r>
    <phoneticPr fontId="1"/>
  </si>
  <si>
    <r>
      <t>λ</t>
    </r>
    <r>
      <rPr>
        <vertAlign val="subscript"/>
        <sz val="8"/>
        <color theme="1"/>
        <rFont val="メイリオ"/>
        <family val="3"/>
        <charset val="128"/>
      </rPr>
      <t>j+1</t>
    </r>
    <r>
      <rPr>
        <sz val="8"/>
        <color theme="1"/>
        <rFont val="メイリオ"/>
        <family val="3"/>
        <charset val="128"/>
      </rPr>
      <t xml:space="preserve"> (q)</t>
    </r>
    <phoneticPr fontId="1"/>
  </si>
  <si>
    <r>
      <t>f</t>
    </r>
    <r>
      <rPr>
        <vertAlign val="subscript"/>
        <sz val="8"/>
        <color theme="1"/>
        <rFont val="メイリオ"/>
        <family val="3"/>
        <charset val="128"/>
      </rPr>
      <t>t</t>
    </r>
    <r>
      <rPr>
        <sz val="8"/>
        <color theme="1"/>
        <rFont val="メイリオ"/>
        <family val="3"/>
        <charset val="128"/>
      </rPr>
      <t>-q-(m-1)p</t>
    </r>
    <r>
      <rPr>
        <vertAlign val="subscript"/>
        <sz val="8"/>
        <color theme="1"/>
        <rFont val="メイリオ"/>
        <family val="3"/>
        <charset val="128"/>
      </rPr>
      <t>z</t>
    </r>
    <phoneticPr fontId="1"/>
  </si>
  <si>
    <r>
      <t>f</t>
    </r>
    <r>
      <rPr>
        <vertAlign val="subscript"/>
        <sz val="8"/>
        <color theme="1"/>
        <rFont val="メイリオ"/>
        <family val="3"/>
        <charset val="128"/>
      </rPr>
      <t>t</t>
    </r>
    <r>
      <rPr>
        <sz val="8"/>
        <color theme="1"/>
        <rFont val="メイリオ"/>
        <family val="3"/>
        <charset val="128"/>
      </rPr>
      <t>-q-(m-2)p</t>
    </r>
    <r>
      <rPr>
        <vertAlign val="subscript"/>
        <sz val="8"/>
        <color theme="1"/>
        <rFont val="メイリオ"/>
        <family val="3"/>
        <charset val="128"/>
      </rPr>
      <t>z</t>
    </r>
    <phoneticPr fontId="1"/>
  </si>
  <si>
    <r>
      <t>λ</t>
    </r>
    <r>
      <rPr>
        <vertAlign val="subscript"/>
        <sz val="8"/>
        <color theme="1"/>
        <rFont val="メイリオ"/>
        <family val="3"/>
        <charset val="128"/>
      </rPr>
      <t>j+1</t>
    </r>
    <r>
      <rPr>
        <sz val="8"/>
        <color theme="1"/>
        <rFont val="メイリオ"/>
        <family val="3"/>
        <charset val="128"/>
      </rPr>
      <t>-q-(m-1)p</t>
    </r>
    <r>
      <rPr>
        <vertAlign val="subscript"/>
        <sz val="8"/>
        <color theme="1"/>
        <rFont val="メイリオ"/>
        <family val="3"/>
        <charset val="128"/>
      </rPr>
      <t>z</t>
    </r>
    <phoneticPr fontId="1"/>
  </si>
  <si>
    <r>
      <t>tanΦ</t>
    </r>
    <r>
      <rPr>
        <vertAlign val="subscript"/>
        <sz val="8"/>
        <color theme="1"/>
        <rFont val="メイリオ"/>
        <family val="3"/>
        <charset val="128"/>
      </rPr>
      <t>A</t>
    </r>
    <phoneticPr fontId="1"/>
  </si>
  <si>
    <r>
      <t>Φ</t>
    </r>
    <r>
      <rPr>
        <vertAlign val="subscript"/>
        <sz val="8"/>
        <color theme="1"/>
        <rFont val="メイリオ"/>
        <family val="3"/>
        <charset val="128"/>
      </rPr>
      <t>A</t>
    </r>
    <phoneticPr fontId="1"/>
  </si>
  <si>
    <r>
      <t>tanΦ</t>
    </r>
    <r>
      <rPr>
        <vertAlign val="subscript"/>
        <sz val="8"/>
        <color theme="1"/>
        <rFont val="メイリオ"/>
        <family val="3"/>
        <charset val="128"/>
      </rPr>
      <t>C</t>
    </r>
    <phoneticPr fontId="1"/>
  </si>
  <si>
    <r>
      <t>Φ</t>
    </r>
    <r>
      <rPr>
        <vertAlign val="subscript"/>
        <sz val="8"/>
        <color theme="1"/>
        <rFont val="メイリオ"/>
        <family val="3"/>
        <charset val="128"/>
      </rPr>
      <t>C</t>
    </r>
    <phoneticPr fontId="1"/>
  </si>
  <si>
    <r>
      <t>d</t>
    </r>
    <r>
      <rPr>
        <vertAlign val="subscript"/>
        <sz val="8"/>
        <color theme="1"/>
        <rFont val="メイリオ"/>
        <family val="3"/>
        <charset val="128"/>
      </rPr>
      <t>m</t>
    </r>
    <phoneticPr fontId="1"/>
  </si>
  <si>
    <r>
      <t>d</t>
    </r>
    <r>
      <rPr>
        <vertAlign val="subscript"/>
        <sz val="8"/>
        <color theme="1"/>
        <rFont val="メイリオ"/>
        <family val="3"/>
        <charset val="128"/>
      </rPr>
      <t>m-1</t>
    </r>
    <phoneticPr fontId="1"/>
  </si>
  <si>
    <r>
      <t>δ</t>
    </r>
    <r>
      <rPr>
        <vertAlign val="superscript"/>
        <sz val="8"/>
        <color theme="1"/>
        <rFont val="メイリオ"/>
        <family val="3"/>
        <charset val="128"/>
      </rPr>
      <t>2</t>
    </r>
    <r>
      <rPr>
        <sz val="8"/>
        <color theme="1"/>
        <rFont val="メイリオ"/>
        <family val="3"/>
        <charset val="128"/>
      </rPr>
      <t>+(2bar l)</t>
    </r>
    <r>
      <rPr>
        <vertAlign val="superscript"/>
        <sz val="8"/>
        <color theme="1"/>
        <rFont val="メイリオ"/>
        <family val="3"/>
        <charset val="128"/>
      </rPr>
      <t>2</t>
    </r>
    <phoneticPr fontId="1"/>
  </si>
  <si>
    <r>
      <t>sqrt(δ</t>
    </r>
    <r>
      <rPr>
        <vertAlign val="superscript"/>
        <sz val="8"/>
        <color theme="1"/>
        <rFont val="メイリオ"/>
        <family val="3"/>
        <charset val="128"/>
      </rPr>
      <t>2</t>
    </r>
    <r>
      <rPr>
        <sz val="8"/>
        <color theme="1"/>
        <rFont val="メイリオ"/>
        <family val="3"/>
        <charset val="128"/>
      </rPr>
      <t>+(2bar l)</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</si>
  <si>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i</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-(bar l-f</t>
    </r>
    <r>
      <rPr>
        <vertAlign val="subscript"/>
        <sz val="8"/>
        <color theme="1"/>
        <rFont val="メイリオ"/>
        <family val="3"/>
        <charset val="128"/>
      </rPr>
      <t>d</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</si>
  <si>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i</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-(bar l+f</t>
    </r>
    <r>
      <rPr>
        <vertAlign val="subscript"/>
        <sz val="8"/>
        <color theme="1"/>
        <rFont val="メイリオ"/>
        <family val="3"/>
        <charset val="128"/>
      </rPr>
      <t>d</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</si>
  <si>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f</t>
    </r>
    <r>
      <rPr>
        <vertAlign val="subscript"/>
        <sz val="8"/>
        <color theme="1"/>
        <rFont val="メイリオ"/>
        <family val="3"/>
        <charset val="128"/>
      </rPr>
      <t>d</t>
    </r>
    <r>
      <rPr>
        <sz val="8"/>
        <color theme="1"/>
        <rFont val="メイリオ"/>
        <family val="3"/>
        <charset val="128"/>
      </rPr>
      <t>*bar l</t>
    </r>
    <phoneticPr fontId="1"/>
  </si>
  <si>
    <r>
      <t>sqrt(R</t>
    </r>
    <r>
      <rPr>
        <vertAlign val="subscript"/>
        <sz val="8"/>
        <color theme="1"/>
        <rFont val="メイリオ"/>
        <family val="3"/>
        <charset val="128"/>
      </rPr>
      <t>i</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-I7/4)</t>
    </r>
    <phoneticPr fontId="1"/>
  </si>
  <si>
    <t>A内面溝 トップ端-1列目間用</t>
    <rPh sb="1" eb="3">
      <t>ナイメン</t>
    </rPh>
    <rPh sb="3" eb="4">
      <t>ミゾ</t>
    </rPh>
    <rPh sb="8" eb="9">
      <t>タン</t>
    </rPh>
    <rPh sb="11" eb="13">
      <t>レツメ</t>
    </rPh>
    <rPh sb="13" eb="14">
      <t>カン</t>
    </rPh>
    <rPh sb="14" eb="15">
      <t>ヨウ</t>
    </rPh>
    <phoneticPr fontId="1"/>
  </si>
  <si>
    <t>C内面溝 1列目-m列目間用</t>
    <rPh sb="1" eb="3">
      <t>ナイメン</t>
    </rPh>
    <rPh sb="3" eb="4">
      <t>ミゾ</t>
    </rPh>
    <rPh sb="6" eb="8">
      <t>レツメ</t>
    </rPh>
    <rPh sb="10" eb="12">
      <t>レツメ</t>
    </rPh>
    <rPh sb="12" eb="13">
      <t>カン</t>
    </rPh>
    <rPh sb="13" eb="14">
      <t>ヨウ</t>
    </rPh>
    <phoneticPr fontId="1"/>
  </si>
  <si>
    <t>A内面トップ端-内面溝間 最近X距離</t>
    <rPh sb="1" eb="3">
      <t>ナイメン</t>
    </rPh>
    <rPh sb="6" eb="7">
      <t>タン</t>
    </rPh>
    <rPh sb="8" eb="10">
      <t>ナイメン</t>
    </rPh>
    <rPh sb="10" eb="11">
      <t>ミゾ</t>
    </rPh>
    <rPh sb="11" eb="12">
      <t>カン</t>
    </rPh>
    <rPh sb="13" eb="15">
      <t>サイキン</t>
    </rPh>
    <rPh sb="16" eb="18">
      <t>キョリ</t>
    </rPh>
    <phoneticPr fontId="1"/>
  </si>
  <si>
    <t>A内面 トップ端-(m-1, 1)間 X距離</t>
    <rPh sb="1" eb="3">
      <t>ナイメン</t>
    </rPh>
    <rPh sb="7" eb="8">
      <t>タン</t>
    </rPh>
    <rPh sb="17" eb="18">
      <t>カン</t>
    </rPh>
    <rPh sb="20" eb="22">
      <t>キョリ</t>
    </rPh>
    <phoneticPr fontId="1"/>
  </si>
  <si>
    <t>A内面 トップ端-(m, 1)間 X距離</t>
    <rPh sb="1" eb="3">
      <t>ナイメン</t>
    </rPh>
    <rPh sb="7" eb="8">
      <t>タン</t>
    </rPh>
    <rPh sb="15" eb="16">
      <t>カン</t>
    </rPh>
    <rPh sb="18" eb="20">
      <t>キョリ</t>
    </rPh>
    <phoneticPr fontId="1"/>
  </si>
  <si>
    <r>
      <t>w</t>
    </r>
    <r>
      <rPr>
        <vertAlign val="subscript"/>
        <sz val="8"/>
        <color theme="1"/>
        <rFont val="メイリオ"/>
        <family val="3"/>
        <charset val="128"/>
      </rPr>
      <t>A0</t>
    </r>
    <phoneticPr fontId="1"/>
  </si>
  <si>
    <t>溝BC径</t>
    <rPh sb="0" eb="1">
      <t>ミゾ</t>
    </rPh>
    <rPh sb="3" eb="4">
      <t>ケイ</t>
    </rPh>
    <phoneticPr fontId="1"/>
  </si>
  <si>
    <t>ボトム外削AC外径</t>
    <rPh sb="3" eb="5">
      <t>ガイサク</t>
    </rPh>
    <rPh sb="7" eb="9">
      <t>ガイケイ</t>
    </rPh>
    <phoneticPr fontId="1"/>
  </si>
  <si>
    <t>ボトム外削BD外径</t>
    <rPh sb="3" eb="5">
      <t>ガイサク</t>
    </rPh>
    <rPh sb="7" eb="9">
      <t>ガイケイ</t>
    </rPh>
    <phoneticPr fontId="1"/>
  </si>
  <si>
    <t>pos</t>
    <phoneticPr fontId="1"/>
  </si>
  <si>
    <t>AC_len</t>
    <phoneticPr fontId="1"/>
  </si>
  <si>
    <t>BD_len</t>
    <phoneticPr fontId="1"/>
  </si>
  <si>
    <t>CR</t>
    <phoneticPr fontId="1"/>
  </si>
  <si>
    <t>ratioAC</t>
    <phoneticPr fontId="1"/>
  </si>
  <si>
    <t>ratioBD</t>
    <phoneticPr fontId="1"/>
  </si>
  <si>
    <t>ratioAve</t>
    <phoneticPr fontId="1"/>
  </si>
  <si>
    <t>mekki</t>
    <phoneticPr fontId="1"/>
  </si>
  <si>
    <t>pAC</t>
    <phoneticPr fontId="1"/>
  </si>
  <si>
    <t>pBD</t>
    <phoneticPr fontId="1"/>
  </si>
  <si>
    <t>pCR</t>
    <phoneticPr fontId="1"/>
  </si>
  <si>
    <t>mAC_len</t>
    <phoneticPr fontId="1"/>
  </si>
  <si>
    <t>mCR</t>
    <phoneticPr fontId="1"/>
  </si>
  <si>
    <t>テーブル中心</t>
    <rPh sb="4" eb="6">
      <t>チュウシン</t>
    </rPh>
    <phoneticPr fontId="1"/>
  </si>
  <si>
    <t>工具-A側内面溝 余裕代</t>
    <rPh sb="0" eb="2">
      <t>コウグ</t>
    </rPh>
    <rPh sb="4" eb="5">
      <t>ガワ</t>
    </rPh>
    <rPh sb="5" eb="7">
      <t>ナイメン</t>
    </rPh>
    <rPh sb="7" eb="8">
      <t>ミゾ</t>
    </rPh>
    <rPh sb="9" eb="11">
      <t>ヨユウ</t>
    </rPh>
    <rPh sb="11" eb="12">
      <t>ダイ</t>
    </rPh>
    <phoneticPr fontId="1"/>
  </si>
  <si>
    <t>内径・内面</t>
    <rPh sb="0" eb="2">
      <t>ナイケイ</t>
    </rPh>
    <rPh sb="3" eb="5">
      <t>ナイメン</t>
    </rPh>
    <phoneticPr fontId="1"/>
  </si>
  <si>
    <t>μ</t>
    <phoneticPr fontId="1"/>
  </si>
  <si>
    <t>内面テーパ#</t>
    <rPh sb="0" eb="2">
      <t>ナイメン</t>
    </rPh>
    <phoneticPr fontId="1"/>
  </si>
  <si>
    <t>e937</t>
    <phoneticPr fontId="1"/>
  </si>
  <si>
    <t>トップ端のA側内面R（近似）</t>
    <rPh sb="3" eb="4">
      <t>タン</t>
    </rPh>
    <rPh sb="6" eb="7">
      <t>ガワ</t>
    </rPh>
    <rPh sb="7" eb="9">
      <t>ナイメン</t>
    </rPh>
    <rPh sb="11" eb="13">
      <t>キンジ</t>
    </rPh>
    <phoneticPr fontId="1"/>
  </si>
  <si>
    <t>qのA側内面R（近似）</t>
    <rPh sb="3" eb="4">
      <t>ガワ</t>
    </rPh>
    <rPh sb="4" eb="6">
      <t>ナイメン</t>
    </rPh>
    <rPh sb="8" eb="10">
      <t>キンジ</t>
    </rPh>
    <phoneticPr fontId="1"/>
  </si>
  <si>
    <t>工具（orシャンク）直径</t>
    <rPh sb="0" eb="2">
      <t>コウグ</t>
    </rPh>
    <rPh sb="10" eb="12">
      <t>チョッケイ</t>
    </rPh>
    <phoneticPr fontId="1"/>
  </si>
  <si>
    <t>内面溝加工用傾き角A（deg, 相対）</t>
    <rPh sb="0" eb="3">
      <t>ナイ</t>
    </rPh>
    <rPh sb="3" eb="6">
      <t>カコウヨウ</t>
    </rPh>
    <rPh sb="6" eb="7">
      <t>カタム</t>
    </rPh>
    <rPh sb="8" eb="9">
      <t>カク</t>
    </rPh>
    <rPh sb="16" eb="18">
      <t>ソウタイ</t>
    </rPh>
    <phoneticPr fontId="1"/>
  </si>
  <si>
    <t>内面溝加工用傾き角A（deg, 絶対）</t>
    <rPh sb="0" eb="3">
      <t>ナイ</t>
    </rPh>
    <rPh sb="3" eb="6">
      <t>カコウヨウ</t>
    </rPh>
    <rPh sb="6" eb="7">
      <t>カタム</t>
    </rPh>
    <rPh sb="8" eb="9">
      <t>カク</t>
    </rPh>
    <rPh sb="16" eb="18">
      <t>ゼッタイ</t>
    </rPh>
    <phoneticPr fontId="1"/>
  </si>
  <si>
    <t>内面溝 奇数列の数</t>
    <rPh sb="0" eb="2">
      <t>ナイメン</t>
    </rPh>
    <rPh sb="2" eb="3">
      <t>ミゾ</t>
    </rPh>
    <rPh sb="4" eb="6">
      <t>キスウ</t>
    </rPh>
    <rPh sb="6" eb="7">
      <t>レツ</t>
    </rPh>
    <rPh sb="8" eb="9">
      <t>カズ</t>
    </rPh>
    <phoneticPr fontId="1"/>
  </si>
  <si>
    <t>内面溝 偶数列の数</t>
    <rPh sb="0" eb="2">
      <t>ナイメン</t>
    </rPh>
    <rPh sb="2" eb="3">
      <t>ミゾ</t>
    </rPh>
    <rPh sb="4" eb="6">
      <t>グウスウ</t>
    </rPh>
    <rPh sb="6" eb="7">
      <t>レツ</t>
    </rPh>
    <rPh sb="7" eb="8">
      <t>スウレツ</t>
    </rPh>
    <rPh sb="8" eb="9">
      <t>カズ</t>
    </rPh>
    <phoneticPr fontId="1"/>
  </si>
  <si>
    <r>
      <t>f</t>
    </r>
    <r>
      <rPr>
        <vertAlign val="subscript"/>
        <sz val="8"/>
        <color theme="1"/>
        <rFont val="メイリオ"/>
        <family val="3"/>
        <charset val="128"/>
      </rPr>
      <t>t</t>
    </r>
    <r>
      <rPr>
        <sz val="8"/>
        <color theme="1"/>
        <rFont val="メイリオ"/>
        <family val="3"/>
        <charset val="128"/>
      </rPr>
      <t>'</t>
    </r>
    <phoneticPr fontId="1"/>
  </si>
  <si>
    <r>
      <t>f</t>
    </r>
    <r>
      <rPr>
        <vertAlign val="subscript"/>
        <sz val="8"/>
        <color theme="1"/>
        <rFont val="メイリオ"/>
        <family val="3"/>
        <charset val="128"/>
      </rPr>
      <t>b</t>
    </r>
    <r>
      <rPr>
        <sz val="8"/>
        <color theme="1"/>
        <rFont val="メイリオ"/>
        <family val="3"/>
        <charset val="128"/>
      </rPr>
      <t>'</t>
    </r>
    <phoneticPr fontId="1"/>
  </si>
  <si>
    <t>均等振分角度(deg)</t>
    <rPh sb="0" eb="2">
      <t>キントウ</t>
    </rPh>
    <rPh sb="2" eb="4">
      <t>フリワケ</t>
    </rPh>
    <rPh sb="4" eb="6">
      <t>カクド</t>
    </rPh>
    <phoneticPr fontId="1"/>
  </si>
  <si>
    <r>
      <t>f</t>
    </r>
    <r>
      <rPr>
        <vertAlign val="subscript"/>
        <sz val="8"/>
        <color theme="1"/>
        <rFont val="メイリオ"/>
        <family val="3"/>
        <charset val="128"/>
      </rPr>
      <t>t</t>
    </r>
    <r>
      <rPr>
        <sz val="8"/>
        <color theme="1"/>
        <rFont val="メイリオ"/>
        <family val="3"/>
        <charset val="128"/>
      </rPr>
      <t>-q-p</t>
    </r>
    <r>
      <rPr>
        <vertAlign val="subscript"/>
        <sz val="8"/>
        <color theme="1"/>
        <rFont val="メイリオ"/>
        <family val="3"/>
        <charset val="128"/>
      </rPr>
      <t>z</t>
    </r>
    <phoneticPr fontId="1"/>
  </si>
  <si>
    <r>
      <t>f</t>
    </r>
    <r>
      <rPr>
        <vertAlign val="subscript"/>
        <sz val="8"/>
        <color theme="1"/>
        <rFont val="メイリオ"/>
        <family val="3"/>
        <charset val="128"/>
      </rPr>
      <t>t</t>
    </r>
    <r>
      <rPr>
        <sz val="8"/>
        <color theme="1"/>
        <rFont val="メイリオ"/>
        <family val="3"/>
        <charset val="128"/>
      </rPr>
      <t>-q-2p</t>
    </r>
    <r>
      <rPr>
        <vertAlign val="subscript"/>
        <sz val="8"/>
        <color theme="1"/>
        <rFont val="メイリオ"/>
        <family val="3"/>
        <charset val="128"/>
      </rPr>
      <t>z</t>
    </r>
    <phoneticPr fontId="1"/>
  </si>
  <si>
    <r>
      <t>f</t>
    </r>
    <r>
      <rPr>
        <vertAlign val="subscript"/>
        <sz val="8"/>
        <color theme="1"/>
        <rFont val="メイリオ"/>
        <family val="3"/>
        <charset val="128"/>
      </rPr>
      <t>t</t>
    </r>
    <r>
      <rPr>
        <sz val="8"/>
        <color theme="1"/>
        <rFont val="メイリオ"/>
        <family val="3"/>
        <charset val="128"/>
      </rPr>
      <t>-q-3p</t>
    </r>
    <r>
      <rPr>
        <vertAlign val="subscript"/>
        <sz val="8"/>
        <color theme="1"/>
        <rFont val="メイリオ"/>
        <family val="3"/>
        <charset val="128"/>
      </rPr>
      <t>z</t>
    </r>
    <phoneticPr fontId="1"/>
  </si>
  <si>
    <r>
      <t>f</t>
    </r>
    <r>
      <rPr>
        <vertAlign val="subscript"/>
        <sz val="8"/>
        <color theme="1"/>
        <rFont val="メイリオ"/>
        <family val="3"/>
        <charset val="128"/>
      </rPr>
      <t>t</t>
    </r>
    <r>
      <rPr>
        <sz val="8"/>
        <color theme="1"/>
        <rFont val="メイリオ"/>
        <family val="3"/>
        <charset val="128"/>
      </rPr>
      <t>-q-5p</t>
    </r>
    <r>
      <rPr>
        <vertAlign val="subscript"/>
        <sz val="8"/>
        <color theme="1"/>
        <rFont val="メイリオ"/>
        <family val="3"/>
        <charset val="128"/>
      </rPr>
      <t>z</t>
    </r>
    <phoneticPr fontId="1"/>
  </si>
  <si>
    <r>
      <t>f</t>
    </r>
    <r>
      <rPr>
        <vertAlign val="subscript"/>
        <sz val="8"/>
        <color theme="1"/>
        <rFont val="メイリオ"/>
        <family val="3"/>
        <charset val="128"/>
      </rPr>
      <t>t</t>
    </r>
    <r>
      <rPr>
        <sz val="8"/>
        <color theme="1"/>
        <rFont val="メイリオ"/>
        <family val="3"/>
        <charset val="128"/>
      </rPr>
      <t>-q-4p</t>
    </r>
    <r>
      <rPr>
        <vertAlign val="subscript"/>
        <sz val="8"/>
        <color theme="1"/>
        <rFont val="メイリオ"/>
        <family val="3"/>
        <charset val="128"/>
      </rPr>
      <t>z</t>
    </r>
    <phoneticPr fontId="1"/>
  </si>
  <si>
    <r>
      <t>λ</t>
    </r>
    <r>
      <rPr>
        <vertAlign val="subscript"/>
        <sz val="8"/>
        <color theme="1"/>
        <rFont val="メイリオ"/>
        <family val="3"/>
        <charset val="128"/>
      </rPr>
      <t>j</t>
    </r>
    <r>
      <rPr>
        <sz val="8"/>
        <color theme="1"/>
        <rFont val="メイリオ"/>
        <family val="3"/>
        <charset val="128"/>
      </rPr>
      <t xml:space="preserve"> (q+p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</si>
  <si>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j+1</t>
    </r>
    <r>
      <rPr>
        <sz val="8"/>
        <color theme="1"/>
        <rFont val="メイリオ"/>
        <family val="3"/>
        <charset val="128"/>
      </rPr>
      <t xml:space="preserve"> (q+p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</si>
  <si>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(q+2p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</si>
  <si>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j+1</t>
    </r>
    <r>
      <rPr>
        <sz val="8"/>
        <color theme="1"/>
        <rFont val="メイリオ"/>
        <family val="3"/>
        <charset val="128"/>
      </rPr>
      <t xml:space="preserve"> (q+2p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</si>
  <si>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(q+3p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</si>
  <si>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(q+4p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</si>
  <si>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(q+5p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</si>
  <si>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{q+(m-1)p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</si>
  <si>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{q+(m-2)p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</si>
  <si>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 q+(m-1)p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λ</t>
    </r>
    <r>
      <rPr>
        <b/>
        <vertAlign val="subscript"/>
        <sz val="8"/>
        <color theme="1"/>
        <rFont val="メイリオ"/>
        <family val="3"/>
        <charset val="128"/>
      </rPr>
      <t>j</t>
    </r>
    <phoneticPr fontId="1"/>
  </si>
  <si>
    <r>
      <t>λ</t>
    </r>
    <r>
      <rPr>
        <vertAlign val="subscript"/>
        <sz val="8"/>
        <color theme="1"/>
        <rFont val="メイリオ"/>
        <family val="3"/>
        <charset val="128"/>
      </rPr>
      <t>j</t>
    </r>
    <r>
      <rPr>
        <sz val="8"/>
        <color theme="1"/>
        <rFont val="メイリオ"/>
        <family val="3"/>
        <charset val="128"/>
      </rPr>
      <t xml:space="preserve"> ≦ q+(m-2)p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λ</t>
    </r>
    <r>
      <rPr>
        <b/>
        <vertAlign val="subscript"/>
        <sz val="8"/>
        <color theme="1"/>
        <rFont val="メイリオ"/>
        <family val="3"/>
        <charset val="128"/>
      </rPr>
      <t>j</t>
    </r>
    <phoneticPr fontId="1"/>
  </si>
  <si>
    <r>
      <t>λ</t>
    </r>
    <r>
      <rPr>
        <vertAlign val="subscript"/>
        <sz val="8"/>
        <color theme="1"/>
        <rFont val="メイリオ"/>
        <family val="3"/>
        <charset val="128"/>
      </rPr>
      <t>j+1</t>
    </r>
    <r>
      <rPr>
        <sz val="8"/>
        <color theme="1"/>
        <rFont val="メイリオ"/>
        <family val="3"/>
        <charset val="128"/>
      </rPr>
      <t xml:space="preserve"> (q+3p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</si>
  <si>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j+1</t>
    </r>
    <r>
      <rPr>
        <sz val="8"/>
        <color theme="1"/>
        <rFont val="メイリオ"/>
        <family val="3"/>
        <charset val="128"/>
      </rPr>
      <t xml:space="preserve"> (q+4pz)</t>
    </r>
  </si>
  <si>
    <r>
      <t>λ</t>
    </r>
    <r>
      <rPr>
        <vertAlign val="subscript"/>
        <sz val="8"/>
        <color theme="1"/>
        <rFont val="メイリオ"/>
        <family val="3"/>
        <charset val="128"/>
      </rPr>
      <t>j+1</t>
    </r>
    <r>
      <rPr>
        <sz val="8"/>
        <color theme="1"/>
        <rFont val="メイリオ"/>
        <family val="3"/>
        <charset val="128"/>
      </rPr>
      <t xml:space="preserve"> (q+5pz)</t>
    </r>
  </si>
  <si>
    <r>
      <t>λ</t>
    </r>
    <r>
      <rPr>
        <vertAlign val="subscript"/>
        <sz val="8"/>
        <color theme="1"/>
        <rFont val="メイリオ"/>
        <family val="3"/>
        <charset val="128"/>
      </rPr>
      <t>j+1</t>
    </r>
    <r>
      <rPr>
        <sz val="8"/>
        <color theme="1"/>
        <rFont val="メイリオ"/>
        <family val="3"/>
        <charset val="128"/>
      </rPr>
      <t xml:space="preserve"> {q+(m-2)p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</si>
  <si>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j+1</t>
    </r>
    <r>
      <rPr>
        <sz val="8"/>
        <color theme="1"/>
        <rFont val="メイリオ"/>
        <family val="3"/>
        <charset val="128"/>
      </rPr>
      <t xml:space="preserve"> {q+(m-1)p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</si>
  <si>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 q+(m-2)p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λ</t>
    </r>
    <r>
      <rPr>
        <vertAlign val="subscript"/>
        <sz val="8"/>
        <color theme="1"/>
        <rFont val="メイリオ"/>
        <family val="3"/>
        <charset val="128"/>
      </rPr>
      <t>j+1</t>
    </r>
    <phoneticPr fontId="1"/>
  </si>
  <si>
    <r>
      <t>n</t>
    </r>
    <r>
      <rPr>
        <vertAlign val="subscript"/>
        <sz val="8"/>
        <color theme="1"/>
        <rFont val="メイリオ"/>
        <family val="3"/>
        <charset val="128"/>
      </rPr>
      <t>o</t>
    </r>
    <phoneticPr fontId="1"/>
  </si>
  <si>
    <r>
      <t>n</t>
    </r>
    <r>
      <rPr>
        <vertAlign val="subscript"/>
        <sz val="8"/>
        <color theme="1"/>
        <rFont val="メイリオ"/>
        <family val="3"/>
        <charset val="128"/>
      </rPr>
      <t>e</t>
    </r>
    <phoneticPr fontId="1"/>
  </si>
  <si>
    <r>
      <t>q+p</t>
    </r>
    <r>
      <rPr>
        <vertAlign val="subscript"/>
        <sz val="8"/>
        <color theme="1"/>
        <rFont val="メイリオ"/>
        <family val="3"/>
        <charset val="128"/>
      </rPr>
      <t>z</t>
    </r>
    <r>
      <rPr>
        <sz val="8"/>
        <color theme="1"/>
        <rFont val="メイリオ"/>
        <family val="3"/>
        <charset val="128"/>
      </rPr>
      <t>-λ</t>
    </r>
    <r>
      <rPr>
        <vertAlign val="subscript"/>
        <sz val="8"/>
        <color theme="1"/>
        <rFont val="メイリオ"/>
        <family val="3"/>
        <charset val="128"/>
      </rPr>
      <t>j</t>
    </r>
    <phoneticPr fontId="1"/>
  </si>
  <si>
    <r>
      <t>q+2p</t>
    </r>
    <r>
      <rPr>
        <vertAlign val="subscript"/>
        <sz val="8"/>
        <color theme="1"/>
        <rFont val="メイリオ"/>
        <family val="3"/>
        <charset val="128"/>
      </rPr>
      <t>z</t>
    </r>
    <r>
      <rPr>
        <sz val="8"/>
        <color theme="1"/>
        <rFont val="メイリオ"/>
        <family val="3"/>
        <charset val="128"/>
      </rPr>
      <t>-λ</t>
    </r>
    <r>
      <rPr>
        <vertAlign val="subscript"/>
        <sz val="8"/>
        <color theme="1"/>
        <rFont val="メイリオ"/>
        <family val="3"/>
        <charset val="128"/>
      </rPr>
      <t>j</t>
    </r>
    <phoneticPr fontId="1"/>
  </si>
  <si>
    <r>
      <t>q+3p</t>
    </r>
    <r>
      <rPr>
        <vertAlign val="subscript"/>
        <sz val="8"/>
        <color theme="1"/>
        <rFont val="メイリオ"/>
        <family val="3"/>
        <charset val="128"/>
      </rPr>
      <t>z</t>
    </r>
    <r>
      <rPr>
        <sz val="8"/>
        <color theme="1"/>
        <rFont val="メイリオ"/>
        <family val="3"/>
        <charset val="128"/>
      </rPr>
      <t>-λ</t>
    </r>
    <r>
      <rPr>
        <vertAlign val="subscript"/>
        <sz val="8"/>
        <color theme="1"/>
        <rFont val="メイリオ"/>
        <family val="3"/>
        <charset val="128"/>
      </rPr>
      <t>j</t>
    </r>
    <phoneticPr fontId="1"/>
  </si>
  <si>
    <r>
      <t>q+4p</t>
    </r>
    <r>
      <rPr>
        <vertAlign val="subscript"/>
        <sz val="8"/>
        <color theme="1"/>
        <rFont val="メイリオ"/>
        <family val="3"/>
        <charset val="128"/>
      </rPr>
      <t>z</t>
    </r>
    <r>
      <rPr>
        <sz val="8"/>
        <color theme="1"/>
        <rFont val="メイリオ"/>
        <family val="3"/>
        <charset val="128"/>
      </rPr>
      <t>-λ</t>
    </r>
    <r>
      <rPr>
        <vertAlign val="subscript"/>
        <sz val="8"/>
        <color theme="1"/>
        <rFont val="メイリオ"/>
        <family val="3"/>
        <charset val="128"/>
      </rPr>
      <t>j</t>
    </r>
    <phoneticPr fontId="1"/>
  </si>
  <si>
    <r>
      <t>q+5p</t>
    </r>
    <r>
      <rPr>
        <vertAlign val="subscript"/>
        <sz val="8"/>
        <color theme="1"/>
        <rFont val="メイリオ"/>
        <family val="3"/>
        <charset val="128"/>
      </rPr>
      <t>z</t>
    </r>
    <r>
      <rPr>
        <sz val="8"/>
        <color theme="1"/>
        <rFont val="メイリオ"/>
        <family val="3"/>
        <charset val="128"/>
      </rPr>
      <t>-λ</t>
    </r>
    <r>
      <rPr>
        <vertAlign val="subscript"/>
        <sz val="8"/>
        <color theme="1"/>
        <rFont val="メイリオ"/>
        <family val="3"/>
        <charset val="128"/>
      </rPr>
      <t>j</t>
    </r>
    <phoneticPr fontId="1"/>
  </si>
  <si>
    <r>
      <t>q+(m-2)p</t>
    </r>
    <r>
      <rPr>
        <vertAlign val="subscript"/>
        <sz val="8"/>
        <color theme="1"/>
        <rFont val="メイリオ"/>
        <family val="3"/>
        <charset val="128"/>
      </rPr>
      <t>z</t>
    </r>
    <r>
      <rPr>
        <sz val="8"/>
        <color theme="1"/>
        <rFont val="メイリオ"/>
        <family val="3"/>
        <charset val="128"/>
      </rPr>
      <t>-λ</t>
    </r>
    <r>
      <rPr>
        <vertAlign val="subscript"/>
        <sz val="8"/>
        <color theme="1"/>
        <rFont val="メイリオ"/>
        <family val="3"/>
        <charset val="128"/>
      </rPr>
      <t>j</t>
    </r>
    <phoneticPr fontId="1"/>
  </si>
  <si>
    <r>
      <t>λ</t>
    </r>
    <r>
      <rPr>
        <vertAlign val="subscript"/>
        <sz val="8"/>
        <color theme="1"/>
        <rFont val="メイリオ"/>
        <family val="3"/>
        <charset val="128"/>
      </rPr>
      <t>j+1</t>
    </r>
    <r>
      <rPr>
        <sz val="8"/>
        <color theme="1"/>
        <rFont val="メイリオ"/>
        <family val="3"/>
        <charset val="128"/>
      </rPr>
      <t>-q-p</t>
    </r>
    <r>
      <rPr>
        <vertAlign val="subscript"/>
        <sz val="8"/>
        <color theme="1"/>
        <rFont val="メイリオ"/>
        <family val="3"/>
        <charset val="128"/>
      </rPr>
      <t>z</t>
    </r>
    <phoneticPr fontId="1"/>
  </si>
  <si>
    <r>
      <t>λ</t>
    </r>
    <r>
      <rPr>
        <vertAlign val="subscript"/>
        <sz val="8"/>
        <color theme="1"/>
        <rFont val="メイリオ"/>
        <family val="3"/>
        <charset val="128"/>
      </rPr>
      <t>j+1</t>
    </r>
    <r>
      <rPr>
        <sz val="8"/>
        <color theme="1"/>
        <rFont val="メイリオ"/>
        <family val="3"/>
        <charset val="128"/>
      </rPr>
      <t>-q-2p</t>
    </r>
    <r>
      <rPr>
        <vertAlign val="subscript"/>
        <sz val="8"/>
        <color theme="1"/>
        <rFont val="メイリオ"/>
        <family val="3"/>
        <charset val="128"/>
      </rPr>
      <t>z</t>
    </r>
    <phoneticPr fontId="1"/>
  </si>
  <si>
    <r>
      <t>λ</t>
    </r>
    <r>
      <rPr>
        <vertAlign val="subscript"/>
        <sz val="8"/>
        <color theme="1"/>
        <rFont val="メイリオ"/>
        <family val="3"/>
        <charset val="128"/>
      </rPr>
      <t>j+1</t>
    </r>
    <r>
      <rPr>
        <sz val="8"/>
        <color theme="1"/>
        <rFont val="メイリオ"/>
        <family val="3"/>
        <charset val="128"/>
      </rPr>
      <t>-q-3p</t>
    </r>
    <r>
      <rPr>
        <vertAlign val="subscript"/>
        <sz val="8"/>
        <color theme="1"/>
        <rFont val="メイリオ"/>
        <family val="3"/>
        <charset val="128"/>
      </rPr>
      <t>z</t>
    </r>
    <phoneticPr fontId="1"/>
  </si>
  <si>
    <r>
      <t>λ</t>
    </r>
    <r>
      <rPr>
        <vertAlign val="subscript"/>
        <sz val="8"/>
        <color theme="1"/>
        <rFont val="メイリオ"/>
        <family val="3"/>
        <charset val="128"/>
      </rPr>
      <t>j+1</t>
    </r>
    <r>
      <rPr>
        <sz val="8"/>
        <color theme="1"/>
        <rFont val="メイリオ"/>
        <family val="3"/>
        <charset val="128"/>
      </rPr>
      <t>-q-4p</t>
    </r>
    <r>
      <rPr>
        <vertAlign val="subscript"/>
        <sz val="8"/>
        <color theme="1"/>
        <rFont val="メイリオ"/>
        <family val="3"/>
        <charset val="128"/>
      </rPr>
      <t>z</t>
    </r>
    <phoneticPr fontId="1"/>
  </si>
  <si>
    <r>
      <t>λ</t>
    </r>
    <r>
      <rPr>
        <vertAlign val="subscript"/>
        <sz val="8"/>
        <color theme="1"/>
        <rFont val="メイリオ"/>
        <family val="3"/>
        <charset val="128"/>
      </rPr>
      <t>j+1</t>
    </r>
    <r>
      <rPr>
        <sz val="8"/>
        <color theme="1"/>
        <rFont val="メイリオ"/>
        <family val="3"/>
        <charset val="128"/>
      </rPr>
      <t>-q-5p</t>
    </r>
    <r>
      <rPr>
        <vertAlign val="subscript"/>
        <sz val="8"/>
        <color theme="1"/>
        <rFont val="メイリオ"/>
        <family val="3"/>
        <charset val="128"/>
      </rPr>
      <t>z</t>
    </r>
    <phoneticPr fontId="1"/>
  </si>
  <si>
    <r>
      <t>λ</t>
    </r>
    <r>
      <rPr>
        <vertAlign val="subscript"/>
        <sz val="8"/>
        <color theme="1"/>
        <rFont val="メイリオ"/>
        <family val="3"/>
        <charset val="128"/>
      </rPr>
      <t>j+1</t>
    </r>
    <r>
      <rPr>
        <sz val="8"/>
        <color theme="1"/>
        <rFont val="メイリオ"/>
        <family val="3"/>
        <charset val="128"/>
      </rPr>
      <t>-q-(m-2)p</t>
    </r>
    <r>
      <rPr>
        <vertAlign val="subscript"/>
        <sz val="8"/>
        <color theme="1"/>
        <rFont val="メイリオ"/>
        <family val="3"/>
        <charset val="128"/>
      </rPr>
      <t>z</t>
    </r>
    <phoneticPr fontId="1"/>
  </si>
  <si>
    <t>内面溝m列目-トップ端 湾曲中心間X距離</t>
    <rPh sb="0" eb="2">
      <t>ナイメン</t>
    </rPh>
    <rPh sb="4" eb="6">
      <t>レツメ</t>
    </rPh>
    <rPh sb="10" eb="11">
      <t>タン</t>
    </rPh>
    <rPh sb="12" eb="14">
      <t>ワンキョク</t>
    </rPh>
    <rPh sb="14" eb="16">
      <t>チュウシン</t>
    </rPh>
    <rPh sb="16" eb="17">
      <t>カン</t>
    </rPh>
    <rPh sb="18" eb="20">
      <t>キョリ</t>
    </rPh>
    <phoneticPr fontId="1"/>
  </si>
  <si>
    <t>内面溝m-1列目-トップ端 湾曲中心間X距離</t>
    <rPh sb="0" eb="2">
      <t>ナイメン</t>
    </rPh>
    <rPh sb="6" eb="8">
      <t>レツメ</t>
    </rPh>
    <rPh sb="12" eb="13">
      <t>タン</t>
    </rPh>
    <rPh sb="14" eb="16">
      <t>ワンキョク</t>
    </rPh>
    <rPh sb="16" eb="18">
      <t>チュウシン</t>
    </rPh>
    <rPh sb="18" eb="19">
      <t>カン</t>
    </rPh>
    <rPh sb="20" eb="22">
      <t>キョリ</t>
    </rPh>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</si>
  <si>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</si>
  <si>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-q-p</t>
    </r>
    <r>
      <rPr>
        <vertAlign val="subscript"/>
        <sz val="8"/>
        <color theme="1"/>
        <rFont val="メイリオ"/>
        <family val="3"/>
        <charset val="128"/>
      </rPr>
      <t>z</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</si>
  <si>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-q-2p</t>
    </r>
    <r>
      <rPr>
        <vertAlign val="subscript"/>
        <sz val="8"/>
        <color theme="1"/>
        <rFont val="メイリオ"/>
        <family val="3"/>
        <charset val="128"/>
      </rPr>
      <t>z</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</si>
  <si>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-q-3p</t>
    </r>
    <r>
      <rPr>
        <vertAlign val="subscript"/>
        <sz val="8"/>
        <color theme="1"/>
        <rFont val="メイリオ"/>
        <family val="3"/>
        <charset val="128"/>
      </rPr>
      <t>z</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</si>
  <si>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-q-4p</t>
    </r>
    <r>
      <rPr>
        <vertAlign val="subscript"/>
        <sz val="8"/>
        <color theme="1"/>
        <rFont val="メイリオ"/>
        <family val="3"/>
        <charset val="128"/>
      </rPr>
      <t>z</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</si>
  <si>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-q-5p</t>
    </r>
    <r>
      <rPr>
        <vertAlign val="subscript"/>
        <sz val="8"/>
        <color theme="1"/>
        <rFont val="メイリオ"/>
        <family val="3"/>
        <charset val="128"/>
      </rPr>
      <t>z</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</si>
  <si>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-q-(m-2)p</t>
    </r>
    <r>
      <rPr>
        <vertAlign val="subscript"/>
        <sz val="8"/>
        <color theme="1"/>
        <rFont val="メイリオ"/>
        <family val="3"/>
        <charset val="128"/>
      </rPr>
      <t>z</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</si>
  <si>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-q-(m-1)p</t>
    </r>
    <r>
      <rPr>
        <vertAlign val="subscript"/>
        <sz val="8"/>
        <color theme="1"/>
        <rFont val="メイリオ"/>
        <family val="3"/>
        <charset val="128"/>
      </rPr>
      <t>z</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</si>
  <si>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t>m-2列目湾曲中心X</t>
    <phoneticPr fontId="1"/>
  </si>
  <si>
    <t>m-1列目湾曲中心X</t>
    <phoneticPr fontId="1"/>
  </si>
  <si>
    <r>
      <t>w</t>
    </r>
    <r>
      <rPr>
        <vertAlign val="subscript"/>
        <sz val="8"/>
        <color theme="1"/>
        <rFont val="メイリオ"/>
        <family val="3"/>
        <charset val="128"/>
      </rPr>
      <t>Aj</t>
    </r>
    <r>
      <rPr>
        <sz val="8"/>
        <color theme="1"/>
        <rFont val="メイリオ"/>
        <family val="3"/>
        <charset val="128"/>
      </rPr>
      <t xml:space="preserve"> (q)</t>
    </r>
    <phoneticPr fontId="1"/>
  </si>
  <si>
    <r>
      <t>w</t>
    </r>
    <r>
      <rPr>
        <vertAlign val="subscript"/>
        <sz val="8"/>
        <color theme="1"/>
        <rFont val="メイリオ"/>
        <family val="3"/>
        <charset val="128"/>
      </rPr>
      <t>Aj</t>
    </r>
    <r>
      <rPr>
        <sz val="8"/>
        <color theme="1"/>
        <rFont val="メイリオ"/>
        <family val="3"/>
        <charset val="128"/>
      </rPr>
      <t xml:space="preserve"> (q+p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</si>
  <si>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t>
    </r>
    <r>
      <rPr>
        <sz val="8"/>
        <color theme="1"/>
        <rFont val="メイリオ"/>
        <family val="3"/>
        <charset val="128"/>
      </rPr>
      <t xml:space="preserve"> (q+2p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</si>
  <si>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t>
    </r>
    <r>
      <rPr>
        <sz val="8"/>
        <color theme="1"/>
        <rFont val="メイリオ"/>
        <family val="3"/>
        <charset val="128"/>
      </rPr>
      <t xml:space="preserve"> (q+3p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</si>
  <si>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t>
    </r>
    <r>
      <rPr>
        <sz val="8"/>
        <color theme="1"/>
        <rFont val="メイリオ"/>
        <family val="3"/>
        <charset val="128"/>
      </rPr>
      <t xml:space="preserve"> (q+4p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</si>
  <si>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t>
    </r>
    <r>
      <rPr>
        <sz val="8"/>
        <color theme="1"/>
        <rFont val="メイリオ"/>
        <family val="3"/>
        <charset val="128"/>
      </rPr>
      <t xml:space="preserve"> (q+5p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</si>
  <si>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t>
    </r>
    <r>
      <rPr>
        <sz val="8"/>
        <color theme="1"/>
        <rFont val="メイリオ"/>
        <family val="3"/>
        <charset val="128"/>
      </rPr>
      <t xml:space="preserve"> {q+(m-2)p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</si>
  <si>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t>
    </r>
    <r>
      <rPr>
        <sz val="8"/>
        <color theme="1"/>
        <rFont val="メイリオ"/>
        <family val="3"/>
        <charset val="128"/>
      </rPr>
      <t xml:space="preserve"> {q+(m-1)p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</si>
  <si>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 q+(m-2)p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b/>
        <vertAlign val="subscript"/>
        <sz val="8"/>
        <color theme="1"/>
        <rFont val="メイリオ"/>
        <family val="3"/>
        <charset val="128"/>
      </rPr>
      <t>Aj</t>
    </r>
    <phoneticPr fontId="1"/>
  </si>
  <si>
    <r>
      <t>λ</t>
    </r>
    <r>
      <rPr>
        <vertAlign val="subscript"/>
        <sz val="8"/>
        <color theme="1"/>
        <rFont val="メイリオ"/>
        <family val="3"/>
        <charset val="128"/>
      </rPr>
      <t>j</t>
    </r>
    <r>
      <rPr>
        <sz val="8"/>
        <color theme="1"/>
        <rFont val="メイリオ"/>
        <family val="3"/>
        <charset val="128"/>
      </rPr>
      <t xml:space="preserve"> ≦ q+(m-1)p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b/>
        <vertAlign val="subscript"/>
        <sz val="8"/>
        <color theme="1"/>
        <rFont val="メイリオ"/>
        <family val="3"/>
        <charset val="128"/>
      </rPr>
      <t>Aj</t>
    </r>
    <phoneticPr fontId="1"/>
  </si>
  <si>
    <r>
      <t>w</t>
    </r>
    <r>
      <rPr>
        <vertAlign val="subscript"/>
        <sz val="8"/>
        <color theme="1"/>
        <rFont val="メイリオ"/>
        <family val="3"/>
        <charset val="128"/>
      </rPr>
      <t>Aj+1</t>
    </r>
    <r>
      <rPr>
        <sz val="8"/>
        <color theme="1"/>
        <rFont val="メイリオ"/>
        <family val="3"/>
        <charset val="128"/>
      </rPr>
      <t xml:space="preserve"> (q)</t>
    </r>
    <phoneticPr fontId="1"/>
  </si>
  <si>
    <r>
      <t>w</t>
    </r>
    <r>
      <rPr>
        <vertAlign val="subscript"/>
        <sz val="8"/>
        <color theme="1"/>
        <rFont val="メイリオ"/>
        <family val="3"/>
        <charset val="128"/>
      </rPr>
      <t>Aj+1</t>
    </r>
    <r>
      <rPr>
        <sz val="8"/>
        <color theme="1"/>
        <rFont val="メイリオ"/>
        <family val="3"/>
        <charset val="128"/>
      </rPr>
      <t xml:space="preserve"> (q+p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</si>
  <si>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Aj+1</t>
    </r>
    <r>
      <rPr>
        <sz val="8"/>
        <color theme="1"/>
        <rFont val="メイリオ"/>
        <family val="3"/>
        <charset val="128"/>
      </rPr>
      <t xml:space="preserve"> (q+2p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</si>
  <si>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Aj+1</t>
    </r>
    <r>
      <rPr>
        <sz val="8"/>
        <color theme="1"/>
        <rFont val="メイリオ"/>
        <family val="3"/>
        <charset val="128"/>
      </rPr>
      <t xml:space="preserve"> (q+3p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</si>
  <si>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Aj+1</t>
    </r>
    <r>
      <rPr>
        <sz val="8"/>
        <color theme="1"/>
        <rFont val="メイリオ"/>
        <family val="3"/>
        <charset val="128"/>
      </rPr>
      <t xml:space="preserve"> (q+4p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</si>
  <si>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Aj+1</t>
    </r>
    <r>
      <rPr>
        <sz val="8"/>
        <color theme="1"/>
        <rFont val="メイリオ"/>
        <family val="3"/>
        <charset val="128"/>
      </rPr>
      <t xml:space="preserve"> (q+5p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</si>
  <si>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Aj+1</t>
    </r>
    <r>
      <rPr>
        <sz val="8"/>
        <color theme="1"/>
        <rFont val="メイリオ"/>
        <family val="3"/>
        <charset val="128"/>
      </rPr>
      <t xml:space="preserve"> {q+(m-2)p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</si>
  <si>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Aj+1</t>
    </r>
    <r>
      <rPr>
        <sz val="8"/>
        <color theme="1"/>
        <rFont val="メイリオ"/>
        <family val="3"/>
        <charset val="128"/>
      </rPr>
      <t xml:space="preserve"> {q+(m-1)p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</si>
  <si>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 q+(m-2)p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vertAlign val="subscript"/>
        <sz val="8"/>
        <color theme="1"/>
        <rFont val="メイリオ"/>
        <family val="3"/>
        <charset val="128"/>
      </rPr>
      <t>Aj+1</t>
    </r>
    <phoneticPr fontId="1"/>
  </si>
  <si>
    <r>
      <t>λ</t>
    </r>
    <r>
      <rPr>
        <vertAlign val="subscript"/>
        <sz val="8"/>
        <color theme="1"/>
        <rFont val="メイリオ"/>
        <family val="3"/>
        <charset val="128"/>
      </rPr>
      <t>j</t>
    </r>
    <r>
      <rPr>
        <sz val="8"/>
        <color theme="1"/>
        <rFont val="メイリオ"/>
        <family val="3"/>
        <charset val="128"/>
      </rPr>
      <t xml:space="preserve"> ≦ q+(m-1)p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vertAlign val="subscript"/>
        <sz val="8"/>
        <color theme="1"/>
        <rFont val="メイリオ"/>
        <family val="3"/>
        <charset val="128"/>
      </rPr>
      <t>Aj+1</t>
    </r>
    <phoneticPr fontId="1"/>
  </si>
  <si>
    <r>
      <rPr>
        <i/>
        <sz val="8"/>
        <color theme="1"/>
        <rFont val="メイリオ"/>
        <family val="3"/>
        <charset val="128"/>
      </rPr>
      <t>L</t>
    </r>
    <r>
      <rPr>
        <vertAlign val="subscript"/>
        <sz val="8"/>
        <color theme="1"/>
        <rFont val="メイリオ"/>
        <family val="3"/>
        <charset val="128"/>
      </rPr>
      <t>1</t>
    </r>
    <phoneticPr fontId="1"/>
  </si>
  <si>
    <r>
      <rPr>
        <i/>
        <sz val="8"/>
        <color theme="1"/>
        <rFont val="メイリオ"/>
        <family val="3"/>
        <charset val="128"/>
      </rPr>
      <t>L</t>
    </r>
    <r>
      <rPr>
        <vertAlign val="subscript"/>
        <sz val="8"/>
        <color theme="1"/>
        <rFont val="メイリオ"/>
        <family val="3"/>
        <charset val="128"/>
      </rPr>
      <t>2</t>
    </r>
    <r>
      <rPr>
        <sz val="10"/>
        <color theme="1"/>
        <rFont val="メイリオ"/>
        <family val="2"/>
        <charset val="128"/>
      </rPr>
      <t/>
    </r>
  </si>
  <si>
    <r>
      <rPr>
        <i/>
        <sz val="8"/>
        <color theme="1"/>
        <rFont val="メイリオ"/>
        <family val="3"/>
        <charset val="128"/>
      </rPr>
      <t>L</t>
    </r>
    <r>
      <rPr>
        <vertAlign val="subscript"/>
        <sz val="8"/>
        <color theme="1"/>
        <rFont val="メイリオ"/>
        <family val="3"/>
        <charset val="128"/>
      </rPr>
      <t>m</t>
    </r>
    <phoneticPr fontId="1"/>
  </si>
  <si>
    <r>
      <t>d</t>
    </r>
    <r>
      <rPr>
        <vertAlign val="subscript"/>
        <sz val="8"/>
        <color theme="1"/>
        <rFont val="メイリオ"/>
        <family val="3"/>
        <charset val="128"/>
      </rPr>
      <t>1</t>
    </r>
    <phoneticPr fontId="1"/>
  </si>
  <si>
    <r>
      <t>d</t>
    </r>
    <r>
      <rPr>
        <vertAlign val="subscript"/>
        <sz val="8"/>
        <color theme="1"/>
        <rFont val="メイリオ"/>
        <family val="3"/>
        <charset val="128"/>
      </rPr>
      <t>2</t>
    </r>
    <phoneticPr fontId="1"/>
  </si>
  <si>
    <r>
      <t>w'</t>
    </r>
    <r>
      <rPr>
        <vertAlign val="subscript"/>
        <sz val="8"/>
        <color theme="1"/>
        <rFont val="メイリオ"/>
        <family val="3"/>
        <charset val="128"/>
      </rPr>
      <t>A0</t>
    </r>
    <phoneticPr fontId="1"/>
  </si>
  <si>
    <r>
      <t>w'</t>
    </r>
    <r>
      <rPr>
        <vertAlign val="subscript"/>
        <sz val="8"/>
        <color theme="1"/>
        <rFont val="メイリオ"/>
        <family val="3"/>
        <charset val="128"/>
      </rPr>
      <t>B0</t>
    </r>
    <phoneticPr fontId="1"/>
  </si>
  <si>
    <r>
      <t>w'</t>
    </r>
    <r>
      <rPr>
        <vertAlign val="subscript"/>
        <sz val="8"/>
        <color theme="1"/>
        <rFont val="メイリオ"/>
        <family val="3"/>
        <charset val="128"/>
      </rPr>
      <t>Aq</t>
    </r>
    <phoneticPr fontId="1"/>
  </si>
  <si>
    <t>トップ端 AC内径（水平・めっき含・概算）</t>
    <rPh sb="3" eb="4">
      <t>タン</t>
    </rPh>
    <rPh sb="7" eb="9">
      <t>ナイケイ</t>
    </rPh>
    <rPh sb="10" eb="12">
      <t>スイヘイ</t>
    </rPh>
    <rPh sb="16" eb="17">
      <t>フク</t>
    </rPh>
    <rPh sb="18" eb="20">
      <t>ガイサン</t>
    </rPh>
    <phoneticPr fontId="1"/>
  </si>
  <si>
    <t>m列目 AC内径（水平・めっき含・概算）</t>
    <phoneticPr fontId="1"/>
  </si>
  <si>
    <r>
      <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A0</t>
    </r>
    <r>
      <rPr>
        <sz val="8"/>
        <color theme="1"/>
        <rFont val="メイリオ"/>
        <family val="3"/>
        <charset val="128"/>
      </rPr>
      <t>/2</t>
    </r>
    <phoneticPr fontId="1"/>
  </si>
  <si>
    <r>
      <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Aq</t>
    </r>
    <r>
      <rPr>
        <sz val="8"/>
        <color theme="1"/>
        <rFont val="メイリオ"/>
        <family val="3"/>
        <charset val="128"/>
      </rPr>
      <t>/2</t>
    </r>
    <phoneticPr fontId="1"/>
  </si>
  <si>
    <r>
      <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Aq</t>
    </r>
    <r>
      <rPr>
        <sz val="8"/>
        <color theme="1"/>
        <rFont val="メイリオ"/>
        <family val="3"/>
        <charset val="128"/>
      </rPr>
      <t>/2</t>
    </r>
    <phoneticPr fontId="1"/>
  </si>
  <si>
    <r>
      <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Aq+(m-1)pz</t>
    </r>
    <r>
      <rPr>
        <sz val="8"/>
        <color theme="1"/>
        <rFont val="メイリオ"/>
        <family val="3"/>
        <charset val="128"/>
      </rPr>
      <t>/2</t>
    </r>
    <phoneticPr fontId="1"/>
  </si>
  <si>
    <r>
      <t>sqrt{(R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Aq</t>
    </r>
    <r>
      <rPr>
        <sz val="8"/>
        <color theme="1"/>
        <rFont val="メイリオ"/>
        <family val="3"/>
        <charset val="128"/>
      </rPr>
      <t>/2)</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</si>
  <si>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A0</t>
    </r>
    <r>
      <rPr>
        <sz val="8"/>
        <color theme="1"/>
        <rFont val="メイリオ"/>
        <family val="3"/>
        <charset val="128"/>
      </rPr>
      <t>/2)</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</si>
  <si>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Aq+(m-1)pz</t>
    </r>
    <r>
      <rPr>
        <sz val="8"/>
        <color theme="1"/>
        <rFont val="メイリオ"/>
        <family val="3"/>
        <charset val="128"/>
      </rPr>
      <t>/2)</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-q-(m-1)pz}</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</si>
  <si>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Aq</t>
    </r>
    <r>
      <rPr>
        <sz val="8"/>
        <color theme="1"/>
        <rFont val="メイリオ"/>
        <family val="3"/>
        <charset val="128"/>
      </rPr>
      <t>/2)</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t>
    </r>
    <r>
      <rPr>
        <vertAlign val="superscript"/>
        <sz val="8"/>
        <color theme="1"/>
        <rFont val="メイリオ"/>
        <family val="3"/>
        <charset val="128"/>
      </rPr>
      <t>2</t>
    </r>
    <r>
      <rPr>
        <sz val="8"/>
        <color theme="1"/>
        <rFont val="メイリオ"/>
        <family val="3"/>
        <charset val="128"/>
      </rPr>
      <t>}</t>
    </r>
    <phoneticPr fontId="1"/>
  </si>
  <si>
    <t>内面溝加工用傾き角C（deg, 絶対）</t>
    <rPh sb="0" eb="3">
      <t>ナイ</t>
    </rPh>
    <rPh sb="3" eb="6">
      <t>カコウヨウ</t>
    </rPh>
    <rPh sb="6" eb="7">
      <t>カタム</t>
    </rPh>
    <rPh sb="8" eb="9">
      <t>カク</t>
    </rPh>
    <rPh sb="16" eb="18">
      <t>ゼッタイ</t>
    </rPh>
    <phoneticPr fontId="1"/>
  </si>
  <si>
    <r>
      <t>w'</t>
    </r>
    <r>
      <rPr>
        <vertAlign val="subscript"/>
        <sz val="8"/>
        <color theme="1"/>
        <rFont val="メイリオ"/>
        <family val="3"/>
        <charset val="128"/>
      </rPr>
      <t>A0</t>
    </r>
    <r>
      <rPr>
        <sz val="8"/>
        <color theme="1"/>
        <rFont val="メイリオ"/>
        <family val="3"/>
        <charset val="128"/>
      </rPr>
      <t>-</t>
    </r>
    <r>
      <rPr>
        <i/>
        <sz val="8"/>
        <color theme="1"/>
        <rFont val="メイリオ"/>
        <family val="3"/>
        <charset val="128"/>
      </rPr>
      <t>L</t>
    </r>
    <r>
      <rPr>
        <vertAlign val="subscript"/>
        <sz val="8"/>
        <color theme="1"/>
        <rFont val="メイリオ"/>
        <family val="3"/>
        <charset val="128"/>
      </rPr>
      <t>m-1</t>
    </r>
    <r>
      <rPr>
        <sz val="8"/>
        <color theme="1"/>
        <rFont val="メイリオ"/>
        <family val="3"/>
        <charset val="128"/>
      </rPr>
      <t>-d</t>
    </r>
    <r>
      <rPr>
        <vertAlign val="subscript"/>
        <sz val="8"/>
        <color theme="1"/>
        <rFont val="メイリオ"/>
        <family val="3"/>
        <charset val="128"/>
      </rPr>
      <t>m-1</t>
    </r>
    <r>
      <rPr>
        <sz val="8"/>
        <color theme="1"/>
        <rFont val="メイリオ"/>
        <family val="3"/>
        <charset val="128"/>
      </rPr>
      <t>/2</t>
    </r>
    <phoneticPr fontId="1"/>
  </si>
  <si>
    <r>
      <t>w'</t>
    </r>
    <r>
      <rPr>
        <vertAlign val="subscript"/>
        <sz val="8"/>
        <color theme="1"/>
        <rFont val="メイリオ"/>
        <family val="3"/>
        <charset val="128"/>
      </rPr>
      <t>A0</t>
    </r>
    <r>
      <rPr>
        <sz val="8"/>
        <color theme="1"/>
        <rFont val="メイリオ"/>
        <family val="3"/>
        <charset val="128"/>
      </rPr>
      <t>-</t>
    </r>
    <r>
      <rPr>
        <i/>
        <sz val="8"/>
        <color theme="1"/>
        <rFont val="メイリオ"/>
        <family val="3"/>
        <charset val="128"/>
      </rPr>
      <t>L</t>
    </r>
    <r>
      <rPr>
        <vertAlign val="subscript"/>
        <sz val="8"/>
        <color theme="1"/>
        <rFont val="メイリオ"/>
        <family val="3"/>
        <charset val="128"/>
      </rPr>
      <t>m</t>
    </r>
    <r>
      <rPr>
        <sz val="8"/>
        <color theme="1"/>
        <rFont val="メイリオ"/>
        <family val="3"/>
        <charset val="128"/>
      </rPr>
      <t>-d</t>
    </r>
    <r>
      <rPr>
        <vertAlign val="subscript"/>
        <sz val="8"/>
        <color theme="1"/>
        <rFont val="メイリオ"/>
        <family val="3"/>
        <charset val="128"/>
      </rPr>
      <t>m</t>
    </r>
    <r>
      <rPr>
        <sz val="8"/>
        <color theme="1"/>
        <rFont val="メイリオ"/>
        <family val="3"/>
        <charset val="128"/>
      </rPr>
      <t>/2</t>
    </r>
    <phoneticPr fontId="1"/>
  </si>
  <si>
    <t>内面溝加工用傾き角C（deg, 相対）</t>
    <rPh sb="0" eb="3">
      <t>ナイ</t>
    </rPh>
    <rPh sb="3" eb="6">
      <t>カコウヨウ</t>
    </rPh>
    <rPh sb="6" eb="7">
      <t>カタム</t>
    </rPh>
    <rPh sb="8" eb="9">
      <t>カク</t>
    </rPh>
    <rPh sb="16" eb="18">
      <t>ソウタイ</t>
    </rPh>
    <phoneticPr fontId="1"/>
  </si>
  <si>
    <t>Φ</t>
    <phoneticPr fontId="1"/>
  </si>
  <si>
    <r>
      <t>Φ</t>
    </r>
    <r>
      <rPr>
        <vertAlign val="subscript"/>
        <sz val="8"/>
        <color theme="1"/>
        <rFont val="メイリオ"/>
        <family val="3"/>
        <charset val="128"/>
      </rPr>
      <t>c</t>
    </r>
    <phoneticPr fontId="1"/>
  </si>
  <si>
    <r>
      <t>w</t>
    </r>
    <r>
      <rPr>
        <vertAlign val="subscript"/>
        <sz val="8"/>
        <color theme="1"/>
        <rFont val="メイリオ"/>
        <family val="3"/>
        <charset val="128"/>
      </rPr>
      <t>Bj</t>
    </r>
    <r>
      <rPr>
        <sz val="8"/>
        <color theme="1"/>
        <rFont val="メイリオ"/>
        <family val="3"/>
        <charset val="128"/>
      </rPr>
      <t xml:space="preserve"> (q)</t>
    </r>
    <phoneticPr fontId="1"/>
  </si>
  <si>
    <r>
      <t>w</t>
    </r>
    <r>
      <rPr>
        <vertAlign val="subscript"/>
        <sz val="8"/>
        <color theme="1"/>
        <rFont val="メイリオ"/>
        <family val="3"/>
        <charset val="128"/>
      </rPr>
      <t>Bj</t>
    </r>
    <r>
      <rPr>
        <sz val="8"/>
        <color theme="1"/>
        <rFont val="メイリオ"/>
        <family val="3"/>
        <charset val="128"/>
      </rPr>
      <t xml:space="preserve"> (q+p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</si>
  <si>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t>
    </r>
    <r>
      <rPr>
        <sz val="8"/>
        <color theme="1"/>
        <rFont val="メイリオ"/>
        <family val="3"/>
        <charset val="128"/>
      </rPr>
      <t xml:space="preserve"> (q+2p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</si>
  <si>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t>
    </r>
    <r>
      <rPr>
        <sz val="8"/>
        <color theme="1"/>
        <rFont val="メイリオ"/>
        <family val="3"/>
        <charset val="128"/>
      </rPr>
      <t xml:space="preserve"> (q+3p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</si>
  <si>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t>
    </r>
    <r>
      <rPr>
        <sz val="8"/>
        <color theme="1"/>
        <rFont val="メイリオ"/>
        <family val="3"/>
        <charset val="128"/>
      </rPr>
      <t xml:space="preserve"> (q+4p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</si>
  <si>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t>
    </r>
    <r>
      <rPr>
        <sz val="8"/>
        <color theme="1"/>
        <rFont val="メイリオ"/>
        <family val="3"/>
        <charset val="128"/>
      </rPr>
      <t xml:space="preserve"> (q+5p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</si>
  <si>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t>
    </r>
    <r>
      <rPr>
        <sz val="8"/>
        <color theme="1"/>
        <rFont val="メイリオ"/>
        <family val="3"/>
        <charset val="128"/>
      </rPr>
      <t xml:space="preserve"> {q+(m-2)p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</si>
  <si>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t>
    </r>
    <r>
      <rPr>
        <sz val="8"/>
        <color theme="1"/>
        <rFont val="メイリオ"/>
        <family val="3"/>
        <charset val="128"/>
      </rPr>
      <t xml:space="preserve"> {q+(m-1)p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</si>
  <si>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Bj+1</t>
    </r>
    <r>
      <rPr>
        <sz val="8"/>
        <color theme="1"/>
        <rFont val="メイリオ"/>
        <family val="3"/>
        <charset val="128"/>
      </rPr>
      <t xml:space="preserve"> (q)</t>
    </r>
    <phoneticPr fontId="1"/>
  </si>
  <si>
    <r>
      <t>w</t>
    </r>
    <r>
      <rPr>
        <vertAlign val="subscript"/>
        <sz val="8"/>
        <color theme="1"/>
        <rFont val="メイリオ"/>
        <family val="3"/>
        <charset val="128"/>
      </rPr>
      <t>Bj+1</t>
    </r>
    <r>
      <rPr>
        <sz val="8"/>
        <color theme="1"/>
        <rFont val="メイリオ"/>
        <family val="3"/>
        <charset val="128"/>
      </rPr>
      <t xml:space="preserve"> (q+p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</si>
  <si>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Bj+1</t>
    </r>
    <r>
      <rPr>
        <sz val="8"/>
        <color theme="1"/>
        <rFont val="メイリオ"/>
        <family val="3"/>
        <charset val="128"/>
      </rPr>
      <t xml:space="preserve"> (q+2p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</si>
  <si>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Bj+1</t>
    </r>
    <r>
      <rPr>
        <sz val="8"/>
        <color theme="1"/>
        <rFont val="メイリオ"/>
        <family val="3"/>
        <charset val="128"/>
      </rPr>
      <t xml:space="preserve"> (q+3p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</si>
  <si>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Bj+1</t>
    </r>
    <r>
      <rPr>
        <sz val="8"/>
        <color theme="1"/>
        <rFont val="メイリオ"/>
        <family val="3"/>
        <charset val="128"/>
      </rPr>
      <t xml:space="preserve"> (q+4p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</si>
  <si>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Bj+1</t>
    </r>
    <r>
      <rPr>
        <sz val="8"/>
        <color theme="1"/>
        <rFont val="メイリオ"/>
        <family val="3"/>
        <charset val="128"/>
      </rPr>
      <t xml:space="preserve"> (q+5p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</si>
  <si>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Bj+1</t>
    </r>
    <r>
      <rPr>
        <sz val="8"/>
        <color theme="1"/>
        <rFont val="メイリオ"/>
        <family val="3"/>
        <charset val="128"/>
      </rPr>
      <t xml:space="preserve"> {q+(m-2)p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</si>
  <si>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Bj+1</t>
    </r>
    <r>
      <rPr>
        <sz val="8"/>
        <color theme="1"/>
        <rFont val="メイリオ"/>
        <family val="3"/>
        <charset val="128"/>
      </rPr>
      <t xml:space="preserve"> {q+(m-1)p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</si>
  <si>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 q+(m-2)p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b/>
        <vertAlign val="subscript"/>
        <sz val="8"/>
        <color theme="1"/>
        <rFont val="メイリオ"/>
        <family val="3"/>
        <charset val="128"/>
      </rPr>
      <t>Bj</t>
    </r>
    <phoneticPr fontId="1"/>
  </si>
  <si>
    <r>
      <t>λ</t>
    </r>
    <r>
      <rPr>
        <vertAlign val="subscript"/>
        <sz val="8"/>
        <color theme="1"/>
        <rFont val="メイリオ"/>
        <family val="3"/>
        <charset val="128"/>
      </rPr>
      <t>j</t>
    </r>
    <r>
      <rPr>
        <sz val="8"/>
        <color theme="1"/>
        <rFont val="メイリオ"/>
        <family val="3"/>
        <charset val="128"/>
      </rPr>
      <t xml:space="preserve"> ≦ q+(m-1)p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b/>
        <vertAlign val="subscript"/>
        <sz val="8"/>
        <color theme="1"/>
        <rFont val="メイリオ"/>
        <family val="3"/>
        <charset val="128"/>
      </rPr>
      <t>Bj</t>
    </r>
    <phoneticPr fontId="1"/>
  </si>
  <si>
    <r>
      <t>λ</t>
    </r>
    <r>
      <rPr>
        <vertAlign val="subscript"/>
        <sz val="8"/>
        <color theme="1"/>
        <rFont val="メイリオ"/>
        <family val="3"/>
        <charset val="128"/>
      </rPr>
      <t>j</t>
    </r>
    <r>
      <rPr>
        <sz val="8"/>
        <color theme="1"/>
        <rFont val="メイリオ"/>
        <family val="3"/>
        <charset val="128"/>
      </rPr>
      <t xml:space="preserve"> ≦ q+(m-2)p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vertAlign val="subscript"/>
        <sz val="8"/>
        <color theme="1"/>
        <rFont val="メイリオ"/>
        <family val="3"/>
        <charset val="128"/>
      </rPr>
      <t>Bj+1</t>
    </r>
    <phoneticPr fontId="1"/>
  </si>
  <si>
    <r>
      <t>λ</t>
    </r>
    <r>
      <rPr>
        <vertAlign val="subscript"/>
        <sz val="8"/>
        <color theme="1"/>
        <rFont val="メイリオ"/>
        <family val="3"/>
        <charset val="128"/>
      </rPr>
      <t>j</t>
    </r>
    <r>
      <rPr>
        <sz val="8"/>
        <color theme="1"/>
        <rFont val="メイリオ"/>
        <family val="3"/>
        <charset val="128"/>
      </rPr>
      <t xml:space="preserve"> ≦ q+(m-1)p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vertAlign val="subscript"/>
        <sz val="8"/>
        <color theme="1"/>
        <rFont val="メイリオ"/>
        <family val="3"/>
        <charset val="128"/>
      </rPr>
      <t>Bj+1</t>
    </r>
    <phoneticPr fontId="1"/>
  </si>
  <si>
    <r>
      <rPr>
        <i/>
        <sz val="8"/>
        <color theme="1"/>
        <rFont val="メイリオ"/>
        <family val="3"/>
        <charset val="128"/>
      </rPr>
      <t>D</t>
    </r>
    <r>
      <rPr>
        <vertAlign val="subscript"/>
        <sz val="8"/>
        <color theme="1"/>
        <rFont val="メイリオ"/>
        <family val="3"/>
        <charset val="128"/>
      </rPr>
      <t>z2</t>
    </r>
    <phoneticPr fontId="1"/>
  </si>
  <si>
    <r>
      <rPr>
        <i/>
        <sz val="8"/>
        <color theme="1"/>
        <rFont val="メイリオ"/>
        <family val="3"/>
        <charset val="128"/>
      </rPr>
      <t>D</t>
    </r>
    <r>
      <rPr>
        <vertAlign val="subscript"/>
        <sz val="8"/>
        <color theme="1"/>
        <rFont val="メイリオ"/>
        <family val="3"/>
        <charset val="128"/>
      </rPr>
      <t>z1</t>
    </r>
    <phoneticPr fontId="1"/>
  </si>
  <si>
    <t>（傾き前）m-1列目Z座標</t>
    <phoneticPr fontId="1"/>
  </si>
  <si>
    <t>（傾き前）m列目Z座標</t>
    <phoneticPr fontId="1"/>
  </si>
  <si>
    <r>
      <rPr>
        <i/>
        <sz val="8"/>
        <color theme="1"/>
        <rFont val="メイリオ"/>
        <family val="3"/>
        <charset val="128"/>
      </rPr>
      <t>D</t>
    </r>
    <r>
      <rPr>
        <vertAlign val="subscript"/>
        <sz val="8"/>
        <color theme="1"/>
        <rFont val="メイリオ"/>
        <family val="3"/>
        <charset val="128"/>
      </rPr>
      <t>zm</t>
    </r>
    <phoneticPr fontId="1"/>
  </si>
  <si>
    <r>
      <t>w'</t>
    </r>
    <r>
      <rPr>
        <vertAlign val="subscript"/>
        <sz val="8"/>
        <color theme="1"/>
        <rFont val="メイリオ"/>
        <family val="3"/>
        <charset val="128"/>
      </rPr>
      <t>Bq</t>
    </r>
    <phoneticPr fontId="1"/>
  </si>
  <si>
    <t>m-1列目AC内径（水平・めっき含・概算）</t>
    <phoneticPr fontId="1"/>
  </si>
  <si>
    <t>m列目 BD内径（めっき含・概算）</t>
    <phoneticPr fontId="1"/>
  </si>
  <si>
    <t>トップ端 BD内径（めっき含・概算）</t>
    <rPh sb="3" eb="4">
      <t>タン</t>
    </rPh>
    <rPh sb="7" eb="9">
      <t>ナイケイ</t>
    </rPh>
    <rPh sb="13" eb="14">
      <t>ガン</t>
    </rPh>
    <rPh sb="15" eb="17">
      <t>ガイサン</t>
    </rPh>
    <phoneticPr fontId="1"/>
  </si>
  <si>
    <t>m-1列目 BD内径（めっき含・概算）</t>
    <phoneticPr fontId="1"/>
  </si>
  <si>
    <r>
      <t>w'</t>
    </r>
    <r>
      <rPr>
        <vertAlign val="subscript"/>
        <sz val="8"/>
        <color theme="1"/>
        <rFont val="メイリオ"/>
        <family val="3"/>
        <charset val="128"/>
      </rPr>
      <t>Bq+pz</t>
    </r>
    <phoneticPr fontId="1"/>
  </si>
  <si>
    <r>
      <t>w'</t>
    </r>
    <r>
      <rPr>
        <vertAlign val="subscript"/>
        <sz val="8"/>
        <color theme="1"/>
        <rFont val="メイリオ"/>
        <family val="3"/>
        <charset val="128"/>
      </rPr>
      <t>Bq+2pz</t>
    </r>
    <phoneticPr fontId="1"/>
  </si>
  <si>
    <r>
      <t>w'</t>
    </r>
    <r>
      <rPr>
        <vertAlign val="subscript"/>
        <sz val="8"/>
        <color theme="1"/>
        <rFont val="メイリオ"/>
        <family val="3"/>
        <charset val="128"/>
      </rPr>
      <t>Bq+3pz</t>
    </r>
    <phoneticPr fontId="1"/>
  </si>
  <si>
    <r>
      <t>w'</t>
    </r>
    <r>
      <rPr>
        <vertAlign val="subscript"/>
        <sz val="8"/>
        <color theme="1"/>
        <rFont val="メイリオ"/>
        <family val="3"/>
        <charset val="128"/>
      </rPr>
      <t>Bq+4pz</t>
    </r>
    <phoneticPr fontId="1"/>
  </si>
  <si>
    <r>
      <t>w'</t>
    </r>
    <r>
      <rPr>
        <vertAlign val="subscript"/>
        <sz val="8"/>
        <color theme="1"/>
        <rFont val="メイリオ"/>
        <family val="3"/>
        <charset val="128"/>
      </rPr>
      <t>Bq+5pz</t>
    </r>
    <phoneticPr fontId="1"/>
  </si>
  <si>
    <r>
      <t>w'</t>
    </r>
    <r>
      <rPr>
        <vertAlign val="subscript"/>
        <sz val="8"/>
        <color theme="1"/>
        <rFont val="メイリオ"/>
        <family val="3"/>
        <charset val="128"/>
      </rPr>
      <t>Bq+(m-1)pz</t>
    </r>
    <phoneticPr fontId="1"/>
  </si>
  <si>
    <r>
      <t>w'</t>
    </r>
    <r>
      <rPr>
        <vertAlign val="subscript"/>
        <sz val="8"/>
        <color theme="1"/>
        <rFont val="メイリオ"/>
        <family val="3"/>
        <charset val="128"/>
      </rPr>
      <t>Aq+pz</t>
    </r>
    <phoneticPr fontId="1"/>
  </si>
  <si>
    <r>
      <t>w'</t>
    </r>
    <r>
      <rPr>
        <vertAlign val="subscript"/>
        <sz val="8"/>
        <color theme="1"/>
        <rFont val="メイリオ"/>
        <family val="3"/>
        <charset val="128"/>
      </rPr>
      <t>Aq+2pz</t>
    </r>
    <phoneticPr fontId="1"/>
  </si>
  <si>
    <r>
      <t>w'</t>
    </r>
    <r>
      <rPr>
        <vertAlign val="subscript"/>
        <sz val="8"/>
        <color theme="1"/>
        <rFont val="メイリオ"/>
        <family val="3"/>
        <charset val="128"/>
      </rPr>
      <t>Aq+3pz</t>
    </r>
    <phoneticPr fontId="1"/>
  </si>
  <si>
    <r>
      <t>w'</t>
    </r>
    <r>
      <rPr>
        <vertAlign val="subscript"/>
        <sz val="8"/>
        <color theme="1"/>
        <rFont val="メイリオ"/>
        <family val="3"/>
        <charset val="128"/>
      </rPr>
      <t>Aq+4pz</t>
    </r>
    <phoneticPr fontId="1"/>
  </si>
  <si>
    <r>
      <t>w'</t>
    </r>
    <r>
      <rPr>
        <vertAlign val="subscript"/>
        <sz val="8"/>
        <color theme="1"/>
        <rFont val="メイリオ"/>
        <family val="3"/>
        <charset val="128"/>
      </rPr>
      <t>Aq+5pz</t>
    </r>
    <phoneticPr fontId="1"/>
  </si>
  <si>
    <r>
      <t>w'</t>
    </r>
    <r>
      <rPr>
        <vertAlign val="subscript"/>
        <sz val="8"/>
        <color theme="1"/>
        <rFont val="メイリオ"/>
        <family val="3"/>
        <charset val="128"/>
      </rPr>
      <t>Aq+(m-1)pz</t>
    </r>
    <phoneticPr fontId="1"/>
  </si>
  <si>
    <r>
      <t>{sqrt(R</t>
    </r>
    <r>
      <rPr>
        <vertAlign val="subscript"/>
        <sz val="8"/>
        <color theme="1"/>
        <rFont val="メイリオ"/>
        <family val="3"/>
        <charset val="128"/>
      </rPr>
      <t>o</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vertAlign val="superscript"/>
        <sz val="8"/>
        <color theme="1"/>
        <rFont val="メイリオ"/>
        <family val="3"/>
        <charset val="128"/>
      </rPr>
      <t>2</t>
    </r>
    <r>
      <rPr>
        <sz val="8"/>
        <color theme="1"/>
        <rFont val="メイリオ"/>
        <family val="3"/>
        <charset val="128"/>
      </rPr>
      <t>)+sqrt(R</t>
    </r>
    <r>
      <rPr>
        <vertAlign val="subscript"/>
        <sz val="8"/>
        <color theme="1"/>
        <rFont val="メイリオ"/>
        <family val="3"/>
        <charset val="128"/>
      </rPr>
      <t>i</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vertAlign val="superscript"/>
        <sz val="8"/>
        <color theme="1"/>
        <rFont val="メイリオ"/>
        <family val="3"/>
        <charset val="128"/>
      </rPr>
      <t>2</t>
    </r>
    <r>
      <rPr>
        <sz val="8"/>
        <color theme="1"/>
        <rFont val="メイリオ"/>
        <family val="3"/>
        <charset val="128"/>
      </rPr>
      <t>)}/2</t>
    </r>
    <phoneticPr fontId="1"/>
  </si>
  <si>
    <r>
      <t>{sqrt(R</t>
    </r>
    <r>
      <rPr>
        <vertAlign val="subscript"/>
        <sz val="8"/>
        <color theme="1"/>
        <rFont val="メイリオ"/>
        <family val="3"/>
        <charset val="128"/>
      </rPr>
      <t>o</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b</t>
    </r>
    <r>
      <rPr>
        <vertAlign val="superscript"/>
        <sz val="8"/>
        <color theme="1"/>
        <rFont val="メイリオ"/>
        <family val="3"/>
        <charset val="128"/>
      </rPr>
      <t>2</t>
    </r>
    <r>
      <rPr>
        <sz val="8"/>
        <color theme="1"/>
        <rFont val="メイリオ"/>
        <family val="3"/>
        <charset val="128"/>
      </rPr>
      <t>)+sqrt(R</t>
    </r>
    <r>
      <rPr>
        <vertAlign val="subscript"/>
        <sz val="8"/>
        <color theme="1"/>
        <rFont val="メイリオ"/>
        <family val="3"/>
        <charset val="128"/>
      </rPr>
      <t>i</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b</t>
    </r>
    <r>
      <rPr>
        <vertAlign val="superscript"/>
        <sz val="8"/>
        <color theme="1"/>
        <rFont val="メイリオ"/>
        <family val="3"/>
        <charset val="128"/>
      </rPr>
      <t>2</t>
    </r>
    <r>
      <rPr>
        <sz val="8"/>
        <color theme="1"/>
        <rFont val="メイリオ"/>
        <family val="3"/>
        <charset val="128"/>
      </rPr>
      <t>)}/2</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</si>
  <si>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-κ</t>
    </r>
    <r>
      <rPr>
        <vertAlign val="subscript"/>
        <sz val="8"/>
        <color theme="1"/>
        <rFont val="メイリオ"/>
        <family val="3"/>
        <charset val="128"/>
      </rPr>
      <t>p</t>
    </r>
    <r>
      <rPr>
        <sz val="8"/>
        <color theme="1"/>
        <rFont val="メイリオ"/>
        <family val="3"/>
        <charset val="128"/>
      </rPr>
      <t>-κ</t>
    </r>
    <r>
      <rPr>
        <vertAlign val="subscript"/>
        <sz val="8"/>
        <color theme="1"/>
        <rFont val="メイリオ"/>
        <family val="3"/>
        <charset val="128"/>
      </rPr>
      <t>w</t>
    </r>
    <r>
      <rPr>
        <sz val="8"/>
        <color theme="1"/>
        <rFont val="メイリオ"/>
        <family val="3"/>
        <charset val="128"/>
      </rPr>
      <t>/2)</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</si>
  <si>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o</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-κ</t>
    </r>
    <r>
      <rPr>
        <vertAlign val="subscript"/>
        <sz val="8"/>
        <color theme="1"/>
        <rFont val="メイリオ"/>
        <family val="3"/>
        <charset val="128"/>
      </rPr>
      <t>p</t>
    </r>
    <r>
      <rPr>
        <sz val="8"/>
        <color theme="1"/>
        <rFont val="メイリオ"/>
        <family val="3"/>
        <charset val="128"/>
      </rPr>
      <t>-κ</t>
    </r>
    <r>
      <rPr>
        <vertAlign val="subscript"/>
        <sz val="8"/>
        <color theme="1"/>
        <rFont val="メイリオ"/>
        <family val="3"/>
        <charset val="128"/>
      </rPr>
      <t>w</t>
    </r>
    <r>
      <rPr>
        <sz val="8"/>
        <color theme="1"/>
        <rFont val="メイリオ"/>
        <family val="3"/>
        <charset val="128"/>
      </rPr>
      <t>/2)</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</si>
  <si>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i</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-κ</t>
    </r>
    <r>
      <rPr>
        <vertAlign val="subscript"/>
        <sz val="8"/>
        <color theme="1"/>
        <rFont val="メイリオ"/>
        <family val="3"/>
        <charset val="128"/>
      </rPr>
      <t>p</t>
    </r>
    <r>
      <rPr>
        <sz val="8"/>
        <color theme="1"/>
        <rFont val="メイリオ"/>
        <family val="3"/>
        <charset val="128"/>
      </rPr>
      <t>-κ</t>
    </r>
    <r>
      <rPr>
        <vertAlign val="subscript"/>
        <sz val="8"/>
        <color theme="1"/>
        <rFont val="メイリオ"/>
        <family val="3"/>
        <charset val="128"/>
      </rPr>
      <t>w</t>
    </r>
    <r>
      <rPr>
        <sz val="8"/>
        <color theme="1"/>
        <rFont val="メイリオ"/>
        <family val="3"/>
        <charset val="128"/>
      </rPr>
      <t>/2)</t>
    </r>
    <r>
      <rPr>
        <vertAlign val="superscript"/>
        <sz val="8"/>
        <color theme="1"/>
        <rFont val="メイリオ"/>
        <family val="3"/>
        <charset val="128"/>
      </rPr>
      <t>2</t>
    </r>
    <r>
      <rPr>
        <sz val="8"/>
        <color theme="1"/>
        <rFont val="メイリオ"/>
        <family val="3"/>
        <charset val="128"/>
      </rPr>
      <t>}</t>
    </r>
    <phoneticPr fontId="1"/>
  </si>
  <si>
    <t>トップ端-面取先端 湾曲中心間水平距離</t>
    <rPh sb="3" eb="4">
      <t>タン</t>
    </rPh>
    <rPh sb="7" eb="9">
      <t>センタン</t>
    </rPh>
    <rPh sb="10" eb="12">
      <t>ワンキョク</t>
    </rPh>
    <rPh sb="12" eb="14">
      <t>チュウシン</t>
    </rPh>
    <rPh sb="14" eb="15">
      <t>カン</t>
    </rPh>
    <rPh sb="15" eb="19">
      <t>スイヘイ</t>
    </rPh>
    <phoneticPr fontId="1"/>
  </si>
  <si>
    <t>θ[rad]</t>
    <phoneticPr fontId="1"/>
  </si>
  <si>
    <t>θ'[rad]</t>
    <phoneticPr fontId="1"/>
  </si>
  <si>
    <t>θ'[deg]</t>
    <phoneticPr fontId="1"/>
  </si>
  <si>
    <t>再振分用角度(deg, 0.001度単位)</t>
    <rPh sb="0" eb="1">
      <t>サイ</t>
    </rPh>
    <rPh sb="1" eb="3">
      <t>フリワケ</t>
    </rPh>
    <rPh sb="3" eb="4">
      <t>ヨウ</t>
    </rPh>
    <rPh sb="4" eb="6">
      <t>カクド</t>
    </rPh>
    <rPh sb="5" eb="6">
      <t>フリカド</t>
    </rPh>
    <rPh sb="17" eb="18">
      <t>ド</t>
    </rPh>
    <rPh sb="18" eb="20">
      <t>タンイ</t>
    </rPh>
    <phoneticPr fontId="1"/>
  </si>
  <si>
    <t>再振分用角度(deg, 1度単位)</t>
    <rPh sb="0" eb="1">
      <t>サイ</t>
    </rPh>
    <rPh sb="1" eb="3">
      <t>フリワケ</t>
    </rPh>
    <rPh sb="3" eb="4">
      <t>ヨウ</t>
    </rPh>
    <rPh sb="4" eb="6">
      <t>カクド</t>
    </rPh>
    <rPh sb="5" eb="6">
      <t>フリカド</t>
    </rPh>
    <rPh sb="13" eb="14">
      <t>ド</t>
    </rPh>
    <rPh sb="14" eb="16">
      <t>タンイ</t>
    </rPh>
    <phoneticPr fontId="1"/>
  </si>
  <si>
    <t>再振分長トップ（θ:0.001度単位）</t>
    <rPh sb="0" eb="1">
      <t>サイ</t>
    </rPh>
    <rPh sb="1" eb="3">
      <t>フリワケ</t>
    </rPh>
    <rPh sb="3" eb="4">
      <t>チョウ</t>
    </rPh>
    <rPh sb="15" eb="16">
      <t>ド</t>
    </rPh>
    <rPh sb="16" eb="18">
      <t>タンイ</t>
    </rPh>
    <phoneticPr fontId="1"/>
  </si>
  <si>
    <t>再振分長ボトム（θ:0.001度単位）</t>
    <rPh sb="0" eb="1">
      <t>サイ</t>
    </rPh>
    <rPh sb="1" eb="3">
      <t>フリワケ</t>
    </rPh>
    <rPh sb="3" eb="4">
      <t>チョウ</t>
    </rPh>
    <rPh sb="15" eb="16">
      <t>ド</t>
    </rPh>
    <rPh sb="16" eb="18">
      <t>タンイ</t>
    </rPh>
    <phoneticPr fontId="1"/>
  </si>
  <si>
    <t>再張出長トップ（θ:0.001度単位）</t>
    <rPh sb="0" eb="1">
      <t>サイ</t>
    </rPh>
    <rPh sb="1" eb="3">
      <t>ハリダシ</t>
    </rPh>
    <rPh sb="3" eb="4">
      <t>チョウ</t>
    </rPh>
    <phoneticPr fontId="1"/>
  </si>
  <si>
    <t>再張出長ボトム（θ:0.001度単位）</t>
    <rPh sb="0" eb="1">
      <t>サイ</t>
    </rPh>
    <rPh sb="1" eb="3">
      <t>ハリダシ</t>
    </rPh>
    <rPh sb="3" eb="4">
      <t>チョウ</t>
    </rPh>
    <phoneticPr fontId="1"/>
  </si>
  <si>
    <t>均等振分 鉛直移動距離</t>
    <rPh sb="0" eb="2">
      <t>キントウ</t>
    </rPh>
    <rPh sb="2" eb="4">
      <t>フリワケ</t>
    </rPh>
    <rPh sb="5" eb="7">
      <t>エンチョク</t>
    </rPh>
    <rPh sb="7" eb="9">
      <t>イドウ</t>
    </rPh>
    <rPh sb="9" eb="11">
      <t>キョリ</t>
    </rPh>
    <phoneticPr fontId="1"/>
  </si>
  <si>
    <r>
      <t>f</t>
    </r>
    <r>
      <rPr>
        <vertAlign val="subscript"/>
        <sz val="8"/>
        <color theme="1"/>
        <rFont val="メイリオ"/>
        <family val="3"/>
        <charset val="128"/>
      </rPr>
      <t>b</t>
    </r>
    <r>
      <rPr>
        <sz val="8"/>
        <color theme="1"/>
        <rFont val="メイリオ"/>
        <family val="3"/>
        <charset val="128"/>
      </rPr>
      <t>-C48</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</si>
  <si>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b</t>
    </r>
    <r>
      <rPr>
        <sz val="8"/>
        <color theme="1"/>
        <rFont val="メイリオ"/>
        <family val="3"/>
        <charset val="128"/>
      </rPr>
      <t>-C48)</t>
    </r>
    <r>
      <rPr>
        <vertAlign val="superscript"/>
        <sz val="8"/>
        <color theme="1"/>
        <rFont val="メイリオ"/>
        <family val="3"/>
        <charset val="128"/>
      </rPr>
      <t>2</t>
    </r>
    <r>
      <rPr>
        <sz val="8"/>
        <color theme="1"/>
        <rFont val="メイリオ"/>
        <family val="3"/>
        <charset val="128"/>
      </rPr>
      <t>}</t>
    </r>
    <phoneticPr fontId="1"/>
  </si>
  <si>
    <t>トップ外削外径AC</t>
    <rPh sb="3" eb="5">
      <t>ガイサク</t>
    </rPh>
    <rPh sb="5" eb="7">
      <t>ガイケイ</t>
    </rPh>
    <phoneticPr fontId="1"/>
  </si>
  <si>
    <t>ボトム端面C面取</t>
    <rPh sb="3" eb="5">
      <t>タンメン</t>
    </rPh>
    <rPh sb="6" eb="8">
      <t>メント</t>
    </rPh>
    <phoneticPr fontId="1"/>
  </si>
  <si>
    <t>トップ端面C面取</t>
    <rPh sb="3" eb="5">
      <t>タンメン</t>
    </rPh>
    <rPh sb="6" eb="8">
      <t>メント</t>
    </rPh>
    <phoneticPr fontId="1"/>
  </si>
  <si>
    <t>ボトム 内面取先端位置</t>
    <rPh sb="4" eb="5">
      <t>ナイ</t>
    </rPh>
    <rPh sb="5" eb="7">
      <t>メントリ</t>
    </rPh>
    <rPh sb="7" eb="9">
      <t>センタン</t>
    </rPh>
    <rPh sb="9" eb="11">
      <t>イチ</t>
    </rPh>
    <phoneticPr fontId="1"/>
  </si>
  <si>
    <t>ボトム 内面取先端 湾曲中心-O間 水平距離</t>
    <rPh sb="4" eb="5">
      <t>ウチ</t>
    </rPh>
    <rPh sb="5" eb="7">
      <t>メントリ</t>
    </rPh>
    <rPh sb="7" eb="9">
      <t>センタン</t>
    </rPh>
    <rPh sb="10" eb="12">
      <t>ワンキョク</t>
    </rPh>
    <rPh sb="12" eb="14">
      <t>チュウシン</t>
    </rPh>
    <rPh sb="16" eb="17">
      <t>カン</t>
    </rPh>
    <rPh sb="18" eb="22">
      <t>スイヘイ</t>
    </rPh>
    <phoneticPr fontId="1"/>
  </si>
  <si>
    <t>内面溝（傾き後）</t>
    <rPh sb="0" eb="2">
      <t>ナイメン</t>
    </rPh>
    <rPh sb="2" eb="3">
      <t>ミゾ</t>
    </rPh>
    <rPh sb="4" eb="5">
      <t>カタム</t>
    </rPh>
    <rPh sb="6" eb="7">
      <t>ゴ</t>
    </rPh>
    <phoneticPr fontId="1"/>
  </si>
  <si>
    <t>内面溝（傾き前）</t>
    <rPh sb="0" eb="2">
      <t>ナイメン</t>
    </rPh>
    <rPh sb="2" eb="3">
      <t>ミゾ</t>
    </rPh>
    <rPh sb="4" eb="5">
      <t>カタム</t>
    </rPh>
    <rPh sb="6" eb="7">
      <t>マエ</t>
    </rPh>
    <phoneticPr fontId="1"/>
  </si>
  <si>
    <t>内面溝１列目（奇数列）長さ</t>
    <rPh sb="0" eb="2">
      <t>ナイメン</t>
    </rPh>
    <rPh sb="2" eb="3">
      <t>ミゾ</t>
    </rPh>
    <rPh sb="4" eb="6">
      <t>レツメ</t>
    </rPh>
    <rPh sb="7" eb="9">
      <t>キスウ</t>
    </rPh>
    <rPh sb="9" eb="10">
      <t>レツ</t>
    </rPh>
    <rPh sb="11" eb="12">
      <t>ナガ</t>
    </rPh>
    <phoneticPr fontId="1"/>
  </si>
  <si>
    <t>内面溝２列目（偶数列）長さ</t>
    <rPh sb="0" eb="2">
      <t>ナイメン</t>
    </rPh>
    <rPh sb="2" eb="3">
      <t>ミゾ</t>
    </rPh>
    <rPh sb="4" eb="6">
      <t>レツメ</t>
    </rPh>
    <rPh sb="7" eb="9">
      <t>グウスウ</t>
    </rPh>
    <rPh sb="9" eb="10">
      <t>レツ</t>
    </rPh>
    <rPh sb="11" eb="12">
      <t>ナガ</t>
    </rPh>
    <phoneticPr fontId="1"/>
  </si>
  <si>
    <r>
      <t>cosΦ</t>
    </r>
    <r>
      <rPr>
        <vertAlign val="subscript"/>
        <sz val="8"/>
        <color theme="1"/>
        <rFont val="メイリオ"/>
        <family val="3"/>
        <charset val="128"/>
      </rPr>
      <t>A</t>
    </r>
    <phoneticPr fontId="1"/>
  </si>
  <si>
    <r>
      <t>sinΦ</t>
    </r>
    <r>
      <rPr>
        <vertAlign val="subscript"/>
        <sz val="8"/>
        <color theme="1"/>
        <rFont val="メイリオ"/>
        <family val="3"/>
        <charset val="128"/>
      </rPr>
      <t>A</t>
    </r>
    <phoneticPr fontId="1"/>
  </si>
  <si>
    <t>内面溝m-1列目-トップ端 湾曲中心間Z距離</t>
    <rPh sb="0" eb="2">
      <t>ナイメン</t>
    </rPh>
    <rPh sb="6" eb="8">
      <t>レツメ</t>
    </rPh>
    <rPh sb="12" eb="13">
      <t>タン</t>
    </rPh>
    <rPh sb="14" eb="16">
      <t>ワンキョク</t>
    </rPh>
    <rPh sb="16" eb="18">
      <t>チュウシン</t>
    </rPh>
    <rPh sb="18" eb="19">
      <t>カン</t>
    </rPh>
    <rPh sb="20" eb="22">
      <t>キョリ</t>
    </rPh>
    <phoneticPr fontId="1"/>
  </si>
  <si>
    <t>内面溝m列目-トップ端 湾曲中心間Z距離</t>
    <rPh sb="0" eb="2">
      <t>ナイメン</t>
    </rPh>
    <rPh sb="4" eb="6">
      <t>レツメ</t>
    </rPh>
    <rPh sb="10" eb="11">
      <t>タン</t>
    </rPh>
    <rPh sb="12" eb="14">
      <t>ワンキョク</t>
    </rPh>
    <rPh sb="14" eb="16">
      <t>チュウシン</t>
    </rPh>
    <rPh sb="16" eb="17">
      <t>カン</t>
    </rPh>
    <rPh sb="18" eb="20">
      <t>キョリ</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</si>
</sst>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76" formatCode="[&lt;=999]0000;General"/>
    <numFmt numFmtId="177" formatCode="[&lt;=9999]00&quot;:&quot;00;General"/>
    <numFmt numFmtId="178" formatCode="0_);[Red]\(0\)"/>
    <numFmt numFmtId="179" formatCode="0_);\(0\)"/>
    <numFmt numFmtId="180" formatCode="0.00_ "/>
    <numFmt numFmtId="181" formatCode="0.000_ "/>
    <numFmt numFmtId="182" formatCode="0.000_);[Red]\(0.000\)"/>
    <numFmt numFmtId="183" formatCode="0.0_ "/>
    <numFmt numFmtId="184" formatCode="0_ "/>
    <numFmt numFmtId="185" formatCode="0.000"/>
  </numFmts>
  <fonts count="14" x14ac:knownFonts="1">
    <font>
      <sz val="10"/>
      <color theme="1"/>
      <name val="メイリオ"/>
      <family val="2"/>
      <charset val="128"/>
    </font>
    <font>
      <sz val="6"/>
      <name val="メイリオ"/>
      <family val="2"/>
      <charset val="128"/>
    </font>
    <font>
      <vertAlign val="subscript"/>
      <sz val="10"/>
      <color theme="1"/>
      <name val="メイリオ"/>
      <family val="3"/>
      <charset val="128"/>
    </font>
    <font>
      <vertAlign val="superscript"/>
      <sz val="10"/>
      <color theme="1"/>
      <name val="メイリオ"/>
      <family val="3"/>
      <charset val="128"/>
    </font>
    <font>
      <sz val="10"/>
      <color theme="1"/>
      <name val="メイリオ"/>
      <family val="3"/>
      <charset val="128"/>
    </font>
    <font>
      <b/>
      <sz val="10"/>
      <color theme="1"/>
      <name val="メイリオ"/>
      <family val="3"/>
      <charset val="128"/>
    </font>
    <font>
      <sz val="8"/>
      <color theme="1"/>
      <name val="メイリオ"/>
      <family val="3"/>
      <charset val="128"/>
    </font>
    <font>
      <vertAlign val="subscript"/>
      <sz val="8"/>
      <color theme="1"/>
      <name val="メイリオ"/>
      <family val="3"/>
      <charset val="128"/>
    </font>
    <font>
      <b/>
      <sz val="8"/>
      <color theme="1"/>
      <name val="メイリオ"/>
      <family val="3"/>
      <charset val="128"/>
    </font>
    <font>
      <vertAlign val="superscript"/>
      <sz val="8"/>
      <color theme="1"/>
      <name val="メイリオ"/>
      <family val="3"/>
      <charset val="128"/>
    </font>
    <font>
      <sz val="9"/>
      <color theme="1"/>
      <name val="メイリオ"/>
      <family val="2"/>
      <charset val="128"/>
    </font>
    <font>
      <sz val="9"/>
      <color theme="1"/>
      <name val="メイリオ"/>
      <family val="3"/>
      <charset val="128"/>
    </font>
    <font>
      <b/>
      <vertAlign val="subscript"/>
      <sz val="8"/>
      <color theme="1"/>
      <name val="メイリオ"/>
      <family val="3"/>
      <charset val="128"/>
    </font>
    <font>
      <i/>
      <sz val="8"/>
      <color theme="1"/>
      <name val="メイリオ"/>
      <family val="3"/>
      <charset val="128"/>
    </font>
  </fonts>
  <fills count="8">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rgb="FFFF0000"/>
        <bgColor indexed="64"/>
      </patternFill>
    </fill>
    <fill>
      <patternFill patternType="solid">
        <fgColor theme="9" tint="0.59999389629810485"/>
        <bgColor indexed="64"/>
      </patternFill>
    </fill>
  </fills>
  <borders count="22">
    <border>
      <left/>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thin">
        <color indexed="64"/>
      </left>
      <right style="double">
        <color indexed="64"/>
      </right>
      <top/>
      <bottom style="thin">
        <color indexed="64"/>
      </bottom>
      <diagonal/>
    </border>
    <border>
      <left/>
      <right style="thin">
        <color indexed="64"/>
      </right>
      <top/>
      <bottom style="thin">
        <color indexed="64"/>
      </bottom>
      <diagonal/>
    </border>
    <border diagonalUp="1">
      <left/>
      <right style="thin">
        <color indexed="64"/>
      </right>
      <top style="thin">
        <color indexed="64"/>
      </top>
      <bottom style="double">
        <color indexed="64"/>
      </bottom>
      <diagonal style="thin">
        <color indexed="64"/>
      </diagonal>
    </border>
    <border>
      <left style="thin">
        <color indexed="64"/>
      </left>
      <right style="double">
        <color indexed="64"/>
      </right>
      <top style="thin">
        <color indexed="64"/>
      </top>
      <bottom style="double">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double">
        <color indexed="64"/>
      </left>
      <right style="thin">
        <color indexed="64"/>
      </right>
      <top style="thin">
        <color indexed="64"/>
      </top>
      <bottom style="double">
        <color indexed="64"/>
      </bottom>
      <diagonal/>
    </border>
    <border diagonalDown="1">
      <left style="thin">
        <color indexed="64"/>
      </left>
      <right style="double">
        <color indexed="64"/>
      </right>
      <top style="thin">
        <color indexed="64"/>
      </top>
      <bottom style="double">
        <color indexed="64"/>
      </bottom>
      <diagonal style="thin">
        <color indexed="64"/>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diagonal/>
    </border>
  </borders>
  <cellStyleXfs count="1">
    <xf numFmtId="0" fontId="0" fillId="0" borderId="0">
      <alignment vertical="center"/>
    </xf>
  </cellStyleXfs>
  <cellXfs count="113">
    <xf numFmtId="0" fontId="0" fillId="0" borderId="0" xfId="0">
      <alignment vertical="center"/>
    </xf>
    <xf numFmtId="0" fontId="0" fillId="0" borderId="0" xfId="0" applyAlignment="1">
      <alignment horizontal="center" vertical="center"/>
    </xf>
    <xf numFmtId="45" fontId="0" fillId="0" borderId="0" xfId="0" applyNumberFormat="1" applyAlignment="1">
      <alignment horizontal="center" vertical="center"/>
    </xf>
    <xf numFmtId="176" fontId="0" fillId="0" borderId="0" xfId="0" applyNumberFormat="1" applyAlignment="1">
      <alignment horizontal="center" vertical="center"/>
    </xf>
    <xf numFmtId="177" fontId="0" fillId="0" borderId="0" xfId="0" applyNumberFormat="1" applyAlignment="1">
      <alignment horizontal="center" vertical="center"/>
    </xf>
    <xf numFmtId="178" fontId="0" fillId="0" borderId="0" xfId="0" applyNumberFormat="1" applyAlignment="1">
      <alignment horizontal="right" vertical="center"/>
    </xf>
    <xf numFmtId="179" fontId="0" fillId="0" borderId="0" xfId="0" applyNumberFormat="1" applyAlignment="1">
      <alignment horizontal="right" vertical="center"/>
    </xf>
    <xf numFmtId="180" fontId="0" fillId="0" borderId="0" xfId="0" applyNumberFormat="1" applyAlignment="1">
      <alignment horizontal="center" vertical="center"/>
    </xf>
    <xf numFmtId="178" fontId="0" fillId="0" borderId="0" xfId="0" applyNumberFormat="1" applyAlignment="1">
      <alignment horizontal="center" vertical="center"/>
    </xf>
    <xf numFmtId="179" fontId="0" fillId="0" borderId="0" xfId="0" applyNumberFormat="1" applyAlignment="1">
      <alignment horizontal="center" vertical="center"/>
    </xf>
    <xf numFmtId="181" fontId="0" fillId="0" borderId="0" xfId="0" applyNumberFormat="1" applyAlignment="1">
      <alignment horizontal="center" vertical="center"/>
    </xf>
    <xf numFmtId="181" fontId="0" fillId="0" borderId="1" xfId="0" applyNumberFormat="1" applyBorder="1" applyAlignment="1">
      <alignment horizontal="center" vertical="center"/>
    </xf>
    <xf numFmtId="181" fontId="0" fillId="2" borderId="1" xfId="0" applyNumberFormat="1" applyFill="1" applyBorder="1" applyAlignment="1">
      <alignment horizontal="center" vertical="center"/>
    </xf>
    <xf numFmtId="182" fontId="0" fillId="0" borderId="2" xfId="0" applyNumberFormat="1" applyBorder="1" applyAlignment="1">
      <alignment horizontal="center" vertical="center"/>
    </xf>
    <xf numFmtId="182" fontId="0" fillId="4" borderId="3" xfId="0" applyNumberFormat="1" applyFill="1" applyBorder="1" applyAlignment="1">
      <alignment horizontal="center" vertical="center"/>
    </xf>
    <xf numFmtId="182" fontId="0" fillId="4" borderId="4" xfId="0" applyNumberFormat="1" applyFill="1" applyBorder="1" applyAlignment="1">
      <alignment horizontal="center" vertical="center"/>
    </xf>
    <xf numFmtId="0" fontId="0" fillId="0" borderId="0" xfId="0" applyAlignment="1">
      <alignment horizontal="right" vertical="center"/>
    </xf>
    <xf numFmtId="181" fontId="0" fillId="2" borderId="5" xfId="0" applyNumberFormat="1" applyFill="1" applyBorder="1" applyAlignment="1">
      <alignment horizontal="center" vertical="center"/>
    </xf>
    <xf numFmtId="0" fontId="0" fillId="2" borderId="4" xfId="0" applyFill="1" applyBorder="1">
      <alignment vertical="center"/>
    </xf>
    <xf numFmtId="0" fontId="0" fillId="0" borderId="0" xfId="0" applyAlignment="1">
      <alignment horizontal="left" vertical="center"/>
    </xf>
    <xf numFmtId="181" fontId="0" fillId="0" borderId="6" xfId="0" applyNumberFormat="1" applyBorder="1" applyAlignment="1">
      <alignment horizontal="center" vertical="center"/>
    </xf>
    <xf numFmtId="0" fontId="0" fillId="0" borderId="7" xfId="0" applyBorder="1">
      <alignment vertical="center"/>
    </xf>
    <xf numFmtId="0" fontId="5" fillId="0" borderId="0" xfId="0" applyFont="1">
      <alignment vertical="center"/>
    </xf>
    <xf numFmtId="181" fontId="0" fillId="0" borderId="2" xfId="0" applyNumberFormat="1" applyBorder="1" applyAlignment="1">
      <alignment horizontal="center" vertical="center"/>
    </xf>
    <xf numFmtId="0" fontId="0" fillId="0" borderId="3" xfId="0" applyBorder="1">
      <alignment vertical="center"/>
    </xf>
    <xf numFmtId="181" fontId="0" fillId="0" borderId="0" xfId="0" applyNumberFormat="1">
      <alignment vertical="center"/>
    </xf>
    <xf numFmtId="181" fontId="0" fillId="2" borderId="2" xfId="0" applyNumberFormat="1" applyFill="1" applyBorder="1" applyAlignment="1">
      <alignment horizontal="center" vertical="center"/>
    </xf>
    <xf numFmtId="0" fontId="0" fillId="2" borderId="3" xfId="0" applyFill="1" applyBorder="1">
      <alignment vertical="center"/>
    </xf>
    <xf numFmtId="181" fontId="0" fillId="5" borderId="2" xfId="0" applyNumberFormat="1" applyFill="1" applyBorder="1" applyAlignment="1">
      <alignment horizontal="center" vertical="center"/>
    </xf>
    <xf numFmtId="0" fontId="0" fillId="0" borderId="8" xfId="0" applyBorder="1" applyAlignment="1">
      <alignment horizontal="left" vertical="center"/>
    </xf>
    <xf numFmtId="0" fontId="0" fillId="0" borderId="2" xfId="0" applyBorder="1" applyAlignment="1">
      <alignment horizontal="left" vertical="center"/>
    </xf>
    <xf numFmtId="0" fontId="0" fillId="6" borderId="3" xfId="0" applyFill="1" applyBorder="1">
      <alignment vertical="center"/>
    </xf>
    <xf numFmtId="180" fontId="0" fillId="0" borderId="0" xfId="0" applyNumberFormat="1">
      <alignment vertical="center"/>
    </xf>
    <xf numFmtId="0" fontId="0" fillId="7" borderId="3" xfId="0" applyFill="1" applyBorder="1">
      <alignment vertical="center"/>
    </xf>
    <xf numFmtId="181" fontId="0" fillId="3" borderId="2" xfId="0" applyNumberFormat="1" applyFill="1" applyBorder="1" applyAlignment="1">
      <alignment horizontal="center" vertical="center"/>
    </xf>
    <xf numFmtId="0" fontId="0" fillId="4" borderId="3" xfId="0" applyFill="1" applyBorder="1">
      <alignment vertical="center"/>
    </xf>
    <xf numFmtId="181" fontId="0" fillId="0" borderId="9" xfId="0" applyNumberFormat="1" applyBorder="1" applyAlignment="1">
      <alignment horizontal="center" vertical="center"/>
    </xf>
    <xf numFmtId="0" fontId="0" fillId="0" borderId="9" xfId="0" applyBorder="1">
      <alignment vertical="center"/>
    </xf>
    <xf numFmtId="0" fontId="0" fillId="0" borderId="1" xfId="0" applyBorder="1" applyAlignment="1">
      <alignment horizontal="left" vertical="center"/>
    </xf>
    <xf numFmtId="0" fontId="0" fillId="0" borderId="5" xfId="0" applyBorder="1" applyAlignment="1">
      <alignment horizontal="left" vertical="center"/>
    </xf>
    <xf numFmtId="0" fontId="0" fillId="3" borderId="4" xfId="0" applyFill="1" applyBorder="1">
      <alignment vertical="center"/>
    </xf>
    <xf numFmtId="182" fontId="0" fillId="0" borderId="5" xfId="0" applyNumberFormat="1" applyBorder="1" applyAlignment="1">
      <alignment horizontal="center" vertical="center"/>
    </xf>
    <xf numFmtId="0" fontId="0" fillId="0" borderId="4" xfId="0" applyBorder="1">
      <alignment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7" xfId="0" applyBorder="1" applyAlignment="1">
      <alignment horizontal="center" vertical="center"/>
    </xf>
    <xf numFmtId="181" fontId="0" fillId="0" borderId="10" xfId="0" applyNumberFormat="1" applyBorder="1" applyAlignment="1">
      <alignment horizontal="center" vertical="center"/>
    </xf>
    <xf numFmtId="0" fontId="0" fillId="0" borderId="12" xfId="0" applyBorder="1" applyAlignment="1">
      <alignment horizontal="center" vertical="center"/>
    </xf>
    <xf numFmtId="181" fontId="0" fillId="0" borderId="13" xfId="0" applyNumberFormat="1" applyBorder="1" applyAlignment="1">
      <alignment horizontal="center" vertical="center"/>
    </xf>
    <xf numFmtId="0" fontId="0" fillId="0" borderId="14" xfId="0" applyBorder="1">
      <alignment vertical="center"/>
    </xf>
    <xf numFmtId="0" fontId="5" fillId="0" borderId="0" xfId="0" applyFont="1" applyAlignment="1">
      <alignment horizontal="left" vertical="center"/>
    </xf>
    <xf numFmtId="181" fontId="0" fillId="3" borderId="5" xfId="0" applyNumberFormat="1" applyFill="1" applyBorder="1" applyAlignment="1">
      <alignment horizontal="center" vertical="center"/>
    </xf>
    <xf numFmtId="0" fontId="4" fillId="0" borderId="0" xfId="0" applyFont="1">
      <alignment vertical="center"/>
    </xf>
    <xf numFmtId="0" fontId="6" fillId="0" borderId="0" xfId="0" applyFont="1">
      <alignment vertical="center"/>
    </xf>
    <xf numFmtId="181" fontId="6" fillId="0" borderId="0" xfId="0" applyNumberFormat="1" applyFont="1">
      <alignment vertical="center"/>
    </xf>
    <xf numFmtId="0" fontId="6" fillId="0" borderId="0" xfId="0" applyFont="1" applyAlignment="1">
      <alignment horizontal="center" vertical="center"/>
    </xf>
    <xf numFmtId="0" fontId="8" fillId="0" borderId="0" xfId="0" applyFont="1">
      <alignment vertical="center"/>
    </xf>
    <xf numFmtId="181" fontId="6" fillId="0" borderId="0" xfId="0" applyNumberFormat="1" applyFont="1" applyAlignment="1">
      <alignment horizontal="center" vertical="center"/>
    </xf>
    <xf numFmtId="0" fontId="8" fillId="0" borderId="0" xfId="0" applyFont="1" applyAlignment="1">
      <alignment horizontal="center" vertical="center"/>
    </xf>
    <xf numFmtId="0" fontId="6" fillId="0" borderId="14" xfId="0" applyFont="1" applyBorder="1">
      <alignment vertical="center"/>
    </xf>
    <xf numFmtId="181" fontId="6" fillId="0" borderId="13" xfId="0" applyNumberFormat="1" applyFont="1" applyBorder="1" applyAlignment="1">
      <alignment horizontal="center" vertical="center"/>
    </xf>
    <xf numFmtId="0" fontId="6" fillId="2" borderId="8" xfId="0" applyFont="1" applyFill="1" applyBorder="1">
      <alignment vertical="center"/>
    </xf>
    <xf numFmtId="181" fontId="6" fillId="2" borderId="8" xfId="0" applyNumberFormat="1" applyFont="1" applyFill="1" applyBorder="1">
      <alignment vertical="center"/>
    </xf>
    <xf numFmtId="0" fontId="6" fillId="0" borderId="4" xfId="0" applyFont="1" applyBorder="1">
      <alignment vertical="center"/>
    </xf>
    <xf numFmtId="181" fontId="6" fillId="3" borderId="5" xfId="0" applyNumberFormat="1" applyFont="1" applyFill="1" applyBorder="1" applyAlignment="1">
      <alignment horizontal="center" vertical="center"/>
    </xf>
    <xf numFmtId="0" fontId="6" fillId="2" borderId="8" xfId="0" applyFont="1" applyFill="1" applyBorder="1" applyAlignment="1">
      <alignment horizontal="center" vertical="center"/>
    </xf>
    <xf numFmtId="0" fontId="6" fillId="0" borderId="3" xfId="0" applyFont="1" applyBorder="1">
      <alignment vertical="center"/>
    </xf>
    <xf numFmtId="181" fontId="6" fillId="3" borderId="2" xfId="0" applyNumberFormat="1" applyFont="1" applyFill="1" applyBorder="1" applyAlignment="1">
      <alignment horizontal="center" vertical="center"/>
    </xf>
    <xf numFmtId="180" fontId="6" fillId="0" borderId="0" xfId="0" applyNumberFormat="1" applyFont="1">
      <alignment vertical="center"/>
    </xf>
    <xf numFmtId="0" fontId="6" fillId="2" borderId="16" xfId="0" applyFont="1" applyFill="1" applyBorder="1">
      <alignment vertical="center"/>
    </xf>
    <xf numFmtId="181" fontId="6" fillId="2" borderId="16" xfId="0" applyNumberFormat="1" applyFont="1" applyFill="1" applyBorder="1">
      <alignment vertical="center"/>
    </xf>
    <xf numFmtId="181" fontId="6" fillId="5" borderId="2" xfId="0" applyNumberFormat="1" applyFont="1" applyFill="1" applyBorder="1" applyAlignment="1">
      <alignment horizontal="center" vertical="center"/>
    </xf>
    <xf numFmtId="0" fontId="6" fillId="2" borderId="16" xfId="0" applyFont="1" applyFill="1" applyBorder="1" applyAlignment="1">
      <alignment horizontal="center" vertical="center"/>
    </xf>
    <xf numFmtId="0" fontId="6" fillId="0" borderId="17" xfId="0" applyFont="1" applyBorder="1">
      <alignment vertical="center"/>
    </xf>
    <xf numFmtId="181" fontId="6" fillId="0" borderId="17" xfId="0" applyNumberFormat="1" applyFont="1" applyBorder="1" applyAlignment="1">
      <alignment horizontal="center" vertical="center"/>
    </xf>
    <xf numFmtId="0" fontId="6" fillId="0" borderId="17" xfId="0" applyFont="1" applyBorder="1" applyAlignment="1">
      <alignment horizontal="center" vertical="center"/>
    </xf>
    <xf numFmtId="181" fontId="6" fillId="0" borderId="17" xfId="0" applyNumberFormat="1" applyFont="1" applyBorder="1">
      <alignment vertical="center"/>
    </xf>
    <xf numFmtId="0" fontId="8" fillId="0" borderId="18" xfId="0" applyFont="1" applyBorder="1">
      <alignment vertical="center"/>
    </xf>
    <xf numFmtId="184" fontId="6" fillId="0" borderId="18" xfId="0" applyNumberFormat="1" applyFont="1" applyBorder="1" applyAlignment="1">
      <alignment horizontal="center" vertical="center"/>
    </xf>
    <xf numFmtId="0" fontId="8" fillId="0" borderId="18" xfId="0" applyFont="1" applyBorder="1" applyAlignment="1">
      <alignment horizontal="center" vertical="center"/>
    </xf>
    <xf numFmtId="181" fontId="6" fillId="0" borderId="18" xfId="0" applyNumberFormat="1" applyFont="1" applyBorder="1" applyAlignment="1">
      <alignment horizontal="center" vertical="center"/>
    </xf>
    <xf numFmtId="183" fontId="6" fillId="2" borderId="8" xfId="0" applyNumberFormat="1" applyFont="1" applyFill="1" applyBorder="1">
      <alignment vertical="center"/>
    </xf>
    <xf numFmtId="181" fontId="6" fillId="2" borderId="8" xfId="0" applyNumberFormat="1" applyFont="1" applyFill="1" applyBorder="1" applyAlignment="1">
      <alignment horizontal="center" vertical="center"/>
    </xf>
    <xf numFmtId="183" fontId="6" fillId="3" borderId="2" xfId="0" applyNumberFormat="1" applyFont="1" applyFill="1" applyBorder="1" applyAlignment="1">
      <alignment horizontal="center" vertical="center"/>
    </xf>
    <xf numFmtId="181" fontId="8" fillId="0" borderId="0" xfId="0" applyNumberFormat="1" applyFont="1">
      <alignment vertical="center"/>
    </xf>
    <xf numFmtId="181" fontId="6" fillId="3" borderId="15" xfId="0" applyNumberFormat="1" applyFont="1" applyFill="1" applyBorder="1" applyAlignment="1">
      <alignment horizontal="center" vertical="center"/>
    </xf>
    <xf numFmtId="181" fontId="8" fillId="0" borderId="18" xfId="0" applyNumberFormat="1" applyFont="1" applyBorder="1">
      <alignment vertical="center"/>
    </xf>
    <xf numFmtId="181" fontId="6" fillId="2" borderId="1" xfId="0" applyNumberFormat="1" applyFont="1" applyFill="1" applyBorder="1">
      <alignment vertical="center"/>
    </xf>
    <xf numFmtId="181" fontId="6" fillId="2" borderId="1" xfId="0" applyNumberFormat="1" applyFont="1" applyFill="1" applyBorder="1" applyAlignment="1">
      <alignment horizontal="center" vertical="center"/>
    </xf>
    <xf numFmtId="181" fontId="6" fillId="5" borderId="15" xfId="0" applyNumberFormat="1" applyFont="1" applyFill="1" applyBorder="1" applyAlignment="1">
      <alignment horizontal="center" vertical="center"/>
    </xf>
    <xf numFmtId="183" fontId="6" fillId="5" borderId="2" xfId="0" applyNumberFormat="1" applyFont="1" applyFill="1" applyBorder="1" applyAlignment="1">
      <alignment horizontal="center" vertical="center"/>
    </xf>
    <xf numFmtId="49" fontId="6" fillId="3" borderId="2" xfId="0" applyNumberFormat="1" applyFont="1" applyFill="1" applyBorder="1" applyAlignment="1">
      <alignment horizontal="center" vertical="center"/>
    </xf>
    <xf numFmtId="0" fontId="10" fillId="0" borderId="0" xfId="0" applyFont="1" applyAlignment="1">
      <alignment horizontal="center" vertical="center"/>
    </xf>
    <xf numFmtId="181" fontId="11" fillId="0" borderId="0" xfId="0" applyNumberFormat="1" applyFont="1" applyAlignment="1">
      <alignment horizontal="center" vertical="center"/>
    </xf>
    <xf numFmtId="180" fontId="11" fillId="0" borderId="0" xfId="0" applyNumberFormat="1" applyFont="1" applyAlignment="1">
      <alignment horizontal="center" vertical="center"/>
    </xf>
    <xf numFmtId="0" fontId="11" fillId="3" borderId="0" xfId="0" applyFont="1" applyFill="1" applyAlignment="1">
      <alignment horizontal="center" vertical="center"/>
    </xf>
    <xf numFmtId="181" fontId="6" fillId="0" borderId="0" xfId="0" applyNumberFormat="1" applyFont="1" applyAlignment="1">
      <alignment horizontal="right" vertical="center"/>
    </xf>
    <xf numFmtId="0" fontId="6" fillId="0" borderId="0" xfId="0" applyFont="1" applyAlignment="1">
      <alignment horizontal="center" vertical="center" shrinkToFit="1"/>
    </xf>
    <xf numFmtId="185" fontId="6" fillId="0" borderId="0" xfId="0" applyNumberFormat="1" applyFont="1" applyAlignment="1">
      <alignment horizontal="right" vertical="center"/>
    </xf>
    <xf numFmtId="185" fontId="6" fillId="0" borderId="0" xfId="0" applyNumberFormat="1" applyFont="1">
      <alignment vertical="center"/>
    </xf>
    <xf numFmtId="183" fontId="6" fillId="2" borderId="1" xfId="0" applyNumberFormat="1" applyFont="1" applyFill="1" applyBorder="1" applyAlignment="1">
      <alignment horizontal="center" vertical="center"/>
    </xf>
    <xf numFmtId="183" fontId="6" fillId="2" borderId="8" xfId="0" applyNumberFormat="1" applyFont="1" applyFill="1" applyBorder="1" applyAlignment="1">
      <alignment horizontal="center" vertical="center"/>
    </xf>
    <xf numFmtId="181" fontId="6" fillId="2" borderId="16" xfId="0" applyNumberFormat="1" applyFont="1" applyFill="1" applyBorder="1" applyAlignment="1">
      <alignment horizontal="center" vertical="center"/>
    </xf>
    <xf numFmtId="181" fontId="6" fillId="0" borderId="21" xfId="0" applyNumberFormat="1" applyFont="1" applyBorder="1" applyAlignment="1">
      <alignment horizontal="center" vertical="center"/>
    </xf>
    <xf numFmtId="181" fontId="6" fillId="0" borderId="19" xfId="0" applyNumberFormat="1" applyFont="1" applyBorder="1" applyAlignment="1">
      <alignment horizontal="center" vertical="center"/>
    </xf>
    <xf numFmtId="181" fontId="6" fillId="0" borderId="20" xfId="0" applyNumberFormat="1" applyFont="1" applyBorder="1" applyAlignment="1">
      <alignment horizontal="center" vertical="center"/>
    </xf>
    <xf numFmtId="0" fontId="6" fillId="0" borderId="0" xfId="0" applyFont="1" applyAlignment="1">
      <alignment vertical="center" shrinkToFit="1"/>
    </xf>
    <xf numFmtId="181" fontId="6" fillId="0" borderId="0" xfId="0" applyNumberFormat="1" applyFont="1" applyAlignment="1">
      <alignment vertical="center" shrinkToFit="1"/>
    </xf>
    <xf numFmtId="181" fontId="6" fillId="0" borderId="8" xfId="0" applyNumberFormat="1" applyFont="1" applyBorder="1" applyAlignment="1">
      <alignment horizontal="center" vertical="center"/>
    </xf>
    <xf numFmtId="0" fontId="6" fillId="0" borderId="16" xfId="0" applyFont="1" applyBorder="1">
      <alignment vertical="center"/>
    </xf>
    <xf numFmtId="0" fontId="6" fillId="0" borderId="16" xfId="0" applyFont="1" applyBorder="1" applyAlignment="1">
      <alignment horizontal="center" vertical="center"/>
    </xf>
    <xf numFmtId="181" fontId="6" fillId="0" borderId="8" xfId="0" applyNumberFormat="1" applyFont="1" applyBorder="1">
      <alignment vertical="center"/>
    </xf>
    <xf numFmtId="185" fontId="6" fillId="2" borderId="8" xfId="0" applyNumberFormat="1" applyFont="1" applyFill="1" applyBorder="1" applyAlignment="1">
      <alignment horizontal="center" vertical="center"/>
    </xf>
  </cellXfs>
  <cellStyles count="1">
    <cellStyle name="標準" xfId="0" builtinId="0"/>
  </cellStyles>
  <dxfs count="78">
    <dxf>
      <fill>
        <patternFill>
          <bgColor theme="8" tint="0.79998168889431442"/>
        </patternFill>
      </fill>
    </dxf>
    <dxf>
      <fill>
        <patternFill>
          <bgColor theme="5" tint="0.59996337778862885"/>
        </patternFill>
      </fill>
    </dxf>
    <dxf>
      <fill>
        <patternFill>
          <bgColor rgb="FFFF0000"/>
        </patternFill>
      </fill>
    </dxf>
    <dxf>
      <fill>
        <patternFill>
          <bgColor theme="0" tint="-0.14996795556505021"/>
        </patternFill>
      </fill>
    </dxf>
    <dxf>
      <fill>
        <patternFill>
          <bgColor theme="8" tint="0.59996337778862885"/>
        </patternFill>
      </fill>
    </dxf>
    <dxf>
      <fill>
        <patternFill>
          <bgColor theme="7" tint="0.59996337778862885"/>
        </patternFill>
      </fill>
    </dxf>
    <dxf>
      <fill>
        <patternFill>
          <bgColor theme="9" tint="0.59996337778862885"/>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strike val="0"/>
      </font>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9" tint="0.59996337778862885"/>
        </patternFill>
      </fill>
    </dxf>
    <dxf>
      <fill>
        <patternFill>
          <bgColor theme="9" tint="0.59996337778862885"/>
        </patternFill>
      </fill>
    </dxf>
    <dxf>
      <fill>
        <patternFill patternType="none">
          <bgColor auto="1"/>
        </patternFill>
      </fill>
    </dxf>
    <dxf>
      <fill>
        <patternFill>
          <bgColor theme="9" tint="0.59996337778862885"/>
        </patternFill>
      </fill>
    </dxf>
    <dxf>
      <fill>
        <patternFill patternType="none">
          <bgColor auto="1"/>
        </patternFill>
      </fill>
    </dxf>
    <dxf>
      <fill>
        <patternFill>
          <bgColor theme="9" tint="0.59996337778862885"/>
        </patternFill>
      </fill>
    </dxf>
    <dxf>
      <fill>
        <patternFill patternType="none">
          <bgColor auto="1"/>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numFmt numFmtId="179" formatCode="0_);\(0\)"/>
      <alignment horizontal="right" vertical="center" textRotation="0" wrapText="0" indent="0" justifyLastLine="0" shrinkToFit="0" readingOrder="0"/>
    </dxf>
    <dxf>
      <numFmt numFmtId="177" formatCode="[&lt;=9999]00&quot;:&quot;00;General"/>
      <alignment horizontal="center" vertical="center" textRotation="0" wrapText="0" indent="0" justifyLastLine="0" shrinkToFit="0" readingOrder="0"/>
    </dxf>
    <dxf>
      <numFmt numFmtId="176" formatCode="[&lt;=999]0000;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80" formatCode="0.00_ "/>
      <alignment horizontal="center" vertical="center" textRotation="0" wrapText="0" indent="0" justifyLastLine="0" shrinkToFit="0" readingOrder="0"/>
    </dxf>
    <dxf>
      <numFmt numFmtId="179" formatCode="0_);\(0\)"/>
      <alignment horizontal="center" vertical="center" textRotation="0" wrapText="0" indent="0" justifyLastLine="0" shrinkToFit="0" readingOrder="0"/>
    </dxf>
    <dxf>
      <numFmt numFmtId="180" formatCode="0.00_ "/>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76" formatCode="[&lt;=999]0000;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30C37C7-60F8-4ECF-BFC0-8D1FBF229D9E}" name="テーブル2" displayName="テーブル2" ref="A1:O34" totalsRowShown="0" headerRowDxfId="77">
  <autoFilter ref="A1:O34" xr:uid="{930C37C7-60F8-4ECF-BFC0-8D1FBF229D9E}"/>
  <tableColumns count="15">
    <tableColumn id="1" xr3:uid="{8506785A-7890-47E7-A8BD-4A0F82BDB757}" name="#zumen" dataDxfId="76"/>
    <tableColumn id="2" xr3:uid="{F1A7F9CC-0192-4A97-ADD1-658F8F5B6686}" name="#program" dataDxfId="75"/>
    <tableColumn id="9" xr3:uid="{D7C1D5F3-2999-4087-B4CA-13BFDB223D3E}" name="#wankyoku" dataDxfId="74"/>
    <tableColumn id="3" xr3:uid="{E7259851-675D-4DCE-8389-F98935C8D8AA}" name="#huriwake"/>
    <tableColumn id="7" xr3:uid="{D9F075D9-AC94-4188-BB69-E3CE71099F41}" name="#gaikei"/>
    <tableColumn id="6" xr3:uid="{12B03DE5-82A2-4552-A525-F308D4F75E6A}" name="#naikei"/>
    <tableColumn id="4" xr3:uid="{7D15B515-47F8-4096-B1B1-BCC7F61CE7D8}" name="#keyMizo"/>
    <tableColumn id="10" xr3:uid="{08B2AF75-D97B-4BAA-99D6-58D36C62AB9A}" name="#bGaisaku"/>
    <tableColumn id="11" xr3:uid="{5A2B6BDD-BD61-4759-AAA3-DE5E6B63787E}" name="#tGaisaku"/>
    <tableColumn id="14" xr3:uid="{1C87B233-0670-4859-BB21-B1BCC2C7C12A}" name="#bChanfer"/>
    <tableColumn id="13" xr3:uid="{38F0500E-A6B4-456F-BD04-9AB43A7B3A8D}" name="#tChanfer"/>
    <tableColumn id="8" xr3:uid="{6DBDF68B-76FA-4191-B512-A73C0EE3C573}" name="#dimle"/>
    <tableColumn id="15" xr3:uid="{EF803FDE-DD7D-4372-9E3F-25D35D3C753A}" name="#nigashi"/>
    <tableColumn id="12" xr3:uid="{AC54FD41-113A-4285-BD4B-8CC65DD163D3}" name="#zaguri"/>
    <tableColumn id="5" xr3:uid="{F59F9AFA-52D3-4BBB-AE00-820B40C29BDB}" name="#palette" dataDxfId="7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4AE3BD2-EFE7-457E-B899-E9CDBC550254}" name="テーブル24" displayName="テーブル24" ref="A1:B8" totalsRowShown="0" headerRowDxfId="72" dataDxfId="71">
  <autoFilter ref="A1:B8" xr:uid="{94AE3BD2-EFE7-457E-B899-E9CDBC550254}"/>
  <tableColumns count="2">
    <tableColumn id="1" xr3:uid="{DD1AAD38-FB24-4129-B8D0-D2194F7F54D1}" name="sp#" dataDxfId="70"/>
    <tableColumn id="2" xr3:uid="{B120DFEE-67CD-48C9-B60E-A1386DC60788}" name="列1" dataDxfId="6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7557FFB-0B5A-443D-AB71-C42CDBDC9141}" name="テーブル4" displayName="テーブル4" ref="A1:H4" totalsRowShown="0" headerRowDxfId="68" dataDxfId="67">
  <autoFilter ref="A1:H4" xr:uid="{77557FFB-0B5A-443D-AB71-C42CDBDC9141}"/>
  <tableColumns count="8">
    <tableColumn id="1" xr3:uid="{DADD43D4-3823-4AAF-A2AE-265B1D4A415A}" name="#palette" dataDxfId="66"/>
    <tableColumn id="2" xr3:uid="{73F2BD72-9B36-4BC4-9408-D4D83DAED46B}" name="#length" dataDxfId="65"/>
    <tableColumn id="3" xr3:uid="{256650DF-5A48-4411-8444-32116323383E}" name="#haridashi" dataDxfId="64">
      <calculatedColumnFormula>テーブル4[[#This Row],['#length]]/2</calculatedColumnFormula>
    </tableColumn>
    <tableColumn id="4" xr3:uid="{0D20E067-D4A8-4678-8CF6-EE36EC74070C}" name="#fixedPoint" dataDxfId="63"/>
    <tableColumn id="5" xr3:uid="{254E8622-947D-4A7A-8CC9-9678DAFCBD5D}" name="#fixingHight" dataDxfId="62"/>
    <tableColumn id="6" xr3:uid="{B1AE96B8-72E2-45AB-A65A-28CC5A39F5B0}" name="#fixingWidth" dataDxfId="61"/>
    <tableColumn id="10" xr3:uid="{DDCA0989-DFE4-451A-AFAD-5F50F6B3E5CE}" name="#fixedPointBX" dataDxfId="60"/>
    <tableColumn id="9" xr3:uid="{6AB232C2-8AA1-4BE6-9ED3-FCE0F10D7750}" name="#fixedPointTX" dataDxfId="5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4F2650A-011E-4D4A-AC8E-9B77A25CD334}" name="テーブル1" displayName="テーブル1" ref="A1:C25" totalsRowShown="0" headerRowDxfId="58" dataDxfId="57">
  <autoFilter ref="A1:C25" xr:uid="{84F2650A-011E-4D4A-AC8E-9B77A25CD334}"/>
  <sortState xmlns:xlrd2="http://schemas.microsoft.com/office/spreadsheetml/2017/richdata2" ref="A2:C25">
    <sortCondition ref="A1:A25"/>
  </sortState>
  <tableColumns count="3">
    <tableColumn id="1" xr3:uid="{508307B6-91DE-4D5D-A41E-EA3E5488C8CC}" name="#program" dataDxfId="56"/>
    <tableColumn id="2" xr3:uid="{2294E81D-5C1D-4C34-A722-57344553455E}" name="#cycleTime" dataDxfId="55"/>
    <tableColumn id="6" xr3:uid="{F6AA9104-E34E-4196-8563-02BE967ECEE4}" name="#cycleTimeS" dataDxfId="54">
      <calculatedColumnFormula>LEFT(テーブル1[[#This Row],['#cycleTime]],2)*60+RIGHT(テーブル1[[#This Row],['#cycleTime]], 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0D185-337C-4F25-9636-8E61F3F8DDE9}">
  <sheetPr codeName="Sheet2"/>
  <dimension ref="A1:O34"/>
  <sheetViews>
    <sheetView zoomScaleNormal="100" workbookViewId="0">
      <pane ySplit="1" topLeftCell="A2" activePane="bottomLeft" state="frozen"/>
      <selection pane="bottomLeft" activeCell="C2" sqref="C2"/>
    </sheetView>
  </sheetViews>
  <sheetFormatPr defaultRowHeight="16.5" x14ac:dyDescent="0.4"/>
  <cols>
    <col min="1" max="1" width="12.875" style="1" bestFit="1" customWidth="1"/>
    <col min="2" max="2" width="14.5" style="1" bestFit="1" customWidth="1"/>
    <col min="3" max="3" width="16" style="1" bestFit="1" customWidth="1"/>
    <col min="4" max="4" width="15.25" bestFit="1" customWidth="1"/>
    <col min="5" max="6" width="12.25" bestFit="1" customWidth="1"/>
    <col min="7" max="7" width="14" bestFit="1" customWidth="1"/>
    <col min="8" max="8" width="15.125" bestFit="1" customWidth="1"/>
    <col min="9" max="9" width="14.625" bestFit="1" customWidth="1"/>
    <col min="10" max="10" width="15.125" bestFit="1" customWidth="1"/>
    <col min="11" max="11" width="14.625" bestFit="1" customWidth="1"/>
    <col min="12" max="13" width="14.625" customWidth="1"/>
    <col min="14" max="14" width="12.5" bestFit="1" customWidth="1"/>
    <col min="15" max="15" width="13.25" style="1" bestFit="1" customWidth="1"/>
  </cols>
  <sheetData>
    <row r="1" spans="1:15" s="1" customFormat="1" x14ac:dyDescent="0.4">
      <c r="A1" s="1" t="s">
        <v>4</v>
      </c>
      <c r="B1" s="1" t="s">
        <v>3</v>
      </c>
      <c r="C1" s="1" t="s">
        <v>2</v>
      </c>
      <c r="D1" s="1" t="s">
        <v>5</v>
      </c>
      <c r="E1" s="1" t="s">
        <v>6</v>
      </c>
      <c r="F1" s="1" t="s">
        <v>7</v>
      </c>
      <c r="G1" s="1" t="s">
        <v>25</v>
      </c>
      <c r="H1" s="1" t="s">
        <v>8</v>
      </c>
      <c r="I1" s="1" t="s">
        <v>9</v>
      </c>
      <c r="J1" s="1" t="s">
        <v>10</v>
      </c>
      <c r="K1" s="1" t="s">
        <v>11</v>
      </c>
      <c r="L1" s="1" t="s">
        <v>23</v>
      </c>
      <c r="M1" s="1" t="s">
        <v>24</v>
      </c>
      <c r="N1" s="1" t="s">
        <v>12</v>
      </c>
      <c r="O1" s="1" t="s">
        <v>18</v>
      </c>
    </row>
    <row r="2" spans="1:15" x14ac:dyDescent="0.4">
      <c r="A2" s="1">
        <v>1151</v>
      </c>
      <c r="B2" s="3">
        <v>1151</v>
      </c>
      <c r="C2" s="3"/>
    </row>
    <row r="3" spans="1:15" x14ac:dyDescent="0.4">
      <c r="A3" s="1">
        <v>1202</v>
      </c>
      <c r="B3" s="3">
        <v>2008</v>
      </c>
      <c r="C3" s="3"/>
    </row>
    <row r="4" spans="1:15" x14ac:dyDescent="0.4">
      <c r="A4" s="1">
        <v>1366</v>
      </c>
      <c r="B4" s="3">
        <v>1366</v>
      </c>
      <c r="C4" s="3"/>
    </row>
    <row r="5" spans="1:15" x14ac:dyDescent="0.4">
      <c r="A5" s="1">
        <v>1419</v>
      </c>
      <c r="B5" s="3">
        <v>1419</v>
      </c>
      <c r="C5" s="3"/>
    </row>
    <row r="6" spans="1:15" x14ac:dyDescent="0.4">
      <c r="A6" s="1">
        <v>1922</v>
      </c>
      <c r="B6" s="3">
        <v>1411</v>
      </c>
      <c r="C6" s="3"/>
    </row>
    <row r="7" spans="1:15" x14ac:dyDescent="0.4">
      <c r="A7" s="1">
        <v>1985</v>
      </c>
      <c r="B7" s="3">
        <v>7592</v>
      </c>
      <c r="C7" s="3"/>
    </row>
    <row r="8" spans="1:15" x14ac:dyDescent="0.4">
      <c r="A8" s="1">
        <v>2008</v>
      </c>
      <c r="B8" s="3">
        <v>2008</v>
      </c>
      <c r="C8" s="3"/>
    </row>
    <row r="9" spans="1:15" x14ac:dyDescent="0.4">
      <c r="A9" s="1">
        <v>2211</v>
      </c>
      <c r="B9" s="3">
        <v>2211</v>
      </c>
      <c r="C9" s="3"/>
    </row>
    <row r="10" spans="1:15" x14ac:dyDescent="0.4">
      <c r="A10" s="1">
        <v>2215</v>
      </c>
      <c r="B10" s="3">
        <v>2215</v>
      </c>
      <c r="C10" s="3"/>
    </row>
    <row r="11" spans="1:15" x14ac:dyDescent="0.4">
      <c r="A11" s="1">
        <v>2233</v>
      </c>
      <c r="B11" s="3">
        <v>1419</v>
      </c>
      <c r="C11" s="3"/>
    </row>
    <row r="12" spans="1:15" x14ac:dyDescent="0.4">
      <c r="A12" s="1">
        <v>2248</v>
      </c>
      <c r="B12" s="3">
        <v>2248</v>
      </c>
      <c r="C12" s="3"/>
    </row>
    <row r="13" spans="1:15" x14ac:dyDescent="0.4">
      <c r="A13" s="1">
        <v>2259</v>
      </c>
      <c r="B13" s="3">
        <v>2248</v>
      </c>
      <c r="C13" s="3"/>
    </row>
    <row r="14" spans="1:15" x14ac:dyDescent="0.4">
      <c r="A14" s="1">
        <v>2270</v>
      </c>
      <c r="B14" s="3">
        <v>2270</v>
      </c>
      <c r="C14" s="3"/>
    </row>
    <row r="15" spans="1:15" x14ac:dyDescent="0.4">
      <c r="A15" s="1">
        <v>2278</v>
      </c>
      <c r="B15" s="3">
        <v>2278</v>
      </c>
      <c r="C15" s="3"/>
    </row>
    <row r="16" spans="1:15" x14ac:dyDescent="0.4">
      <c r="A16" s="1">
        <v>2282</v>
      </c>
      <c r="B16" s="3">
        <v>2282</v>
      </c>
      <c r="C16" s="3"/>
    </row>
    <row r="17" spans="1:3" x14ac:dyDescent="0.4">
      <c r="A17" s="1">
        <v>2381</v>
      </c>
      <c r="B17" s="3">
        <v>2381</v>
      </c>
      <c r="C17" s="3"/>
    </row>
    <row r="18" spans="1:3" x14ac:dyDescent="0.4">
      <c r="A18" s="1">
        <v>2385</v>
      </c>
      <c r="B18" s="3">
        <v>2248</v>
      </c>
      <c r="C18" s="3"/>
    </row>
    <row r="19" spans="1:3" x14ac:dyDescent="0.4">
      <c r="A19" s="1">
        <v>2430</v>
      </c>
      <c r="B19" s="3">
        <v>2430</v>
      </c>
      <c r="C19" s="3"/>
    </row>
    <row r="20" spans="1:3" x14ac:dyDescent="0.4">
      <c r="A20" s="1">
        <v>2439</v>
      </c>
      <c r="B20" s="3">
        <v>7985</v>
      </c>
      <c r="C20" s="3"/>
    </row>
    <row r="21" spans="1:3" x14ac:dyDescent="0.4">
      <c r="A21" s="1">
        <v>2444</v>
      </c>
      <c r="B21" s="3">
        <v>315</v>
      </c>
      <c r="C21" s="3"/>
    </row>
    <row r="22" spans="1:3" x14ac:dyDescent="0.4">
      <c r="A22" s="1">
        <v>2459</v>
      </c>
      <c r="B22" s="3">
        <v>2459</v>
      </c>
      <c r="C22" s="3"/>
    </row>
    <row r="23" spans="1:3" x14ac:dyDescent="0.4">
      <c r="A23" s="1">
        <v>2466</v>
      </c>
      <c r="B23" s="3">
        <v>2421</v>
      </c>
      <c r="C23" s="3"/>
    </row>
    <row r="24" spans="1:3" x14ac:dyDescent="0.4">
      <c r="A24" s="1">
        <v>2501</v>
      </c>
      <c r="B24" s="3">
        <v>2501</v>
      </c>
      <c r="C24" s="3"/>
    </row>
    <row r="25" spans="1:3" x14ac:dyDescent="0.4">
      <c r="A25" s="1">
        <v>2506</v>
      </c>
      <c r="B25" s="3">
        <v>2506</v>
      </c>
      <c r="C25" s="3"/>
    </row>
    <row r="26" spans="1:3" x14ac:dyDescent="0.4">
      <c r="A26" s="1">
        <v>2507</v>
      </c>
      <c r="B26" s="3">
        <v>2506</v>
      </c>
      <c r="C26" s="3"/>
    </row>
    <row r="27" spans="1:3" x14ac:dyDescent="0.4">
      <c r="A27" s="1">
        <v>2515</v>
      </c>
      <c r="B27" s="3">
        <v>2515</v>
      </c>
      <c r="C27" s="3"/>
    </row>
    <row r="28" spans="1:3" x14ac:dyDescent="0.4">
      <c r="A28" s="1">
        <v>2518</v>
      </c>
      <c r="B28" s="3">
        <v>2515</v>
      </c>
      <c r="C28" s="3"/>
    </row>
    <row r="29" spans="1:3" x14ac:dyDescent="0.4">
      <c r="A29" s="1">
        <v>2532</v>
      </c>
      <c r="B29" s="3">
        <v>2211</v>
      </c>
      <c r="C29" s="3"/>
    </row>
    <row r="30" spans="1:3" x14ac:dyDescent="0.4">
      <c r="A30" s="1">
        <v>2534</v>
      </c>
      <c r="B30" s="3">
        <v>2515</v>
      </c>
      <c r="C30" s="3"/>
    </row>
    <row r="31" spans="1:3" x14ac:dyDescent="0.4">
      <c r="A31" s="1">
        <v>2544</v>
      </c>
      <c r="B31" s="3">
        <v>2544</v>
      </c>
      <c r="C31" s="3"/>
    </row>
    <row r="32" spans="1:3" x14ac:dyDescent="0.4">
      <c r="A32" s="1">
        <v>2547</v>
      </c>
      <c r="B32" s="3">
        <v>2185</v>
      </c>
      <c r="C32" s="3"/>
    </row>
    <row r="33" spans="1:2" x14ac:dyDescent="0.4">
      <c r="A33" s="1">
        <v>2548</v>
      </c>
      <c r="B33" s="1">
        <v>2548</v>
      </c>
    </row>
    <row r="34" spans="1:2" x14ac:dyDescent="0.4">
      <c r="A34" s="1">
        <v>2551</v>
      </c>
      <c r="B34" s="1">
        <v>1512</v>
      </c>
    </row>
  </sheetData>
  <phoneticPr fontId="1"/>
  <dataValidations count="2">
    <dataValidation type="whole" imeMode="disabled" allowBlank="1" showInputMessage="1" showErrorMessage="1" sqref="A2:C32" xr:uid="{5FA83FCE-AAB1-4B51-A22D-3247301A28F2}">
      <formula1>0</formula1>
      <formula2>9999</formula2>
    </dataValidation>
    <dataValidation imeMode="disabled" allowBlank="1" showInputMessage="1" showErrorMessage="1" sqref="A2:A32 O2:O34" xr:uid="{977C56CA-BE36-44B2-90A2-FBD88C54FC13}"/>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A9D67-8F84-4B98-A044-60C0B103548C}">
  <sheetPr codeName="Sheet3"/>
  <dimension ref="A1"/>
  <sheetViews>
    <sheetView workbookViewId="0"/>
  </sheetViews>
  <sheetFormatPr defaultRowHeight="16.5" x14ac:dyDescent="0.4"/>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95901-42DA-4B3A-BE02-DEFA06DC535A}">
  <sheetPr codeName="Sheet4"/>
  <dimension ref="A1"/>
  <sheetViews>
    <sheetView workbookViewId="0"/>
  </sheetViews>
  <sheetFormatPr defaultRowHeight="16.5" x14ac:dyDescent="0.4"/>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1D652-B312-4AEC-A306-3951AD15C80A}">
  <sheetPr codeName="Sheet5"/>
  <dimension ref="A1:B8"/>
  <sheetViews>
    <sheetView workbookViewId="0">
      <selection activeCell="D8" sqref="D8"/>
    </sheetView>
  </sheetViews>
  <sheetFormatPr defaultRowHeight="16.5" x14ac:dyDescent="0.4"/>
  <cols>
    <col min="1" max="1" width="9.125" style="8" bestFit="1" customWidth="1"/>
    <col min="2" max="2" width="8.5" bestFit="1" customWidth="1"/>
  </cols>
  <sheetData>
    <row r="1" spans="1:2" x14ac:dyDescent="0.4">
      <c r="A1" s="9" t="s">
        <v>1</v>
      </c>
      <c r="B1" s="1" t="s">
        <v>0</v>
      </c>
    </row>
    <row r="2" spans="1:2" x14ac:dyDescent="0.4">
      <c r="A2" s="9">
        <v>1</v>
      </c>
      <c r="B2" s="7">
        <v>5.88</v>
      </c>
    </row>
    <row r="3" spans="1:2" x14ac:dyDescent="0.4">
      <c r="A3" s="9">
        <v>2</v>
      </c>
      <c r="B3" s="7">
        <v>6.85</v>
      </c>
    </row>
    <row r="4" spans="1:2" x14ac:dyDescent="0.4">
      <c r="A4" s="9">
        <v>3</v>
      </c>
      <c r="B4" s="7">
        <v>7.01</v>
      </c>
    </row>
    <row r="5" spans="1:2" x14ac:dyDescent="0.4">
      <c r="A5" s="9">
        <v>4</v>
      </c>
      <c r="B5" s="7">
        <v>7.25</v>
      </c>
    </row>
    <row r="6" spans="1:2" x14ac:dyDescent="0.4">
      <c r="A6" s="9">
        <v>5</v>
      </c>
      <c r="B6" s="7">
        <v>8.35</v>
      </c>
    </row>
    <row r="7" spans="1:2" x14ac:dyDescent="0.4">
      <c r="A7" s="9">
        <v>6</v>
      </c>
      <c r="B7" s="7">
        <v>14.15</v>
      </c>
    </row>
    <row r="8" spans="1:2" x14ac:dyDescent="0.4">
      <c r="A8" s="9">
        <v>7</v>
      </c>
      <c r="B8" s="7">
        <v>25</v>
      </c>
    </row>
  </sheetData>
  <phoneticPr fontId="1"/>
  <dataValidations disablePrompts="1" count="2">
    <dataValidation imeMode="disabled" allowBlank="1" showInputMessage="1" showErrorMessage="1" sqref="A2:B3 A4:A8" xr:uid="{1A15C162-3C77-464D-8FEF-E287B73135CD}"/>
    <dataValidation type="whole" imeMode="disabled" allowBlank="1" showInputMessage="1" showErrorMessage="1" sqref="A2:B3 A4:A8" xr:uid="{9B6FFCF0-CF21-4F75-A89E-1469A998406A}">
      <formula1>0</formula1>
      <formula2>9999</formula2>
    </dataValidation>
  </dataValidation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BA8CB-F726-41E1-9222-C0656F0B5520}">
  <sheetPr codeName="Sheet6"/>
  <dimension ref="A1"/>
  <sheetViews>
    <sheetView workbookViewId="0"/>
  </sheetViews>
  <sheetFormatPr defaultRowHeight="16.5" x14ac:dyDescent="0.4"/>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745E2-AC36-4696-B734-6CAA5ECA99CA}">
  <sheetPr codeName="Sheet7"/>
  <dimension ref="A1"/>
  <sheetViews>
    <sheetView workbookViewId="0"/>
  </sheetViews>
  <sheetFormatPr defaultRowHeight="16.5" x14ac:dyDescent="0.4"/>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EFD97-47F0-41AE-B416-1D1DA2EB4DEE}">
  <sheetPr codeName="Sheet8"/>
  <dimension ref="A1"/>
  <sheetViews>
    <sheetView workbookViewId="0"/>
  </sheetViews>
  <sheetFormatPr defaultRowHeight="16.5" x14ac:dyDescent="0.4"/>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52707-19AE-4645-ABBC-50CE391561CA}">
  <sheetPr codeName="Sheet9"/>
  <dimension ref="A1"/>
  <sheetViews>
    <sheetView workbookViewId="0"/>
  </sheetViews>
  <sheetFormatPr defaultRowHeight="16.5" x14ac:dyDescent="0.4"/>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0124F-799C-46C3-9FEE-CBD2D607F3A0}">
  <sheetPr codeName="Sheet10"/>
  <dimension ref="A1"/>
  <sheetViews>
    <sheetView workbookViewId="0"/>
  </sheetViews>
  <sheetFormatPr defaultRowHeight="16.5" x14ac:dyDescent="0.4"/>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8E0FB-E2F7-49E0-8716-E7A98486B48D}">
  <sheetPr codeName="Sheet11"/>
  <dimension ref="A1"/>
  <sheetViews>
    <sheetView workbookViewId="0"/>
  </sheetViews>
  <sheetFormatPr defaultRowHeight="16.5" x14ac:dyDescent="0.4"/>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C8065-A9AB-4E37-86D7-CFC7B4DB34B2}">
  <sheetPr codeName="Sheet12"/>
  <dimension ref="A1"/>
  <sheetViews>
    <sheetView workbookViewId="0"/>
  </sheetViews>
  <sheetFormatPr defaultRowHeight="16.5" x14ac:dyDescent="0.4"/>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CCA7A-5E75-46FC-9D8F-0B353D7654C3}">
  <sheetPr codeName="Sheet13"/>
  <dimension ref="A1"/>
  <sheetViews>
    <sheetView workbookViewId="0"/>
  </sheetViews>
  <sheetFormatPr defaultRowHeight="16.5" x14ac:dyDescent="0.4"/>
  <sheetData/>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2AB70-1803-46C5-93EF-6FFFAD3C643B}">
  <sheetPr codeName="Sheet14"/>
  <dimension ref="A1:H4"/>
  <sheetViews>
    <sheetView workbookViewId="0"/>
  </sheetViews>
  <sheetFormatPr defaultRowHeight="16.5" x14ac:dyDescent="0.4"/>
  <cols>
    <col min="1" max="1" width="13.25" style="1" bestFit="1" customWidth="1"/>
    <col min="2" max="2" width="12.75" style="1" bestFit="1" customWidth="1"/>
    <col min="3" max="3" width="15.25" style="1" bestFit="1" customWidth="1"/>
    <col min="4" max="4" width="16" style="1" bestFit="1" customWidth="1"/>
    <col min="5" max="5" width="17" bestFit="1" customWidth="1"/>
    <col min="6" max="6" width="17.625" style="1" bestFit="1" customWidth="1"/>
    <col min="7" max="7" width="18.625" style="1" bestFit="1" customWidth="1"/>
    <col min="8" max="8" width="18.5" style="1" bestFit="1" customWidth="1"/>
    <col min="9" max="9" width="18.625" style="1" bestFit="1" customWidth="1"/>
    <col min="10" max="16384" width="9" style="1"/>
  </cols>
  <sheetData>
    <row r="1" spans="1:8" x14ac:dyDescent="0.4">
      <c r="A1" s="1" t="s">
        <v>18</v>
      </c>
      <c r="B1" s="1" t="s">
        <v>14</v>
      </c>
      <c r="C1" s="1" t="s">
        <v>13</v>
      </c>
      <c r="D1" s="1" t="s">
        <v>15</v>
      </c>
      <c r="E1" s="1" t="s">
        <v>16</v>
      </c>
      <c r="F1" s="1" t="s">
        <v>17</v>
      </c>
      <c r="G1" s="1" t="s">
        <v>19</v>
      </c>
      <c r="H1" s="1" t="s">
        <v>20</v>
      </c>
    </row>
    <row r="2" spans="1:8" x14ac:dyDescent="0.4">
      <c r="A2" s="1">
        <v>1</v>
      </c>
      <c r="B2" s="1">
        <v>540</v>
      </c>
      <c r="C2" s="1">
        <f>テーブル4[[#This Row],['#length]]/2</f>
        <v>270</v>
      </c>
      <c r="D2" s="1">
        <v>250</v>
      </c>
      <c r="E2" s="1">
        <v>250</v>
      </c>
      <c r="F2" s="1">
        <v>255</v>
      </c>
    </row>
    <row r="3" spans="1:8" x14ac:dyDescent="0.4">
      <c r="A3" s="1">
        <v>2</v>
      </c>
      <c r="B3" s="1">
        <v>500</v>
      </c>
      <c r="C3" s="1">
        <f>テーブル4[[#This Row],['#length]]/2</f>
        <v>250</v>
      </c>
      <c r="D3" s="1">
        <v>250</v>
      </c>
      <c r="E3" s="1">
        <v>0</v>
      </c>
      <c r="F3" s="1">
        <v>0</v>
      </c>
    </row>
    <row r="4" spans="1:8" x14ac:dyDescent="0.4">
      <c r="A4" s="1">
        <v>3</v>
      </c>
      <c r="B4" s="1">
        <v>500</v>
      </c>
      <c r="C4" s="1">
        <f>テーブル4[[#This Row],['#length]]/2</f>
        <v>250</v>
      </c>
      <c r="D4" s="1">
        <v>250</v>
      </c>
      <c r="E4" s="1">
        <v>0</v>
      </c>
      <c r="F4" s="1">
        <v>0</v>
      </c>
    </row>
  </sheetData>
  <phoneticPr fontId="1"/>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17688-3273-4718-9DA2-A999F3FC0C4A}">
  <sheetPr codeName="Sheet1"/>
  <dimension ref="A1:C25"/>
  <sheetViews>
    <sheetView workbookViewId="0"/>
  </sheetViews>
  <sheetFormatPr defaultRowHeight="16.5" x14ac:dyDescent="0.4"/>
  <cols>
    <col min="1" max="1" width="14.5" style="1" bestFit="1" customWidth="1"/>
    <col min="2" max="2" width="15.75" style="2" bestFit="1" customWidth="1"/>
    <col min="3" max="3" width="17" style="5" bestFit="1" customWidth="1"/>
    <col min="4" max="16384" width="9" style="1"/>
  </cols>
  <sheetData>
    <row r="1" spans="1:3" x14ac:dyDescent="0.4">
      <c r="A1" s="1" t="s">
        <v>3</v>
      </c>
      <c r="B1" s="2" t="s">
        <v>21</v>
      </c>
      <c r="C1" s="2" t="s">
        <v>22</v>
      </c>
    </row>
    <row r="2" spans="1:3" x14ac:dyDescent="0.4">
      <c r="A2" s="3">
        <v>315</v>
      </c>
      <c r="B2" s="4">
        <v>1332</v>
      </c>
      <c r="C2" s="6">
        <f>LEFT(テーブル1[[#This Row],['#cycleTime]],2)*60+RIGHT(テーブル1[[#This Row],['#cycleTime]], 2)</f>
        <v>812</v>
      </c>
    </row>
    <row r="3" spans="1:3" x14ac:dyDescent="0.4">
      <c r="A3" s="3">
        <v>1151</v>
      </c>
      <c r="B3" s="4">
        <v>3433</v>
      </c>
      <c r="C3" s="6">
        <f>LEFT(テーブル1[[#This Row],['#cycleTime]],2)*60+RIGHT(テーブル1[[#This Row],['#cycleTime]], 2)</f>
        <v>2073</v>
      </c>
    </row>
    <row r="4" spans="1:3" x14ac:dyDescent="0.4">
      <c r="A4" s="3">
        <v>1366</v>
      </c>
      <c r="B4" s="4">
        <v>3934</v>
      </c>
      <c r="C4" s="6">
        <f>LEFT(テーブル1[[#This Row],['#cycleTime]],2)*60+RIGHT(テーブル1[[#This Row],['#cycleTime]], 2)</f>
        <v>2374</v>
      </c>
    </row>
    <row r="5" spans="1:3" x14ac:dyDescent="0.4">
      <c r="A5" s="3">
        <v>1411</v>
      </c>
      <c r="B5" s="4">
        <v>1712</v>
      </c>
      <c r="C5" s="6">
        <f>LEFT(テーブル1[[#This Row],['#cycleTime]],2)*60+RIGHT(テーブル1[[#This Row],['#cycleTime]], 2)</f>
        <v>1032</v>
      </c>
    </row>
    <row r="6" spans="1:3" x14ac:dyDescent="0.4">
      <c r="A6" s="3">
        <v>1419</v>
      </c>
      <c r="B6" s="4">
        <v>2525</v>
      </c>
      <c r="C6" s="6">
        <f>LEFT(テーブル1[[#This Row],['#cycleTime]],2)*60+RIGHT(テーブル1[[#This Row],['#cycleTime]], 2)</f>
        <v>1525</v>
      </c>
    </row>
    <row r="7" spans="1:3" x14ac:dyDescent="0.4">
      <c r="A7" s="3">
        <v>1512</v>
      </c>
      <c r="B7" s="4">
        <v>2209</v>
      </c>
      <c r="C7" s="6">
        <f>LEFT(テーブル1[[#This Row],['#cycleTime]],2)*60+RIGHT(テーブル1[[#This Row],['#cycleTime]], 2)</f>
        <v>1329</v>
      </c>
    </row>
    <row r="8" spans="1:3" x14ac:dyDescent="0.4">
      <c r="A8" s="3">
        <v>2008</v>
      </c>
      <c r="B8" s="4">
        <v>1051</v>
      </c>
      <c r="C8" s="6">
        <f>LEFT(テーブル1[[#This Row],['#cycleTime]],2)*60+RIGHT(テーブル1[[#This Row],['#cycleTime]], 2)</f>
        <v>651</v>
      </c>
    </row>
    <row r="9" spans="1:3" x14ac:dyDescent="0.4">
      <c r="A9" s="3">
        <v>2185</v>
      </c>
      <c r="B9" s="4">
        <v>2549</v>
      </c>
      <c r="C9" s="6">
        <f>LEFT(テーブル1[[#This Row],['#cycleTime]],2)*60+RIGHT(テーブル1[[#This Row],['#cycleTime]], 2)</f>
        <v>1549</v>
      </c>
    </row>
    <row r="10" spans="1:3" x14ac:dyDescent="0.4">
      <c r="A10" s="3">
        <v>2211</v>
      </c>
      <c r="B10" s="4">
        <v>2146</v>
      </c>
      <c r="C10" s="6">
        <f>LEFT(テーブル1[[#This Row],['#cycleTime]],2)*60+RIGHT(テーブル1[[#This Row],['#cycleTime]], 2)</f>
        <v>1306</v>
      </c>
    </row>
    <row r="11" spans="1:3" x14ac:dyDescent="0.4">
      <c r="A11" s="3">
        <v>2215</v>
      </c>
      <c r="B11" s="4">
        <v>2207</v>
      </c>
      <c r="C11" s="6">
        <f>LEFT(テーブル1[[#This Row],['#cycleTime]],2)*60+RIGHT(テーブル1[[#This Row],['#cycleTime]], 2)</f>
        <v>1327</v>
      </c>
    </row>
    <row r="12" spans="1:3" x14ac:dyDescent="0.4">
      <c r="A12" s="3">
        <v>2248</v>
      </c>
      <c r="B12" s="4">
        <v>1339</v>
      </c>
      <c r="C12" s="6">
        <f>LEFT(テーブル1[[#This Row],['#cycleTime]],2)*60+RIGHT(テーブル1[[#This Row],['#cycleTime]], 2)</f>
        <v>819</v>
      </c>
    </row>
    <row r="13" spans="1:3" x14ac:dyDescent="0.4">
      <c r="A13" s="3">
        <v>2270</v>
      </c>
      <c r="B13" s="4">
        <v>4222</v>
      </c>
      <c r="C13" s="6">
        <f>LEFT(テーブル1[[#This Row],['#cycleTime]],2)*60+RIGHT(テーブル1[[#This Row],['#cycleTime]], 2)</f>
        <v>2542</v>
      </c>
    </row>
    <row r="14" spans="1:3" x14ac:dyDescent="0.4">
      <c r="A14" s="3">
        <v>2278</v>
      </c>
      <c r="B14" s="4">
        <v>3215</v>
      </c>
      <c r="C14" s="6">
        <f>LEFT(テーブル1[[#This Row],['#cycleTime]],2)*60+RIGHT(テーブル1[[#This Row],['#cycleTime]], 2)</f>
        <v>1935</v>
      </c>
    </row>
    <row r="15" spans="1:3" x14ac:dyDescent="0.4">
      <c r="A15" s="3">
        <v>2282</v>
      </c>
      <c r="B15" s="4">
        <v>3721</v>
      </c>
      <c r="C15" s="6">
        <f>LEFT(テーブル1[[#This Row],['#cycleTime]],2)*60+RIGHT(テーブル1[[#This Row],['#cycleTime]], 2)</f>
        <v>2241</v>
      </c>
    </row>
    <row r="16" spans="1:3" x14ac:dyDescent="0.4">
      <c r="A16" s="3">
        <v>2381</v>
      </c>
      <c r="B16" s="4">
        <v>4307</v>
      </c>
      <c r="C16" s="6">
        <f>LEFT(テーブル1[[#This Row],['#cycleTime]],2)*60+RIGHT(テーブル1[[#This Row],['#cycleTime]], 2)</f>
        <v>2587</v>
      </c>
    </row>
    <row r="17" spans="1:3" x14ac:dyDescent="0.4">
      <c r="A17" s="3">
        <v>2421</v>
      </c>
      <c r="B17" s="4">
        <v>3517</v>
      </c>
      <c r="C17" s="6">
        <f>LEFT(テーブル1[[#This Row],['#cycleTime]],2)*60+RIGHT(テーブル1[[#This Row],['#cycleTime]], 2)</f>
        <v>2117</v>
      </c>
    </row>
    <row r="18" spans="1:3" x14ac:dyDescent="0.4">
      <c r="A18" s="3">
        <v>2430</v>
      </c>
      <c r="B18" s="4">
        <v>3057</v>
      </c>
      <c r="C18" s="6">
        <f>LEFT(テーブル1[[#This Row],['#cycleTime]],2)*60+RIGHT(テーブル1[[#This Row],['#cycleTime]], 2)</f>
        <v>1857</v>
      </c>
    </row>
    <row r="19" spans="1:3" x14ac:dyDescent="0.4">
      <c r="A19" s="3">
        <v>2501</v>
      </c>
      <c r="B19" s="4">
        <v>3257</v>
      </c>
      <c r="C19" s="6">
        <f>LEFT(テーブル1[[#This Row],['#cycleTime]],2)*60+RIGHT(テーブル1[[#This Row],['#cycleTime]], 2)</f>
        <v>1977</v>
      </c>
    </row>
    <row r="20" spans="1:3" x14ac:dyDescent="0.4">
      <c r="A20" s="3">
        <v>2506</v>
      </c>
      <c r="B20" s="4">
        <v>2003</v>
      </c>
      <c r="C20" s="6">
        <f>LEFT(テーブル1[[#This Row],['#cycleTime]],2)*60+RIGHT(テーブル1[[#This Row],['#cycleTime]], 2)</f>
        <v>1203</v>
      </c>
    </row>
    <row r="21" spans="1:3" x14ac:dyDescent="0.4">
      <c r="A21" s="3">
        <v>2515</v>
      </c>
      <c r="B21" s="4">
        <v>3202</v>
      </c>
      <c r="C21" s="6">
        <f>LEFT(テーブル1[[#This Row],['#cycleTime]],2)*60+RIGHT(テーブル1[[#This Row],['#cycleTime]], 2)</f>
        <v>1922</v>
      </c>
    </row>
    <row r="22" spans="1:3" x14ac:dyDescent="0.4">
      <c r="A22" s="3">
        <v>2544</v>
      </c>
      <c r="B22" s="4">
        <v>2247</v>
      </c>
      <c r="C22" s="6">
        <f>LEFT(テーブル1[[#This Row],['#cycleTime]],2)*60+RIGHT(テーブル1[[#This Row],['#cycleTime]], 2)</f>
        <v>1367</v>
      </c>
    </row>
    <row r="23" spans="1:3" x14ac:dyDescent="0.4">
      <c r="A23" s="3">
        <v>2548</v>
      </c>
      <c r="B23" s="4">
        <v>2239</v>
      </c>
      <c r="C23" s="6">
        <f>LEFT(テーブル1[[#This Row],['#cycleTime]],2)*60+RIGHT(テーブル1[[#This Row],['#cycleTime]], 2)</f>
        <v>1359</v>
      </c>
    </row>
    <row r="24" spans="1:3" x14ac:dyDescent="0.4">
      <c r="A24" s="3">
        <v>7592</v>
      </c>
      <c r="B24" s="4">
        <v>1234</v>
      </c>
      <c r="C24" s="6">
        <f>LEFT(テーブル1[[#This Row],['#cycleTime]],2)*60+RIGHT(テーブル1[[#This Row],['#cycleTime]], 2)</f>
        <v>754</v>
      </c>
    </row>
    <row r="25" spans="1:3" x14ac:dyDescent="0.4">
      <c r="A25" s="3">
        <v>7985</v>
      </c>
      <c r="B25" s="4">
        <v>1103</v>
      </c>
      <c r="C25" s="6">
        <f>LEFT(テーブル1[[#This Row],['#cycleTime]],2)*60+RIGHT(テーブル1[[#This Row],['#cycleTime]], 2)</f>
        <v>663</v>
      </c>
    </row>
  </sheetData>
  <phoneticPr fontId="1"/>
  <dataValidations count="2">
    <dataValidation imeMode="disabled" allowBlank="1" showInputMessage="1" showErrorMessage="1" sqref="B2:C25" xr:uid="{81432FAA-2502-443D-B300-4A9F4C32CC7B}"/>
    <dataValidation type="whole" imeMode="disabled" allowBlank="1" showInputMessage="1" showErrorMessage="1" sqref="A2:A25" xr:uid="{27417B69-ECEF-44F4-937C-FE1943BB8668}">
      <formula1>0</formula1>
      <formula2>9999</formula2>
    </dataValidation>
  </dataValidations>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AB898-F2FF-4A17-A5D5-DA67A8E12529}">
  <sheetPr codeName="Sheet15"/>
  <dimension ref="A1:V32"/>
  <sheetViews>
    <sheetView topLeftCell="B1" workbookViewId="0">
      <selection activeCell="B1" sqref="B1"/>
    </sheetView>
  </sheetViews>
  <sheetFormatPr defaultRowHeight="16.5" x14ac:dyDescent="0.4"/>
  <cols>
    <col min="1" max="1" width="3.25" style="1" hidden="1" customWidth="1"/>
    <col min="2" max="2" width="15" bestFit="1" customWidth="1"/>
    <col min="3" max="3" width="10.625" style="10" bestFit="1" customWidth="1"/>
    <col min="4" max="4" width="5.625" customWidth="1"/>
    <col min="5" max="5" width="13.875" style="1" hidden="1" customWidth="1"/>
    <col min="6" max="6" width="15" hidden="1" customWidth="1"/>
    <col min="7" max="7" width="9.5" hidden="1" customWidth="1"/>
    <col min="8" max="9" width="4.625" hidden="1" customWidth="1"/>
    <col min="10" max="10" width="15" bestFit="1" customWidth="1"/>
    <col min="11" max="11" width="10.375" style="10" bestFit="1" customWidth="1"/>
    <col min="12" max="12" width="5.625" customWidth="1"/>
    <col min="13" max="13" width="11.375" style="1" bestFit="1" customWidth="1"/>
    <col min="14" max="14" width="13.125" style="1" hidden="1" customWidth="1"/>
    <col min="15" max="16" width="8.625" style="10" bestFit="1" customWidth="1"/>
    <col min="17" max="17" width="12.875" style="10" hidden="1" customWidth="1"/>
    <col min="18" max="18" width="9.375" style="1" bestFit="1" customWidth="1"/>
    <col min="19" max="19" width="5.625" customWidth="1"/>
    <col min="20" max="20" width="3.625" customWidth="1"/>
    <col min="21" max="21" width="36.625" bestFit="1" customWidth="1"/>
    <col min="22" max="22" width="20.375" bestFit="1" customWidth="1"/>
  </cols>
  <sheetData>
    <row r="1" spans="1:22" x14ac:dyDescent="0.4">
      <c r="B1" s="22" t="s">
        <v>86</v>
      </c>
      <c r="J1" s="22" t="s">
        <v>85</v>
      </c>
      <c r="M1" s="50" t="s">
        <v>84</v>
      </c>
      <c r="T1" s="22" t="s">
        <v>83</v>
      </c>
    </row>
    <row r="2" spans="1:22" ht="18.75" thickBot="1" x14ac:dyDescent="0.45">
      <c r="B2" s="49"/>
      <c r="C2" s="48" t="s">
        <v>81</v>
      </c>
      <c r="E2" s="1" t="s">
        <v>82</v>
      </c>
      <c r="F2" t="s">
        <v>40</v>
      </c>
      <c r="G2">
        <f>C3-C4/2</f>
        <v>8830.2000000000007</v>
      </c>
      <c r="J2" s="49"/>
      <c r="K2" s="48" t="s">
        <v>81</v>
      </c>
      <c r="M2" s="45" t="s">
        <v>80</v>
      </c>
      <c r="N2" s="47" t="s">
        <v>44</v>
      </c>
      <c r="O2" s="46" t="s">
        <v>79</v>
      </c>
      <c r="P2" s="46" t="s">
        <v>78</v>
      </c>
      <c r="Q2" s="46"/>
      <c r="R2" s="43" t="s">
        <v>56</v>
      </c>
      <c r="T2" s="45" t="s">
        <v>77</v>
      </c>
      <c r="U2" s="44" t="s">
        <v>76</v>
      </c>
      <c r="V2" s="43" t="s">
        <v>75</v>
      </c>
    </row>
    <row r="3" spans="1:22" ht="17.25" thickTop="1" x14ac:dyDescent="0.4">
      <c r="A3" s="1" t="s">
        <v>74</v>
      </c>
      <c r="B3" s="42" t="s">
        <v>32</v>
      </c>
      <c r="C3" s="51">
        <v>8922.7000000000007</v>
      </c>
      <c r="E3" s="1" t="s">
        <v>73</v>
      </c>
      <c r="F3" t="s">
        <v>41</v>
      </c>
      <c r="G3">
        <f>G2-C9</f>
        <v>8730.2000000000007</v>
      </c>
      <c r="I3" s="1" t="s">
        <v>72</v>
      </c>
      <c r="J3" s="24" t="s">
        <v>71</v>
      </c>
      <c r="K3" s="34">
        <v>0</v>
      </c>
      <c r="M3" s="15">
        <v>0</v>
      </c>
      <c r="N3" s="41">
        <f t="shared" ref="N3:N32" si="0">$M3^2+(2*$G$4)^2</f>
        <v>384400</v>
      </c>
      <c r="O3" s="12">
        <f t="shared" ref="O3:O32" si="1">IF(M3&lt;&gt;"",$C$5+SQRT($G$3^2-$N3/4)*$M3/SQRT($N3),"")</f>
        <v>400</v>
      </c>
      <c r="P3" s="12">
        <f t="shared" ref="P3:P32" si="2">IF(M3&lt;&gt;"",$C$5+$C$6-$O3,"")</f>
        <v>600</v>
      </c>
      <c r="Q3" s="11">
        <f t="shared" ref="Q3:Q32" si="3">IF(M3&lt;&gt;"", ABS(O3-P3), 1000000)</f>
        <v>200</v>
      </c>
      <c r="R3" s="11">
        <f t="shared" ref="R3:R32" si="4">IF(M3&lt;&gt;"", O3-P3, "")</f>
        <v>-200</v>
      </c>
      <c r="S3" s="25"/>
      <c r="T3" s="40"/>
      <c r="U3" s="39" t="s">
        <v>88</v>
      </c>
      <c r="V3" s="38" t="s">
        <v>93</v>
      </c>
    </row>
    <row r="4" spans="1:22" x14ac:dyDescent="0.4">
      <c r="A4" s="1" t="s">
        <v>33</v>
      </c>
      <c r="B4" s="24" t="s">
        <v>34</v>
      </c>
      <c r="C4" s="34">
        <v>185</v>
      </c>
      <c r="E4" s="1" t="s">
        <v>70</v>
      </c>
      <c r="F4" t="s">
        <v>42</v>
      </c>
      <c r="G4">
        <f>C7-C8/2</f>
        <v>310</v>
      </c>
      <c r="J4" s="37"/>
      <c r="K4" s="36" t="s">
        <v>57</v>
      </c>
      <c r="M4" s="14">
        <v>1</v>
      </c>
      <c r="N4" s="13">
        <f t="shared" si="0"/>
        <v>384401</v>
      </c>
      <c r="O4" s="12">
        <f t="shared" si="1"/>
        <v>414.07206938408223</v>
      </c>
      <c r="P4" s="12">
        <f t="shared" si="2"/>
        <v>585.92793061591783</v>
      </c>
      <c r="Q4" s="11">
        <f t="shared" si="3"/>
        <v>171.8558612318356</v>
      </c>
      <c r="R4" s="11">
        <f t="shared" si="4"/>
        <v>-171.8558612318356</v>
      </c>
      <c r="T4" s="35"/>
      <c r="U4" s="30" t="s">
        <v>89</v>
      </c>
      <c r="V4" s="29" t="s">
        <v>94</v>
      </c>
    </row>
    <row r="5" spans="1:22" ht="18.75" thickBot="1" x14ac:dyDescent="0.45">
      <c r="A5" s="1" t="s">
        <v>69</v>
      </c>
      <c r="B5" s="24" t="s">
        <v>35</v>
      </c>
      <c r="C5" s="34">
        <v>400</v>
      </c>
      <c r="D5" s="25"/>
      <c r="E5" s="1" t="s">
        <v>68</v>
      </c>
      <c r="G5">
        <f>SQRT(G3^2-G4^2)</f>
        <v>8724.6943808938086</v>
      </c>
      <c r="J5" s="21" t="s">
        <v>67</v>
      </c>
      <c r="K5" s="20"/>
      <c r="M5" s="15">
        <v>2</v>
      </c>
      <c r="N5" s="13">
        <f t="shared" si="0"/>
        <v>384404</v>
      </c>
      <c r="O5" s="12">
        <f t="shared" si="1"/>
        <v>428.14402880680143</v>
      </c>
      <c r="P5" s="12">
        <f t="shared" si="2"/>
        <v>571.85597119319857</v>
      </c>
      <c r="Q5" s="11">
        <f t="shared" si="3"/>
        <v>143.71194238639714</v>
      </c>
      <c r="R5" s="11">
        <f t="shared" si="4"/>
        <v>-143.71194238639714</v>
      </c>
      <c r="T5" s="27"/>
      <c r="U5" s="30" t="s">
        <v>64</v>
      </c>
      <c r="V5" s="29" t="s">
        <v>62</v>
      </c>
    </row>
    <row r="6" spans="1:22" ht="17.25" thickTop="1" x14ac:dyDescent="0.4">
      <c r="A6" s="1" t="s">
        <v>66</v>
      </c>
      <c r="B6" s="24" t="s">
        <v>36</v>
      </c>
      <c r="C6" s="34">
        <v>600</v>
      </c>
      <c r="D6" s="32"/>
      <c r="J6" s="18" t="s">
        <v>65</v>
      </c>
      <c r="K6" s="17">
        <f>C5+SQRT(G3^2-G14/4)*K3/SQRT(G14)</f>
        <v>400</v>
      </c>
      <c r="M6" s="14">
        <v>3</v>
      </c>
      <c r="N6" s="13">
        <f t="shared" si="0"/>
        <v>384409</v>
      </c>
      <c r="O6" s="12">
        <f t="shared" si="1"/>
        <v>442.21576831108359</v>
      </c>
      <c r="P6" s="12">
        <f t="shared" si="2"/>
        <v>557.78423168891641</v>
      </c>
      <c r="Q6" s="11">
        <f t="shared" si="3"/>
        <v>115.56846337783281</v>
      </c>
      <c r="R6" s="11">
        <f t="shared" si="4"/>
        <v>-115.56846337783281</v>
      </c>
      <c r="T6" s="24"/>
      <c r="U6" s="30" t="s">
        <v>64</v>
      </c>
      <c r="V6" s="29" t="s">
        <v>62</v>
      </c>
    </row>
    <row r="7" spans="1:22" x14ac:dyDescent="0.4">
      <c r="A7" s="1" t="s">
        <v>28</v>
      </c>
      <c r="B7" s="24" t="s">
        <v>26</v>
      </c>
      <c r="C7" s="28">
        <v>330</v>
      </c>
      <c r="D7" s="32"/>
      <c r="F7" t="s">
        <v>43</v>
      </c>
      <c r="J7" s="18" t="s">
        <v>63</v>
      </c>
      <c r="K7" s="26">
        <f>C5+C6-K6</f>
        <v>600</v>
      </c>
      <c r="M7" s="15">
        <v>4</v>
      </c>
      <c r="N7" s="13">
        <f t="shared" si="0"/>
        <v>384416</v>
      </c>
      <c r="O7" s="12">
        <f t="shared" si="1"/>
        <v>456.28717794843232</v>
      </c>
      <c r="P7" s="12">
        <f t="shared" si="2"/>
        <v>543.71282205156763</v>
      </c>
      <c r="Q7" s="11">
        <f t="shared" si="3"/>
        <v>87.425644103135312</v>
      </c>
      <c r="R7" s="11">
        <f t="shared" si="4"/>
        <v>-87.425644103135312</v>
      </c>
      <c r="T7" s="33"/>
      <c r="U7" s="30" t="s">
        <v>90</v>
      </c>
      <c r="V7" s="29" t="s">
        <v>62</v>
      </c>
    </row>
    <row r="8" spans="1:22" x14ac:dyDescent="0.4">
      <c r="A8" s="1" t="s">
        <v>29</v>
      </c>
      <c r="B8" s="24" t="s">
        <v>27</v>
      </c>
      <c r="C8" s="28">
        <v>40</v>
      </c>
      <c r="D8" s="32"/>
      <c r="E8" s="1" t="s">
        <v>61</v>
      </c>
      <c r="G8">
        <f>(C6-C5)/2</f>
        <v>100</v>
      </c>
      <c r="J8" s="27" t="s">
        <v>60</v>
      </c>
      <c r="K8" s="26">
        <f>K6-C7</f>
        <v>70</v>
      </c>
      <c r="M8" s="14">
        <v>5</v>
      </c>
      <c r="N8" s="13">
        <f t="shared" si="0"/>
        <v>384425</v>
      </c>
      <c r="O8" s="12">
        <f t="shared" si="1"/>
        <v>470.35814778321657</v>
      </c>
      <c r="P8" s="12">
        <f t="shared" si="2"/>
        <v>529.64185221678349</v>
      </c>
      <c r="Q8" s="11">
        <f t="shared" si="3"/>
        <v>59.283704433566925</v>
      </c>
      <c r="R8" s="11">
        <f t="shared" si="4"/>
        <v>-59.283704433566925</v>
      </c>
      <c r="T8" s="31"/>
      <c r="U8" s="30" t="s">
        <v>91</v>
      </c>
      <c r="V8" s="29" t="s">
        <v>59</v>
      </c>
    </row>
    <row r="9" spans="1:22" ht="18" x14ac:dyDescent="0.4">
      <c r="A9" s="1" t="s">
        <v>30</v>
      </c>
      <c r="B9" s="24" t="s">
        <v>31</v>
      </c>
      <c r="C9" s="28">
        <v>100</v>
      </c>
      <c r="E9" s="1" t="s">
        <v>38</v>
      </c>
      <c r="G9">
        <f>G3^2-G4^2-G8^2</f>
        <v>76110292.040000007</v>
      </c>
      <c r="J9" s="27" t="s">
        <v>58</v>
      </c>
      <c r="K9" s="26">
        <f>C5+C6-K6-C7</f>
        <v>270</v>
      </c>
      <c r="M9" s="15">
        <v>6</v>
      </c>
      <c r="N9" s="13">
        <f t="shared" si="0"/>
        <v>384436</v>
      </c>
      <c r="O9" s="12">
        <f t="shared" si="1"/>
        <v>484.42856789695759</v>
      </c>
      <c r="P9" s="12">
        <f t="shared" si="2"/>
        <v>515.57143210304241</v>
      </c>
      <c r="Q9" s="11">
        <f t="shared" si="3"/>
        <v>31.142864206084823</v>
      </c>
      <c r="R9" s="11">
        <f t="shared" si="4"/>
        <v>-31.142864206084823</v>
      </c>
    </row>
    <row r="10" spans="1:22" x14ac:dyDescent="0.4">
      <c r="C10" s="10" t="s">
        <v>57</v>
      </c>
      <c r="D10" s="25"/>
      <c r="E10" s="1" t="s">
        <v>39</v>
      </c>
      <c r="G10">
        <f>G8*G4</f>
        <v>31000</v>
      </c>
      <c r="J10" s="24" t="s">
        <v>56</v>
      </c>
      <c r="K10" s="23">
        <f>K8-K9</f>
        <v>-200</v>
      </c>
      <c r="M10" s="14">
        <v>7</v>
      </c>
      <c r="N10" s="13">
        <f t="shared" si="0"/>
        <v>384449</v>
      </c>
      <c r="O10" s="12">
        <f t="shared" si="1"/>
        <v>498.49832839261359</v>
      </c>
      <c r="P10" s="12">
        <f t="shared" si="2"/>
        <v>501.50167160738641</v>
      </c>
      <c r="Q10" s="11">
        <f t="shared" si="3"/>
        <v>3.0033432147728263</v>
      </c>
      <c r="R10" s="11">
        <f t="shared" si="4"/>
        <v>-3.0033432147728263</v>
      </c>
      <c r="T10" s="22" t="s">
        <v>55</v>
      </c>
    </row>
    <row r="11" spans="1:22" ht="18.75" thickBot="1" x14ac:dyDescent="0.45">
      <c r="B11" s="21" t="s">
        <v>54</v>
      </c>
      <c r="C11" s="20"/>
      <c r="E11" s="1" t="s">
        <v>53</v>
      </c>
      <c r="G11">
        <f>2*(G9-SQRT(G9^2-4*G10^2))</f>
        <v>50.505661398172379</v>
      </c>
      <c r="M11" s="15">
        <v>8</v>
      </c>
      <c r="N11" s="13">
        <f t="shared" si="0"/>
        <v>384464</v>
      </c>
      <c r="O11" s="12">
        <f t="shared" si="1"/>
        <v>512.56731939886333</v>
      </c>
      <c r="P11" s="12">
        <f t="shared" si="2"/>
        <v>487.43268060113667</v>
      </c>
      <c r="Q11" s="11">
        <f t="shared" si="3"/>
        <v>25.134638797726666</v>
      </c>
      <c r="R11" s="11">
        <f t="shared" si="4"/>
        <v>25.134638797726666</v>
      </c>
      <c r="T11" s="16" t="s">
        <v>49</v>
      </c>
      <c r="U11" s="19" t="s">
        <v>52</v>
      </c>
    </row>
    <row r="12" spans="1:22" ht="17.25" thickTop="1" x14ac:dyDescent="0.4">
      <c r="A12" s="1" t="s">
        <v>37</v>
      </c>
      <c r="B12" s="18" t="s">
        <v>51</v>
      </c>
      <c r="C12" s="17">
        <f>SQRT(G11)</f>
        <v>7.1067335251979431</v>
      </c>
      <c r="I12" s="1" t="s">
        <v>50</v>
      </c>
      <c r="M12" s="14">
        <v>9</v>
      </c>
      <c r="N12" s="13">
        <f t="shared" si="0"/>
        <v>384481</v>
      </c>
      <c r="O12" s="12">
        <f t="shared" si="1"/>
        <v>526.6354310743867</v>
      </c>
      <c r="P12" s="12">
        <f t="shared" si="2"/>
        <v>473.3645689256133</v>
      </c>
      <c r="Q12" s="11">
        <f t="shared" si="3"/>
        <v>53.270862148773404</v>
      </c>
      <c r="R12" s="11">
        <f t="shared" si="4"/>
        <v>53.270862148773404</v>
      </c>
      <c r="T12" s="16" t="s">
        <v>49</v>
      </c>
      <c r="U12" t="s">
        <v>87</v>
      </c>
    </row>
    <row r="13" spans="1:22" x14ac:dyDescent="0.4">
      <c r="F13" t="s">
        <v>48</v>
      </c>
      <c r="I13" s="1" t="s">
        <v>47</v>
      </c>
      <c r="M13" s="15">
        <v>10</v>
      </c>
      <c r="N13" s="13">
        <f t="shared" si="0"/>
        <v>384500</v>
      </c>
      <c r="O13" s="12">
        <f t="shared" si="1"/>
        <v>540.70255361214276</v>
      </c>
      <c r="P13" s="12">
        <f t="shared" si="2"/>
        <v>459.29744638785724</v>
      </c>
      <c r="Q13" s="11">
        <f t="shared" si="3"/>
        <v>81.40510722428553</v>
      </c>
      <c r="R13" s="11">
        <f t="shared" si="4"/>
        <v>81.40510722428553</v>
      </c>
      <c r="T13" s="16" t="s">
        <v>49</v>
      </c>
      <c r="U13" s="52" t="s">
        <v>92</v>
      </c>
    </row>
    <row r="14" spans="1:22" ht="18" x14ac:dyDescent="0.4">
      <c r="E14" s="1" t="s">
        <v>44</v>
      </c>
      <c r="G14">
        <f>K3^2+(2*G4)^2</f>
        <v>384400</v>
      </c>
      <c r="M14" s="14"/>
      <c r="N14" s="13">
        <f t="shared" si="0"/>
        <v>384400</v>
      </c>
      <c r="O14" s="12" t="str">
        <f t="shared" si="1"/>
        <v/>
      </c>
      <c r="P14" s="12" t="str">
        <f t="shared" si="2"/>
        <v/>
      </c>
      <c r="Q14" s="11">
        <f t="shared" si="3"/>
        <v>1000000</v>
      </c>
      <c r="R14" s="11" t="str">
        <f t="shared" si="4"/>
        <v/>
      </c>
    </row>
    <row r="15" spans="1:22" x14ac:dyDescent="0.4">
      <c r="M15" s="14"/>
      <c r="N15" s="13">
        <f t="shared" si="0"/>
        <v>384400</v>
      </c>
      <c r="O15" s="12" t="str">
        <f t="shared" si="1"/>
        <v/>
      </c>
      <c r="P15" s="12" t="str">
        <f t="shared" si="2"/>
        <v/>
      </c>
      <c r="Q15" s="11">
        <f t="shared" si="3"/>
        <v>1000000</v>
      </c>
      <c r="R15" s="11" t="str">
        <f t="shared" si="4"/>
        <v/>
      </c>
    </row>
    <row r="16" spans="1:22" x14ac:dyDescent="0.4">
      <c r="M16" s="14"/>
      <c r="N16" s="13">
        <f t="shared" si="0"/>
        <v>384400</v>
      </c>
      <c r="O16" s="12" t="str">
        <f t="shared" si="1"/>
        <v/>
      </c>
      <c r="P16" s="12" t="str">
        <f t="shared" si="2"/>
        <v/>
      </c>
      <c r="Q16" s="11">
        <f t="shared" si="3"/>
        <v>1000000</v>
      </c>
      <c r="R16" s="11" t="str">
        <f t="shared" si="4"/>
        <v/>
      </c>
    </row>
    <row r="17" spans="13:18" x14ac:dyDescent="0.4">
      <c r="M17" s="14"/>
      <c r="N17" s="13">
        <f t="shared" si="0"/>
        <v>384400</v>
      </c>
      <c r="O17" s="12" t="str">
        <f t="shared" si="1"/>
        <v/>
      </c>
      <c r="P17" s="12" t="str">
        <f t="shared" si="2"/>
        <v/>
      </c>
      <c r="Q17" s="11">
        <f t="shared" si="3"/>
        <v>1000000</v>
      </c>
      <c r="R17" s="11" t="str">
        <f t="shared" si="4"/>
        <v/>
      </c>
    </row>
    <row r="18" spans="13:18" x14ac:dyDescent="0.4">
      <c r="M18" s="14"/>
      <c r="N18" s="13">
        <f t="shared" si="0"/>
        <v>384400</v>
      </c>
      <c r="O18" s="12" t="str">
        <f t="shared" si="1"/>
        <v/>
      </c>
      <c r="P18" s="12" t="str">
        <f t="shared" si="2"/>
        <v/>
      </c>
      <c r="Q18" s="11">
        <f t="shared" si="3"/>
        <v>1000000</v>
      </c>
      <c r="R18" s="11" t="str">
        <f t="shared" si="4"/>
        <v/>
      </c>
    </row>
    <row r="19" spans="13:18" x14ac:dyDescent="0.4">
      <c r="M19" s="14"/>
      <c r="N19" s="13">
        <f t="shared" si="0"/>
        <v>384400</v>
      </c>
      <c r="O19" s="12" t="str">
        <f t="shared" si="1"/>
        <v/>
      </c>
      <c r="P19" s="12" t="str">
        <f t="shared" si="2"/>
        <v/>
      </c>
      <c r="Q19" s="11">
        <f t="shared" si="3"/>
        <v>1000000</v>
      </c>
      <c r="R19" s="11" t="str">
        <f t="shared" si="4"/>
        <v/>
      </c>
    </row>
    <row r="20" spans="13:18" x14ac:dyDescent="0.4">
      <c r="M20" s="14"/>
      <c r="N20" s="13">
        <f t="shared" si="0"/>
        <v>384400</v>
      </c>
      <c r="O20" s="12" t="str">
        <f t="shared" si="1"/>
        <v/>
      </c>
      <c r="P20" s="12" t="str">
        <f t="shared" si="2"/>
        <v/>
      </c>
      <c r="Q20" s="11">
        <f t="shared" si="3"/>
        <v>1000000</v>
      </c>
      <c r="R20" s="11" t="str">
        <f t="shared" si="4"/>
        <v/>
      </c>
    </row>
    <row r="21" spans="13:18" x14ac:dyDescent="0.4">
      <c r="M21" s="14"/>
      <c r="N21" s="13">
        <f t="shared" si="0"/>
        <v>384400</v>
      </c>
      <c r="O21" s="12" t="str">
        <f t="shared" si="1"/>
        <v/>
      </c>
      <c r="P21" s="12" t="str">
        <f t="shared" si="2"/>
        <v/>
      </c>
      <c r="Q21" s="11">
        <f t="shared" si="3"/>
        <v>1000000</v>
      </c>
      <c r="R21" s="11" t="str">
        <f t="shared" si="4"/>
        <v/>
      </c>
    </row>
    <row r="22" spans="13:18" x14ac:dyDescent="0.4">
      <c r="M22" s="14"/>
      <c r="N22" s="13">
        <f t="shared" si="0"/>
        <v>384400</v>
      </c>
      <c r="O22" s="12" t="str">
        <f t="shared" si="1"/>
        <v/>
      </c>
      <c r="P22" s="12" t="str">
        <f t="shared" si="2"/>
        <v/>
      </c>
      <c r="Q22" s="11">
        <f t="shared" si="3"/>
        <v>1000000</v>
      </c>
      <c r="R22" s="11" t="str">
        <f t="shared" si="4"/>
        <v/>
      </c>
    </row>
    <row r="23" spans="13:18" x14ac:dyDescent="0.4">
      <c r="M23" s="14"/>
      <c r="N23" s="13">
        <f t="shared" si="0"/>
        <v>384400</v>
      </c>
      <c r="O23" s="12" t="str">
        <f t="shared" si="1"/>
        <v/>
      </c>
      <c r="P23" s="12" t="str">
        <f t="shared" si="2"/>
        <v/>
      </c>
      <c r="Q23" s="11">
        <f t="shared" si="3"/>
        <v>1000000</v>
      </c>
      <c r="R23" s="11" t="str">
        <f t="shared" si="4"/>
        <v/>
      </c>
    </row>
    <row r="24" spans="13:18" x14ac:dyDescent="0.4">
      <c r="M24" s="14"/>
      <c r="N24" s="13">
        <f t="shared" si="0"/>
        <v>384400</v>
      </c>
      <c r="O24" s="12" t="str">
        <f t="shared" si="1"/>
        <v/>
      </c>
      <c r="P24" s="12" t="str">
        <f t="shared" si="2"/>
        <v/>
      </c>
      <c r="Q24" s="11">
        <f t="shared" si="3"/>
        <v>1000000</v>
      </c>
      <c r="R24" s="11" t="str">
        <f t="shared" si="4"/>
        <v/>
      </c>
    </row>
    <row r="25" spans="13:18" x14ac:dyDescent="0.4">
      <c r="M25" s="14"/>
      <c r="N25" s="13">
        <f t="shared" si="0"/>
        <v>384400</v>
      </c>
      <c r="O25" s="12" t="str">
        <f t="shared" si="1"/>
        <v/>
      </c>
      <c r="P25" s="12" t="str">
        <f t="shared" si="2"/>
        <v/>
      </c>
      <c r="Q25" s="11">
        <f t="shared" si="3"/>
        <v>1000000</v>
      </c>
      <c r="R25" s="11" t="str">
        <f t="shared" si="4"/>
        <v/>
      </c>
    </row>
    <row r="26" spans="13:18" x14ac:dyDescent="0.4">
      <c r="M26" s="14"/>
      <c r="N26" s="13">
        <f t="shared" si="0"/>
        <v>384400</v>
      </c>
      <c r="O26" s="12" t="str">
        <f t="shared" si="1"/>
        <v/>
      </c>
      <c r="P26" s="12" t="str">
        <f t="shared" si="2"/>
        <v/>
      </c>
      <c r="Q26" s="11">
        <f t="shared" si="3"/>
        <v>1000000</v>
      </c>
      <c r="R26" s="11" t="str">
        <f t="shared" si="4"/>
        <v/>
      </c>
    </row>
    <row r="27" spans="13:18" x14ac:dyDescent="0.4">
      <c r="M27" s="14"/>
      <c r="N27" s="13">
        <f t="shared" si="0"/>
        <v>384400</v>
      </c>
      <c r="O27" s="12" t="str">
        <f t="shared" si="1"/>
        <v/>
      </c>
      <c r="P27" s="12" t="str">
        <f t="shared" si="2"/>
        <v/>
      </c>
      <c r="Q27" s="11">
        <f t="shared" si="3"/>
        <v>1000000</v>
      </c>
      <c r="R27" s="11" t="str">
        <f t="shared" si="4"/>
        <v/>
      </c>
    </row>
    <row r="28" spans="13:18" x14ac:dyDescent="0.4">
      <c r="M28" s="14"/>
      <c r="N28" s="13">
        <f t="shared" si="0"/>
        <v>384400</v>
      </c>
      <c r="O28" s="12" t="str">
        <f t="shared" si="1"/>
        <v/>
      </c>
      <c r="P28" s="12" t="str">
        <f t="shared" si="2"/>
        <v/>
      </c>
      <c r="Q28" s="11">
        <f t="shared" si="3"/>
        <v>1000000</v>
      </c>
      <c r="R28" s="11" t="str">
        <f t="shared" si="4"/>
        <v/>
      </c>
    </row>
    <row r="29" spans="13:18" x14ac:dyDescent="0.4">
      <c r="M29" s="14"/>
      <c r="N29" s="13">
        <f t="shared" si="0"/>
        <v>384400</v>
      </c>
      <c r="O29" s="12" t="str">
        <f t="shared" si="1"/>
        <v/>
      </c>
      <c r="P29" s="12" t="str">
        <f t="shared" si="2"/>
        <v/>
      </c>
      <c r="Q29" s="11">
        <f t="shared" si="3"/>
        <v>1000000</v>
      </c>
      <c r="R29" s="11" t="str">
        <f t="shared" si="4"/>
        <v/>
      </c>
    </row>
    <row r="30" spans="13:18" x14ac:dyDescent="0.4">
      <c r="M30" s="14"/>
      <c r="N30" s="13">
        <f t="shared" si="0"/>
        <v>384400</v>
      </c>
      <c r="O30" s="12" t="str">
        <f t="shared" si="1"/>
        <v/>
      </c>
      <c r="P30" s="12" t="str">
        <f t="shared" si="2"/>
        <v/>
      </c>
      <c r="Q30" s="11">
        <f t="shared" si="3"/>
        <v>1000000</v>
      </c>
      <c r="R30" s="11" t="str">
        <f t="shared" si="4"/>
        <v/>
      </c>
    </row>
    <row r="31" spans="13:18" x14ac:dyDescent="0.4">
      <c r="M31" s="14"/>
      <c r="N31" s="13">
        <f t="shared" si="0"/>
        <v>384400</v>
      </c>
      <c r="O31" s="12" t="str">
        <f t="shared" si="1"/>
        <v/>
      </c>
      <c r="P31" s="12" t="str">
        <f t="shared" si="2"/>
        <v/>
      </c>
      <c r="Q31" s="11">
        <f t="shared" si="3"/>
        <v>1000000</v>
      </c>
      <c r="R31" s="11" t="str">
        <f t="shared" si="4"/>
        <v/>
      </c>
    </row>
    <row r="32" spans="13:18" x14ac:dyDescent="0.4">
      <c r="M32" s="14"/>
      <c r="N32" s="13">
        <f t="shared" si="0"/>
        <v>384400</v>
      </c>
      <c r="O32" s="12" t="str">
        <f t="shared" si="1"/>
        <v/>
      </c>
      <c r="P32" s="12" t="str">
        <f t="shared" si="2"/>
        <v/>
      </c>
      <c r="Q32" s="11">
        <f t="shared" si="3"/>
        <v>1000000</v>
      </c>
      <c r="R32" s="11" t="str">
        <f t="shared" si="4"/>
        <v/>
      </c>
    </row>
  </sheetData>
  <phoneticPr fontId="1"/>
  <conditionalFormatting sqref="C3">
    <cfRule type="expression" dxfId="53" priority="6">
      <formula>G9^2&lt;4*G10^2</formula>
    </cfRule>
  </conditionalFormatting>
  <conditionalFormatting sqref="C4">
    <cfRule type="expression" dxfId="52" priority="5">
      <formula>$C$4&lt;=0</formula>
    </cfRule>
  </conditionalFormatting>
  <conditionalFormatting sqref="C5">
    <cfRule type="expression" dxfId="51" priority="1">
      <formula>C5&lt;0</formula>
    </cfRule>
  </conditionalFormatting>
  <conditionalFormatting sqref="C6">
    <cfRule type="expression" dxfId="50" priority="10">
      <formula>OR(C5&gt;C6, C6&lt;0)</formula>
    </cfRule>
  </conditionalFormatting>
  <conditionalFormatting sqref="C7">
    <cfRule type="expression" dxfId="49" priority="9">
      <formula>AND(C7&lt;&gt;330, C7&lt;&gt;270, C7&lt;&gt;250)</formula>
    </cfRule>
  </conditionalFormatting>
  <conditionalFormatting sqref="C8">
    <cfRule type="expression" dxfId="48" priority="8">
      <formula>C8&lt;&gt;40</formula>
    </cfRule>
  </conditionalFormatting>
  <conditionalFormatting sqref="C9">
    <cfRule type="expression" dxfId="47" priority="7">
      <formula>C9&lt;&gt;100</formula>
    </cfRule>
  </conditionalFormatting>
  <conditionalFormatting sqref="K3:K4">
    <cfRule type="expression" dxfId="46" priority="15">
      <formula>OR(($K$8&gt;($C$5+$C$6-2*$C$7)),$K$3&lt;0)</formula>
    </cfRule>
  </conditionalFormatting>
  <conditionalFormatting sqref="M3:M32">
    <cfRule type="expression" dxfId="45" priority="2">
      <formula>Q3&gt;=1000000</formula>
    </cfRule>
    <cfRule type="expression" dxfId="44" priority="13">
      <formula>Q3=MIN($Q$3:$Q32)</formula>
    </cfRule>
  </conditionalFormatting>
  <conditionalFormatting sqref="O3:O32">
    <cfRule type="expression" dxfId="43" priority="3">
      <formula>Q3&gt;=1000000</formula>
    </cfRule>
    <cfRule type="expression" dxfId="42" priority="12">
      <formula>Q3=MIN($Q$3:$Q32)</formula>
    </cfRule>
  </conditionalFormatting>
  <conditionalFormatting sqref="P3:P32">
    <cfRule type="expression" dxfId="41" priority="4">
      <formula>Q3&gt;=1000000</formula>
    </cfRule>
    <cfRule type="expression" dxfId="40" priority="11">
      <formula>Q3=MIN($Q$3:$Q32)</formula>
    </cfRule>
  </conditionalFormatting>
  <conditionalFormatting sqref="R3:R32">
    <cfRule type="expression" dxfId="39" priority="14">
      <formula>Q3=MIN($Q$3:$Q32)</formula>
    </cfRule>
  </conditionalFormatting>
  <dataValidations count="1">
    <dataValidation imeMode="disabled" allowBlank="1" showInputMessage="1" showErrorMessage="1" sqref="K3 C3:C9 M3:M32" xr:uid="{91FF811D-BCF3-4606-9FC3-CEB7148A6C2A}"/>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2FC29-DC21-4B73-8FB9-EE84D8C0B11F}">
  <sheetPr codeName="Sheet16"/>
  <dimension ref="A1:R170"/>
  <sheetViews>
    <sheetView tabSelected="1" topLeftCell="A19" workbookViewId="0">
      <selection activeCell="L28" sqref="L28"/>
    </sheetView>
  </sheetViews>
  <sheetFormatPr defaultRowHeight="14.25" x14ac:dyDescent="0.4"/>
  <cols>
    <col min="1" max="1" width="3.75" style="55" bestFit="1" customWidth="1"/>
    <col min="2" max="2" width="23.5" style="53" bestFit="1" customWidth="1"/>
    <col min="3" max="3" width="9.25" style="57" bestFit="1" customWidth="1"/>
    <col min="4" max="4" width="1.625" style="53" customWidth="1"/>
    <col min="5" max="5" width="4.125" style="55" bestFit="1" customWidth="1"/>
    <col min="6" max="6" width="30.375" style="53" bestFit="1" customWidth="1"/>
    <col min="7" max="7" width="2.375" style="55" bestFit="1" customWidth="1"/>
    <col min="8" max="8" width="9.75" style="55" bestFit="1" customWidth="1"/>
    <col min="9" max="9" width="8.375" style="55" bestFit="1" customWidth="1"/>
    <col min="10" max="10" width="1.625" style="53" customWidth="1"/>
    <col min="11" max="11" width="4.125" style="55" bestFit="1" customWidth="1"/>
    <col min="12" max="12" width="19.625" style="97" customWidth="1"/>
    <col min="13" max="13" width="24.75" style="106" bestFit="1" customWidth="1"/>
    <col min="14" max="14" width="10.375" style="54" bestFit="1" customWidth="1"/>
    <col min="15" max="15" width="1.625" style="53" hidden="1" customWidth="1"/>
    <col min="16" max="16" width="23.125" style="53" hidden="1" customWidth="1"/>
    <col min="17" max="17" width="11.375" style="53" hidden="1" customWidth="1"/>
    <col min="18" max="18" width="8.375" style="53" hidden="1" customWidth="1"/>
    <col min="19" max="16384" width="9" style="53"/>
  </cols>
  <sheetData>
    <row r="1" spans="1:18" x14ac:dyDescent="0.4">
      <c r="B1" s="56" t="s">
        <v>237</v>
      </c>
      <c r="F1" s="56" t="s">
        <v>195</v>
      </c>
      <c r="G1" s="58"/>
      <c r="P1" s="56" t="s">
        <v>196</v>
      </c>
      <c r="Q1" s="55"/>
      <c r="R1" s="55"/>
    </row>
    <row r="2" spans="1:18" ht="15" thickBot="1" x14ac:dyDescent="0.45">
      <c r="B2" s="59"/>
      <c r="C2" s="60" t="s">
        <v>81</v>
      </c>
      <c r="F2" s="56" t="s">
        <v>190</v>
      </c>
      <c r="G2" s="58"/>
      <c r="H2" s="97" t="s">
        <v>297</v>
      </c>
      <c r="I2" s="55" t="s">
        <v>178</v>
      </c>
      <c r="K2" s="55">
        <f>ROW(K2)</f>
        <v>2</v>
      </c>
      <c r="L2" s="97" t="s">
        <v>453</v>
      </c>
      <c r="M2" s="106" t="s">
        <v>160</v>
      </c>
      <c r="N2" s="54">
        <f>RADIANS($H$7)</f>
        <v>1.1205013797803596E-2</v>
      </c>
      <c r="P2" s="61" t="s">
        <v>138</v>
      </c>
      <c r="Q2" s="62">
        <f>C4+N154</f>
        <v>500.00000001278181</v>
      </c>
      <c r="R2" s="62">
        <f>C64+Q2</f>
        <v>-649.97399998721812</v>
      </c>
    </row>
    <row r="3" spans="1:18" ht="15" thickTop="1" x14ac:dyDescent="0.4">
      <c r="A3" s="55" t="s">
        <v>238</v>
      </c>
      <c r="B3" s="63" t="s">
        <v>32</v>
      </c>
      <c r="C3" s="64">
        <v>8922.7000000000007</v>
      </c>
      <c r="E3" s="55" t="s">
        <v>310</v>
      </c>
      <c r="F3" s="61" t="s">
        <v>458</v>
      </c>
      <c r="G3" s="65" t="s">
        <v>203</v>
      </c>
      <c r="H3" s="82">
        <f>$C$4+$N$13*$N$5</f>
        <v>500.01603829462465</v>
      </c>
      <c r="I3" s="82">
        <f>$C$64+H3</f>
        <v>-649.95796170537528</v>
      </c>
      <c r="K3" s="55">
        <f t="shared" ref="K3:K63" si="0">ROW(K3)</f>
        <v>3</v>
      </c>
      <c r="L3" s="97" t="s">
        <v>454</v>
      </c>
      <c r="M3" s="106" t="s">
        <v>161</v>
      </c>
      <c r="N3" s="54">
        <f>ASIN($N$14)</f>
        <v>1.1203216917671469E-2</v>
      </c>
      <c r="P3" s="61" t="s">
        <v>139</v>
      </c>
      <c r="Q3" s="62">
        <f>C4+C5-Q2</f>
        <v>499.99999998721819</v>
      </c>
      <c r="R3" s="62">
        <f>C64+Q3</f>
        <v>-649.97400001278174</v>
      </c>
    </row>
    <row r="4" spans="1:18" x14ac:dyDescent="0.4">
      <c r="A4" s="55" t="s">
        <v>239</v>
      </c>
      <c r="B4" s="66" t="s">
        <v>35</v>
      </c>
      <c r="C4" s="67">
        <v>400</v>
      </c>
      <c r="E4" s="55" t="s">
        <v>311</v>
      </c>
      <c r="F4" s="61" t="s">
        <v>459</v>
      </c>
      <c r="G4" s="65" t="s">
        <v>203</v>
      </c>
      <c r="H4" s="82">
        <f>$C$4+$C$5-$H$3</f>
        <v>499.98396170537535</v>
      </c>
      <c r="I4" s="82">
        <f>$C$64+H4</f>
        <v>-649.99003829462458</v>
      </c>
      <c r="K4" s="55">
        <f t="shared" si="0"/>
        <v>4</v>
      </c>
      <c r="L4" s="97" t="s">
        <v>455</v>
      </c>
      <c r="M4" s="106" t="s">
        <v>312</v>
      </c>
      <c r="N4" s="54">
        <f>DEGREES($N$3)</f>
        <v>0.64189704635213818</v>
      </c>
      <c r="P4" s="61" t="s">
        <v>140</v>
      </c>
      <c r="Q4" s="62">
        <f>Q2-C58</f>
        <v>170.00000001278181</v>
      </c>
    </row>
    <row r="5" spans="1:18" x14ac:dyDescent="0.4">
      <c r="A5" s="55" t="s">
        <v>240</v>
      </c>
      <c r="B5" s="66" t="s">
        <v>36</v>
      </c>
      <c r="C5" s="67">
        <v>600</v>
      </c>
      <c r="D5" s="54"/>
      <c r="F5" s="61" t="s">
        <v>460</v>
      </c>
      <c r="G5" s="65" t="s">
        <v>203</v>
      </c>
      <c r="H5" s="82">
        <f>$H$3-$C$58</f>
        <v>170.01603829462465</v>
      </c>
      <c r="K5" s="55">
        <f t="shared" si="0"/>
        <v>5</v>
      </c>
      <c r="L5" s="97" t="s">
        <v>162</v>
      </c>
      <c r="N5" s="54">
        <f>SIN($N$2)</f>
        <v>1.120477933000264E-2</v>
      </c>
      <c r="P5" s="61" t="s">
        <v>141</v>
      </c>
      <c r="Q5" s="62">
        <f>Q3-C58</f>
        <v>169.99999998721819</v>
      </c>
    </row>
    <row r="6" spans="1:18" x14ac:dyDescent="0.4">
      <c r="B6" s="66" t="s">
        <v>71</v>
      </c>
      <c r="C6" s="71">
        <v>7.1067335251979431</v>
      </c>
      <c r="D6" s="68"/>
      <c r="F6" s="61" t="s">
        <v>461</v>
      </c>
      <c r="G6" s="65" t="s">
        <v>203</v>
      </c>
      <c r="H6" s="102">
        <f>$H$4-$C$58</f>
        <v>169.98396170537535</v>
      </c>
      <c r="K6" s="55">
        <f t="shared" si="0"/>
        <v>6</v>
      </c>
      <c r="L6" s="97" t="s">
        <v>164</v>
      </c>
      <c r="N6" s="54">
        <f>COS($N$2)</f>
        <v>0.99993722448970057</v>
      </c>
      <c r="P6" s="69" t="s">
        <v>108</v>
      </c>
      <c r="Q6" s="70">
        <f>N149-N150</f>
        <v>7.1067335242896661</v>
      </c>
    </row>
    <row r="7" spans="1:18" x14ac:dyDescent="0.4">
      <c r="B7" s="73"/>
      <c r="C7" s="74"/>
      <c r="E7" s="55" t="s">
        <v>159</v>
      </c>
      <c r="F7" s="69" t="s">
        <v>456</v>
      </c>
      <c r="G7" s="72" t="s">
        <v>204</v>
      </c>
      <c r="H7" s="82">
        <f>ROUND($N$4,3)</f>
        <v>0.64200000000000002</v>
      </c>
      <c r="I7" s="82">
        <f>$C$65+$H$7</f>
        <v>0.71499999999999997</v>
      </c>
      <c r="K7" s="55">
        <f t="shared" si="0"/>
        <v>7</v>
      </c>
      <c r="L7" s="97" t="s">
        <v>241</v>
      </c>
      <c r="N7" s="54">
        <f>SQRT($N$8^2-$N$9^2)</f>
        <v>8724.6943808938086</v>
      </c>
      <c r="P7" s="69" t="s">
        <v>153</v>
      </c>
      <c r="Q7" s="70">
        <f>C62+C10/2</f>
        <v>-648.5</v>
      </c>
    </row>
    <row r="8" spans="1:18" x14ac:dyDescent="0.4">
      <c r="B8" s="77" t="s">
        <v>34</v>
      </c>
      <c r="C8" s="78"/>
      <c r="E8" s="55" t="s">
        <v>159</v>
      </c>
      <c r="F8" s="109" t="s">
        <v>457</v>
      </c>
      <c r="G8" s="110" t="s">
        <v>204</v>
      </c>
      <c r="H8" s="108">
        <f>ROUND($N$4,0)</f>
        <v>1</v>
      </c>
      <c r="I8" s="108">
        <f>$C$65+$H$8</f>
        <v>1.073</v>
      </c>
      <c r="K8" s="55">
        <f t="shared" si="0"/>
        <v>8</v>
      </c>
      <c r="L8" s="97" t="s">
        <v>242</v>
      </c>
      <c r="M8" s="106" t="s">
        <v>98</v>
      </c>
      <c r="N8" s="54">
        <f>$N$10-$C$60</f>
        <v>8730.2000000000007</v>
      </c>
      <c r="P8" s="61" t="s">
        <v>142</v>
      </c>
      <c r="Q8" s="62">
        <f>-C61+(N16+N17)/2+C6/2-N153</f>
        <v>-8.3385574269177596</v>
      </c>
      <c r="R8" s="62">
        <f t="shared" ref="R8:R14" si="1">$C$63+Q8</f>
        <v>-558.35755742691777</v>
      </c>
    </row>
    <row r="9" spans="1:18" x14ac:dyDescent="0.4">
      <c r="B9" s="66" t="s">
        <v>154</v>
      </c>
      <c r="C9" s="67">
        <v>185</v>
      </c>
      <c r="F9" s="73"/>
      <c r="G9" s="75"/>
      <c r="H9" s="57"/>
      <c r="K9" s="55">
        <f t="shared" si="0"/>
        <v>9</v>
      </c>
      <c r="L9" s="97" t="s">
        <v>70</v>
      </c>
      <c r="M9" s="106" t="s">
        <v>157</v>
      </c>
      <c r="N9" s="54">
        <f>$C$58-$C$59/2</f>
        <v>310</v>
      </c>
      <c r="P9" s="61" t="s">
        <v>96</v>
      </c>
      <c r="Q9" s="62">
        <f>-C61+N15+C6/2-N153</f>
        <v>-8.337590837638345</v>
      </c>
      <c r="R9" s="62">
        <f t="shared" si="1"/>
        <v>-558.35659083763835</v>
      </c>
    </row>
    <row r="10" spans="1:18" x14ac:dyDescent="0.4">
      <c r="B10" s="66" t="s">
        <v>46</v>
      </c>
      <c r="C10" s="67">
        <v>183</v>
      </c>
      <c r="F10" s="77" t="s">
        <v>208</v>
      </c>
      <c r="G10" s="79"/>
      <c r="H10" s="80"/>
      <c r="K10" s="55">
        <f t="shared" si="0"/>
        <v>10</v>
      </c>
      <c r="L10" s="97" t="s">
        <v>243</v>
      </c>
      <c r="M10" s="106" t="s">
        <v>40</v>
      </c>
      <c r="N10" s="54">
        <f>$C$3-$C$9/2</f>
        <v>8830.2000000000007</v>
      </c>
      <c r="P10" s="61" t="s">
        <v>143</v>
      </c>
      <c r="Q10" s="62">
        <f>C61-(N19+N20)/2-C6/2+N153</f>
        <v>19.565491184843268</v>
      </c>
      <c r="R10" s="62">
        <f t="shared" si="1"/>
        <v>-530.45350881515674</v>
      </c>
    </row>
    <row r="11" spans="1:18" x14ac:dyDescent="0.4">
      <c r="B11" s="73"/>
      <c r="C11" s="74"/>
      <c r="F11" s="61" t="s">
        <v>198</v>
      </c>
      <c r="G11" s="65" t="s">
        <v>205</v>
      </c>
      <c r="H11" s="82">
        <f>$C$62+C10/2</f>
        <v>-648.5</v>
      </c>
      <c r="K11" s="55">
        <f t="shared" si="0"/>
        <v>11</v>
      </c>
      <c r="L11" s="97" t="s">
        <v>244</v>
      </c>
      <c r="M11" s="106" t="s">
        <v>97</v>
      </c>
      <c r="N11" s="54">
        <f>$C$3+$C$9/2</f>
        <v>9015.2000000000007</v>
      </c>
      <c r="P11" s="61" t="s">
        <v>99</v>
      </c>
      <c r="Q11" s="62">
        <f>C61-N18-C6/2+N153</f>
        <v>19.56330812012493</v>
      </c>
      <c r="R11" s="62">
        <f t="shared" si="1"/>
        <v>-530.45569187987508</v>
      </c>
    </row>
    <row r="12" spans="1:18" x14ac:dyDescent="0.4">
      <c r="B12" s="77" t="s">
        <v>191</v>
      </c>
      <c r="C12" s="80"/>
      <c r="F12" s="61" t="s">
        <v>199</v>
      </c>
      <c r="G12" s="65" t="s">
        <v>206</v>
      </c>
      <c r="H12" s="82">
        <f>$N$21-$N$13*$N$6</f>
        <v>-11.905406231671805</v>
      </c>
      <c r="I12" s="82">
        <f>$C$63+H12</f>
        <v>-561.92440623167181</v>
      </c>
      <c r="K12" s="55">
        <f t="shared" si="0"/>
        <v>12</v>
      </c>
      <c r="L12" s="97" t="s">
        <v>245</v>
      </c>
      <c r="M12" s="106" t="s">
        <v>462</v>
      </c>
      <c r="N12" s="54">
        <f>($C$5-$C$4)/2</f>
        <v>100</v>
      </c>
      <c r="P12" s="61" t="s">
        <v>151</v>
      </c>
      <c r="Q12" s="62" t="e">
        <f>C61-(N19+N20)/2-C6/2+N153-#REF!/2-C34+C35/2</f>
        <v>#REF!</v>
      </c>
      <c r="R12" s="62" t="e">
        <f t="shared" si="1"/>
        <v>#REF!</v>
      </c>
    </row>
    <row r="13" spans="1:18" x14ac:dyDescent="0.4">
      <c r="B13" s="66" t="s">
        <v>121</v>
      </c>
      <c r="C13" s="67">
        <v>172.9</v>
      </c>
      <c r="F13" s="61" t="s">
        <v>201</v>
      </c>
      <c r="G13" s="65" t="s">
        <v>206</v>
      </c>
      <c r="H13" s="82">
        <f>$N$13*$N$6-$N$22</f>
        <v>23.132339989597313</v>
      </c>
      <c r="I13" s="82">
        <f>$C$63+H13</f>
        <v>-526.88666001040269</v>
      </c>
      <c r="K13" s="55">
        <f t="shared" si="0"/>
        <v>13</v>
      </c>
      <c r="L13" s="97" t="s">
        <v>158</v>
      </c>
      <c r="M13" s="106" t="s">
        <v>174</v>
      </c>
      <c r="N13" s="54">
        <f>$C$61+$N$7</f>
        <v>8926.1943808938086</v>
      </c>
      <c r="P13" s="61" t="s">
        <v>146</v>
      </c>
      <c r="Q13" s="62" t="e">
        <f>-Q12+C43</f>
        <v>#REF!</v>
      </c>
      <c r="R13" s="62" t="e">
        <f t="shared" si="1"/>
        <v>#REF!</v>
      </c>
    </row>
    <row r="14" spans="1:18" x14ac:dyDescent="0.4">
      <c r="B14" s="66" t="s">
        <v>281</v>
      </c>
      <c r="C14" s="67">
        <v>172.9</v>
      </c>
      <c r="F14" s="61" t="s">
        <v>200</v>
      </c>
      <c r="G14" s="65" t="s">
        <v>206</v>
      </c>
      <c r="H14" s="82">
        <f>$N$15-$N$13*$N$6</f>
        <v>-11.90443964239239</v>
      </c>
      <c r="I14" s="82">
        <f>$C$63+H14</f>
        <v>-561.9234396423924</v>
      </c>
      <c r="K14" s="55">
        <f t="shared" si="0"/>
        <v>14</v>
      </c>
      <c r="L14" s="97" t="s">
        <v>246</v>
      </c>
      <c r="M14" s="106" t="s">
        <v>163</v>
      </c>
      <c r="N14" s="54">
        <f>$N$12/$N$13</f>
        <v>1.1202982562652493E-2</v>
      </c>
      <c r="P14" s="61" t="s">
        <v>147</v>
      </c>
      <c r="Q14" s="62" t="e">
        <f>-C61+(N16+N17)/2+C6/2-N153+#REF!/2+C38-C39/2</f>
        <v>#REF!</v>
      </c>
      <c r="R14" s="62" t="e">
        <f t="shared" si="1"/>
        <v>#REF!</v>
      </c>
    </row>
    <row r="15" spans="1:18" x14ac:dyDescent="0.4">
      <c r="B15" s="66" t="s">
        <v>118</v>
      </c>
      <c r="C15" s="67">
        <v>12.05</v>
      </c>
      <c r="D15" s="68"/>
      <c r="F15" s="61" t="s">
        <v>202</v>
      </c>
      <c r="G15" s="65" t="s">
        <v>206</v>
      </c>
      <c r="H15" s="82">
        <f>$N$13*$N$6-$N$18</f>
        <v>23.130156924878975</v>
      </c>
      <c r="I15" s="82">
        <f>$C$63+H15</f>
        <v>-526.88884307512103</v>
      </c>
      <c r="K15" s="55">
        <f t="shared" si="0"/>
        <v>15</v>
      </c>
      <c r="L15" s="97" t="s">
        <v>247</v>
      </c>
      <c r="M15" s="106" t="s">
        <v>112</v>
      </c>
      <c r="N15" s="54">
        <f>SQRT($C$3^2-$C$4^2)</f>
        <v>8913.7295948441242</v>
      </c>
      <c r="P15" s="62" t="s">
        <v>128</v>
      </c>
      <c r="Q15" s="62">
        <f>N25-N15</f>
        <v>0.70683627001562854</v>
      </c>
    </row>
    <row r="16" spans="1:18" x14ac:dyDescent="0.4">
      <c r="B16" s="66" t="s">
        <v>119</v>
      </c>
      <c r="C16" s="67">
        <v>8.0500000000000007</v>
      </c>
      <c r="D16" s="68"/>
      <c r="H16" s="57"/>
      <c r="I16" s="57"/>
      <c r="K16" s="55">
        <f t="shared" si="0"/>
        <v>16</v>
      </c>
      <c r="L16" s="97" t="s">
        <v>248</v>
      </c>
      <c r="M16" s="106" t="s">
        <v>113</v>
      </c>
      <c r="N16" s="54">
        <f>SQRT($N$11^2-$C$4^2)</f>
        <v>9006.321726431941</v>
      </c>
      <c r="P16" s="62" t="s">
        <v>129</v>
      </c>
      <c r="Q16" s="70">
        <f>C15+C16/2</f>
        <v>16.075000000000003</v>
      </c>
    </row>
    <row r="17" spans="1:18" x14ac:dyDescent="0.4">
      <c r="B17" s="66" t="s">
        <v>120</v>
      </c>
      <c r="C17" s="67">
        <v>6.1360000000000001</v>
      </c>
      <c r="F17" s="77" t="s">
        <v>193</v>
      </c>
      <c r="G17" s="79"/>
      <c r="H17" s="80"/>
      <c r="I17" s="57"/>
      <c r="K17" s="55">
        <f t="shared" si="0"/>
        <v>17</v>
      </c>
      <c r="L17" s="97" t="s">
        <v>249</v>
      </c>
      <c r="M17" s="106" t="s">
        <v>114</v>
      </c>
      <c r="N17" s="54">
        <f>SQRT($N$10^2-$C$4^2)</f>
        <v>8821.1355300777468</v>
      </c>
      <c r="P17" s="62" t="s">
        <v>131</v>
      </c>
      <c r="Q17" s="62">
        <f>N25-C61+C6/2-N153</f>
        <v>-7.6307545676227164</v>
      </c>
      <c r="R17" s="62">
        <f>$C$63+Q17</f>
        <v>-557.64975456762272</v>
      </c>
    </row>
    <row r="18" spans="1:18" x14ac:dyDescent="0.4">
      <c r="B18" s="73"/>
      <c r="C18" s="74"/>
      <c r="D18" s="54"/>
      <c r="F18" s="61" t="s">
        <v>223</v>
      </c>
      <c r="G18" s="65" t="s">
        <v>206</v>
      </c>
      <c r="H18" s="82" cm="1">
        <f t="array" aca="1" ref="H18" ca="1">INDEX(INDIRECT($H$52&amp;"!B:B"), MATCH(LOOKUP(2,1/(INDIRECT($H$52&amp;"!A:A")&lt;&gt;""), INDIRECT($H$52&amp;"!A:A")), INDIRECT($H$52&amp;"!A:A"), 0))</f>
        <v>155</v>
      </c>
      <c r="I18" s="103"/>
      <c r="K18" s="55">
        <f t="shared" si="0"/>
        <v>18</v>
      </c>
      <c r="L18" s="97" t="s">
        <v>250</v>
      </c>
      <c r="M18" s="106" t="s">
        <v>115</v>
      </c>
      <c r="N18" s="54">
        <f>SQRT($C$3^2-$C$5^2)</f>
        <v>8902.5038775616376</v>
      </c>
      <c r="P18" s="62" t="s">
        <v>126</v>
      </c>
      <c r="Q18" s="62" t="e">
        <f>-Q12+C43</f>
        <v>#REF!</v>
      </c>
      <c r="R18" s="62" t="e">
        <f>$C$63+Q18</f>
        <v>#REF!</v>
      </c>
    </row>
    <row r="19" spans="1:18" x14ac:dyDescent="0.4">
      <c r="B19" s="77" t="s">
        <v>192</v>
      </c>
      <c r="C19" s="80"/>
      <c r="D19" s="54"/>
      <c r="F19" s="61" t="s">
        <v>175</v>
      </c>
      <c r="G19" s="65" t="s">
        <v>206</v>
      </c>
      <c r="H19" s="82">
        <f>-$C$35/2+$C$34-$C$30</f>
        <v>-76.724999999999994</v>
      </c>
      <c r="I19" s="104"/>
      <c r="K19" s="55">
        <f t="shared" si="0"/>
        <v>19</v>
      </c>
      <c r="L19" s="97" t="s">
        <v>251</v>
      </c>
      <c r="M19" s="106" t="s">
        <v>116</v>
      </c>
      <c r="N19" s="54">
        <f>SQRT($N$11^2-$C$5^2)</f>
        <v>8995.2115617143772</v>
      </c>
      <c r="P19" s="62" t="s">
        <v>125</v>
      </c>
      <c r="Q19" s="62">
        <f>N26-C17-C13/2+N155-N13</f>
        <v>-7.6318892500185029</v>
      </c>
      <c r="R19" s="62">
        <f>$C$63+Q19</f>
        <v>-557.65088925001851</v>
      </c>
    </row>
    <row r="20" spans="1:18" x14ac:dyDescent="0.4">
      <c r="A20" s="55" t="s">
        <v>222</v>
      </c>
      <c r="B20" s="66" t="s">
        <v>132</v>
      </c>
      <c r="C20" s="67">
        <v>90</v>
      </c>
      <c r="D20" s="54"/>
      <c r="F20" s="61" t="s">
        <v>184</v>
      </c>
      <c r="G20" s="65" t="s">
        <v>206</v>
      </c>
      <c r="H20" s="82">
        <f ca="1">$H$13-$H$18/2-$C$34+$C$39/2</f>
        <v>22.287339989597314</v>
      </c>
      <c r="I20" s="82">
        <f ca="1">$C$63+H20</f>
        <v>-527.73166001040272</v>
      </c>
      <c r="K20" s="55">
        <f t="shared" si="0"/>
        <v>20</v>
      </c>
      <c r="L20" s="97" t="s">
        <v>252</v>
      </c>
      <c r="M20" s="106" t="s">
        <v>117</v>
      </c>
      <c r="N20" s="54">
        <f>SQRT($N$10^2-$C$5^2)</f>
        <v>8809.7918272794614</v>
      </c>
      <c r="P20" s="62" t="s">
        <v>127</v>
      </c>
      <c r="Q20" s="62">
        <f>Q3-Q16</f>
        <v>483.9249999872182</v>
      </c>
      <c r="R20" s="62">
        <f>C64+Q20</f>
        <v>-666.04900001278179</v>
      </c>
    </row>
    <row r="21" spans="1:18" x14ac:dyDescent="0.4">
      <c r="A21" s="55" t="s">
        <v>255</v>
      </c>
      <c r="B21" s="66" t="s">
        <v>133</v>
      </c>
      <c r="C21" s="67">
        <v>20</v>
      </c>
      <c r="D21" s="54"/>
      <c r="F21" s="61" t="s">
        <v>185</v>
      </c>
      <c r="G21" s="65" t="s">
        <v>206</v>
      </c>
      <c r="H21" s="82">
        <f ca="1">-$H$20+$C$43</f>
        <v>-11.287339989597314</v>
      </c>
      <c r="I21" s="82">
        <f ca="1">$C$63+H21</f>
        <v>-561.30633998959729</v>
      </c>
      <c r="K21" s="55">
        <f t="shared" si="0"/>
        <v>21</v>
      </c>
      <c r="L21" s="97" t="s">
        <v>447</v>
      </c>
      <c r="M21" s="106" t="s">
        <v>170</v>
      </c>
      <c r="N21" s="54">
        <f>($N$16+$N$17)/2</f>
        <v>8913.7286282548448</v>
      </c>
      <c r="P21" s="62" t="s">
        <v>136</v>
      </c>
      <c r="Q21" s="81">
        <f>$C$23/$C$22+1</f>
        <v>7</v>
      </c>
    </row>
    <row r="22" spans="1:18" x14ac:dyDescent="0.4">
      <c r="A22" s="55" t="s">
        <v>256</v>
      </c>
      <c r="B22" s="66" t="s">
        <v>134</v>
      </c>
      <c r="C22" s="67">
        <v>17</v>
      </c>
      <c r="E22" s="55" t="s">
        <v>280</v>
      </c>
      <c r="F22" s="61" t="s">
        <v>221</v>
      </c>
      <c r="G22" s="65" t="s">
        <v>206</v>
      </c>
      <c r="H22" s="82">
        <f ca="1">INDEX(INDIRECT($H$52&amp;"!B:B"), MATCH(0, INDIRECT($H$52&amp;"!A:A"), 0))</f>
        <v>156.863</v>
      </c>
      <c r="I22" s="105"/>
      <c r="K22" s="55">
        <f t="shared" si="0"/>
        <v>22</v>
      </c>
      <c r="L22" s="97" t="s">
        <v>448</v>
      </c>
      <c r="M22" s="106" t="s">
        <v>169</v>
      </c>
      <c r="N22" s="54">
        <f>($N$19+$N$20)/2</f>
        <v>8902.5016944969193</v>
      </c>
      <c r="P22" s="62" t="s">
        <v>137</v>
      </c>
      <c r="Q22" s="81">
        <f>$C$24/$C$22+1</f>
        <v>6</v>
      </c>
    </row>
    <row r="23" spans="1:18" x14ac:dyDescent="0.4">
      <c r="A23" s="55" t="s">
        <v>384</v>
      </c>
      <c r="B23" s="66" t="s">
        <v>472</v>
      </c>
      <c r="C23" s="67">
        <v>102</v>
      </c>
      <c r="F23" s="61" t="s">
        <v>165</v>
      </c>
      <c r="G23" s="65" t="s">
        <v>206</v>
      </c>
      <c r="H23" s="82">
        <f>$C$39/2-$C$38+$C$30</f>
        <v>77.799999999999983</v>
      </c>
      <c r="I23" s="104"/>
      <c r="K23" s="55">
        <f t="shared" si="0"/>
        <v>23</v>
      </c>
      <c r="L23" s="97" t="s">
        <v>253</v>
      </c>
      <c r="M23" s="106" t="s">
        <v>168</v>
      </c>
      <c r="N23" s="54">
        <f>$C$15+$C$16/2</f>
        <v>16.075000000000003</v>
      </c>
      <c r="P23" s="62" t="s">
        <v>148</v>
      </c>
      <c r="Q23" s="62">
        <f ca="1">DEGREES($N$54)</f>
        <v>859.43669269623479</v>
      </c>
    </row>
    <row r="24" spans="1:18" x14ac:dyDescent="0.4">
      <c r="A24" s="55" t="s">
        <v>385</v>
      </c>
      <c r="B24" s="66" t="s">
        <v>473</v>
      </c>
      <c r="C24" s="67">
        <v>85</v>
      </c>
      <c r="F24" s="61" t="s">
        <v>186</v>
      </c>
      <c r="G24" s="65" t="s">
        <v>206</v>
      </c>
      <c r="H24" s="82">
        <f ca="1">-$N$13*$N$6+$N$21+$H$22/2+$C$38-$C$39/2</f>
        <v>-11.203906231671795</v>
      </c>
      <c r="I24" s="82">
        <f ca="1">$C$63+H24</f>
        <v>-561.2229062316718</v>
      </c>
      <c r="K24" s="55">
        <f t="shared" si="0"/>
        <v>24</v>
      </c>
      <c r="L24" s="97" t="s">
        <v>254</v>
      </c>
      <c r="M24" s="106" t="s">
        <v>123</v>
      </c>
      <c r="N24" s="54">
        <f>C4-Q16</f>
        <v>383.92500000000001</v>
      </c>
      <c r="P24" s="62" t="s">
        <v>149</v>
      </c>
      <c r="Q24" s="62">
        <f ca="1">Q9*$N$95+Q2*$N$62</f>
        <v>-70046.624280368822</v>
      </c>
    </row>
    <row r="25" spans="1:18" x14ac:dyDescent="0.4">
      <c r="A25" s="55" t="s">
        <v>226</v>
      </c>
      <c r="B25" s="66" t="s">
        <v>135</v>
      </c>
      <c r="C25" s="83">
        <v>6</v>
      </c>
      <c r="F25" s="61" t="s">
        <v>187</v>
      </c>
      <c r="G25" s="65" t="s">
        <v>203</v>
      </c>
      <c r="H25" s="82">
        <f>$H$3-$C$40</f>
        <v>468.01603829462465</v>
      </c>
      <c r="I25" s="82">
        <f>$C$64+H25</f>
        <v>-681.95796170537528</v>
      </c>
      <c r="K25" s="55">
        <f t="shared" si="0"/>
        <v>25</v>
      </c>
      <c r="L25" s="97" t="s">
        <v>449</v>
      </c>
      <c r="M25" s="106" t="s">
        <v>124</v>
      </c>
      <c r="N25" s="54">
        <f>SQRT($C$3^2-$N$24^2)</f>
        <v>8914.4364311141399</v>
      </c>
      <c r="P25" s="62" t="s">
        <v>150</v>
      </c>
      <c r="Q25" s="62">
        <f ca="1">-Q$9*$N$62+Q$2*$N$95</f>
        <v>4500581.5260234261</v>
      </c>
    </row>
    <row r="26" spans="1:18" x14ac:dyDescent="0.4">
      <c r="B26" s="66" t="s">
        <v>305</v>
      </c>
      <c r="C26" s="71">
        <v>32</v>
      </c>
      <c r="F26" s="61" t="s">
        <v>188</v>
      </c>
      <c r="G26" s="65" t="s">
        <v>203</v>
      </c>
      <c r="H26" s="82">
        <f>$H$4-$C$37</f>
        <v>474.98396170537535</v>
      </c>
      <c r="I26" s="82">
        <f>$C$64+H26</f>
        <v>-674.99003829462458</v>
      </c>
      <c r="K26" s="55">
        <f t="shared" si="0"/>
        <v>26</v>
      </c>
      <c r="L26" s="97" t="s">
        <v>450</v>
      </c>
      <c r="M26" s="106" t="s">
        <v>172</v>
      </c>
      <c r="N26" s="54">
        <f>SQRT($N$11^2-$N$24^2)</f>
        <v>9007.0212964317452</v>
      </c>
    </row>
    <row r="27" spans="1:18" x14ac:dyDescent="0.4">
      <c r="B27" s="66" t="s">
        <v>298</v>
      </c>
      <c r="C27" s="71">
        <v>3</v>
      </c>
      <c r="H27" s="57"/>
      <c r="I27" s="57"/>
      <c r="K27" s="55">
        <f t="shared" si="0"/>
        <v>27</v>
      </c>
      <c r="L27" s="97" t="s">
        <v>451</v>
      </c>
      <c r="M27" s="106" t="s">
        <v>173</v>
      </c>
      <c r="N27" s="54">
        <f>SQRT($N$10^2-$N$24^2)</f>
        <v>8821.8497852987166</v>
      </c>
      <c r="P27" s="54"/>
    </row>
    <row r="28" spans="1:18" x14ac:dyDescent="0.4">
      <c r="B28" s="73"/>
      <c r="C28" s="74"/>
      <c r="F28" s="77" t="s">
        <v>191</v>
      </c>
      <c r="G28" s="79"/>
      <c r="H28" s="80"/>
      <c r="I28" s="80"/>
      <c r="K28" s="55">
        <f t="shared" si="0"/>
        <v>28</v>
      </c>
      <c r="L28" s="97" t="s">
        <v>463</v>
      </c>
      <c r="M28" s="106" t="s">
        <v>468</v>
      </c>
      <c r="N28" s="54">
        <f>$C$5-$C$48</f>
        <v>590</v>
      </c>
      <c r="P28" s="54"/>
    </row>
    <row r="29" spans="1:18" x14ac:dyDescent="0.4">
      <c r="B29" s="77" t="s">
        <v>299</v>
      </c>
      <c r="C29" s="80"/>
      <c r="F29" s="61" t="s">
        <v>118</v>
      </c>
      <c r="G29" s="65" t="s">
        <v>203</v>
      </c>
      <c r="H29" s="82">
        <f>$H$3-$C$15</f>
        <v>487.96603829462464</v>
      </c>
      <c r="I29" s="82">
        <f>$C$64+H29</f>
        <v>-662.00796170537524</v>
      </c>
      <c r="K29" s="55">
        <f t="shared" si="0"/>
        <v>29</v>
      </c>
      <c r="L29" s="97" t="s">
        <v>464</v>
      </c>
      <c r="M29" s="106" t="s">
        <v>469</v>
      </c>
      <c r="N29" s="54">
        <f>SQRT($C$3^2-$N$28^2)</f>
        <v>8903.1722037709678</v>
      </c>
    </row>
    <row r="30" spans="1:18" x14ac:dyDescent="0.4">
      <c r="A30" s="55" t="s">
        <v>300</v>
      </c>
      <c r="B30" s="66" t="s">
        <v>100</v>
      </c>
      <c r="C30" s="67">
        <v>7.0000000000000007E-2</v>
      </c>
      <c r="F30" s="61" t="s">
        <v>179</v>
      </c>
      <c r="G30" s="65" t="s">
        <v>203</v>
      </c>
      <c r="H30" s="82">
        <f>$H$29-$C$16</f>
        <v>479.91603829462463</v>
      </c>
      <c r="I30" s="82">
        <f>$C$64+H30</f>
        <v>-670.05796170537531</v>
      </c>
      <c r="K30" s="55">
        <f t="shared" si="0"/>
        <v>30</v>
      </c>
      <c r="L30" s="97" t="s">
        <v>257</v>
      </c>
      <c r="M30" s="106" t="str">
        <f>IF($C$25&gt;=3, "振分中心-内面溝1列目間距離", "-")</f>
        <v>振分中心-内面溝1列目間距離</v>
      </c>
      <c r="N30" s="96">
        <f>$C$4-$C$20</f>
        <v>310</v>
      </c>
    </row>
    <row r="31" spans="1:18" x14ac:dyDescent="0.4">
      <c r="B31" s="66" t="s">
        <v>301</v>
      </c>
      <c r="C31" s="91" t="s">
        <v>302</v>
      </c>
      <c r="F31" s="61" t="s">
        <v>166</v>
      </c>
      <c r="G31" s="65" t="s">
        <v>203</v>
      </c>
      <c r="H31" s="82">
        <f>$H$3-$N$23</f>
        <v>483.94103829462466</v>
      </c>
      <c r="I31" s="82">
        <f>$C$64+H31</f>
        <v>-666.03296170537533</v>
      </c>
      <c r="K31" s="55">
        <f t="shared" si="0"/>
        <v>31</v>
      </c>
      <c r="L31" s="97" t="s">
        <v>313</v>
      </c>
      <c r="M31" s="106" t="str">
        <f>IF($C$25&gt;=4, "振分中心-内面溝2列目間距離", "-")</f>
        <v>振分中心-内面溝2列目間距離</v>
      </c>
      <c r="N31" s="96">
        <f>IF($C$25&gt;=4,$N$30-1*$C$21, "-")</f>
        <v>290</v>
      </c>
    </row>
    <row r="32" spans="1:18" x14ac:dyDescent="0.4">
      <c r="F32" s="62" t="s">
        <v>167</v>
      </c>
      <c r="G32" s="82" t="s">
        <v>206</v>
      </c>
      <c r="H32" s="82">
        <f>$N$25-$N$15</f>
        <v>0.70683627001562854</v>
      </c>
      <c r="K32" s="55">
        <f t="shared" si="0"/>
        <v>32</v>
      </c>
      <c r="L32" s="97" t="s">
        <v>314</v>
      </c>
      <c r="M32" s="106" t="str">
        <f>IF($C$25&gt;=5, "振分中心-内面溝3列目間距離", "-")</f>
        <v>振分中心-内面溝3列目間距離</v>
      </c>
      <c r="N32" s="96">
        <f>IF($C$25&gt;=5,$N$30-2*$C$21, "-")</f>
        <v>270</v>
      </c>
    </row>
    <row r="33" spans="2:16" x14ac:dyDescent="0.4">
      <c r="B33" s="56" t="s">
        <v>193</v>
      </c>
      <c r="F33" s="62" t="s">
        <v>131</v>
      </c>
      <c r="G33" s="82" t="s">
        <v>206</v>
      </c>
      <c r="H33" s="82">
        <f>$N$25-$N$13*$N$6</f>
        <v>-11.197603372376761</v>
      </c>
      <c r="I33" s="82">
        <f>$C$63+H33</f>
        <v>-561.21660337237677</v>
      </c>
      <c r="K33" s="55">
        <f t="shared" si="0"/>
        <v>33</v>
      </c>
      <c r="L33" s="97" t="s">
        <v>315</v>
      </c>
      <c r="M33" s="106" t="str">
        <f>IF($C$25&gt;=6, "振分中心-内面溝4列目間距離", "-")</f>
        <v>振分中心-内面溝4列目間距離</v>
      </c>
      <c r="N33" s="96">
        <f>IF($C$25&gt;=6,$N$30-3*$C$21, "-")</f>
        <v>250</v>
      </c>
    </row>
    <row r="34" spans="2:16" x14ac:dyDescent="0.4">
      <c r="B34" s="66" t="s">
        <v>101</v>
      </c>
      <c r="C34" s="85">
        <v>13.82</v>
      </c>
      <c r="F34" s="62" t="s">
        <v>126</v>
      </c>
      <c r="G34" s="82" t="s">
        <v>206</v>
      </c>
      <c r="H34" s="82">
        <f ca="1">$H$21</f>
        <v>-11.287339989597314</v>
      </c>
      <c r="I34" s="82">
        <f ca="1">$C$63+H34</f>
        <v>-561.30633998959729</v>
      </c>
      <c r="K34" s="55">
        <f t="shared" si="0"/>
        <v>34</v>
      </c>
      <c r="L34" s="97" t="s">
        <v>317</v>
      </c>
      <c r="M34" s="106" t="str">
        <f>IF($C$25&gt;=7, "振分中心-内面溝5列目間距離", "-")</f>
        <v>-</v>
      </c>
      <c r="N34" s="96" t="str">
        <f>IF($C$25&gt;=7,$N$30-4*$C$21, "-")</f>
        <v>-</v>
      </c>
    </row>
    <row r="35" spans="2:16" x14ac:dyDescent="0.4">
      <c r="B35" s="66" t="s">
        <v>282</v>
      </c>
      <c r="C35" s="85">
        <v>180.95</v>
      </c>
      <c r="F35" s="62" t="s">
        <v>209</v>
      </c>
      <c r="G35" s="82" t="s">
        <v>206</v>
      </c>
      <c r="H35" s="82">
        <f>$N$26-$C$17-$C$13/2-$N$13</f>
        <v>-11.759084462064493</v>
      </c>
      <c r="I35" s="82">
        <f>$C$63+H35</f>
        <v>-561.7780844620645</v>
      </c>
      <c r="K35" s="55">
        <f t="shared" si="0"/>
        <v>35</v>
      </c>
      <c r="L35" s="97" t="s">
        <v>316</v>
      </c>
      <c r="M35" s="106" t="str">
        <f>IF($C$25&gt;=8, "振分中心-内面溝6列目間距離", "-")</f>
        <v>-</v>
      </c>
      <c r="N35" s="96" t="str">
        <f>IF($C$25&gt;=8,$N$30-5*$C$21, "-")</f>
        <v>-</v>
      </c>
    </row>
    <row r="36" spans="2:16" x14ac:dyDescent="0.4">
      <c r="B36" s="66" t="s">
        <v>283</v>
      </c>
      <c r="C36" s="85">
        <v>180.95</v>
      </c>
      <c r="F36" s="62" t="s">
        <v>210</v>
      </c>
      <c r="G36" s="82" t="s">
        <v>206</v>
      </c>
      <c r="H36" s="82">
        <f>$C$17+$C$13/2</f>
        <v>92.585999999999999</v>
      </c>
      <c r="K36" s="55">
        <f t="shared" si="0"/>
        <v>36</v>
      </c>
      <c r="L36" s="97" t="s">
        <v>261</v>
      </c>
      <c r="M36" s="106" t="s">
        <v>234</v>
      </c>
      <c r="N36" s="96">
        <f>$N$30-($C$25-2)*$C$21</f>
        <v>230</v>
      </c>
    </row>
    <row r="37" spans="2:16" x14ac:dyDescent="0.4">
      <c r="B37" s="66" t="s">
        <v>177</v>
      </c>
      <c r="C37" s="85">
        <v>25</v>
      </c>
      <c r="F37" s="62" t="s">
        <v>171</v>
      </c>
      <c r="G37" s="82" t="s">
        <v>206</v>
      </c>
      <c r="H37" s="82">
        <f ca="1">$H$24</f>
        <v>-11.203906231671795</v>
      </c>
      <c r="I37" s="82">
        <f ca="1">$C$63+H37</f>
        <v>-561.2229062316718</v>
      </c>
      <c r="K37" s="55">
        <f t="shared" si="0"/>
        <v>37</v>
      </c>
      <c r="L37" s="97" t="s">
        <v>260</v>
      </c>
      <c r="M37" s="106" t="s">
        <v>233</v>
      </c>
      <c r="N37" s="96">
        <f>$N$30-($C$25-1)*$C$21</f>
        <v>210</v>
      </c>
    </row>
    <row r="38" spans="2:16" x14ac:dyDescent="0.4">
      <c r="B38" s="66" t="s">
        <v>105</v>
      </c>
      <c r="C38" s="85">
        <f>12.745</f>
        <v>12.744999999999999</v>
      </c>
      <c r="F38" s="54"/>
      <c r="G38" s="57"/>
      <c r="H38" s="57"/>
      <c r="I38" s="57"/>
      <c r="K38" s="55">
        <f t="shared" si="0"/>
        <v>38</v>
      </c>
      <c r="L38" s="97" t="s">
        <v>258</v>
      </c>
      <c r="M38" s="106" t="str">
        <f>IF($C$25&gt;=3,"λj ≦ q &lt; λj+1 の λj", "-")</f>
        <v>λj ≦ q &lt; λj+1 の λj</v>
      </c>
      <c r="N38" s="96">
        <f ca="1">IF($C$25&gt;=3,LOOKUP($C$20,INDIRECT($H$52&amp;"!$A:$A")),"-")</f>
        <v>75</v>
      </c>
    </row>
    <row r="39" spans="2:16" x14ac:dyDescent="0.4">
      <c r="B39" s="66" t="s">
        <v>465</v>
      </c>
      <c r="C39" s="85">
        <v>180.95</v>
      </c>
      <c r="F39" s="84" t="s">
        <v>207</v>
      </c>
      <c r="G39" s="57"/>
      <c r="H39" s="57"/>
      <c r="I39" s="57"/>
      <c r="K39" s="55">
        <f t="shared" si="0"/>
        <v>39</v>
      </c>
      <c r="L39" s="97" t="s">
        <v>318</v>
      </c>
      <c r="M39" s="106" t="str">
        <f>IF($C$25&gt;=4,"λj ≦ q+pz &lt; λj+1 の λj", "-")</f>
        <v>λj ≦ q+pz &lt; λj+1 の λj</v>
      </c>
      <c r="N39" s="96">
        <f ca="1">IF($C$25&gt;=4,LOOKUP($C$20+$C$21, INDIRECT($H$52&amp;"!$A:$A")),"-")</f>
        <v>100</v>
      </c>
    </row>
    <row r="40" spans="2:16" x14ac:dyDescent="0.4">
      <c r="B40" s="66" t="s">
        <v>176</v>
      </c>
      <c r="C40" s="85">
        <v>32</v>
      </c>
      <c r="F40" s="62" t="s">
        <v>181</v>
      </c>
      <c r="G40" s="82" t="s">
        <v>203</v>
      </c>
      <c r="H40" s="82">
        <f>$H$3-$C$52</f>
        <v>499.01603829462465</v>
      </c>
      <c r="I40" s="82">
        <f>$C$64+H40</f>
        <v>-650.95796170537528</v>
      </c>
      <c r="K40" s="55">
        <f t="shared" si="0"/>
        <v>40</v>
      </c>
      <c r="L40" s="97" t="s">
        <v>320</v>
      </c>
      <c r="M40" s="106" t="str">
        <f>IF($C$25&gt;=5,"λj ≦ q+2pz &lt; λj+1 の λj", "-")</f>
        <v>λj ≦ q+2pz &lt; λj+1 の λj</v>
      </c>
      <c r="N40" s="96">
        <f ca="1">IF($C$25&gt;=5,LOOKUP($C$20+2*$C$21, INDIRECT($H$52&amp;"!$A:$A")),"-")</f>
        <v>125</v>
      </c>
      <c r="P40" s="54"/>
    </row>
    <row r="41" spans="2:16" x14ac:dyDescent="0.4">
      <c r="F41" s="62" t="s">
        <v>180</v>
      </c>
      <c r="G41" s="82" t="s">
        <v>203</v>
      </c>
      <c r="H41" s="82">
        <f>$H$3-$C$54</f>
        <v>499.51603829462465</v>
      </c>
      <c r="I41" s="82">
        <f>$C$64+H41</f>
        <v>-650.45796170537528</v>
      </c>
      <c r="K41" s="55">
        <f t="shared" si="0"/>
        <v>41</v>
      </c>
      <c r="L41" s="97" t="s">
        <v>322</v>
      </c>
      <c r="M41" s="106" t="str">
        <f>IF($C$25&gt;=6,"λj ≦ q+3pz &lt; λj+1 の λj", "-")</f>
        <v>λj ≦ q+3pz &lt; λj+1 の λj</v>
      </c>
      <c r="N41" s="96">
        <f ca="1">IF($C$25&gt;=6,LOOKUP($C$20+3*$C$21, INDIRECT($H$52&amp;"!$A:$A")),"-")</f>
        <v>150</v>
      </c>
    </row>
    <row r="42" spans="2:16" x14ac:dyDescent="0.4">
      <c r="B42" s="56" t="s">
        <v>194</v>
      </c>
      <c r="F42" s="62" t="s">
        <v>182</v>
      </c>
      <c r="G42" s="82" t="s">
        <v>203</v>
      </c>
      <c r="H42" s="82">
        <f>$H$4-$C$46</f>
        <v>495.98396170537535</v>
      </c>
      <c r="I42" s="82">
        <f>$C$64+H42</f>
        <v>-653.99003829462458</v>
      </c>
      <c r="K42" s="55">
        <f t="shared" si="0"/>
        <v>42</v>
      </c>
      <c r="L42" s="97" t="s">
        <v>323</v>
      </c>
      <c r="M42" s="106" t="str">
        <f>IF($C$25&gt;=7,"λj ≦ q+4pz &lt; λj+1 の λj", "-")</f>
        <v>-</v>
      </c>
      <c r="N42" s="96" t="str">
        <f ca="1">IF($C$25&gt;=7,LOOKUP($C$20+4*$C$21, INDIRECT($H$52&amp;"!$A:$A")),"-")</f>
        <v>-</v>
      </c>
    </row>
    <row r="43" spans="2:16" x14ac:dyDescent="0.4">
      <c r="B43" s="66" t="s">
        <v>102</v>
      </c>
      <c r="C43" s="85">
        <v>11</v>
      </c>
      <c r="F43" s="62" t="s">
        <v>183</v>
      </c>
      <c r="G43" s="82" t="s">
        <v>203</v>
      </c>
      <c r="H43" s="82">
        <f>$H$4-$C$48</f>
        <v>489.98396170537535</v>
      </c>
      <c r="I43" s="82">
        <f>$C$64+H43</f>
        <v>-659.99003829462458</v>
      </c>
      <c r="K43" s="55">
        <f t="shared" si="0"/>
        <v>43</v>
      </c>
      <c r="L43" s="97" t="s">
        <v>324</v>
      </c>
      <c r="M43" s="106" t="str">
        <f>IF($C$25&gt;=8,"λj ≦ q+5pz &lt; λj+1 の λj", "-")</f>
        <v>-</v>
      </c>
      <c r="N43" s="96" t="str">
        <f ca="1">IF($C$25&gt;=8,LOOKUP($C$20+5*$C$21, INDIRECT($H$52&amp;"!$A:$A")),"-")</f>
        <v>-</v>
      </c>
    </row>
    <row r="44" spans="2:16" x14ac:dyDescent="0.4">
      <c r="F44" s="62" t="s">
        <v>452</v>
      </c>
      <c r="G44" s="82" t="s">
        <v>206</v>
      </c>
      <c r="H44" s="82"/>
      <c r="I44" s="105"/>
      <c r="K44" s="55">
        <f t="shared" si="0"/>
        <v>44</v>
      </c>
      <c r="L44" s="97" t="s">
        <v>326</v>
      </c>
      <c r="M44" s="106" t="s">
        <v>328</v>
      </c>
      <c r="N44" s="54">
        <f ca="1">LOOKUP($C$20+($C$25-2)*$C$21, INDIRECT($H$52&amp;"!$A:$A"))</f>
        <v>150</v>
      </c>
    </row>
    <row r="45" spans="2:16" x14ac:dyDescent="0.4">
      <c r="B45" s="56" t="s">
        <v>466</v>
      </c>
      <c r="F45" s="62" t="s">
        <v>189</v>
      </c>
      <c r="G45" s="82" t="s">
        <v>206</v>
      </c>
      <c r="H45" s="82">
        <f>$N$29-$N$18</f>
        <v>0.66832620933018916</v>
      </c>
      <c r="I45" s="103"/>
      <c r="K45" s="55">
        <f t="shared" si="0"/>
        <v>45</v>
      </c>
      <c r="L45" s="97" t="s">
        <v>325</v>
      </c>
      <c r="M45" s="106" t="s">
        <v>327</v>
      </c>
      <c r="N45" s="54">
        <f ca="1">LOOKUP($C$20+($C$25-1)*$C$21, INDIRECT($H$52&amp;"!$A:$A"))</f>
        <v>175</v>
      </c>
    </row>
    <row r="46" spans="2:16" x14ac:dyDescent="0.4">
      <c r="B46" s="66" t="s">
        <v>213</v>
      </c>
      <c r="C46" s="67">
        <v>4</v>
      </c>
      <c r="F46" s="76"/>
      <c r="G46" s="74"/>
      <c r="H46" s="74"/>
      <c r="I46" s="57"/>
      <c r="K46" s="55">
        <f t="shared" si="0"/>
        <v>46</v>
      </c>
      <c r="L46" s="97" t="s">
        <v>259</v>
      </c>
      <c r="M46" s="106" t="str">
        <f>IF($C$25&gt;=3,"λj ≦ q &lt; λj+1 の λj+1", "-")</f>
        <v>λj ≦ q &lt; λj+1 の λj+1</v>
      </c>
      <c r="N46" s="54" cm="1">
        <f t="array" aca="1" ref="N46" ca="1">IF($C$25&gt;=3, INDEX(INDIRECT($H$52&amp;"!$A:$A"), MATCH($N38, INDIRECT($H$52&amp;"!$A:$A"), 0) +1),"-")</f>
        <v>100</v>
      </c>
    </row>
    <row r="47" spans="2:16" x14ac:dyDescent="0.4">
      <c r="B47" s="66" t="s">
        <v>214</v>
      </c>
      <c r="C47" s="67">
        <v>15</v>
      </c>
      <c r="F47" s="86" t="s">
        <v>192</v>
      </c>
      <c r="G47" s="80"/>
      <c r="H47" s="80"/>
      <c r="K47" s="55">
        <f t="shared" si="0"/>
        <v>47</v>
      </c>
      <c r="L47" s="97" t="s">
        <v>319</v>
      </c>
      <c r="M47" s="106" t="str">
        <f>IF($C$25&gt;=4,"λj ≦ q+pz &lt; λj+1 の λj+1", "-")</f>
        <v>λj ≦ q+pz &lt; λj+1 の λj+1</v>
      </c>
      <c r="N47" s="96" cm="1">
        <f t="array" aca="1" ref="N47" ca="1">IF($C$25&gt;=4, INDEX(INDIRECT($H$52&amp;"!$A:$A"), MATCH($N39, INDIRECT($H$52&amp;"!$A:$A"), 0) +1),"-")</f>
        <v>125</v>
      </c>
    </row>
    <row r="48" spans="2:16" x14ac:dyDescent="0.4">
      <c r="B48" s="66" t="s">
        <v>215</v>
      </c>
      <c r="C48" s="67">
        <v>10</v>
      </c>
      <c r="E48" s="55" t="s">
        <v>335</v>
      </c>
      <c r="F48" s="87" t="s">
        <v>136</v>
      </c>
      <c r="G48" s="88" t="s">
        <v>197</v>
      </c>
      <c r="H48" s="100">
        <f>$C$23/$C$22+1</f>
        <v>7</v>
      </c>
      <c r="K48" s="55">
        <f t="shared" si="0"/>
        <v>48</v>
      </c>
      <c r="L48" s="97" t="s">
        <v>321</v>
      </c>
      <c r="M48" s="106" t="str">
        <f>IF($C$25&gt;=5,"λj ≦ q+2pz &lt; λj+1 の λj+1", "-")</f>
        <v>λj ≦ q+2pz &lt; λj+1 の λj+1</v>
      </c>
      <c r="N48" s="96" cm="1">
        <f t="array" aca="1" ref="N48" ca="1">IF($C$25&gt;=5, INDEX(INDIRECT($H$52&amp;"!$A:$A"), MATCH($N40, INDIRECT($H$52&amp;"!$A:$A"), 0) +1),"-")</f>
        <v>150</v>
      </c>
    </row>
    <row r="49" spans="1:14" x14ac:dyDescent="0.4">
      <c r="B49" s="66" t="s">
        <v>216</v>
      </c>
      <c r="C49" s="67">
        <v>15</v>
      </c>
      <c r="E49" s="55" t="s">
        <v>336</v>
      </c>
      <c r="F49" s="62" t="s">
        <v>137</v>
      </c>
      <c r="G49" s="82" t="s">
        <v>197</v>
      </c>
      <c r="H49" s="101">
        <f>$C$24/$C$22+1</f>
        <v>6</v>
      </c>
      <c r="K49" s="55">
        <f t="shared" si="0"/>
        <v>49</v>
      </c>
      <c r="L49" s="97" t="s">
        <v>329</v>
      </c>
      <c r="M49" s="106" t="str">
        <f>IF($C$25&gt;=6,"λj ≦ q+3pz &lt; λj+1 の λj+1", "-")</f>
        <v>λj ≦ q+3pz &lt; λj+1 の λj+1</v>
      </c>
      <c r="N49" s="96" cm="1">
        <f t="array" aca="1" ref="N49" ca="1">IF($C$25&gt;=6, INDEX(INDIRECT($H$52&amp;"!$A:$A"), MATCH($N41, INDIRECT($H$52&amp;"!$A:$A"), 0) +1),"-")</f>
        <v>175</v>
      </c>
    </row>
    <row r="50" spans="1:14" x14ac:dyDescent="0.4">
      <c r="F50" s="62" t="s">
        <v>308</v>
      </c>
      <c r="G50" s="82" t="s">
        <v>197</v>
      </c>
      <c r="H50" s="101">
        <f>_xlfn.CEILING.MATH($C$25/2)</f>
        <v>3</v>
      </c>
      <c r="K50" s="55">
        <f t="shared" si="0"/>
        <v>50</v>
      </c>
      <c r="L50" s="97" t="s">
        <v>330</v>
      </c>
      <c r="M50" s="106" t="str">
        <f>IF($C$25&gt;=7,"λj ≦ q+4pz &lt; λj+1 の λj+1", "-")</f>
        <v>-</v>
      </c>
      <c r="N50" s="96" t="str" cm="1">
        <f t="array" aca="1" ref="N50" ca="1">IF($C$25&gt;=7, INDEX(INDIRECT($H$52&amp;"!$A:$A"), MATCH($N42, INDIRECT($H$52&amp;"!$A:$A"), 0) +1),"-")</f>
        <v>-</v>
      </c>
    </row>
    <row r="51" spans="1:14" x14ac:dyDescent="0.4">
      <c r="B51" s="56" t="s">
        <v>467</v>
      </c>
      <c r="F51" s="62" t="s">
        <v>309</v>
      </c>
      <c r="G51" s="82" t="s">
        <v>197</v>
      </c>
      <c r="H51" s="101">
        <f>QUOTIENT($C$25,2)</f>
        <v>3</v>
      </c>
      <c r="K51" s="55">
        <f t="shared" si="0"/>
        <v>51</v>
      </c>
      <c r="L51" s="97" t="s">
        <v>331</v>
      </c>
      <c r="M51" s="106" t="str">
        <f>IF($C$25&gt;=8,"λj ≦ q+5pz &lt; λj+1 の λj+1", "-")</f>
        <v>-</v>
      </c>
      <c r="N51" s="96" t="str" cm="1">
        <f t="array" aca="1" ref="N51" ca="1">IF($C$25&gt;=8, INDEX(INDIRECT($H$52&amp;"!$A:$A"), MATCH($N43, INDIRECT($H$52&amp;"!$A:$A"), 0) +1),"-")</f>
        <v>-</v>
      </c>
    </row>
    <row r="52" spans="1:14" x14ac:dyDescent="0.4">
      <c r="B52" s="66" t="s">
        <v>217</v>
      </c>
      <c r="C52" s="67">
        <v>1</v>
      </c>
      <c r="F52" s="62" t="s">
        <v>301</v>
      </c>
      <c r="G52" s="82" t="s">
        <v>197</v>
      </c>
      <c r="H52" s="82" t="str">
        <f>IF(ISNUMBER(VALUE(LEFT($C$31, 1))), TEXT($C$31, "00000"), LEFT($C$31, 1) &amp; TEXT(MID($C$31, 2, LEN($C$31) - 1), "00000"))</f>
        <v>e00937</v>
      </c>
      <c r="K52" s="55">
        <f t="shared" si="0"/>
        <v>52</v>
      </c>
      <c r="L52" s="97" t="s">
        <v>332</v>
      </c>
      <c r="M52" s="106" t="s">
        <v>334</v>
      </c>
      <c r="N52" s="96" cm="1">
        <f t="array" aca="1" ref="N52" ca="1">INDEX(INDIRECT($H$52&amp;"!$A:$A"), MATCH($N44, INDIRECT($H$52&amp;"!$A:$A"), 0) +1)</f>
        <v>175</v>
      </c>
    </row>
    <row r="53" spans="1:14" x14ac:dyDescent="0.4">
      <c r="B53" s="66" t="s">
        <v>218</v>
      </c>
      <c r="C53" s="67">
        <v>45</v>
      </c>
      <c r="F53" s="84" t="s">
        <v>471</v>
      </c>
      <c r="K53" s="55">
        <f t="shared" si="0"/>
        <v>53</v>
      </c>
      <c r="L53" s="97" t="s">
        <v>333</v>
      </c>
      <c r="M53" s="106" t="s">
        <v>227</v>
      </c>
      <c r="N53" s="96" cm="1">
        <f t="array" aca="1" ref="N53" ca="1">INDEX(INDIRECT($H$52&amp;"!$A:$A"), MATCH($N45, INDIRECT($H$52&amp;"!$A:$A"), 0) +1)</f>
        <v>200</v>
      </c>
    </row>
    <row r="54" spans="1:14" x14ac:dyDescent="0.4">
      <c r="B54" s="66" t="s">
        <v>219</v>
      </c>
      <c r="C54" s="67">
        <v>0.5</v>
      </c>
      <c r="E54" s="55" t="s">
        <v>381</v>
      </c>
      <c r="F54" s="62" t="str">
        <f>IF($C$25&gt;=3,"内面溝1列目-トップ端 湾曲中心間X距離", "-")</f>
        <v>内面溝1列目-トップ端 湾曲中心間X距離</v>
      </c>
      <c r="G54" s="65" t="s">
        <v>206</v>
      </c>
      <c r="H54" s="82">
        <f>IF($C$25&gt;=$C$66-5,$N$70-$N$15, "-")</f>
        <v>3.5836378510248323</v>
      </c>
      <c r="K54" s="55">
        <f t="shared" si="0"/>
        <v>54</v>
      </c>
      <c r="L54" s="97" t="s">
        <v>228</v>
      </c>
      <c r="M54" s="106" t="str">
        <f>IF($C$25&gt;=3,"q-λj","")</f>
        <v>q-λj</v>
      </c>
      <c r="N54" s="96">
        <f ca="1">IF($C$25&gt;=3,$C$20-$N$38, "-")</f>
        <v>15</v>
      </c>
    </row>
    <row r="55" spans="1:14" ht="16.5" x14ac:dyDescent="0.4">
      <c r="B55" s="66" t="s">
        <v>212</v>
      </c>
      <c r="C55" s="67">
        <v>45</v>
      </c>
      <c r="E55" s="55" t="s">
        <v>382</v>
      </c>
      <c r="F55" s="62" t="str">
        <f>IF($C$25&gt;=4,"内面溝2列目-トップ端 湾曲中心間X距離", "-")</f>
        <v>内面溝2列目-トップ端 湾曲中心間X距離</v>
      </c>
      <c r="G55" s="65" t="s">
        <v>206</v>
      </c>
      <c r="H55" s="82">
        <f>IF($C$25&gt;=$C66-4,$N$71-$N$15, "-")</f>
        <v>4.2564608749580657</v>
      </c>
      <c r="K55" s="55">
        <f t="shared" si="0"/>
        <v>55</v>
      </c>
      <c r="L55" s="97" t="s">
        <v>337</v>
      </c>
      <c r="M55" s="106" t="str">
        <f>IF($C$25&gt;=4,"q+pz-λj","")</f>
        <v>q+pz-λj</v>
      </c>
      <c r="N55" s="96">
        <f ca="1">IF($C$25&gt;=4,$C$20+$C$21-$N$39, "-")</f>
        <v>10</v>
      </c>
    </row>
    <row r="56" spans="1:14" x14ac:dyDescent="0.4">
      <c r="F56" s="62" t="str">
        <f>IF($C$25&gt;=5,"内面溝3列目-トップ端 湾曲中心間X距離", "-")</f>
        <v>内面溝3列目-トップ端 湾曲中心間X距離</v>
      </c>
      <c r="G56" s="65" t="s">
        <v>206</v>
      </c>
      <c r="H56" s="82">
        <f>IF($C$25&gt;=$C$66-3,$N$72-$N$15, "-")</f>
        <v>4.8843832356542407</v>
      </c>
      <c r="K56" s="55">
        <f t="shared" si="0"/>
        <v>56</v>
      </c>
      <c r="L56" s="97" t="s">
        <v>338</v>
      </c>
      <c r="M56" s="106" t="str">
        <f>IF($C$25&gt;=5,"q+2pz-λj","")</f>
        <v>q+2pz-λj</v>
      </c>
      <c r="N56" s="96">
        <f ca="1">IF($C$25&gt;=5,$C$20+2*$C$21-$N$40, "-")</f>
        <v>5</v>
      </c>
    </row>
    <row r="57" spans="1:14" x14ac:dyDescent="0.4">
      <c r="B57" s="77" t="s">
        <v>211</v>
      </c>
      <c r="C57" s="80"/>
      <c r="F57" s="62" t="str">
        <f>IF($C$25&gt;=6,"内面溝4列目-トップ端 湾曲中心間X距離", "-")</f>
        <v>内面溝4列目-トップ端 湾曲中心間X距離</v>
      </c>
      <c r="G57" s="65" t="s">
        <v>206</v>
      </c>
      <c r="H57" s="82">
        <f>IF($C$25&gt;=$C$66-2,$N$73-$N$15, "-")</f>
        <v>5.4674144162945595</v>
      </c>
      <c r="K57" s="55">
        <f t="shared" si="0"/>
        <v>57</v>
      </c>
      <c r="L57" s="97" t="s">
        <v>339</v>
      </c>
      <c r="M57" s="106" t="str">
        <f>IF($C$25&gt;=6,"q+3pz-λj","")</f>
        <v>q+3pz-λj</v>
      </c>
      <c r="N57" s="96">
        <f ca="1">IF($C$25&gt;=6,$C$20+3*$C$21-$N$41, "-")</f>
        <v>0</v>
      </c>
    </row>
    <row r="58" spans="1:14" x14ac:dyDescent="0.4">
      <c r="A58" s="55" t="s">
        <v>28</v>
      </c>
      <c r="B58" s="66" t="s">
        <v>26</v>
      </c>
      <c r="C58" s="71">
        <v>330</v>
      </c>
      <c r="F58" s="62" t="str">
        <f>IF($C$25&gt;=7,"内面溝5列目-トップ端 湾曲中心間X距離", "-")</f>
        <v>-</v>
      </c>
      <c r="G58" s="65" t="s">
        <v>206</v>
      </c>
      <c r="H58" s="82" t="str">
        <f>IF($C$25&gt;=$C66-1,$N$74-$N$15, "-")</f>
        <v>-</v>
      </c>
      <c r="K58" s="55">
        <f t="shared" si="0"/>
        <v>58</v>
      </c>
      <c r="L58" s="97" t="s">
        <v>340</v>
      </c>
      <c r="M58" s="106" t="str">
        <f>IF($C$25&gt;=7,"q+4pz-λj","-")</f>
        <v>-</v>
      </c>
      <c r="N58" s="96" t="str">
        <f>IF($C$25&gt;=7,$C$20+4*$C$21-$N$42, "-")</f>
        <v>-</v>
      </c>
    </row>
    <row r="59" spans="1:14" x14ac:dyDescent="0.4">
      <c r="A59" s="55" t="s">
        <v>29</v>
      </c>
      <c r="B59" s="66" t="s">
        <v>27</v>
      </c>
      <c r="C59" s="71">
        <v>40</v>
      </c>
      <c r="F59" s="62" t="str">
        <f>IF($C$25&gt;=8,"内面溝6列目-トップ端 湾曲中心間X距離", "-")</f>
        <v>-</v>
      </c>
      <c r="G59" s="65" t="s">
        <v>206</v>
      </c>
      <c r="H59" s="82" t="str">
        <f>IF($C$25&gt;=$C66,$N$75-$N$15, "-")</f>
        <v>-</v>
      </c>
      <c r="K59" s="55">
        <f t="shared" si="0"/>
        <v>59</v>
      </c>
      <c r="L59" s="97" t="s">
        <v>341</v>
      </c>
      <c r="M59" s="106" t="str">
        <f>IF($C$25&gt;=8,"q+5pz-λj","-")</f>
        <v>-</v>
      </c>
      <c r="N59" s="96" t="str">
        <f>IF($C$25&gt;=8,$C$20+5*$C$21-$N$43, "-")</f>
        <v>-</v>
      </c>
    </row>
    <row r="60" spans="1:14" x14ac:dyDescent="0.4">
      <c r="A60" s="55" t="s">
        <v>30</v>
      </c>
      <c r="B60" s="66" t="s">
        <v>31</v>
      </c>
      <c r="C60" s="71">
        <v>100</v>
      </c>
      <c r="F60" s="62" t="s">
        <v>350</v>
      </c>
      <c r="G60" s="65" t="s">
        <v>206</v>
      </c>
      <c r="H60" s="82">
        <f>$N$76-$N$15</f>
        <v>6.0055632197072555</v>
      </c>
      <c r="K60" s="55">
        <f t="shared" si="0"/>
        <v>60</v>
      </c>
      <c r="L60" s="97" t="s">
        <v>342</v>
      </c>
      <c r="M60" s="106" t="s">
        <v>342</v>
      </c>
      <c r="N60" s="96">
        <f ca="1">$C$20+($C$25-2)*$C$21-$N$44</f>
        <v>20</v>
      </c>
    </row>
    <row r="61" spans="1:14" x14ac:dyDescent="0.4">
      <c r="A61" s="55" t="s">
        <v>45</v>
      </c>
      <c r="B61" s="66" t="s">
        <v>95</v>
      </c>
      <c r="C61" s="89">
        <v>201.5</v>
      </c>
      <c r="E61" s="55" t="s">
        <v>383</v>
      </c>
      <c r="F61" s="62" t="s">
        <v>349</v>
      </c>
      <c r="G61" s="65" t="s">
        <v>206</v>
      </c>
      <c r="H61" s="82">
        <f>$N$77-$N$15</f>
        <v>6.4988377690224297</v>
      </c>
      <c r="K61" s="55">
        <f t="shared" si="0"/>
        <v>61</v>
      </c>
      <c r="L61" s="97" t="s">
        <v>230</v>
      </c>
      <c r="M61" s="106" t="s">
        <v>230</v>
      </c>
      <c r="N61" s="96">
        <f ca="1">$C$20+($C$25-1)*$C$21-$N$45</f>
        <v>15</v>
      </c>
    </row>
    <row r="62" spans="1:14" x14ac:dyDescent="0.4">
      <c r="B62" s="66" t="s">
        <v>152</v>
      </c>
      <c r="C62" s="89">
        <v>-740</v>
      </c>
      <c r="E62" s="55" t="s">
        <v>426</v>
      </c>
      <c r="F62" s="61" t="str">
        <f>IF($C$25&gt;=3,"（傾き前）1列目Z座標","-")</f>
        <v>（傾き前）1列目Z座標</v>
      </c>
      <c r="G62" s="65" t="s">
        <v>203</v>
      </c>
      <c r="H62" s="112">
        <f>IF($C$25&gt;=3,$H$3-$C$20,"-")</f>
        <v>410.01603829462465</v>
      </c>
      <c r="I62" s="82">
        <f>IF($C$25&gt;=3,$C$64+H62,"-")</f>
        <v>-739.95796170537528</v>
      </c>
      <c r="K62" s="55">
        <f t="shared" si="0"/>
        <v>62</v>
      </c>
      <c r="L62" s="97" t="s">
        <v>229</v>
      </c>
      <c r="M62" s="106" t="str">
        <f>IF($C$25&gt;=3, "λj+1-q", "-")</f>
        <v>λj+1-q</v>
      </c>
      <c r="N62" s="96">
        <f ca="1">IF($C$25&gt;=3,$N$46-$C$20, "-")</f>
        <v>10</v>
      </c>
    </row>
    <row r="63" spans="1:14" x14ac:dyDescent="0.4">
      <c r="B63" s="66" t="s">
        <v>103</v>
      </c>
      <c r="C63" s="89">
        <v>-550.01900000000001</v>
      </c>
      <c r="E63" s="55" t="s">
        <v>425</v>
      </c>
      <c r="F63" s="61" t="str">
        <f>IF($C$25&gt;=4,"（傾き前）2列目Z座標","-")</f>
        <v>（傾き前）2列目Z座標</v>
      </c>
      <c r="G63" s="65" t="s">
        <v>203</v>
      </c>
      <c r="H63" s="112">
        <f>IF($C$25&gt;=4,$H$3-$C$20-$C$21,"-")</f>
        <v>390.01603829462465</v>
      </c>
      <c r="I63" s="82">
        <f>IF($C$25&gt;=4,$C$64+H63,"-")</f>
        <v>-759.95796170537528</v>
      </c>
      <c r="K63" s="55">
        <f t="shared" si="0"/>
        <v>63</v>
      </c>
      <c r="L63" s="97" t="s">
        <v>343</v>
      </c>
      <c r="M63" s="106" t="str">
        <f>IF($C$25&gt;=4, "λj+1-q-pz", "-")</f>
        <v>λj+1-q-pz</v>
      </c>
      <c r="N63" s="96">
        <f ca="1">IF($C$25&gt;=4,$N$47-$C$20-$C$21, "-")</f>
        <v>15</v>
      </c>
    </row>
    <row r="64" spans="1:14" x14ac:dyDescent="0.4">
      <c r="B64" s="66" t="s">
        <v>104</v>
      </c>
      <c r="C64" s="89">
        <v>-1149.9739999999999</v>
      </c>
      <c r="F64" s="61" t="str">
        <f>IF($C$25&gt;=5,"（傾き前）3列目Z座標","-")</f>
        <v>（傾き前）3列目Z座標</v>
      </c>
      <c r="G64" s="65" t="s">
        <v>203</v>
      </c>
      <c r="H64" s="112">
        <f>IF($C$25&gt;=5,$H$3-$C$20-2*$C$21,"-")</f>
        <v>370.01603829462465</v>
      </c>
      <c r="I64" s="82">
        <f>IF($C$25&gt;=5,$C$64+H64,"-")</f>
        <v>-779.95796170537528</v>
      </c>
      <c r="K64" s="55">
        <f t="shared" ref="K64:K154" si="2">ROW(K64)</f>
        <v>64</v>
      </c>
      <c r="L64" s="97" t="s">
        <v>344</v>
      </c>
      <c r="M64" s="106" t="str">
        <f>IF($C$25&gt;=5, "λj+1-q-2pz", "-")</f>
        <v>λj+1-q-2pz</v>
      </c>
      <c r="N64" s="96">
        <f ca="1">IF($C$25&gt;=5,$N$48-$C$20-2*$C$21, "-")</f>
        <v>20</v>
      </c>
    </row>
    <row r="65" spans="2:14" x14ac:dyDescent="0.4">
      <c r="B65" s="66" t="s">
        <v>130</v>
      </c>
      <c r="C65" s="89">
        <v>7.2999999999999995E-2</v>
      </c>
      <c r="F65" s="61" t="str">
        <f>IF($C$25&gt;=6,"（傾き前）4列目Z座標","-")</f>
        <v>（傾き前）4列目Z座標</v>
      </c>
      <c r="G65" s="65" t="s">
        <v>203</v>
      </c>
      <c r="H65" s="112">
        <f>IF($C$25&gt;=6,$H$3-$C$20-3*$C$21,"-")</f>
        <v>350.01603829462465</v>
      </c>
      <c r="I65" s="82">
        <f>IF($C$25&gt;=6,$C$64+H65,"-")</f>
        <v>-799.95796170537528</v>
      </c>
      <c r="K65" s="55">
        <f t="shared" si="2"/>
        <v>65</v>
      </c>
      <c r="L65" s="97" t="s">
        <v>345</v>
      </c>
      <c r="M65" s="106" t="str">
        <f>IF($C$25&gt;=6, "λj+1-q-3pz", "-")</f>
        <v>λj+1-q-3pz</v>
      </c>
      <c r="N65" s="96">
        <f ca="1">IF($C$25&gt;=6,$N$49-$C$20-3*$C$21, "-")</f>
        <v>25</v>
      </c>
    </row>
    <row r="66" spans="2:14" x14ac:dyDescent="0.4">
      <c r="B66" s="66" t="s">
        <v>220</v>
      </c>
      <c r="C66" s="90">
        <v>8</v>
      </c>
      <c r="F66" s="61" t="str">
        <f>IF($C$25&gt;=7,"（傾き前）5列目Z座標","-")</f>
        <v>-</v>
      </c>
      <c r="G66" s="65" t="s">
        <v>203</v>
      </c>
      <c r="H66" s="112" t="str">
        <f>IF($C$25&gt;=7,$H$3-$C$20-4*$C$21,"-")</f>
        <v>-</v>
      </c>
      <c r="I66" s="82" t="str">
        <f>IF($C$25&gt;=7,$C$64+H66,"-")</f>
        <v>-</v>
      </c>
      <c r="K66" s="55">
        <f t="shared" si="2"/>
        <v>66</v>
      </c>
      <c r="L66" s="97" t="s">
        <v>346</v>
      </c>
      <c r="M66" s="106" t="str">
        <f>IF($C$25&gt;=7, "λj+1-q-4pz", "-")</f>
        <v>-</v>
      </c>
      <c r="N66" s="96" t="str">
        <f>IF($C$25&gt;=7,$N$50-$C$20-4*$C$21, "-")</f>
        <v>-</v>
      </c>
    </row>
    <row r="67" spans="2:14" x14ac:dyDescent="0.4">
      <c r="F67" s="61" t="str">
        <f>IF($C$25&gt;=8,"（傾き前）6列目Z座標","-")</f>
        <v>-</v>
      </c>
      <c r="G67" s="65" t="s">
        <v>203</v>
      </c>
      <c r="H67" s="112" t="str">
        <f>IF($C$25&gt;=8,$H$3-$C$20-5*$C$21,"-")</f>
        <v>-</v>
      </c>
      <c r="I67" s="82" t="str">
        <f>IF($C$25&gt;=8,$C$64+H67,"-")</f>
        <v>-</v>
      </c>
      <c r="J67" s="55"/>
      <c r="K67" s="55">
        <f t="shared" si="2"/>
        <v>67</v>
      </c>
      <c r="L67" s="97" t="s">
        <v>347</v>
      </c>
      <c r="M67" s="106" t="str">
        <f>IF($C$25&gt;=8, "λj+1-q-5pz", "-")</f>
        <v>-</v>
      </c>
      <c r="N67" s="96" t="str">
        <f>IF($C$25&gt;=8,$N$51-$C$20-5*$C$21, "-")</f>
        <v>-</v>
      </c>
    </row>
    <row r="68" spans="2:14" x14ac:dyDescent="0.4">
      <c r="F68" s="61" t="s">
        <v>427</v>
      </c>
      <c r="G68" s="65" t="s">
        <v>203</v>
      </c>
      <c r="H68" s="112">
        <f>$H$3-$C$20-($C$25-2)*$C$21</f>
        <v>330.01603829462465</v>
      </c>
      <c r="I68" s="82">
        <f>$C$64+H68</f>
        <v>-819.95796170537528</v>
      </c>
      <c r="K68" s="55">
        <f t="shared" si="2"/>
        <v>68</v>
      </c>
      <c r="L68" s="97" t="s">
        <v>348</v>
      </c>
      <c r="M68" s="106" t="s">
        <v>348</v>
      </c>
      <c r="N68" s="54">
        <f ca="1">$N$52-$C$20-($C$25-2)*$C$21</f>
        <v>5</v>
      </c>
    </row>
    <row r="69" spans="2:14" x14ac:dyDescent="0.4">
      <c r="E69" s="55" t="s">
        <v>429</v>
      </c>
      <c r="F69" s="61" t="s">
        <v>428</v>
      </c>
      <c r="G69" s="65" t="s">
        <v>203</v>
      </c>
      <c r="H69" s="112">
        <f>$H$3-$C$20-($C$25-1)*$C$21</f>
        <v>310.01603829462465</v>
      </c>
      <c r="I69" s="82">
        <f>$C$64+H69</f>
        <v>-839.95796170537528</v>
      </c>
      <c r="K69" s="55">
        <f t="shared" si="2"/>
        <v>69</v>
      </c>
      <c r="L69" s="97" t="s">
        <v>262</v>
      </c>
      <c r="M69" s="106" t="s">
        <v>262</v>
      </c>
      <c r="N69" s="54">
        <f ca="1">$N$53-$C$20-($C$25-1)*$C$21</f>
        <v>10</v>
      </c>
    </row>
    <row r="70" spans="2:14" x14ac:dyDescent="0.4">
      <c r="E70" s="55" t="s">
        <v>386</v>
      </c>
      <c r="F70" s="62" t="s">
        <v>389</v>
      </c>
      <c r="G70" s="65" t="s">
        <v>206</v>
      </c>
      <c r="H70" s="82">
        <f ca="1">$H$22+$C$30*2</f>
        <v>157.00299999999999</v>
      </c>
      <c r="K70" s="55">
        <f t="shared" si="2"/>
        <v>70</v>
      </c>
      <c r="L70" s="97" t="s">
        <v>351</v>
      </c>
      <c r="M70" s="106" t="str">
        <f>IF($C$25&gt;=3,"1列目湾曲中心X","-")</f>
        <v>1列目湾曲中心X</v>
      </c>
      <c r="N70" s="98">
        <f>IF($C$25&gt;=3,SQRT($C$3^2-$N$30^2),"-")</f>
        <v>8917.3132326951491</v>
      </c>
    </row>
    <row r="71" spans="2:14" x14ac:dyDescent="0.4">
      <c r="E71" s="55" t="s">
        <v>388</v>
      </c>
      <c r="F71" s="62" t="str">
        <f>IF($C$25&gt;=3,"1列目 AC内径（水平・めっき含・概算）","-")</f>
        <v>1列目 AC内径（水平・めっき含・概算）</v>
      </c>
      <c r="G71" s="65" t="s">
        <v>206</v>
      </c>
      <c r="H71" s="82">
        <f ca="1">IF($C$25&gt;=3,($N$54*$N$86+$N$62*$N$78)/($N$46-$N$38)+$C$30*2,"-")</f>
        <v>156.59259999999998</v>
      </c>
      <c r="K71" s="55">
        <f t="shared" si="2"/>
        <v>71</v>
      </c>
      <c r="L71" s="97" t="s">
        <v>352</v>
      </c>
      <c r="M71" s="106" t="str">
        <f>IF($C$25&gt;=4,"2列目湾曲中心X","-")</f>
        <v>2列目湾曲中心X</v>
      </c>
      <c r="N71" s="98">
        <f>IF($C$25&gt;=4,SQRT($C$3^2-$N$31^2),"-")</f>
        <v>8917.9860557190823</v>
      </c>
    </row>
    <row r="72" spans="2:14" x14ac:dyDescent="0.4">
      <c r="F72" s="62" t="s">
        <v>390</v>
      </c>
      <c r="G72" s="65" t="s">
        <v>206</v>
      </c>
      <c r="H72" s="82">
        <f ca="1">($N$61*$N$93+$N$69*$N$85)/($N$53-$N$45)+$C$30*2</f>
        <v>156.16120000000001</v>
      </c>
      <c r="K72" s="55">
        <f t="shared" si="2"/>
        <v>72</v>
      </c>
      <c r="L72" s="97" t="s">
        <v>353</v>
      </c>
      <c r="M72" s="106" t="str">
        <f>IF($C$25&gt;=5,"3列目湾曲中心X","-")</f>
        <v>3列目湾曲中心X</v>
      </c>
      <c r="N72" s="98">
        <f>IF($C$25&gt;=5,SQRT($C$3^2-$N$32^2),"-")</f>
        <v>8918.6139780797785</v>
      </c>
    </row>
    <row r="73" spans="2:14" x14ac:dyDescent="0.4">
      <c r="E73" s="55" t="s">
        <v>403</v>
      </c>
      <c r="F73" s="62" t="s">
        <v>306</v>
      </c>
      <c r="G73" s="82" t="s">
        <v>204</v>
      </c>
      <c r="H73" s="82">
        <f ca="1">ROUND(DEGREES($N$99),3)</f>
        <v>2.13</v>
      </c>
      <c r="I73" s="57"/>
      <c r="K73" s="55">
        <f t="shared" si="2"/>
        <v>73</v>
      </c>
      <c r="L73" s="97" t="s">
        <v>354</v>
      </c>
      <c r="M73" s="106" t="str">
        <f>IF($C$25&gt;=6,"4列目湾曲中心X","-")</f>
        <v>4列目湾曲中心X</v>
      </c>
      <c r="N73" s="98">
        <f>IF($C$25&gt;=6,SQRT($C$3^2-$N$33^2),"-")</f>
        <v>8919.1970092604188</v>
      </c>
    </row>
    <row r="74" spans="2:14" x14ac:dyDescent="0.4">
      <c r="E74" s="55" t="s">
        <v>403</v>
      </c>
      <c r="F74" s="62" t="s">
        <v>307</v>
      </c>
      <c r="G74" s="82" t="s">
        <v>204</v>
      </c>
      <c r="H74" s="82">
        <f ca="1">$H$7+$H$73</f>
        <v>2.7719999999999998</v>
      </c>
      <c r="I74" s="82">
        <f ca="1">$C$65+$H$74</f>
        <v>2.8449999999999998</v>
      </c>
      <c r="K74" s="55">
        <f t="shared" si="2"/>
        <v>74</v>
      </c>
      <c r="L74" s="97" t="s">
        <v>355</v>
      </c>
      <c r="M74" s="106" t="str">
        <f>IF($C$25&gt;=7,"5列目湾曲中心X","-")</f>
        <v>-</v>
      </c>
      <c r="N74" s="98" t="str">
        <f>IF($C$25&gt;=7,SQRT($C$3^2-$N$34^2),"-")</f>
        <v>-</v>
      </c>
    </row>
    <row r="75" spans="2:14" x14ac:dyDescent="0.4">
      <c r="E75" s="55" t="s">
        <v>404</v>
      </c>
      <c r="F75" s="111" t="s">
        <v>402</v>
      </c>
      <c r="G75" s="108" t="s">
        <v>204</v>
      </c>
      <c r="H75" s="108">
        <f ca="1">DEGREES($N$107)</f>
        <v>1.8081075579837422</v>
      </c>
      <c r="K75" s="55">
        <f t="shared" si="2"/>
        <v>75</v>
      </c>
      <c r="L75" s="97" t="s">
        <v>356</v>
      </c>
      <c r="M75" s="106" t="str">
        <f>IF($C$25&gt;=8,"6列目湾曲中心X","-")</f>
        <v>-</v>
      </c>
      <c r="N75" s="98" t="str">
        <f>IF($C$25&gt;=8,SQRT($C$3^2-$N$35^2),"-")</f>
        <v>-</v>
      </c>
    </row>
    <row r="76" spans="2:14" x14ac:dyDescent="0.4">
      <c r="E76" s="55" t="s">
        <v>404</v>
      </c>
      <c r="F76" s="111" t="s">
        <v>399</v>
      </c>
      <c r="G76" s="108" t="s">
        <v>204</v>
      </c>
      <c r="H76" s="108">
        <f ca="1">$H$7+$H$75</f>
        <v>2.4501075579837424</v>
      </c>
      <c r="I76" s="108">
        <f ca="1">$C$65+$H$76</f>
        <v>2.5231075579837423</v>
      </c>
      <c r="K76" s="55">
        <f t="shared" si="2"/>
        <v>76</v>
      </c>
      <c r="L76" s="97" t="s">
        <v>357</v>
      </c>
      <c r="M76" s="106" t="s">
        <v>359</v>
      </c>
      <c r="N76" s="99">
        <f>SQRT($C$3^2-$N$36^2)</f>
        <v>8919.7351580638315</v>
      </c>
    </row>
    <row r="77" spans="2:14" x14ac:dyDescent="0.4">
      <c r="F77" s="62" t="s">
        <v>277</v>
      </c>
      <c r="G77" s="82" t="s">
        <v>206</v>
      </c>
      <c r="H77" s="82">
        <f ca="1">MIN($N$110, $N$111)</f>
        <v>21.495936780292737</v>
      </c>
      <c r="K77" s="55">
        <f t="shared" si="2"/>
        <v>77</v>
      </c>
      <c r="L77" s="97" t="s">
        <v>358</v>
      </c>
      <c r="M77" s="106" t="s">
        <v>360</v>
      </c>
      <c r="N77" s="99">
        <f>SQRT($C$3^2-$N$37^2)</f>
        <v>8920.2284326131467</v>
      </c>
    </row>
    <row r="78" spans="2:14" x14ac:dyDescent="0.4">
      <c r="F78" s="62" t="s">
        <v>432</v>
      </c>
      <c r="G78" s="65" t="s">
        <v>205</v>
      </c>
      <c r="H78" s="82">
        <f ca="1">($N$61*$N$127+$N$69*$N$119)/($N$53-$N$45)+$C$30*2</f>
        <v>154.14839999999998</v>
      </c>
      <c r="K78" s="55">
        <f t="shared" si="2"/>
        <v>78</v>
      </c>
      <c r="L78" s="97" t="s">
        <v>361</v>
      </c>
      <c r="M78" s="106" t="str">
        <f>IF($C$25&gt;=3,"λj ≦ q &lt; λj+1 の wAj", "-")</f>
        <v>λj ≦ q &lt; λj+1 の wAj</v>
      </c>
      <c r="N78" s="96">
        <f ca="1">IF($C$25&gt;=3, INDEX(INDIRECT($H$52&amp;"!B:B"), MATCH($N$38, INDIRECT($H$52&amp;"!A:A"), 0)),"-")</f>
        <v>156.52099999999999</v>
      </c>
    </row>
    <row r="79" spans="2:14" x14ac:dyDescent="0.4">
      <c r="F79" s="84" t="s">
        <v>470</v>
      </c>
      <c r="K79" s="55">
        <f t="shared" si="2"/>
        <v>79</v>
      </c>
      <c r="L79" s="97" t="s">
        <v>362</v>
      </c>
      <c r="M79" s="106" t="str">
        <f>IF($C$25&gt;=4,"λj ≦ q+pz &lt; λj+1 の wAj", "-")</f>
        <v>λj ≦ q+pz &lt; λj+1 の wAj</v>
      </c>
      <c r="N79" s="96">
        <f ca="1">IF($C$25&gt;=4, INDEX(INDIRECT($H$52&amp;"!B:B"), MATCH($N$39, INDIRECT($H$52&amp;"!A:A"), 0)),"-")</f>
        <v>156.40700000000001</v>
      </c>
    </row>
    <row r="80" spans="2:14" x14ac:dyDescent="0.4">
      <c r="F80" s="62" t="str">
        <f>IF($C$25&gt;=3,"内面溝1列目-トップ端 湾曲中心間X距離", "-")</f>
        <v>内面溝1列目-トップ端 湾曲中心間X距離</v>
      </c>
      <c r="G80" s="65" t="s">
        <v>206</v>
      </c>
      <c r="H80" s="82">
        <f ca="1">IF($C$25&gt;=$C$66-5,$H$54*$N$101-$C$20*$N$100, "-")</f>
        <v>0.23613623834420849</v>
      </c>
      <c r="K80" s="55">
        <f t="shared" si="2"/>
        <v>80</v>
      </c>
      <c r="L80" s="97" t="s">
        <v>363</v>
      </c>
      <c r="M80" s="106" t="str">
        <f>IF($C$25&gt;=5,"λj ≦ q+2pz &lt; λj+1 の wAj", "-")</f>
        <v>λj ≦ q+2pz &lt; λj+1 の wAj</v>
      </c>
      <c r="N80" s="96">
        <f ca="1">IF($C$25&gt;=5, INDEX(INDIRECT($H$52&amp;"!B:B"), MATCH($N$40, INDIRECT($H$52&amp;"!A:A"), 0)),"-")</f>
        <v>156.29300000000001</v>
      </c>
    </row>
    <row r="81" spans="6:14" x14ac:dyDescent="0.4">
      <c r="F81" s="62" t="str">
        <f>IF($C$25&gt;=4,"内面溝2列目-トップ端 湾曲中心間X距離", "-")</f>
        <v>内面溝2列目-トップ端 湾曲中心間X距離</v>
      </c>
      <c r="G81" s="65" t="s">
        <v>206</v>
      </c>
      <c r="H81" s="82">
        <f ca="1">IF($C$25&gt;=$C$66-4,$H$55*$N$101-($C$20+$C21)*$N$100, "-")</f>
        <v>0.16515537313498907</v>
      </c>
      <c r="K81" s="55">
        <f t="shared" si="2"/>
        <v>81</v>
      </c>
      <c r="L81" s="97" t="s">
        <v>364</v>
      </c>
      <c r="M81" s="106" t="str">
        <f>IF($C$25&gt;=6,"λj ≦ q+3pz &lt; λj+1 の wAj", "-")</f>
        <v>λj ≦ q+3pz &lt; λj+1 の wAj</v>
      </c>
      <c r="N81" s="96">
        <f ca="1">IF($C$25&gt;=6, INDEX(INDIRECT($H$52&amp;"!B:B"), MATCH($N$41, INDIRECT($H$52&amp;"!A:A"), 0)),"-")</f>
        <v>156.179</v>
      </c>
    </row>
    <row r="82" spans="6:14" x14ac:dyDescent="0.4">
      <c r="F82" s="62" t="str">
        <f>IF($C$25&gt;=5,"内面溝3列目-トップ端 湾曲中心間X距離", "-")</f>
        <v>内面溝3列目-トップ端 湾曲中心間X距離</v>
      </c>
      <c r="G82" s="65" t="s">
        <v>206</v>
      </c>
      <c r="H82" s="82">
        <f ca="1">IF($C$25&gt;=$C$66-3,$H$56*$N$101-($C$20+2*$C$21)*$N$100, "-")</f>
        <v>4.930486789530697E-2</v>
      </c>
      <c r="K82" s="55">
        <f t="shared" si="2"/>
        <v>82</v>
      </c>
      <c r="L82" s="97" t="s">
        <v>365</v>
      </c>
      <c r="M82" s="106" t="str">
        <f>IF($C$25&gt;=7,"λj ≦ q+4pz &lt; λj+1 の wAj", "-")</f>
        <v>-</v>
      </c>
      <c r="N82" s="96" t="str">
        <f ca="1">IF($C$25&gt;=7, INDEX(INDIRECT($H$52&amp;"!B:B"), MATCH($N$42, INDIRECT($H$52&amp;"!A:A"), 0)),"-")</f>
        <v>-</v>
      </c>
    </row>
    <row r="83" spans="6:14" x14ac:dyDescent="0.4">
      <c r="F83" s="62" t="str">
        <f>IF($C$25&gt;=6,"内面溝4列目-トップ端 湾曲中心間X距離", "-")</f>
        <v>内面溝4列目-トップ端 湾曲中心間X距離</v>
      </c>
      <c r="G83" s="65" t="s">
        <v>206</v>
      </c>
      <c r="H83" s="82">
        <f ca="1">IF($C$25&gt;=$C$66-2,$H$57*$N$101-($C$20+3*$C$21)*$N$100, "-")</f>
        <v>-0.11140580074584783</v>
      </c>
      <c r="K83" s="55">
        <f t="shared" si="2"/>
        <v>83</v>
      </c>
      <c r="L83" s="97" t="s">
        <v>366</v>
      </c>
      <c r="M83" s="106" t="str">
        <f>IF($C$25&gt;=8,"λj ≦ q+5pz &lt; λj+1 の wAj", "-")</f>
        <v>-</v>
      </c>
      <c r="N83" s="96" t="str">
        <f ca="1">IF($C$25&gt;=8, INDEX(INDIRECT($H$52&amp;"!B:B"), MATCH($N$43, INDIRECT($H$52&amp;"!A:A"), 0)),"-")</f>
        <v>-</v>
      </c>
    </row>
    <row r="84" spans="6:14" x14ac:dyDescent="0.4">
      <c r="F84" s="62" t="str">
        <f>IF($C$25&gt;=7,"内面溝5列目-トップ端 湾曲中心間X距離", "-")</f>
        <v>-</v>
      </c>
      <c r="G84" s="65" t="s">
        <v>206</v>
      </c>
      <c r="H84" s="82" t="str">
        <f>IF($C$25&gt;=$C$66-1,$H$58*$N$101-($C$20+4*$C$21)*$N$100, "-")</f>
        <v>-</v>
      </c>
      <c r="K84" s="55">
        <f t="shared" si="2"/>
        <v>84</v>
      </c>
      <c r="L84" s="97" t="s">
        <v>367</v>
      </c>
      <c r="M84" s="106" t="s">
        <v>369</v>
      </c>
      <c r="N84" s="96">
        <f ca="1">INDEX(INDIRECT($H$52&amp;"!B:B"), MATCH($N$44, INDIRECT($H$52&amp;"!A:A"), 0))</f>
        <v>156.179</v>
      </c>
    </row>
    <row r="85" spans="6:14" x14ac:dyDescent="0.4">
      <c r="F85" s="62" t="str">
        <f>IF($C$25&gt;=8,"内面溝6列目-トップ端 湾曲中心間X距離", "-")</f>
        <v>-</v>
      </c>
      <c r="G85" s="65" t="s">
        <v>206</v>
      </c>
      <c r="H85" s="82" t="str">
        <f>IF($C$25&gt;=$C$66,$H$59*$N$101-($C$20+5*$C$21)*$N$100, "-")</f>
        <v>-</v>
      </c>
      <c r="K85" s="55">
        <f t="shared" si="2"/>
        <v>85</v>
      </c>
      <c r="L85" s="97" t="s">
        <v>368</v>
      </c>
      <c r="M85" s="106" t="s">
        <v>370</v>
      </c>
      <c r="N85" s="96">
        <f ca="1">INDEX(INDIRECT($H$52&amp;"!B:B"), MATCH($N$45, INDIRECT($H$52&amp;"!A:A"), 0))</f>
        <v>156.077</v>
      </c>
    </row>
    <row r="86" spans="6:14" x14ac:dyDescent="0.4">
      <c r="F86" s="62" t="s">
        <v>350</v>
      </c>
      <c r="G86" s="65" t="s">
        <v>206</v>
      </c>
      <c r="H86" s="82">
        <f ca="1">$H$60*$N$101-($C$20+($C$25-2)*$C$21)*$N$100</f>
        <v>-0.31696783604237844</v>
      </c>
      <c r="K86" s="55">
        <f t="shared" si="2"/>
        <v>86</v>
      </c>
      <c r="L86" s="97" t="s">
        <v>371</v>
      </c>
      <c r="M86" s="106" t="str">
        <f>IF($C$25&gt;=3,"λj ≦ q &lt; λj+1 の wAj+1", "-")</f>
        <v>λj ≦ q &lt; λj+1 の wAj+1</v>
      </c>
      <c r="N86" s="96">
        <f ca="1">IF($C$25&gt;=3, INDEX(INDIRECT($H$52&amp;"!B:B"), MATCH($N$46, INDIRECT($H$52&amp;"!A:A"), 0)),"-")</f>
        <v>156.40700000000001</v>
      </c>
    </row>
    <row r="87" spans="6:14" x14ac:dyDescent="0.4">
      <c r="F87" s="62" t="s">
        <v>349</v>
      </c>
      <c r="G87" s="65" t="s">
        <v>206</v>
      </c>
      <c r="H87" s="82">
        <f ca="1">$H$61*$N$101-($C$20+($C$25-1)*$C$21)*$N$100</f>
        <v>-0.56737312047669697</v>
      </c>
      <c r="K87" s="55">
        <f t="shared" si="2"/>
        <v>87</v>
      </c>
      <c r="L87" s="97" t="s">
        <v>372</v>
      </c>
      <c r="M87" s="106" t="str">
        <f>IF($C$25&gt;=4,"λj ≦ q+pz &lt; λj+1 の wAj+1", "-")</f>
        <v>λj ≦ q+pz &lt; λj+1 の wAj+1</v>
      </c>
      <c r="N87" s="96">
        <f ca="1">IF($C$25&gt;=4, INDEX(INDIRECT($H$52&amp;"!B:B"), MATCH($N$47, INDIRECT($H$52&amp;"!A:A"), 0)),"-")</f>
        <v>156.29300000000001</v>
      </c>
    </row>
    <row r="88" spans="6:14" x14ac:dyDescent="0.4">
      <c r="F88" s="62" t="str">
        <f>IF($C$25&gt;=3,"内面溝1列目-トップ端 湾曲中心間Z距離", "-")</f>
        <v>内面溝1列目-トップ端 湾曲中心間Z距離</v>
      </c>
      <c r="G88" s="65" t="s">
        <v>203</v>
      </c>
      <c r="H88" s="82">
        <f ca="1">IF($C$25&gt;=$C$66-5,$H$54*$N$100+$C$20*$N$101, "-")</f>
        <v>90.071009208980442</v>
      </c>
      <c r="K88" s="55">
        <f t="shared" si="2"/>
        <v>88</v>
      </c>
      <c r="L88" s="97" t="s">
        <v>373</v>
      </c>
      <c r="M88" s="106" t="str">
        <f>IF($C$25&gt;=5,"λj ≦ q+2pz &lt; λj+1 の wAj+1", "-")</f>
        <v>λj ≦ q+2pz &lt; λj+1 の wAj+1</v>
      </c>
      <c r="N88" s="96">
        <f ca="1">IF($C$25&gt;=5, INDEX(INDIRECT($H$52&amp;"!B:B"), MATCH($N$48, INDIRECT($H$52&amp;"!A:A"), 0)),"-")</f>
        <v>156.179</v>
      </c>
    </row>
    <row r="89" spans="6:14" x14ac:dyDescent="0.4">
      <c r="F89" s="62" t="str">
        <f>IF($C$25&gt;=4,"内面溝2列目-トップ端 湾曲中心間Z距離", "-")</f>
        <v>内面溝2列目-トップ端 湾曲中心間Z距離</v>
      </c>
      <c r="G89" s="65" t="s">
        <v>203</v>
      </c>
      <c r="H89" s="82">
        <f ca="1">IF($C$25&gt;=$C$66-4,$H$55*$N$100+($C$20+$C$21)*$N$101, "-")</f>
        <v>110.08219739305159</v>
      </c>
      <c r="K89" s="55">
        <f t="shared" si="2"/>
        <v>89</v>
      </c>
      <c r="L89" s="97" t="s">
        <v>374</v>
      </c>
      <c r="M89" s="106" t="str">
        <f>IF($C$25&gt;=6,"λj ≦ q+3pz &lt; λj+1 の wAj+1", "-")</f>
        <v>λj ≦ q+3pz &lt; λj+1 の wAj+1</v>
      </c>
      <c r="N89" s="96">
        <f ca="1">IF($C$25&gt;=6, INDEX(INDIRECT($H$52&amp;"!B:B"), MATCH($N$49, INDIRECT($H$52&amp;"!A:A"), 0)),"-")</f>
        <v>156.077</v>
      </c>
    </row>
    <row r="90" spans="6:14" x14ac:dyDescent="0.4">
      <c r="F90" s="62" t="str">
        <f>IF($C$25&gt;=5,"内面溝3列目-トップ端 湾曲中心間Z距離", "-")</f>
        <v>内面溝3列目-トップ端 湾曲中心間Z距離</v>
      </c>
      <c r="G90" s="65" t="s">
        <v>203</v>
      </c>
      <c r="H90" s="82">
        <f ca="1">IF($C$25&gt;=$C$66-3,$H$56*$N$100+($C$20+2*$C$21)*$N$101, "-")</f>
        <v>130.09171675638208</v>
      </c>
      <c r="K90" s="55">
        <f t="shared" si="2"/>
        <v>90</v>
      </c>
      <c r="L90" s="97" t="s">
        <v>375</v>
      </c>
      <c r="M90" s="106" t="str">
        <f>IF($C$25&gt;=7,"λj ≦ q+4pz &lt; λj+1 の wAj+1", "-")</f>
        <v>-</v>
      </c>
      <c r="N90" s="96" t="str">
        <f ca="1">IF($C$25&gt;=7, INDEX(INDIRECT($H$52&amp;"!B:B"), MATCH($N$50, INDIRECT($H$52&amp;"!A:A"), 0)),"-")</f>
        <v>-</v>
      </c>
    </row>
    <row r="91" spans="6:14" x14ac:dyDescent="0.4">
      <c r="F91" s="62" t="str">
        <f>IF($C$25&gt;=6,"内面溝4列目-トップ端 湾曲中心間Z距離", "-")</f>
        <v>内面溝4列目-トップ端 湾曲中心間Z距離</v>
      </c>
      <c r="G91" s="65" t="s">
        <v>203</v>
      </c>
      <c r="H91" s="82">
        <f ca="1">IF($C$25&gt;=$C$66-2,$H$57*$N$100+($C$20+3*$C$21)*$N$101, "-")</f>
        <v>150.09956765143286</v>
      </c>
      <c r="K91" s="55">
        <f t="shared" si="2"/>
        <v>91</v>
      </c>
      <c r="L91" s="97" t="s">
        <v>376</v>
      </c>
      <c r="M91" s="106" t="str">
        <f>IF($C$25&gt;=8,"λj ≦ q+5pz &lt; λj+1 の wAj+1", "-")</f>
        <v>-</v>
      </c>
      <c r="N91" s="96" t="str">
        <f ca="1">IF($C$25&gt;=8, INDEX(INDIRECT($H$52&amp;"!B:B"), MATCH($N$51, INDIRECT($H$52&amp;"!A:A"), 0)),"-")</f>
        <v>-</v>
      </c>
    </row>
    <row r="92" spans="6:14" x14ac:dyDescent="0.4">
      <c r="F92" s="62" t="str">
        <f>IF($C$25&gt;=7,"内面溝5列目-トップ端 湾曲中心間Z距離", "-")</f>
        <v>-</v>
      </c>
      <c r="G92" s="65" t="s">
        <v>203</v>
      </c>
      <c r="H92" s="82" t="str">
        <f>IF($C$25&gt;=$C$66-1,$H$58*$N$100+($C$20+4*$C$21)*$N$101, "-")</f>
        <v>-</v>
      </c>
      <c r="K92" s="55">
        <f t="shared" si="2"/>
        <v>92</v>
      </c>
      <c r="L92" s="97" t="s">
        <v>377</v>
      </c>
      <c r="M92" s="106" t="s">
        <v>379</v>
      </c>
      <c r="N92" s="96">
        <f ca="1">INDEX(INDIRECT($H$52&amp;"!B:B"), MATCH($N$52, INDIRECT($H$52&amp;"!A:A"), 0))</f>
        <v>156.077</v>
      </c>
    </row>
    <row r="93" spans="6:14" x14ac:dyDescent="0.4">
      <c r="F93" s="62" t="str">
        <f>IF($C$25&gt;=8,"内面溝6列目-トップ端 湾曲中心間Z距離", "-")</f>
        <v>-</v>
      </c>
      <c r="G93" s="65" t="s">
        <v>203</v>
      </c>
      <c r="H93" s="82" t="str">
        <f>IF($C$25&gt;=$C$66-0,$H$59*$N$100+($C$20+5*$C$21)*$N$101, "-")</f>
        <v>-</v>
      </c>
      <c r="K93" s="55">
        <f t="shared" si="2"/>
        <v>93</v>
      </c>
      <c r="L93" s="97" t="s">
        <v>378</v>
      </c>
      <c r="M93" s="106" t="s">
        <v>380</v>
      </c>
      <c r="N93" s="96">
        <f ca="1">INDEX(INDIRECT($H$52&amp;"!B:B"), MATCH($N$53, INDIRECT($H$52&amp;"!A:A"), 0))</f>
        <v>155.98400000000001</v>
      </c>
    </row>
    <row r="94" spans="6:14" x14ac:dyDescent="0.4">
      <c r="F94" s="62" t="s">
        <v>476</v>
      </c>
      <c r="G94" s="65" t="s">
        <v>203</v>
      </c>
      <c r="H94" s="82">
        <f ca="1">$H$60*$N$100+($C$20+($C$25-2)*$C$21)*$N$101</f>
        <v>170.10575040537816</v>
      </c>
      <c r="K94" s="55">
        <f t="shared" si="2"/>
        <v>94</v>
      </c>
      <c r="L94" s="97" t="s">
        <v>391</v>
      </c>
      <c r="M94" s="106" t="s">
        <v>303</v>
      </c>
      <c r="N94" s="54">
        <f ca="1">$C$3+$H$70/2</f>
        <v>9001.201500000001</v>
      </c>
    </row>
    <row r="95" spans="6:14" x14ac:dyDescent="0.4">
      <c r="F95" s="62" t="s">
        <v>477</v>
      </c>
      <c r="G95" s="65" t="s">
        <v>203</v>
      </c>
      <c r="H95" s="82">
        <f ca="1">$H$61*$N$100+($C$20+($C$25-1)*$C$21)*$N$101</f>
        <v>190.11026532013003</v>
      </c>
      <c r="K95" s="55">
        <f t="shared" si="2"/>
        <v>95</v>
      </c>
      <c r="L95" s="97" t="s">
        <v>392</v>
      </c>
      <c r="M95" s="106" t="s">
        <v>304</v>
      </c>
      <c r="N95" s="54">
        <f ca="1">$C$3+$H$71/2</f>
        <v>9000.9963000000007</v>
      </c>
    </row>
    <row r="96" spans="6:14" x14ac:dyDescent="0.4">
      <c r="K96" s="55">
        <f t="shared" ref="K96:K103" si="3">ROW(K96)</f>
        <v>96</v>
      </c>
      <c r="L96" s="97" t="s">
        <v>395</v>
      </c>
      <c r="M96" s="106" t="s">
        <v>275</v>
      </c>
      <c r="N96" s="54">
        <f ca="1">SQRT($N$95^2-$N$30^2)</f>
        <v>8995.6564181061131</v>
      </c>
    </row>
    <row r="97" spans="11:14" x14ac:dyDescent="0.4">
      <c r="K97" s="55">
        <f t="shared" si="3"/>
        <v>97</v>
      </c>
      <c r="L97" s="97" t="s">
        <v>396</v>
      </c>
      <c r="M97" s="106" t="s">
        <v>275</v>
      </c>
      <c r="N97" s="54">
        <f ca="1">SQRT($N$94^2-$C$4^2)</f>
        <v>8992.3094054643298</v>
      </c>
    </row>
    <row r="98" spans="11:14" x14ac:dyDescent="0.4">
      <c r="K98" s="55">
        <f t="shared" si="3"/>
        <v>98</v>
      </c>
      <c r="L98" s="97" t="s">
        <v>263</v>
      </c>
      <c r="M98" s="106" t="s">
        <v>263</v>
      </c>
      <c r="N98" s="54">
        <f ca="1">($N$96-$N$97)/$C$20</f>
        <v>3.7189029353147718E-2</v>
      </c>
    </row>
    <row r="99" spans="11:14" x14ac:dyDescent="0.4">
      <c r="K99" s="55">
        <f t="shared" si="3"/>
        <v>99</v>
      </c>
      <c r="L99" s="97" t="s">
        <v>264</v>
      </c>
      <c r="M99" s="106" t="s">
        <v>231</v>
      </c>
      <c r="N99" s="54">
        <f ca="1">ATAN($N$98)</f>
        <v>3.7171899126953054E-2</v>
      </c>
    </row>
    <row r="100" spans="11:14" x14ac:dyDescent="0.4">
      <c r="K100" s="55">
        <f t="shared" si="3"/>
        <v>100</v>
      </c>
      <c r="L100" s="97" t="s">
        <v>475</v>
      </c>
      <c r="M100" s="106" t="s">
        <v>475</v>
      </c>
      <c r="N100" s="54">
        <f ca="1">SIN(RADIANS($H$73))</f>
        <v>3.7166950783010577E-2</v>
      </c>
    </row>
    <row r="101" spans="11:14" x14ac:dyDescent="0.4">
      <c r="K101" s="55">
        <f t="shared" si="3"/>
        <v>101</v>
      </c>
      <c r="L101" s="97" t="s">
        <v>474</v>
      </c>
      <c r="M101" s="106" t="s">
        <v>474</v>
      </c>
      <c r="N101" s="54">
        <f ca="1">COS(RADIANS($H$73))</f>
        <v>0.9993090701927474</v>
      </c>
    </row>
    <row r="102" spans="11:14" x14ac:dyDescent="0.4">
      <c r="K102" s="55">
        <f t="shared" si="3"/>
        <v>102</v>
      </c>
      <c r="L102" s="97" t="s">
        <v>393</v>
      </c>
      <c r="M102" s="106" t="s">
        <v>224</v>
      </c>
      <c r="N102" s="54">
        <f ca="1">$C$3-$H$71/2</f>
        <v>8844.4037000000008</v>
      </c>
    </row>
    <row r="103" spans="11:14" x14ac:dyDescent="0.4">
      <c r="K103" s="55">
        <f t="shared" si="3"/>
        <v>103</v>
      </c>
      <c r="L103" s="97" t="s">
        <v>394</v>
      </c>
      <c r="M103" s="106" t="s">
        <v>225</v>
      </c>
      <c r="N103" s="54">
        <f ca="1">$C$3-$H$72/2</f>
        <v>8844.6194000000014</v>
      </c>
    </row>
    <row r="104" spans="11:14" x14ac:dyDescent="0.4">
      <c r="K104" s="55">
        <f t="shared" si="2"/>
        <v>104</v>
      </c>
      <c r="L104" s="97" t="s">
        <v>397</v>
      </c>
      <c r="M104" s="106" t="s">
        <v>276</v>
      </c>
      <c r="N104" s="54">
        <f ca="1">SQRT($N$103^2-$N$37^2)</f>
        <v>8842.1260074066122</v>
      </c>
    </row>
    <row r="105" spans="11:14" x14ac:dyDescent="0.4">
      <c r="K105" s="55">
        <f t="shared" si="2"/>
        <v>105</v>
      </c>
      <c r="L105" s="97" t="s">
        <v>398</v>
      </c>
      <c r="M105" s="106" t="s">
        <v>276</v>
      </c>
      <c r="N105" s="54">
        <f ca="1">SQRT($N$102^2-$N$30^2)</f>
        <v>8838.9692164060452</v>
      </c>
    </row>
    <row r="106" spans="11:14" x14ac:dyDescent="0.4">
      <c r="K106" s="55">
        <f t="shared" si="2"/>
        <v>106</v>
      </c>
      <c r="L106" s="97" t="s">
        <v>265</v>
      </c>
      <c r="N106" s="54">
        <f ca="1">($N104-$N105)/($N$30-$N$37)</f>
        <v>3.1567910005669546E-2</v>
      </c>
    </row>
    <row r="107" spans="11:14" x14ac:dyDescent="0.4">
      <c r="K107" s="55">
        <f t="shared" si="2"/>
        <v>107</v>
      </c>
      <c r="L107" s="97" t="s">
        <v>266</v>
      </c>
      <c r="M107" s="106" t="s">
        <v>232</v>
      </c>
      <c r="N107" s="54">
        <f ca="1">ATAN($N$106)</f>
        <v>3.1557430117010586E-2</v>
      </c>
    </row>
    <row r="108" spans="11:14" x14ac:dyDescent="0.4">
      <c r="K108" s="55">
        <f>ROW(K108)</f>
        <v>108</v>
      </c>
      <c r="L108" s="97" t="s">
        <v>268</v>
      </c>
      <c r="M108" s="106" t="s">
        <v>236</v>
      </c>
      <c r="N108" s="54">
        <f>IF(MOD($C$25, 2)=0, $C$23, $C$24)</f>
        <v>102</v>
      </c>
    </row>
    <row r="109" spans="11:14" x14ac:dyDescent="0.4">
      <c r="K109" s="55">
        <f t="shared" si="2"/>
        <v>109</v>
      </c>
      <c r="L109" s="97" t="s">
        <v>267</v>
      </c>
      <c r="M109" s="106" t="s">
        <v>235</v>
      </c>
      <c r="N109" s="54">
        <f>IF(MOD($C$25, 2)=0, $C$24, $C$23)</f>
        <v>85</v>
      </c>
    </row>
    <row r="110" spans="11:14" x14ac:dyDescent="0.4">
      <c r="K110" s="55">
        <f t="shared" si="2"/>
        <v>110</v>
      </c>
      <c r="L110" s="97" t="s">
        <v>400</v>
      </c>
      <c r="M110" s="106" t="s">
        <v>278</v>
      </c>
      <c r="N110" s="54">
        <f ca="1">$H$70/2-$H$60-$N$108/2</f>
        <v>21.495936780292737</v>
      </c>
    </row>
    <row r="111" spans="11:14" x14ac:dyDescent="0.4">
      <c r="K111" s="55">
        <f t="shared" si="2"/>
        <v>111</v>
      </c>
      <c r="L111" s="97" t="s">
        <v>401</v>
      </c>
      <c r="M111" s="106" t="s">
        <v>279</v>
      </c>
      <c r="N111" s="54">
        <f ca="1">$H$70/2-$H$61-$N$109/2</f>
        <v>29.502662230977563</v>
      </c>
    </row>
    <row r="112" spans="11:14" x14ac:dyDescent="0.4">
      <c r="K112" s="55">
        <f t="shared" si="2"/>
        <v>112</v>
      </c>
      <c r="L112" s="97" t="s">
        <v>405</v>
      </c>
      <c r="M112" s="106" t="str">
        <f>IF($C$25&gt;=3,"λj ≦ q &lt; λj+1 の wBj", "-")</f>
        <v>λj ≦ q &lt; λj+1 の wBj</v>
      </c>
      <c r="N112" s="96">
        <f ca="1">IF($C$25&gt;=3, INDEX(INDIRECT($H$52&amp;"!C:C"), MATCH($N$38, INDIRECT($H$52&amp;"!A:A"), 0)),"-")</f>
        <v>154.501</v>
      </c>
    </row>
    <row r="113" spans="11:14" x14ac:dyDescent="0.4">
      <c r="K113" s="55">
        <f t="shared" si="2"/>
        <v>113</v>
      </c>
      <c r="L113" s="97" t="s">
        <v>406</v>
      </c>
      <c r="M113" s="106" t="str">
        <f>IF($C$25&gt;=4,"λj ≦ q+pz &lt; λj+1 の wBj", "-")</f>
        <v>λj ≦ q+pz &lt; λj+1 の wBj</v>
      </c>
      <c r="N113" s="96">
        <f ca="1">IF($C$25&gt;=4, INDEX(INDIRECT($H$52&amp;"!C:C"), MATCH($N$39, INDIRECT($H$52&amp;"!A:A"), 0)),"-")</f>
        <v>154.38900000000001</v>
      </c>
    </row>
    <row r="114" spans="11:14" x14ac:dyDescent="0.4">
      <c r="K114" s="55">
        <f t="shared" si="2"/>
        <v>114</v>
      </c>
      <c r="L114" s="97" t="s">
        <v>407</v>
      </c>
      <c r="M114" s="106" t="str">
        <f>IF($C$25&gt;=5,"λj ≦ q+2pz &lt; λj+1 の wBj", "-")</f>
        <v>λj ≦ q+2pz &lt; λj+1 の wBj</v>
      </c>
      <c r="N114" s="96">
        <f ca="1">IF($C$25&gt;=5, INDEX(INDIRECT($H$52&amp;"!C:C"), MATCH($N$40, INDIRECT($H$52&amp;"!A:A"), 0)),"-")</f>
        <v>154.27600000000001</v>
      </c>
    </row>
    <row r="115" spans="11:14" x14ac:dyDescent="0.4">
      <c r="K115" s="55">
        <f t="shared" si="2"/>
        <v>115</v>
      </c>
      <c r="L115" s="97" t="s">
        <v>408</v>
      </c>
      <c r="M115" s="106" t="str">
        <f>IF($C$25&gt;=6,"λj ≦ q+3pz &lt; λj+1 の wBj", "-")</f>
        <v>λj ≦ q+3pz &lt; λj+1 の wBj</v>
      </c>
      <c r="N115" s="96">
        <f ca="1">IF($C$25&gt;=6, INDEX(INDIRECT($H$52&amp;"!C:C"), MATCH($N$41, INDIRECT($H$52&amp;"!A:A"), 0)),"-")</f>
        <v>154.16399999999999</v>
      </c>
    </row>
    <row r="116" spans="11:14" x14ac:dyDescent="0.4">
      <c r="K116" s="55">
        <f t="shared" si="2"/>
        <v>116</v>
      </c>
      <c r="L116" s="97" t="s">
        <v>409</v>
      </c>
      <c r="M116" s="106" t="str">
        <f>IF($C$25&gt;=7,"λj ≦ q+4pz &lt; λj+1 の wBj", "-")</f>
        <v>-</v>
      </c>
      <c r="N116" s="96" t="str">
        <f ca="1">IF($C$25&gt;=7, INDEX(INDIRECT($H$52&amp;"!C:C"), MATCH($N$42, INDIRECT($H$52&amp;"!A:A"), 0)),"-")</f>
        <v>-</v>
      </c>
    </row>
    <row r="117" spans="11:14" x14ac:dyDescent="0.4">
      <c r="K117" s="55">
        <f t="shared" si="2"/>
        <v>117</v>
      </c>
      <c r="L117" s="97" t="s">
        <v>410</v>
      </c>
      <c r="M117" s="106" t="str">
        <f>IF($C$25&gt;=8,"λj ≦ q+5pz &lt; λj+1 の wBj", "-")</f>
        <v>-</v>
      </c>
      <c r="N117" s="96" t="str">
        <f ca="1">IF($C$25&gt;=8, INDEX(INDIRECT($H$52&amp;"!C:C"), MATCH($N$43, INDIRECT($H$52&amp;"!A:A"), 0)),"-")</f>
        <v>-</v>
      </c>
    </row>
    <row r="118" spans="11:14" x14ac:dyDescent="0.4">
      <c r="K118" s="55">
        <f t="shared" si="2"/>
        <v>118</v>
      </c>
      <c r="L118" s="97" t="s">
        <v>411</v>
      </c>
      <c r="M118" s="106" t="s">
        <v>421</v>
      </c>
      <c r="N118" s="96">
        <f ca="1">INDEX(INDIRECT($H$52&amp;"!C:C"), MATCH($N$44, INDIRECT($H$52&amp;"!A:A"), 0))</f>
        <v>154.16399999999999</v>
      </c>
    </row>
    <row r="119" spans="11:14" x14ac:dyDescent="0.4">
      <c r="K119" s="55">
        <f t="shared" si="2"/>
        <v>119</v>
      </c>
      <c r="L119" s="97" t="s">
        <v>412</v>
      </c>
      <c r="M119" s="106" t="s">
        <v>422</v>
      </c>
      <c r="N119" s="96">
        <f ca="1">INDEX(INDIRECT($H$52&amp;"!C:C"), MATCH($N$45, INDIRECT($H$52&amp;"!A:A"), 0))</f>
        <v>154.06299999999999</v>
      </c>
    </row>
    <row r="120" spans="11:14" x14ac:dyDescent="0.4">
      <c r="K120" s="55">
        <f t="shared" si="2"/>
        <v>120</v>
      </c>
      <c r="L120" s="97" t="s">
        <v>413</v>
      </c>
      <c r="M120" s="106" t="str">
        <f>IF($C$25&gt;=3,"λj ≦ q &lt; λj+1 の wBj+1", "-")</f>
        <v>λj ≦ q &lt; λj+1 の wBj+1</v>
      </c>
      <c r="N120" s="96">
        <f ca="1">IF($C$25&gt;=3, INDEX(INDIRECT($H$52&amp;"!C:C"), MATCH($N$46, INDIRECT($H$52&amp;"!A:A"), 0)),"-")</f>
        <v>154.38900000000001</v>
      </c>
    </row>
    <row r="121" spans="11:14" x14ac:dyDescent="0.4">
      <c r="K121" s="55">
        <f t="shared" si="2"/>
        <v>121</v>
      </c>
      <c r="L121" s="97" t="s">
        <v>414</v>
      </c>
      <c r="M121" s="106" t="str">
        <f>IF($C$25&gt;=4,"λj ≦ q+pz &lt; λj+1 の wBj+1", "-")</f>
        <v>λj ≦ q+pz &lt; λj+1 の wBj+1</v>
      </c>
      <c r="N121" s="96">
        <f ca="1">IF($C$25&gt;=4, INDEX(INDIRECT($H$52&amp;"!C:C"), MATCH($N$47, INDIRECT($H$52&amp;"!A:A"), 0)),"-")</f>
        <v>154.27600000000001</v>
      </c>
    </row>
    <row r="122" spans="11:14" x14ac:dyDescent="0.4">
      <c r="K122" s="55">
        <f t="shared" si="2"/>
        <v>122</v>
      </c>
      <c r="L122" s="97" t="s">
        <v>415</v>
      </c>
      <c r="M122" s="106" t="str">
        <f>IF($C$25&gt;=5,"λj ≦ q+2pz &lt; λj+1 の wBj+1", "-")</f>
        <v>λj ≦ q+2pz &lt; λj+1 の wBj+1</v>
      </c>
      <c r="N122" s="96">
        <f ca="1">IF($C$25&gt;=5, INDEX(INDIRECT($H$52&amp;"!C:C"), MATCH($N$48, INDIRECT($H$52&amp;"!A:A"), 0)),"-")</f>
        <v>154.16399999999999</v>
      </c>
    </row>
    <row r="123" spans="11:14" x14ac:dyDescent="0.4">
      <c r="K123" s="55">
        <f t="shared" si="2"/>
        <v>123</v>
      </c>
      <c r="L123" s="97" t="s">
        <v>416</v>
      </c>
      <c r="M123" s="106" t="str">
        <f>IF($C$25&gt;=6,"λj ≦ q+3pz &lt; λj+1 の wBj+1", "-")</f>
        <v>λj ≦ q+3pz &lt; λj+1 の wBj+1</v>
      </c>
      <c r="N123" s="96">
        <f ca="1">IF($C$25&gt;=6, INDEX(INDIRECT($H$52&amp;"!C:C"), MATCH($N$49, INDIRECT($H$52&amp;"!A:A"), 0)),"-")</f>
        <v>154.06299999999999</v>
      </c>
    </row>
    <row r="124" spans="11:14" x14ac:dyDescent="0.4">
      <c r="K124" s="55">
        <f t="shared" si="2"/>
        <v>124</v>
      </c>
      <c r="L124" s="97" t="s">
        <v>417</v>
      </c>
      <c r="M124" s="106" t="str">
        <f>IF($C$25&gt;=7,"λj ≦ q+4pz &lt; λj+1 の wBj+1", "-")</f>
        <v>-</v>
      </c>
      <c r="N124" s="96" t="str">
        <f ca="1">IF($C$25&gt;=7, INDEX(INDIRECT($H$52&amp;"!C:C"), MATCH($N$50, INDIRECT($H$52&amp;"!A:A"), 0)),"-")</f>
        <v>-</v>
      </c>
    </row>
    <row r="125" spans="11:14" x14ac:dyDescent="0.4">
      <c r="K125" s="55">
        <f t="shared" si="2"/>
        <v>125</v>
      </c>
      <c r="L125" s="97" t="s">
        <v>418</v>
      </c>
      <c r="M125" s="106" t="str">
        <f>IF($C$25&gt;=8,"λj ≦ q+5pz &lt; λj+1 の wBj+1", "-")</f>
        <v>-</v>
      </c>
      <c r="N125" s="96" t="str">
        <f ca="1">IF($C$25&gt;=8, INDEX(INDIRECT($H$52&amp;"!C:C"), MATCH($N$51, INDIRECT($H$52&amp;"!A:A"), 0)),"-")</f>
        <v>-</v>
      </c>
    </row>
    <row r="126" spans="11:14" x14ac:dyDescent="0.4">
      <c r="K126" s="55">
        <f t="shared" si="2"/>
        <v>126</v>
      </c>
      <c r="L126" s="97" t="s">
        <v>419</v>
      </c>
      <c r="M126" s="106" t="s">
        <v>423</v>
      </c>
      <c r="N126" s="54">
        <f ca="1">INDEX(INDIRECT($H$52&amp;"!C:C"), MATCH($N$52, INDIRECT($H$52&amp;"!A:A"), 0))</f>
        <v>154.06299999999999</v>
      </c>
    </row>
    <row r="127" spans="11:14" x14ac:dyDescent="0.4">
      <c r="K127" s="55">
        <f t="shared" si="2"/>
        <v>127</v>
      </c>
      <c r="L127" s="97" t="s">
        <v>420</v>
      </c>
      <c r="M127" s="106" t="s">
        <v>424</v>
      </c>
      <c r="N127" s="54">
        <f ca="1">INDEX(INDIRECT($H$52&amp;"!C:C"), MATCH($N$53, INDIRECT($H$52&amp;"!A:A"), 0))</f>
        <v>153.97200000000001</v>
      </c>
    </row>
    <row r="128" spans="11:14" x14ac:dyDescent="0.4">
      <c r="K128" s="55">
        <f t="shared" si="2"/>
        <v>128</v>
      </c>
      <c r="L128" s="97" t="s">
        <v>441</v>
      </c>
      <c r="M128" s="107" t="str">
        <f>IF($C$25&gt;=4,"2列目AC内径（水平・めっき含・概算）","-")</f>
        <v>2列目AC内径（水平・めっき含・概算）</v>
      </c>
      <c r="N128" s="96">
        <f ca="1">IF($C$25&gt;=4,($N$55*$N$87+$N$63*$N$79)/($N$47-$N$39)+$C$30*2,"-")</f>
        <v>156.50139999999999</v>
      </c>
    </row>
    <row r="129" spans="11:14" x14ac:dyDescent="0.4">
      <c r="K129" s="55">
        <f t="shared" si="2"/>
        <v>129</v>
      </c>
      <c r="L129" s="97" t="s">
        <v>442</v>
      </c>
      <c r="M129" s="107" t="str">
        <f>IF($C$25&gt;=5,"3列目AC内径（水平・めっき含・概算）","-")</f>
        <v>3列目AC内径（水平・めっき含・概算）</v>
      </c>
      <c r="N129" s="96">
        <f ca="1">IF($C$25&gt;=5,($N$56*$N$88+$N$64*$N$80)/($N$48-$N$40)+$C$30*2,"-")</f>
        <v>156.4102</v>
      </c>
    </row>
    <row r="130" spans="11:14" x14ac:dyDescent="0.4">
      <c r="K130" s="55">
        <f t="shared" si="2"/>
        <v>130</v>
      </c>
      <c r="L130" s="97" t="s">
        <v>443</v>
      </c>
      <c r="M130" s="107" t="str">
        <f>IF($C$25&gt;=6,"4列目AC内径（水平・めっき含・概算）","-")</f>
        <v>4列目AC内径（水平・めっき含・概算）</v>
      </c>
      <c r="N130" s="96">
        <f ca="1">IF($C$25&gt;=6,($N$57*$N$89+$N$65*$N$81)/($N$49-$N$41)+$C$30*2,"-")</f>
        <v>156.31899999999999</v>
      </c>
    </row>
    <row r="131" spans="11:14" x14ac:dyDescent="0.4">
      <c r="K131" s="55">
        <f t="shared" si="2"/>
        <v>131</v>
      </c>
      <c r="L131" s="97" t="s">
        <v>444</v>
      </c>
      <c r="M131" s="107" t="str">
        <f>IF($C$25&gt;=7,"5列目AC内径（水平・めっき含・概算）","-")</f>
        <v>-</v>
      </c>
      <c r="N131" s="96" t="str">
        <f>IF($C$25&gt;=7,($N$58*$N$90+$N$66*$N$82)/($N$50-$N$42)+$C$30*2,"-")</f>
        <v>-</v>
      </c>
    </row>
    <row r="132" spans="11:14" x14ac:dyDescent="0.4">
      <c r="K132" s="55">
        <f t="shared" si="2"/>
        <v>132</v>
      </c>
      <c r="L132" s="97" t="s">
        <v>445</v>
      </c>
      <c r="M132" s="107" t="str">
        <f>IF($C$25&gt;=8,"6列目AC内径（水平・めっき含・概算）","-")</f>
        <v>-</v>
      </c>
      <c r="N132" s="96" t="str">
        <f>IF($C$25&gt;=8,($N$59*$N$91+$N$67*$N$83)/($N$51-$N$43)+$C$30*2,"-")</f>
        <v>-</v>
      </c>
    </row>
    <row r="133" spans="11:14" x14ac:dyDescent="0.4">
      <c r="K133" s="55">
        <f t="shared" si="2"/>
        <v>133</v>
      </c>
      <c r="L133" s="97" t="s">
        <v>446</v>
      </c>
      <c r="M133" s="107" t="s">
        <v>431</v>
      </c>
      <c r="N133" s="54">
        <f ca="1">($N$60*$N$92+$N$68*$N$84)/($N$52-$N$44)+$C$30*2</f>
        <v>156.23739999999998</v>
      </c>
    </row>
    <row r="134" spans="11:14" x14ac:dyDescent="0.4">
      <c r="K134" s="55">
        <f t="shared" si="2"/>
        <v>134</v>
      </c>
      <c r="L134" s="97" t="s">
        <v>387</v>
      </c>
      <c r="M134" s="107" t="s">
        <v>433</v>
      </c>
      <c r="N134" s="54">
        <f ca="1">INDEX(INDIRECT($H$52&amp;"!C:C"), MATCH(0, INDIRECT($H$52&amp;"!A:A"), 0))+$C$30*2</f>
        <v>154.97899999999998</v>
      </c>
    </row>
    <row r="135" spans="11:14" x14ac:dyDescent="0.4">
      <c r="K135" s="55">
        <f t="shared" si="2"/>
        <v>135</v>
      </c>
      <c r="L135" s="97" t="s">
        <v>430</v>
      </c>
      <c r="M135" s="107" t="str">
        <f>IF($C$25&gt;=3,"1列目 BD内径（めっき含・概算）","-")</f>
        <v>1列目 BD内径（めっき含・概算）</v>
      </c>
      <c r="N135" s="96">
        <f ca="1">IF($C$25&gt;=3,($N$54*$N$120+$N$62*$N$112)/($N$46-$N$38)+$C$30*2,"-")</f>
        <v>154.57380000000001</v>
      </c>
    </row>
    <row r="136" spans="11:14" x14ac:dyDescent="0.4">
      <c r="K136" s="55">
        <f t="shared" si="2"/>
        <v>136</v>
      </c>
      <c r="L136" s="97" t="s">
        <v>435</v>
      </c>
      <c r="M136" s="107" t="str">
        <f>IF($C$25&gt;=4,"2列目 BD内径（めっき含・概算）","-")</f>
        <v>2列目 BD内径（めっき含・概算）</v>
      </c>
      <c r="N136" s="96">
        <f ca="1">IF($C$25&gt;=4,($N$55*$N$121+$N$63*$N$113)/($N$47-$N$39)+$C$30*2,"-")</f>
        <v>154.4838</v>
      </c>
    </row>
    <row r="137" spans="11:14" x14ac:dyDescent="0.4">
      <c r="K137" s="55">
        <f t="shared" si="2"/>
        <v>137</v>
      </c>
      <c r="L137" s="97" t="s">
        <v>436</v>
      </c>
      <c r="M137" s="107" t="str">
        <f>IF($C$25&gt;=5,"3列目 BD内径（めっき含・概算）","-")</f>
        <v>3列目 BD内径（めっき含・概算）</v>
      </c>
      <c r="N137" s="96">
        <f ca="1">IF($C$25&gt;=5,($N$56*$N$122+$N$64*$N$114)/($N$48-$N$40)+$C$30*2,"-")</f>
        <v>154.39359999999999</v>
      </c>
    </row>
    <row r="138" spans="11:14" x14ac:dyDescent="0.4">
      <c r="K138" s="55">
        <f t="shared" si="2"/>
        <v>138</v>
      </c>
      <c r="L138" s="97" t="s">
        <v>437</v>
      </c>
      <c r="M138" s="107" t="str">
        <f>IF($C$25&gt;=6,"4列目 BD内径（めっき含・概算）","-")</f>
        <v>4列目 BD内径（めっき含・概算）</v>
      </c>
      <c r="N138" s="96">
        <f ca="1">IF($C$25&gt;=6,($N$57*$N$123+$N$65*$N$115)/($N$49-$N$41)+$C$30*2,"-")</f>
        <v>154.30399999999997</v>
      </c>
    </row>
    <row r="139" spans="11:14" x14ac:dyDescent="0.4">
      <c r="K139" s="55">
        <f t="shared" si="2"/>
        <v>139</v>
      </c>
      <c r="L139" s="97" t="s">
        <v>438</v>
      </c>
      <c r="M139" s="107" t="str">
        <f>IF($C$25&gt;=7,"5列目 BD内径（めっき含・概算）","-")</f>
        <v>-</v>
      </c>
      <c r="N139" s="96" t="str">
        <f>IF($C$25&gt;=7,($N$58*$N$124+$N$66*$N$116)/($N$50-$N$42)+$C$30*2,"-")</f>
        <v>-</v>
      </c>
    </row>
    <row r="140" spans="11:14" x14ac:dyDescent="0.4">
      <c r="K140" s="55">
        <f t="shared" si="2"/>
        <v>140</v>
      </c>
      <c r="L140" s="97" t="s">
        <v>439</v>
      </c>
      <c r="M140" s="107" t="str">
        <f>IF($C$25&gt;=8,"6列目 BD内径（めっき含・概算）","-")</f>
        <v>-</v>
      </c>
      <c r="N140" s="96" t="str">
        <f>IF($C$25&gt;=8,($N$59*$N$125+$N$67*$N$117)/($N$51-$N$43)+$C$30*2,"-")</f>
        <v>-</v>
      </c>
    </row>
    <row r="141" spans="11:14" x14ac:dyDescent="0.4">
      <c r="K141" s="55">
        <f t="shared" si="2"/>
        <v>141</v>
      </c>
      <c r="L141" s="97" t="s">
        <v>440</v>
      </c>
      <c r="M141" s="107" t="s">
        <v>434</v>
      </c>
      <c r="N141" s="54">
        <f ca="1">($N$60*$N$126+$N$68*$N$118)/($N$52-$N$44)+$C$30*2</f>
        <v>154.22319999999999</v>
      </c>
    </row>
    <row r="142" spans="11:14" x14ac:dyDescent="0.4">
      <c r="K142" s="55">
        <f t="shared" si="2"/>
        <v>142</v>
      </c>
    </row>
    <row r="143" spans="11:14" x14ac:dyDescent="0.4">
      <c r="K143" s="55">
        <f t="shared" si="2"/>
        <v>143</v>
      </c>
    </row>
    <row r="144" spans="11:14" x14ac:dyDescent="0.4">
      <c r="K144" s="55">
        <f t="shared" si="2"/>
        <v>144</v>
      </c>
    </row>
    <row r="145" spans="11:14" x14ac:dyDescent="0.4">
      <c r="K145" s="55">
        <f t="shared" si="2"/>
        <v>145</v>
      </c>
      <c r="L145" s="97" t="s">
        <v>269</v>
      </c>
      <c r="N145" s="54">
        <f>C6^2+(2*N9)^2</f>
        <v>384450.50566139817</v>
      </c>
    </row>
    <row r="146" spans="11:14" x14ac:dyDescent="0.4">
      <c r="K146" s="55">
        <f t="shared" si="2"/>
        <v>146</v>
      </c>
      <c r="L146" s="97" t="s">
        <v>270</v>
      </c>
      <c r="M146" s="106" t="s">
        <v>109</v>
      </c>
      <c r="N146" s="54">
        <f>SQRT(N145)</f>
        <v>620.04072903430961</v>
      </c>
    </row>
    <row r="147" spans="11:14" x14ac:dyDescent="0.4">
      <c r="K147" s="55">
        <f t="shared" si="2"/>
        <v>147</v>
      </c>
      <c r="L147" s="97" t="s">
        <v>144</v>
      </c>
      <c r="M147" s="106" t="s">
        <v>110</v>
      </c>
      <c r="N147" s="54">
        <f>2*N9/N146</f>
        <v>0.99993431232433228</v>
      </c>
    </row>
    <row r="148" spans="11:14" x14ac:dyDescent="0.4">
      <c r="K148" s="55">
        <f t="shared" si="2"/>
        <v>148</v>
      </c>
      <c r="L148" s="97" t="s">
        <v>145</v>
      </c>
      <c r="M148" s="106" t="s">
        <v>111</v>
      </c>
      <c r="N148" s="54">
        <f>C6/N146</f>
        <v>1.1461720484501746E-2</v>
      </c>
    </row>
    <row r="149" spans="11:14" x14ac:dyDescent="0.4">
      <c r="K149" s="55">
        <f t="shared" si="2"/>
        <v>149</v>
      </c>
      <c r="L149" s="97" t="s">
        <v>271</v>
      </c>
      <c r="N149" s="54">
        <f>SQRT(N8^2-(N9-N12)^2)</f>
        <v>8727.6739192066525</v>
      </c>
    </row>
    <row r="150" spans="11:14" x14ac:dyDescent="0.4">
      <c r="K150" s="55">
        <f t="shared" si="2"/>
        <v>150</v>
      </c>
      <c r="L150" s="97" t="s">
        <v>272</v>
      </c>
      <c r="N150" s="54">
        <f>SQRT(N8^2-(N9+N12)^2)</f>
        <v>8720.5671856823628</v>
      </c>
    </row>
    <row r="151" spans="11:14" x14ac:dyDescent="0.4">
      <c r="K151" s="55">
        <f t="shared" si="2"/>
        <v>151</v>
      </c>
      <c r="L151" s="97" t="s">
        <v>273</v>
      </c>
      <c r="N151" s="54">
        <f>N12*N9</f>
        <v>31000</v>
      </c>
    </row>
    <row r="152" spans="11:14" x14ac:dyDescent="0.4">
      <c r="K152" s="55">
        <f t="shared" si="2"/>
        <v>152</v>
      </c>
      <c r="L152" s="97" t="s">
        <v>274</v>
      </c>
      <c r="N152" s="54">
        <f>SQRT(N8^2-N145/4)</f>
        <v>8724.693657291622</v>
      </c>
    </row>
    <row r="153" spans="11:14" x14ac:dyDescent="0.4">
      <c r="K153" s="55">
        <f t="shared" si="2"/>
        <v>153</v>
      </c>
      <c r="L153" s="97" t="s">
        <v>155</v>
      </c>
      <c r="N153" s="54">
        <f>N152*N147</f>
        <v>8724.1205524443612</v>
      </c>
    </row>
    <row r="154" spans="11:14" x14ac:dyDescent="0.4">
      <c r="K154" s="55">
        <f t="shared" si="2"/>
        <v>154</v>
      </c>
      <c r="L154" s="97" t="s">
        <v>156</v>
      </c>
      <c r="M154" s="106" t="s">
        <v>107</v>
      </c>
      <c r="N154" s="54">
        <f>N152*N148</f>
        <v>100.00000001278184</v>
      </c>
    </row>
    <row r="155" spans="11:14" x14ac:dyDescent="0.4">
      <c r="K155" s="55">
        <f t="shared" ref="K155" si="4">ROW(K155)</f>
        <v>155</v>
      </c>
      <c r="L155" s="97" t="s">
        <v>122</v>
      </c>
      <c r="M155" s="106" t="s">
        <v>106</v>
      </c>
      <c r="N155" s="54">
        <f>C6/2+N7-N153</f>
        <v>4.12719521204599</v>
      </c>
    </row>
    <row r="170" spans="12:14" x14ac:dyDescent="0.4">
      <c r="L170" s="106"/>
      <c r="M170" s="107"/>
      <c r="N170" s="53"/>
    </row>
  </sheetData>
  <phoneticPr fontId="1"/>
  <conditionalFormatting sqref="C3">
    <cfRule type="expression" dxfId="38" priority="122">
      <formula>#REF!^2&lt;4*N151^2</formula>
    </cfRule>
  </conditionalFormatting>
  <conditionalFormatting sqref="C4">
    <cfRule type="expression" dxfId="37" priority="42">
      <formula>C4&lt;0</formula>
    </cfRule>
  </conditionalFormatting>
  <conditionalFormatting sqref="C6">
    <cfRule type="expression" dxfId="36" priority="18">
      <formula>$C$6&lt;0</formula>
    </cfRule>
  </conditionalFormatting>
  <conditionalFormatting sqref="C9">
    <cfRule type="expression" dxfId="35" priority="46">
      <formula>$C$9&lt;=0</formula>
    </cfRule>
  </conditionalFormatting>
  <conditionalFormatting sqref="C10:C11">
    <cfRule type="expression" dxfId="34" priority="19">
      <formula>$C$10&lt;0</formula>
    </cfRule>
  </conditionalFormatting>
  <conditionalFormatting sqref="C15">
    <cfRule type="expression" dxfId="33" priority="97">
      <formula>OR(C15&lt;=0, C15&gt;Q2)</formula>
    </cfRule>
  </conditionalFormatting>
  <conditionalFormatting sqref="C34">
    <cfRule type="expression" dxfId="32" priority="41">
      <formula>C34&lt;0</formula>
    </cfRule>
  </conditionalFormatting>
  <conditionalFormatting sqref="C35">
    <cfRule type="expression" dxfId="31" priority="56">
      <formula>OR($C$35&lt;0, $C$35&gt;=$C$9)</formula>
    </cfRule>
  </conditionalFormatting>
  <conditionalFormatting sqref="C36">
    <cfRule type="expression" dxfId="30" priority="15">
      <formula>OR($C$36&lt;0, $C$36&gt;=$C$10)</formula>
    </cfRule>
  </conditionalFormatting>
  <conditionalFormatting sqref="C37">
    <cfRule type="expression" dxfId="29" priority="119">
      <formula>OR(C37&lt;0, C37&gt;=C9)</formula>
    </cfRule>
  </conditionalFormatting>
  <conditionalFormatting sqref="C38">
    <cfRule type="expression" dxfId="28" priority="126">
      <formula>OR(C38&lt;0, C38&gt;=C4)</formula>
    </cfRule>
  </conditionalFormatting>
  <conditionalFormatting sqref="C41">
    <cfRule type="expression" dxfId="27" priority="127">
      <formula>OR(C41&lt;0, C41&gt;=C4)</formula>
    </cfRule>
  </conditionalFormatting>
  <conditionalFormatting sqref="C58">
    <cfRule type="expression" dxfId="26" priority="50">
      <formula>AND(C58&lt;&gt;330, C58&lt;&gt;270, C58&lt;&gt;250)</formula>
    </cfRule>
  </conditionalFormatting>
  <conditionalFormatting sqref="C59">
    <cfRule type="expression" dxfId="25" priority="49">
      <formula>C59&lt;&gt;40</formula>
    </cfRule>
  </conditionalFormatting>
  <conditionalFormatting sqref="C62">
    <cfRule type="expression" dxfId="24" priority="26">
      <formula>OR(C62&gt;0, ABS(ABS(C62)-740)&gt;=1)</formula>
    </cfRule>
  </conditionalFormatting>
  <conditionalFormatting sqref="C63">
    <cfRule type="expression" dxfId="23" priority="39">
      <formula>OR(C63&gt;0, ABS(ABS(C63)-550)&gt;=1)</formula>
    </cfRule>
  </conditionalFormatting>
  <conditionalFormatting sqref="C64">
    <cfRule type="expression" dxfId="22" priority="32">
      <formula>OR(C64&gt;0, ABS(ABS(C64)-1150)&gt;=1)</formula>
    </cfRule>
  </conditionalFormatting>
  <conditionalFormatting sqref="C65">
    <cfRule type="expression" dxfId="21" priority="38">
      <formula>OR(ABS(C65)&gt;=0.2)</formula>
    </cfRule>
  </conditionalFormatting>
  <conditionalFormatting sqref="H48">
    <cfRule type="expression" dxfId="20" priority="22">
      <formula>OR($H$48&lt;=1, INT($H$48)&lt;&gt;$H$48)</formula>
    </cfRule>
  </conditionalFormatting>
  <conditionalFormatting sqref="H52">
    <cfRule type="expression" dxfId="19" priority="14">
      <formula>ISERROR(INDIRECT($H$52&amp;"!$G$45"))</formula>
    </cfRule>
  </conditionalFormatting>
  <conditionalFormatting sqref="C25">
    <cfRule type="expression" dxfId="18" priority="235">
      <formula>OR(C25-QUOTIENT(C25,1)&lt;&gt;0, C25&lt;0, C25&gt;$C$66)</formula>
    </cfRule>
  </conditionalFormatting>
  <conditionalFormatting sqref="H50">
    <cfRule type="expression" dxfId="17" priority="10">
      <formula>$H$50&lt;0</formula>
    </cfRule>
  </conditionalFormatting>
  <conditionalFormatting sqref="H78 H51:H52 H54:H72">
    <cfRule type="expression" dxfId="16" priority="9">
      <formula>$H$51&lt;0</formula>
    </cfRule>
  </conditionalFormatting>
  <conditionalFormatting sqref="C23">
    <cfRule type="expression" dxfId="15" priority="253">
      <formula>OR($C$23&lt;=0, MOD($C$23,$C$22)&lt;&gt;0, $C$23&gt;=#REF!)</formula>
    </cfRule>
  </conditionalFormatting>
  <conditionalFormatting sqref="C26">
    <cfRule type="expression" dxfId="14" priority="261">
      <formula>OR($C$26&lt;=0, $C$26&gt;=#REF!/2, $C$26&gt;=#REF!/2)</formula>
    </cfRule>
  </conditionalFormatting>
  <conditionalFormatting sqref="C13">
    <cfRule type="expression" dxfId="13" priority="270">
      <formula>OR($C$13&gt;=$C$9, $C$13&gt;=$C$39)</formula>
    </cfRule>
  </conditionalFormatting>
  <conditionalFormatting sqref="C14">
    <cfRule type="expression" dxfId="12" priority="271">
      <formula>OR($C$14&gt;=$C$10, $C$14&gt;=$C$39)</formula>
    </cfRule>
  </conditionalFormatting>
  <conditionalFormatting sqref="C17">
    <cfRule type="expression" dxfId="11" priority="272">
      <formula>OR($C$17&lt;=0, $C$17&gt;=($C$9-#REF!)/2, $C$17&gt;=($C$35-#REF!)/2)</formula>
    </cfRule>
  </conditionalFormatting>
  <conditionalFormatting sqref="N128:N133">
    <cfRule type="expression" dxfId="10" priority="8">
      <formula>$H$51&lt;0</formula>
    </cfRule>
  </conditionalFormatting>
  <conditionalFormatting sqref="N134:N141">
    <cfRule type="expression" dxfId="9" priority="7">
      <formula>$H$51&lt;0</formula>
    </cfRule>
  </conditionalFormatting>
  <conditionalFormatting sqref="C16">
    <cfRule type="expression" dxfId="8" priority="273">
      <formula>OR(C16&lt;=0, C16+C15&gt;Q2)</formula>
    </cfRule>
  </conditionalFormatting>
  <conditionalFormatting sqref="H77">
    <cfRule type="expression" dxfId="7" priority="274">
      <formula>$H$77&lt;=$C$26/2+$C$27</formula>
    </cfRule>
  </conditionalFormatting>
  <conditionalFormatting sqref="G1:G1048576">
    <cfRule type="expression" dxfId="6" priority="2">
      <formula>G1="X"</formula>
    </cfRule>
    <cfRule type="expression" dxfId="5" priority="3">
      <formula>G1="Y"</formula>
    </cfRule>
    <cfRule type="expression" dxfId="4" priority="4">
      <formula>G1="Z"</formula>
    </cfRule>
    <cfRule type="expression" dxfId="3" priority="5">
      <formula>G1="B"</formula>
    </cfRule>
  </conditionalFormatting>
  <conditionalFormatting sqref="H80:H95">
    <cfRule type="expression" dxfId="2" priority="1">
      <formula>$H$51&lt;0</formula>
    </cfRule>
  </conditionalFormatting>
  <dataValidations count="1">
    <dataValidation imeMode="disabled" allowBlank="1" showInputMessage="1" showErrorMessage="1" sqref="C57:C66 H78 N128:N141 C3:C31 C46:C49 C52:C55 H54:H72 H80:H95 G1:G1048576" xr:uid="{5A8FA8E9-E7FC-48D2-B40E-E90D3C7D1F03}"/>
  </dataValidation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0976C-0F09-4552-BA6B-234A6F953E2B}">
  <sheetPr codeName="Sheet17"/>
  <dimension ref="A1:O42"/>
  <sheetViews>
    <sheetView workbookViewId="0">
      <selection activeCell="B5" sqref="B5"/>
    </sheetView>
  </sheetViews>
  <sheetFormatPr defaultRowHeight="15" x14ac:dyDescent="0.4"/>
  <cols>
    <col min="1" max="1" width="5" style="92" bestFit="1" customWidth="1"/>
    <col min="2" max="3" width="7.75" style="93" bestFit="1" customWidth="1"/>
    <col min="4" max="4" width="6" style="92" bestFit="1" customWidth="1"/>
    <col min="5" max="5" width="6.875" style="94" bestFit="1" customWidth="1"/>
    <col min="6" max="6" width="7" style="94" bestFit="1" customWidth="1"/>
    <col min="7" max="7" width="7.625" style="94" bestFit="1" customWidth="1"/>
    <col min="8" max="8" width="6" style="92" bestFit="1" customWidth="1"/>
    <col min="9" max="10" width="5.875" style="92" bestFit="1" customWidth="1"/>
    <col min="11" max="11" width="5.625" style="92" bestFit="1" customWidth="1"/>
    <col min="12" max="13" width="8" style="92" bestFit="1" customWidth="1"/>
    <col min="14" max="14" width="6" style="92" bestFit="1" customWidth="1"/>
    <col min="15" max="15" width="8.625" style="93" customWidth="1"/>
    <col min="16" max="16384" width="9" style="92"/>
  </cols>
  <sheetData>
    <row r="1" spans="1:14" x14ac:dyDescent="0.4">
      <c r="A1" s="92" t="s">
        <v>284</v>
      </c>
      <c r="B1" s="93" t="s">
        <v>285</v>
      </c>
      <c r="C1" s="93" t="s">
        <v>286</v>
      </c>
      <c r="D1" s="92" t="s">
        <v>287</v>
      </c>
      <c r="E1" s="94" t="s">
        <v>288</v>
      </c>
      <c r="F1" s="94" t="s">
        <v>289</v>
      </c>
      <c r="G1" s="94" t="s">
        <v>290</v>
      </c>
      <c r="H1" s="92" t="s">
        <v>291</v>
      </c>
      <c r="I1" s="92" t="s">
        <v>292</v>
      </c>
      <c r="J1" s="92" t="s">
        <v>293</v>
      </c>
      <c r="K1" s="92" t="s">
        <v>294</v>
      </c>
      <c r="L1" s="92" t="s">
        <v>295</v>
      </c>
      <c r="M1" s="92" t="s">
        <v>295</v>
      </c>
      <c r="N1" s="92" t="s">
        <v>296</v>
      </c>
    </row>
    <row r="2" spans="1:14" x14ac:dyDescent="0.4">
      <c r="A2" s="92">
        <v>0</v>
      </c>
      <c r="B2" s="93">
        <v>156.863</v>
      </c>
      <c r="C2" s="93">
        <v>154.839</v>
      </c>
      <c r="D2" s="93">
        <f>4.5-$A2/$A$42</f>
        <v>4.5</v>
      </c>
      <c r="E2" s="94" t="s">
        <v>197</v>
      </c>
      <c r="F2" s="94" t="s">
        <v>197</v>
      </c>
      <c r="G2" s="94" t="s">
        <v>197</v>
      </c>
      <c r="H2" s="95">
        <v>7.0000000000000007E-2</v>
      </c>
      <c r="I2" s="92" t="str">
        <f>IF($A2="","","a"&amp;$A2)</f>
        <v>a0</v>
      </c>
      <c r="J2" s="92" t="str">
        <f>IF($A2="","","b"&amp;$A2)</f>
        <v>b0</v>
      </c>
      <c r="K2" s="92" t="str">
        <f>IF($A2="","","r"&amp;$A2)</f>
        <v>r0</v>
      </c>
      <c r="L2" s="93">
        <f t="shared" ref="L2:M42" si="0">IF($A2="","",B2+$H$2*2)</f>
        <v>157.00299999999999</v>
      </c>
      <c r="M2" s="93">
        <f t="shared" si="0"/>
        <v>154.97899999999998</v>
      </c>
      <c r="N2" s="93">
        <f t="shared" ref="N2:N42" si="1">IF($A2="","",D2+$H$2)</f>
        <v>4.57</v>
      </c>
    </row>
    <row r="3" spans="1:14" x14ac:dyDescent="0.4">
      <c r="A3" s="92">
        <v>25</v>
      </c>
      <c r="B3" s="93">
        <v>156.749</v>
      </c>
      <c r="C3" s="93">
        <v>154.726</v>
      </c>
      <c r="D3" s="93">
        <f>4.5-$A3/$A$42</f>
        <v>4.4749999999999996</v>
      </c>
      <c r="E3" s="94">
        <f t="shared" ref="E3:F18" si="2">IF($A3="","",(B2-B3)*1000/(B2*($A3-$A2))*100)</f>
        <v>2.9069952761327866</v>
      </c>
      <c r="F3" s="94">
        <f t="shared" si="2"/>
        <v>2.9191611932394177</v>
      </c>
      <c r="G3" s="94">
        <f>AVERAGE(E3,F3)</f>
        <v>2.9130782346861022</v>
      </c>
      <c r="I3" s="92" t="str">
        <f t="shared" ref="I3:I42" si="3">IF($A3="","","a"&amp;$A3)</f>
        <v>a25</v>
      </c>
      <c r="J3" s="92" t="str">
        <f t="shared" ref="J3:J42" si="4">IF($A3="","","b"&amp;$A3)</f>
        <v>b25</v>
      </c>
      <c r="K3" s="92" t="str">
        <f t="shared" ref="K3:K42" si="5">IF($A3="","","r"&amp;$A3)</f>
        <v>r25</v>
      </c>
      <c r="L3" s="93">
        <f t="shared" si="0"/>
        <v>156.88899999999998</v>
      </c>
      <c r="M3" s="93">
        <f t="shared" si="0"/>
        <v>154.86599999999999</v>
      </c>
      <c r="N3" s="93">
        <f t="shared" si="1"/>
        <v>4.5449999999999999</v>
      </c>
    </row>
    <row r="4" spans="1:14" x14ac:dyDescent="0.4">
      <c r="A4" s="92">
        <v>50</v>
      </c>
      <c r="B4" s="93">
        <v>156.63499999999999</v>
      </c>
      <c r="C4" s="93">
        <v>154.614</v>
      </c>
      <c r="D4" s="93">
        <f t="shared" ref="D4:D42" si="6">4.5-$A4/$A$42</f>
        <v>4.45</v>
      </c>
      <c r="E4" s="94">
        <f t="shared" si="2"/>
        <v>2.9091094680030958</v>
      </c>
      <c r="F4" s="94">
        <f t="shared" si="2"/>
        <v>2.8954409730748489</v>
      </c>
      <c r="G4" s="94">
        <f t="shared" ref="G4:G42" si="7">AVERAGE(E4,F4)</f>
        <v>2.9022752205389724</v>
      </c>
      <c r="I4" s="92" t="str">
        <f t="shared" si="3"/>
        <v>a50</v>
      </c>
      <c r="J4" s="92" t="str">
        <f t="shared" si="4"/>
        <v>b50</v>
      </c>
      <c r="K4" s="92" t="str">
        <f t="shared" si="5"/>
        <v>r50</v>
      </c>
      <c r="L4" s="93">
        <f t="shared" si="0"/>
        <v>156.77499999999998</v>
      </c>
      <c r="M4" s="93">
        <f t="shared" si="0"/>
        <v>154.75399999999999</v>
      </c>
      <c r="N4" s="93">
        <f t="shared" si="1"/>
        <v>4.5200000000000005</v>
      </c>
    </row>
    <row r="5" spans="1:14" x14ac:dyDescent="0.4">
      <c r="A5" s="92">
        <v>75</v>
      </c>
      <c r="B5" s="93">
        <v>156.52099999999999</v>
      </c>
      <c r="C5" s="93">
        <v>154.501</v>
      </c>
      <c r="D5" s="93">
        <f t="shared" si="6"/>
        <v>4.4249999999999998</v>
      </c>
      <c r="E5" s="94">
        <f t="shared" si="2"/>
        <v>2.9112267373193559</v>
      </c>
      <c r="F5" s="94">
        <f t="shared" si="2"/>
        <v>2.9234092643615597</v>
      </c>
      <c r="G5" s="94">
        <f t="shared" si="7"/>
        <v>2.9173180008404578</v>
      </c>
      <c r="I5" s="92" t="str">
        <f t="shared" si="3"/>
        <v>a75</v>
      </c>
      <c r="J5" s="92" t="str">
        <f t="shared" si="4"/>
        <v>b75</v>
      </c>
      <c r="K5" s="92" t="str">
        <f t="shared" si="5"/>
        <v>r75</v>
      </c>
      <c r="L5" s="93">
        <f t="shared" si="0"/>
        <v>156.66099999999997</v>
      </c>
      <c r="M5" s="93">
        <f t="shared" si="0"/>
        <v>154.64099999999999</v>
      </c>
      <c r="N5" s="93">
        <f t="shared" si="1"/>
        <v>4.4950000000000001</v>
      </c>
    </row>
    <row r="6" spans="1:14" x14ac:dyDescent="0.4">
      <c r="A6" s="92">
        <v>100</v>
      </c>
      <c r="B6" s="93">
        <v>156.40700000000001</v>
      </c>
      <c r="C6" s="93">
        <v>154.38900000000001</v>
      </c>
      <c r="D6" s="93">
        <f t="shared" si="6"/>
        <v>4.4000000000000004</v>
      </c>
      <c r="E6" s="94">
        <f t="shared" si="2"/>
        <v>2.9133470908050909</v>
      </c>
      <c r="F6" s="94">
        <f t="shared" si="2"/>
        <v>2.8996576073939915</v>
      </c>
      <c r="G6" s="94">
        <f t="shared" si="7"/>
        <v>2.906502349099541</v>
      </c>
      <c r="I6" s="92" t="str">
        <f t="shared" si="3"/>
        <v>a100</v>
      </c>
      <c r="J6" s="92" t="str">
        <f t="shared" si="4"/>
        <v>b100</v>
      </c>
      <c r="K6" s="92" t="str">
        <f t="shared" si="5"/>
        <v>r100</v>
      </c>
      <c r="L6" s="93">
        <f t="shared" si="0"/>
        <v>156.547</v>
      </c>
      <c r="M6" s="93">
        <f t="shared" si="0"/>
        <v>154.529</v>
      </c>
      <c r="N6" s="93">
        <f t="shared" si="1"/>
        <v>4.4700000000000006</v>
      </c>
    </row>
    <row r="7" spans="1:14" x14ac:dyDescent="0.4">
      <c r="A7" s="92">
        <v>125</v>
      </c>
      <c r="B7" s="93">
        <v>156.29300000000001</v>
      </c>
      <c r="C7" s="93">
        <v>154.27600000000001</v>
      </c>
      <c r="D7" s="93">
        <f t="shared" si="6"/>
        <v>4.375</v>
      </c>
      <c r="E7" s="94">
        <f t="shared" si="2"/>
        <v>2.9154705352063348</v>
      </c>
      <c r="F7" s="94">
        <f t="shared" si="2"/>
        <v>2.9276697174021344</v>
      </c>
      <c r="G7" s="94">
        <f t="shared" si="7"/>
        <v>2.9215701263042346</v>
      </c>
      <c r="I7" s="92" t="str">
        <f t="shared" si="3"/>
        <v>a125</v>
      </c>
      <c r="J7" s="92" t="str">
        <f t="shared" si="4"/>
        <v>b125</v>
      </c>
      <c r="K7" s="92" t="str">
        <f t="shared" si="5"/>
        <v>r125</v>
      </c>
      <c r="L7" s="93">
        <f t="shared" si="0"/>
        <v>156.43299999999999</v>
      </c>
      <c r="M7" s="93">
        <f t="shared" si="0"/>
        <v>154.416</v>
      </c>
      <c r="N7" s="93">
        <f t="shared" si="1"/>
        <v>4.4450000000000003</v>
      </c>
    </row>
    <row r="8" spans="1:14" x14ac:dyDescent="0.4">
      <c r="A8" s="92">
        <v>150</v>
      </c>
      <c r="B8" s="93">
        <v>156.179</v>
      </c>
      <c r="C8" s="93">
        <v>154.16399999999999</v>
      </c>
      <c r="D8" s="93">
        <f t="shared" si="6"/>
        <v>4.3499999999999996</v>
      </c>
      <c r="E8" s="94">
        <f t="shared" si="2"/>
        <v>2.9175970772844417</v>
      </c>
      <c r="F8" s="94">
        <f t="shared" si="2"/>
        <v>2.903886541005035</v>
      </c>
      <c r="G8" s="94">
        <f t="shared" si="7"/>
        <v>2.9107418091447386</v>
      </c>
      <c r="I8" s="92" t="str">
        <f t="shared" si="3"/>
        <v>a150</v>
      </c>
      <c r="J8" s="92" t="str">
        <f t="shared" si="4"/>
        <v>b150</v>
      </c>
      <c r="K8" s="92" t="str">
        <f t="shared" si="5"/>
        <v>r150</v>
      </c>
      <c r="L8" s="93">
        <f t="shared" si="0"/>
        <v>156.31899999999999</v>
      </c>
      <c r="M8" s="93">
        <f t="shared" si="0"/>
        <v>154.30399999999997</v>
      </c>
      <c r="N8" s="93">
        <f t="shared" si="1"/>
        <v>4.42</v>
      </c>
    </row>
    <row r="9" spans="1:14" x14ac:dyDescent="0.4">
      <c r="A9" s="92">
        <v>175</v>
      </c>
      <c r="B9" s="93">
        <v>156.077</v>
      </c>
      <c r="C9" s="93">
        <v>154.06299999999999</v>
      </c>
      <c r="D9" s="93">
        <f t="shared" si="6"/>
        <v>4.3250000000000002</v>
      </c>
      <c r="E9" s="94">
        <f t="shared" si="2"/>
        <v>2.6123870686841091</v>
      </c>
      <c r="F9" s="94">
        <f t="shared" si="2"/>
        <v>2.620585869593397</v>
      </c>
      <c r="G9" s="94">
        <f t="shared" si="7"/>
        <v>2.6164864691387528</v>
      </c>
      <c r="I9" s="92" t="str">
        <f t="shared" si="3"/>
        <v>a175</v>
      </c>
      <c r="J9" s="92" t="str">
        <f t="shared" si="4"/>
        <v>b175</v>
      </c>
      <c r="K9" s="92" t="str">
        <f t="shared" si="5"/>
        <v>r175</v>
      </c>
      <c r="L9" s="93">
        <f t="shared" si="0"/>
        <v>156.21699999999998</v>
      </c>
      <c r="M9" s="93">
        <f t="shared" si="0"/>
        <v>154.20299999999997</v>
      </c>
      <c r="N9" s="93">
        <f t="shared" si="1"/>
        <v>4.3950000000000005</v>
      </c>
    </row>
    <row r="10" spans="1:14" x14ac:dyDescent="0.4">
      <c r="A10" s="92">
        <v>200</v>
      </c>
      <c r="B10" s="93">
        <v>155.98400000000001</v>
      </c>
      <c r="C10" s="93">
        <v>153.97200000000001</v>
      </c>
      <c r="D10" s="93">
        <f t="shared" si="6"/>
        <v>4.3</v>
      </c>
      <c r="E10" s="94">
        <f t="shared" si="2"/>
        <v>2.3834389435980778</v>
      </c>
      <c r="F10" s="94">
        <f t="shared" si="2"/>
        <v>2.3626698168925637</v>
      </c>
      <c r="G10" s="94">
        <f t="shared" si="7"/>
        <v>2.3730543802453208</v>
      </c>
      <c r="I10" s="92" t="str">
        <f t="shared" si="3"/>
        <v>a200</v>
      </c>
      <c r="J10" s="92" t="str">
        <f t="shared" si="4"/>
        <v>b200</v>
      </c>
      <c r="K10" s="92" t="str">
        <f t="shared" si="5"/>
        <v>r200</v>
      </c>
      <c r="L10" s="93">
        <f t="shared" si="0"/>
        <v>156.124</v>
      </c>
      <c r="M10" s="93">
        <f t="shared" si="0"/>
        <v>154.11199999999999</v>
      </c>
      <c r="N10" s="93">
        <f t="shared" si="1"/>
        <v>4.37</v>
      </c>
    </row>
    <row r="11" spans="1:14" x14ac:dyDescent="0.4">
      <c r="A11" s="92">
        <v>225</v>
      </c>
      <c r="B11" s="93">
        <v>155.90199999999999</v>
      </c>
      <c r="C11" s="93">
        <v>153.88999999999999</v>
      </c>
      <c r="D11" s="93">
        <f t="shared" si="6"/>
        <v>4.2750000000000004</v>
      </c>
      <c r="E11" s="94">
        <f t="shared" si="2"/>
        <v>2.1027797722849022</v>
      </c>
      <c r="F11" s="94">
        <f t="shared" si="2"/>
        <v>2.1302574494069586</v>
      </c>
      <c r="G11" s="94">
        <f t="shared" si="7"/>
        <v>2.1165186108459304</v>
      </c>
      <c r="I11" s="92" t="str">
        <f t="shared" si="3"/>
        <v>a225</v>
      </c>
      <c r="J11" s="92" t="str">
        <f t="shared" si="4"/>
        <v>b225</v>
      </c>
      <c r="K11" s="92" t="str">
        <f t="shared" si="5"/>
        <v>r225</v>
      </c>
      <c r="L11" s="93">
        <f t="shared" si="0"/>
        <v>156.04199999999997</v>
      </c>
      <c r="M11" s="93">
        <f t="shared" si="0"/>
        <v>154.02999999999997</v>
      </c>
      <c r="N11" s="93">
        <f t="shared" si="1"/>
        <v>4.3450000000000006</v>
      </c>
    </row>
    <row r="12" spans="1:14" x14ac:dyDescent="0.4">
      <c r="A12" s="92">
        <v>250</v>
      </c>
      <c r="B12" s="93">
        <v>155.827</v>
      </c>
      <c r="C12" s="93">
        <v>153.81700000000001</v>
      </c>
      <c r="D12" s="93">
        <f t="shared" si="6"/>
        <v>4.25</v>
      </c>
      <c r="E12" s="94">
        <f t="shared" si="2"/>
        <v>1.9242857692650162</v>
      </c>
      <c r="F12" s="94">
        <f t="shared" si="2"/>
        <v>1.8974592241205821</v>
      </c>
      <c r="G12" s="94">
        <f t="shared" si="7"/>
        <v>1.9108724966927992</v>
      </c>
      <c r="I12" s="92" t="str">
        <f t="shared" si="3"/>
        <v>a250</v>
      </c>
      <c r="J12" s="92" t="str">
        <f t="shared" si="4"/>
        <v>b250</v>
      </c>
      <c r="K12" s="92" t="str">
        <f t="shared" si="5"/>
        <v>r250</v>
      </c>
      <c r="L12" s="93">
        <f t="shared" si="0"/>
        <v>155.96699999999998</v>
      </c>
      <c r="M12" s="93">
        <f t="shared" si="0"/>
        <v>153.95699999999999</v>
      </c>
      <c r="N12" s="93">
        <f t="shared" si="1"/>
        <v>4.32</v>
      </c>
    </row>
    <row r="13" spans="1:14" x14ac:dyDescent="0.4">
      <c r="A13" s="92">
        <v>275</v>
      </c>
      <c r="B13" s="93">
        <v>155.761</v>
      </c>
      <c r="C13" s="93">
        <v>153.751</v>
      </c>
      <c r="D13" s="93">
        <f t="shared" si="6"/>
        <v>4.2249999999999996</v>
      </c>
      <c r="E13" s="94">
        <f t="shared" si="2"/>
        <v>1.6941865016974593</v>
      </c>
      <c r="F13" s="94">
        <f t="shared" si="2"/>
        <v>1.7163252436337335</v>
      </c>
      <c r="G13" s="94">
        <f t="shared" si="7"/>
        <v>1.7052558726655964</v>
      </c>
      <c r="I13" s="92" t="str">
        <f t="shared" si="3"/>
        <v>a275</v>
      </c>
      <c r="J13" s="92" t="str">
        <f t="shared" si="4"/>
        <v>b275</v>
      </c>
      <c r="K13" s="92" t="str">
        <f t="shared" si="5"/>
        <v>r275</v>
      </c>
      <c r="L13" s="93">
        <f t="shared" si="0"/>
        <v>155.90099999999998</v>
      </c>
      <c r="M13" s="93">
        <f t="shared" si="0"/>
        <v>153.89099999999999</v>
      </c>
      <c r="N13" s="93">
        <f t="shared" si="1"/>
        <v>4.2949999999999999</v>
      </c>
    </row>
    <row r="14" spans="1:14" x14ac:dyDescent="0.4">
      <c r="A14" s="92">
        <v>300</v>
      </c>
      <c r="B14" s="93">
        <v>155.70099999999999</v>
      </c>
      <c r="C14" s="93">
        <v>153.69200000000001</v>
      </c>
      <c r="D14" s="93">
        <f t="shared" si="6"/>
        <v>4.2</v>
      </c>
      <c r="E14" s="94">
        <f t="shared" si="2"/>
        <v>1.5408221570226763</v>
      </c>
      <c r="F14" s="94">
        <f t="shared" si="2"/>
        <v>1.534949366182919</v>
      </c>
      <c r="G14" s="94">
        <f t="shared" si="7"/>
        <v>1.5378857616027977</v>
      </c>
      <c r="I14" s="92" t="str">
        <f t="shared" si="3"/>
        <v>a300</v>
      </c>
      <c r="J14" s="92" t="str">
        <f t="shared" si="4"/>
        <v>b300</v>
      </c>
      <c r="K14" s="92" t="str">
        <f t="shared" si="5"/>
        <v>r300</v>
      </c>
      <c r="L14" s="93">
        <f t="shared" si="0"/>
        <v>155.84099999999998</v>
      </c>
      <c r="M14" s="93">
        <f t="shared" si="0"/>
        <v>153.83199999999999</v>
      </c>
      <c r="N14" s="93">
        <f t="shared" si="1"/>
        <v>4.2700000000000005</v>
      </c>
    </row>
    <row r="15" spans="1:14" x14ac:dyDescent="0.4">
      <c r="A15" s="92">
        <v>325</v>
      </c>
      <c r="B15" s="93">
        <v>155.64699999999999</v>
      </c>
      <c r="C15" s="93">
        <v>153.63900000000001</v>
      </c>
      <c r="D15" s="93">
        <f t="shared" si="6"/>
        <v>4.1749999999999998</v>
      </c>
      <c r="E15" s="94">
        <f t="shared" si="2"/>
        <v>1.3872743270756656</v>
      </c>
      <c r="F15" s="94">
        <f t="shared" si="2"/>
        <v>1.3793821409051159</v>
      </c>
      <c r="G15" s="94">
        <f t="shared" si="7"/>
        <v>1.3833282339903907</v>
      </c>
      <c r="I15" s="92" t="str">
        <f t="shared" si="3"/>
        <v>a325</v>
      </c>
      <c r="J15" s="92" t="str">
        <f t="shared" si="4"/>
        <v>b325</v>
      </c>
      <c r="K15" s="92" t="str">
        <f t="shared" si="5"/>
        <v>r325</v>
      </c>
      <c r="L15" s="93">
        <f t="shared" si="0"/>
        <v>155.78699999999998</v>
      </c>
      <c r="M15" s="93">
        <f t="shared" si="0"/>
        <v>153.779</v>
      </c>
      <c r="N15" s="93">
        <f t="shared" si="1"/>
        <v>4.2450000000000001</v>
      </c>
    </row>
    <row r="16" spans="1:14" x14ac:dyDescent="0.4">
      <c r="A16" s="92">
        <v>350</v>
      </c>
      <c r="B16" s="93">
        <v>155.6</v>
      </c>
      <c r="C16" s="93">
        <v>153.59200000000001</v>
      </c>
      <c r="D16" s="93">
        <f t="shared" si="6"/>
        <v>4.1500000000000004</v>
      </c>
      <c r="E16" s="94">
        <f t="shared" si="2"/>
        <v>1.2078613786323422</v>
      </c>
      <c r="F16" s="94">
        <f t="shared" si="2"/>
        <v>1.2236476415492692</v>
      </c>
      <c r="G16" s="94">
        <f t="shared" si="7"/>
        <v>1.2157545100908056</v>
      </c>
      <c r="I16" s="92" t="str">
        <f t="shared" si="3"/>
        <v>a350</v>
      </c>
      <c r="J16" s="92" t="str">
        <f t="shared" si="4"/>
        <v>b350</v>
      </c>
      <c r="K16" s="92" t="str">
        <f t="shared" si="5"/>
        <v>r350</v>
      </c>
      <c r="L16" s="93">
        <f t="shared" si="0"/>
        <v>155.73999999999998</v>
      </c>
      <c r="M16" s="93">
        <f t="shared" si="0"/>
        <v>153.732</v>
      </c>
      <c r="N16" s="93">
        <f t="shared" si="1"/>
        <v>4.2200000000000006</v>
      </c>
    </row>
    <row r="17" spans="1:14" x14ac:dyDescent="0.4">
      <c r="A17" s="92">
        <v>375</v>
      </c>
      <c r="B17" s="93">
        <v>155.55600000000001</v>
      </c>
      <c r="C17" s="93">
        <v>153.54900000000001</v>
      </c>
      <c r="D17" s="93">
        <f t="shared" si="6"/>
        <v>4.125</v>
      </c>
      <c r="E17" s="94">
        <f t="shared" si="2"/>
        <v>1.1311053984571393</v>
      </c>
      <c r="F17" s="94">
        <f t="shared" si="2"/>
        <v>1.1198499921872587</v>
      </c>
      <c r="G17" s="94">
        <f t="shared" si="7"/>
        <v>1.125477695322199</v>
      </c>
      <c r="I17" s="92" t="str">
        <f t="shared" si="3"/>
        <v>a375</v>
      </c>
      <c r="J17" s="92" t="str">
        <f t="shared" si="4"/>
        <v>b375</v>
      </c>
      <c r="K17" s="92" t="str">
        <f t="shared" si="5"/>
        <v>r375</v>
      </c>
      <c r="L17" s="93">
        <f t="shared" si="0"/>
        <v>155.696</v>
      </c>
      <c r="M17" s="93">
        <f t="shared" si="0"/>
        <v>153.68899999999999</v>
      </c>
      <c r="N17" s="93">
        <f t="shared" si="1"/>
        <v>4.1950000000000003</v>
      </c>
    </row>
    <row r="18" spans="1:14" x14ac:dyDescent="0.4">
      <c r="A18" s="92">
        <v>400</v>
      </c>
      <c r="B18" s="93">
        <v>155.51599999999999</v>
      </c>
      <c r="C18" s="93">
        <v>153.51</v>
      </c>
      <c r="D18" s="93">
        <f t="shared" si="6"/>
        <v>4.0999999999999996</v>
      </c>
      <c r="E18" s="94">
        <f t="shared" si="2"/>
        <v>1.0285684898048411</v>
      </c>
      <c r="F18" s="94">
        <f t="shared" si="2"/>
        <v>1.015962331243204</v>
      </c>
      <c r="G18" s="94">
        <f t="shared" si="7"/>
        <v>1.0222654105240225</v>
      </c>
      <c r="I18" s="92" t="str">
        <f t="shared" si="3"/>
        <v>a400</v>
      </c>
      <c r="J18" s="92" t="str">
        <f t="shared" si="4"/>
        <v>b400</v>
      </c>
      <c r="K18" s="92" t="str">
        <f t="shared" si="5"/>
        <v>r400</v>
      </c>
      <c r="L18" s="93">
        <f t="shared" si="0"/>
        <v>155.65599999999998</v>
      </c>
      <c r="M18" s="93">
        <f t="shared" si="0"/>
        <v>153.64999999999998</v>
      </c>
      <c r="N18" s="93">
        <f t="shared" si="1"/>
        <v>4.17</v>
      </c>
    </row>
    <row r="19" spans="1:14" x14ac:dyDescent="0.4">
      <c r="A19" s="92">
        <v>425</v>
      </c>
      <c r="B19" s="93">
        <v>155.47999999999999</v>
      </c>
      <c r="C19" s="93">
        <v>153.47399999999999</v>
      </c>
      <c r="D19" s="93">
        <f t="shared" si="6"/>
        <v>4.0750000000000002</v>
      </c>
      <c r="E19" s="94">
        <f t="shared" ref="E19:F34" si="8">IF($A19="","",(B18-B19)*1000/(B18*($A19-$A18))*100)</f>
        <v>0.92594974150573239</v>
      </c>
      <c r="F19" s="94">
        <f t="shared" si="8"/>
        <v>0.93804963846007072</v>
      </c>
      <c r="G19" s="94">
        <f t="shared" si="7"/>
        <v>0.9319996899829015</v>
      </c>
      <c r="I19" s="92" t="str">
        <f t="shared" si="3"/>
        <v>a425</v>
      </c>
      <c r="J19" s="92" t="str">
        <f t="shared" si="4"/>
        <v>b425</v>
      </c>
      <c r="K19" s="92" t="str">
        <f t="shared" si="5"/>
        <v>r425</v>
      </c>
      <c r="L19" s="93">
        <f t="shared" si="0"/>
        <v>155.61999999999998</v>
      </c>
      <c r="M19" s="93">
        <f t="shared" si="0"/>
        <v>153.61399999999998</v>
      </c>
      <c r="N19" s="93">
        <f t="shared" si="1"/>
        <v>4.1450000000000005</v>
      </c>
    </row>
    <row r="20" spans="1:14" x14ac:dyDescent="0.4">
      <c r="A20" s="92">
        <v>450</v>
      </c>
      <c r="B20" s="93">
        <v>155.447</v>
      </c>
      <c r="C20" s="93">
        <v>153.441</v>
      </c>
      <c r="D20" s="93">
        <f t="shared" si="6"/>
        <v>4.05</v>
      </c>
      <c r="E20" s="94">
        <f t="shared" si="8"/>
        <v>0.84898379212727149</v>
      </c>
      <c r="F20" s="94">
        <f t="shared" si="8"/>
        <v>0.86008053481337665</v>
      </c>
      <c r="G20" s="94">
        <f t="shared" si="7"/>
        <v>0.85453216347032401</v>
      </c>
      <c r="I20" s="92" t="str">
        <f t="shared" si="3"/>
        <v>a450</v>
      </c>
      <c r="J20" s="92" t="str">
        <f t="shared" si="4"/>
        <v>b450</v>
      </c>
      <c r="K20" s="92" t="str">
        <f t="shared" si="5"/>
        <v>r450</v>
      </c>
      <c r="L20" s="93">
        <f t="shared" si="0"/>
        <v>155.58699999999999</v>
      </c>
      <c r="M20" s="93">
        <f t="shared" si="0"/>
        <v>153.58099999999999</v>
      </c>
      <c r="N20" s="93">
        <f t="shared" si="1"/>
        <v>4.12</v>
      </c>
    </row>
    <row r="21" spans="1:14" x14ac:dyDescent="0.4">
      <c r="A21" s="92">
        <v>475</v>
      </c>
      <c r="B21" s="93">
        <v>155.416</v>
      </c>
      <c r="C21" s="93">
        <v>153.411</v>
      </c>
      <c r="D21" s="93">
        <f t="shared" si="6"/>
        <v>4.0250000000000004</v>
      </c>
      <c r="E21" s="94">
        <f t="shared" si="8"/>
        <v>0.79769953746308164</v>
      </c>
      <c r="F21" s="94">
        <f t="shared" si="8"/>
        <v>0.7820595538350541</v>
      </c>
      <c r="G21" s="94">
        <f t="shared" si="7"/>
        <v>0.78987954564906793</v>
      </c>
      <c r="I21" s="92" t="str">
        <f t="shared" si="3"/>
        <v>a475</v>
      </c>
      <c r="J21" s="92" t="str">
        <f t="shared" si="4"/>
        <v>b475</v>
      </c>
      <c r="K21" s="92" t="str">
        <f t="shared" si="5"/>
        <v>r475</v>
      </c>
      <c r="L21" s="93">
        <f t="shared" si="0"/>
        <v>155.55599999999998</v>
      </c>
      <c r="M21" s="93">
        <f t="shared" si="0"/>
        <v>153.55099999999999</v>
      </c>
      <c r="N21" s="93">
        <f t="shared" si="1"/>
        <v>4.0950000000000006</v>
      </c>
    </row>
    <row r="22" spans="1:14" x14ac:dyDescent="0.4">
      <c r="A22" s="92">
        <v>500</v>
      </c>
      <c r="B22" s="93">
        <v>155.38800000000001</v>
      </c>
      <c r="C22" s="93">
        <v>153.38300000000001</v>
      </c>
      <c r="D22" s="93">
        <f t="shared" si="6"/>
        <v>4</v>
      </c>
      <c r="E22" s="94">
        <f t="shared" si="8"/>
        <v>0.7206465228803105</v>
      </c>
      <c r="F22" s="94">
        <f t="shared" si="8"/>
        <v>0.73006498882066051</v>
      </c>
      <c r="G22" s="94">
        <f t="shared" si="7"/>
        <v>0.72535575585048551</v>
      </c>
      <c r="I22" s="92" t="str">
        <f t="shared" si="3"/>
        <v>a500</v>
      </c>
      <c r="J22" s="92" t="str">
        <f t="shared" si="4"/>
        <v>b500</v>
      </c>
      <c r="K22" s="92" t="str">
        <f t="shared" si="5"/>
        <v>r500</v>
      </c>
      <c r="L22" s="93">
        <f t="shared" si="0"/>
        <v>155.52799999999999</v>
      </c>
      <c r="M22" s="93">
        <f t="shared" si="0"/>
        <v>153.523</v>
      </c>
      <c r="N22" s="93">
        <f t="shared" si="1"/>
        <v>4.07</v>
      </c>
    </row>
    <row r="23" spans="1:14" x14ac:dyDescent="0.4">
      <c r="A23" s="92">
        <v>525</v>
      </c>
      <c r="B23" s="93">
        <v>155.36099999999999</v>
      </c>
      <c r="C23" s="93">
        <v>153.357</v>
      </c>
      <c r="D23" s="93">
        <f t="shared" si="6"/>
        <v>3.9750000000000001</v>
      </c>
      <c r="E23" s="94">
        <f t="shared" si="8"/>
        <v>0.69503436558846832</v>
      </c>
      <c r="F23" s="94">
        <f t="shared" si="8"/>
        <v>0.67804124316281356</v>
      </c>
      <c r="G23" s="94">
        <f t="shared" si="7"/>
        <v>0.68653780437564094</v>
      </c>
      <c r="I23" s="92" t="str">
        <f t="shared" si="3"/>
        <v>a525</v>
      </c>
      <c r="J23" s="92" t="str">
        <f t="shared" si="4"/>
        <v>b525</v>
      </c>
      <c r="K23" s="92" t="str">
        <f t="shared" si="5"/>
        <v>r525</v>
      </c>
      <c r="L23" s="93">
        <f t="shared" si="0"/>
        <v>155.50099999999998</v>
      </c>
      <c r="M23" s="93">
        <f t="shared" si="0"/>
        <v>153.49699999999999</v>
      </c>
      <c r="N23" s="93">
        <f t="shared" si="1"/>
        <v>4.0449999999999999</v>
      </c>
    </row>
    <row r="24" spans="1:14" x14ac:dyDescent="0.4">
      <c r="A24" s="92">
        <v>550</v>
      </c>
      <c r="B24" s="93">
        <v>155.33600000000001</v>
      </c>
      <c r="C24" s="93">
        <v>153.33199999999999</v>
      </c>
      <c r="D24" s="93">
        <f t="shared" si="6"/>
        <v>3.95</v>
      </c>
      <c r="E24" s="94">
        <f t="shared" si="8"/>
        <v>0.64366218034068434</v>
      </c>
      <c r="F24" s="94">
        <f t="shared" si="8"/>
        <v>0.65207326695242296</v>
      </c>
      <c r="G24" s="94">
        <f t="shared" si="7"/>
        <v>0.64786772364655365</v>
      </c>
      <c r="I24" s="92" t="str">
        <f t="shared" si="3"/>
        <v>a550</v>
      </c>
      <c r="J24" s="92" t="str">
        <f t="shared" si="4"/>
        <v>b550</v>
      </c>
      <c r="K24" s="92" t="str">
        <f t="shared" si="5"/>
        <v>r550</v>
      </c>
      <c r="L24" s="93">
        <f t="shared" si="0"/>
        <v>155.476</v>
      </c>
      <c r="M24" s="93">
        <f t="shared" si="0"/>
        <v>153.47199999999998</v>
      </c>
      <c r="N24" s="93">
        <f t="shared" si="1"/>
        <v>4.0200000000000005</v>
      </c>
    </row>
    <row r="25" spans="1:14" x14ac:dyDescent="0.4">
      <c r="A25" s="92">
        <v>575</v>
      </c>
      <c r="B25" s="93">
        <v>155.31200000000001</v>
      </c>
      <c r="C25" s="93">
        <v>153.30799999999999</v>
      </c>
      <c r="D25" s="93">
        <f t="shared" si="6"/>
        <v>3.9249999999999998</v>
      </c>
      <c r="E25" s="94">
        <f t="shared" si="8"/>
        <v>0.6180151413709869</v>
      </c>
      <c r="F25" s="94">
        <f t="shared" si="8"/>
        <v>0.62609240080350903</v>
      </c>
      <c r="G25" s="94">
        <f t="shared" si="7"/>
        <v>0.62205377108724802</v>
      </c>
      <c r="I25" s="92" t="str">
        <f t="shared" si="3"/>
        <v>a575</v>
      </c>
      <c r="J25" s="92" t="str">
        <f t="shared" si="4"/>
        <v>b575</v>
      </c>
      <c r="K25" s="92" t="str">
        <f t="shared" si="5"/>
        <v>r575</v>
      </c>
      <c r="L25" s="93">
        <f t="shared" si="0"/>
        <v>155.452</v>
      </c>
      <c r="M25" s="93">
        <f t="shared" si="0"/>
        <v>153.44799999999998</v>
      </c>
      <c r="N25" s="93">
        <f t="shared" si="1"/>
        <v>3.9949999999999997</v>
      </c>
    </row>
    <row r="26" spans="1:14" x14ac:dyDescent="0.4">
      <c r="A26" s="92">
        <v>600</v>
      </c>
      <c r="B26" s="93">
        <v>155.28899999999999</v>
      </c>
      <c r="C26" s="93">
        <v>153.285</v>
      </c>
      <c r="D26" s="93">
        <f t="shared" si="6"/>
        <v>3.9</v>
      </c>
      <c r="E26" s="94">
        <f t="shared" si="8"/>
        <v>0.59235603173031204</v>
      </c>
      <c r="F26" s="94">
        <f t="shared" si="8"/>
        <v>0.60009914681545995</v>
      </c>
      <c r="G26" s="94">
        <f t="shared" si="7"/>
        <v>0.59622758927288599</v>
      </c>
      <c r="I26" s="92" t="str">
        <f t="shared" si="3"/>
        <v>a600</v>
      </c>
      <c r="J26" s="92" t="str">
        <f t="shared" si="4"/>
        <v>b600</v>
      </c>
      <c r="K26" s="92" t="str">
        <f t="shared" si="5"/>
        <v>r600</v>
      </c>
      <c r="L26" s="93">
        <f t="shared" si="0"/>
        <v>155.42899999999997</v>
      </c>
      <c r="M26" s="93">
        <f t="shared" si="0"/>
        <v>153.42499999999998</v>
      </c>
      <c r="N26" s="93">
        <f t="shared" si="1"/>
        <v>3.9699999999999998</v>
      </c>
    </row>
    <row r="27" spans="1:14" x14ac:dyDescent="0.4">
      <c r="A27" s="92">
        <v>625</v>
      </c>
      <c r="B27" s="93">
        <v>155.26599999999999</v>
      </c>
      <c r="C27" s="93">
        <v>153.26300000000001</v>
      </c>
      <c r="D27" s="93">
        <f t="shared" si="6"/>
        <v>3.875</v>
      </c>
      <c r="E27" s="94">
        <f t="shared" si="8"/>
        <v>0.5924437661391635</v>
      </c>
      <c r="F27" s="94">
        <f t="shared" si="8"/>
        <v>0.57409400789356713</v>
      </c>
      <c r="G27" s="94">
        <f t="shared" si="7"/>
        <v>0.58326888701636537</v>
      </c>
      <c r="I27" s="92" t="str">
        <f t="shared" si="3"/>
        <v>a625</v>
      </c>
      <c r="J27" s="92" t="str">
        <f t="shared" si="4"/>
        <v>b625</v>
      </c>
      <c r="K27" s="92" t="str">
        <f t="shared" si="5"/>
        <v>r625</v>
      </c>
      <c r="L27" s="93">
        <f t="shared" si="0"/>
        <v>155.40599999999998</v>
      </c>
      <c r="M27" s="93">
        <f t="shared" si="0"/>
        <v>153.40299999999999</v>
      </c>
      <c r="N27" s="93">
        <f t="shared" si="1"/>
        <v>3.9449999999999998</v>
      </c>
    </row>
    <row r="28" spans="1:14" x14ac:dyDescent="0.4">
      <c r="A28" s="92">
        <v>650</v>
      </c>
      <c r="B28" s="93">
        <v>155.244</v>
      </c>
      <c r="C28" s="93">
        <v>153.24100000000001</v>
      </c>
      <c r="D28" s="93">
        <f t="shared" si="6"/>
        <v>3.85</v>
      </c>
      <c r="E28" s="94">
        <f t="shared" si="8"/>
        <v>0.56676928625691037</v>
      </c>
      <c r="F28" s="94">
        <f t="shared" si="8"/>
        <v>0.57417641570349942</v>
      </c>
      <c r="G28" s="94">
        <f t="shared" si="7"/>
        <v>0.57047285098020484</v>
      </c>
      <c r="I28" s="92" t="str">
        <f t="shared" si="3"/>
        <v>a650</v>
      </c>
      <c r="J28" s="92" t="str">
        <f t="shared" si="4"/>
        <v>b650</v>
      </c>
      <c r="K28" s="92" t="str">
        <f t="shared" si="5"/>
        <v>r650</v>
      </c>
      <c r="L28" s="93">
        <f t="shared" si="0"/>
        <v>155.38399999999999</v>
      </c>
      <c r="M28" s="93">
        <f t="shared" si="0"/>
        <v>153.381</v>
      </c>
      <c r="N28" s="93">
        <f t="shared" si="1"/>
        <v>3.92</v>
      </c>
    </row>
    <row r="29" spans="1:14" x14ac:dyDescent="0.4">
      <c r="A29" s="92">
        <v>675</v>
      </c>
      <c r="B29" s="93">
        <v>155.22200000000001</v>
      </c>
      <c r="C29" s="93">
        <v>153.21899999999999</v>
      </c>
      <c r="D29" s="93">
        <f t="shared" si="6"/>
        <v>3.8250000000000002</v>
      </c>
      <c r="E29" s="94">
        <f t="shared" si="8"/>
        <v>0.56684960449334876</v>
      </c>
      <c r="F29" s="94">
        <f t="shared" si="8"/>
        <v>0.57425884717588049</v>
      </c>
      <c r="G29" s="94">
        <f t="shared" si="7"/>
        <v>0.57055422583461457</v>
      </c>
      <c r="I29" s="92" t="str">
        <f t="shared" si="3"/>
        <v>a675</v>
      </c>
      <c r="J29" s="92" t="str">
        <f t="shared" si="4"/>
        <v>b675</v>
      </c>
      <c r="K29" s="92" t="str">
        <f t="shared" si="5"/>
        <v>r675</v>
      </c>
      <c r="L29" s="93">
        <f t="shared" si="0"/>
        <v>155.36199999999999</v>
      </c>
      <c r="M29" s="93">
        <f t="shared" si="0"/>
        <v>153.35899999999998</v>
      </c>
      <c r="N29" s="93">
        <f t="shared" si="1"/>
        <v>3.895</v>
      </c>
    </row>
    <row r="30" spans="1:14" x14ac:dyDescent="0.4">
      <c r="A30" s="92">
        <v>700</v>
      </c>
      <c r="B30" s="93">
        <v>155.19999999999999</v>
      </c>
      <c r="C30" s="93">
        <v>153.197</v>
      </c>
      <c r="D30" s="93">
        <f t="shared" si="6"/>
        <v>3.8</v>
      </c>
      <c r="E30" s="94">
        <f t="shared" si="8"/>
        <v>0.5669299454979263</v>
      </c>
      <c r="F30" s="94">
        <f t="shared" si="8"/>
        <v>0.57434130231867742</v>
      </c>
      <c r="G30" s="94">
        <f t="shared" si="7"/>
        <v>0.57063562390830191</v>
      </c>
      <c r="I30" s="92" t="str">
        <f t="shared" si="3"/>
        <v>a700</v>
      </c>
      <c r="J30" s="92" t="str">
        <f t="shared" si="4"/>
        <v>b700</v>
      </c>
      <c r="K30" s="92" t="str">
        <f t="shared" si="5"/>
        <v>r700</v>
      </c>
      <c r="L30" s="93">
        <f t="shared" si="0"/>
        <v>155.33999999999997</v>
      </c>
      <c r="M30" s="93">
        <f t="shared" si="0"/>
        <v>153.33699999999999</v>
      </c>
      <c r="N30" s="93">
        <f t="shared" si="1"/>
        <v>3.8699999999999997</v>
      </c>
    </row>
    <row r="31" spans="1:14" x14ac:dyDescent="0.4">
      <c r="A31" s="92">
        <v>725</v>
      </c>
      <c r="B31" s="93">
        <v>155.179</v>
      </c>
      <c r="C31" s="93">
        <v>153.17599999999999</v>
      </c>
      <c r="D31" s="93">
        <f t="shared" si="6"/>
        <v>3.7749999999999999</v>
      </c>
      <c r="E31" s="94">
        <f t="shared" si="8"/>
        <v>0.54123711340171621</v>
      </c>
      <c r="F31" s="94">
        <f t="shared" si="8"/>
        <v>0.54831360927472483</v>
      </c>
      <c r="G31" s="94">
        <f t="shared" si="7"/>
        <v>0.54477536133822047</v>
      </c>
      <c r="I31" s="92" t="str">
        <f t="shared" si="3"/>
        <v>a725</v>
      </c>
      <c r="J31" s="92" t="str">
        <f t="shared" si="4"/>
        <v>b725</v>
      </c>
      <c r="K31" s="92" t="str">
        <f t="shared" si="5"/>
        <v>r725</v>
      </c>
      <c r="L31" s="93">
        <f t="shared" si="0"/>
        <v>155.31899999999999</v>
      </c>
      <c r="M31" s="93">
        <f t="shared" si="0"/>
        <v>153.31599999999997</v>
      </c>
      <c r="N31" s="93">
        <f t="shared" si="1"/>
        <v>3.8449999999999998</v>
      </c>
    </row>
    <row r="32" spans="1:14" x14ac:dyDescent="0.4">
      <c r="A32" s="92">
        <v>750</v>
      </c>
      <c r="B32" s="93">
        <v>155.15700000000001</v>
      </c>
      <c r="C32" s="93">
        <v>153.155</v>
      </c>
      <c r="D32" s="93">
        <f t="shared" si="6"/>
        <v>3.75</v>
      </c>
      <c r="E32" s="94">
        <f t="shared" si="8"/>
        <v>0.56708704141646382</v>
      </c>
      <c r="F32" s="94">
        <f t="shared" si="8"/>
        <v>0.54838878153200465</v>
      </c>
      <c r="G32" s="94">
        <f t="shared" si="7"/>
        <v>0.55773791147423424</v>
      </c>
      <c r="I32" s="92" t="str">
        <f>IF($A32="","","a"&amp;$A32)</f>
        <v>a750</v>
      </c>
      <c r="J32" s="92" t="str">
        <f>IF($A32="","","b"&amp;$A32)</f>
        <v>b750</v>
      </c>
      <c r="K32" s="92" t="str">
        <f>IF($A32="","","r"&amp;$A32)</f>
        <v>r750</v>
      </c>
      <c r="L32" s="93">
        <f t="shared" si="0"/>
        <v>155.297</v>
      </c>
      <c r="M32" s="93">
        <f t="shared" si="0"/>
        <v>153.29499999999999</v>
      </c>
      <c r="N32" s="93">
        <f t="shared" si="1"/>
        <v>3.82</v>
      </c>
    </row>
    <row r="33" spans="1:14" x14ac:dyDescent="0.4">
      <c r="A33" s="92">
        <v>775</v>
      </c>
      <c r="B33" s="93">
        <v>155.137</v>
      </c>
      <c r="C33" s="93">
        <v>153.13499999999999</v>
      </c>
      <c r="D33" s="93">
        <f t="shared" si="6"/>
        <v>3.7250000000000001</v>
      </c>
      <c r="E33" s="94">
        <f t="shared" si="8"/>
        <v>0.51560677249522047</v>
      </c>
      <c r="F33" s="94">
        <f t="shared" si="8"/>
        <v>0.52234664229075722</v>
      </c>
      <c r="G33" s="94">
        <f t="shared" si="7"/>
        <v>0.51897670739298885</v>
      </c>
      <c r="I33" s="92" t="str">
        <f>IF($A33="","","a"&amp;$A33)</f>
        <v>a775</v>
      </c>
      <c r="J33" s="92" t="str">
        <f>IF($A33="","","b"&amp;$A33)</f>
        <v>b775</v>
      </c>
      <c r="K33" s="92" t="str">
        <f>IF($A33="","","r"&amp;$A33)</f>
        <v>r775</v>
      </c>
      <c r="L33" s="93">
        <f t="shared" si="0"/>
        <v>155.27699999999999</v>
      </c>
      <c r="M33" s="93">
        <f t="shared" si="0"/>
        <v>153.27499999999998</v>
      </c>
      <c r="N33" s="93">
        <f t="shared" si="1"/>
        <v>3.7949999999999999</v>
      </c>
    </row>
    <row r="34" spans="1:14" x14ac:dyDescent="0.4">
      <c r="A34" s="92">
        <v>800</v>
      </c>
      <c r="B34" s="93">
        <v>155.11600000000001</v>
      </c>
      <c r="C34" s="93">
        <v>153.11500000000001</v>
      </c>
      <c r="D34" s="93">
        <f t="shared" si="6"/>
        <v>3.7</v>
      </c>
      <c r="E34" s="94">
        <f t="shared" si="8"/>
        <v>0.54145690583127382</v>
      </c>
      <c r="F34" s="94">
        <f t="shared" si="8"/>
        <v>0.52241486270236881</v>
      </c>
      <c r="G34" s="94">
        <f t="shared" si="7"/>
        <v>0.53193588426682137</v>
      </c>
      <c r="I34" s="92" t="str">
        <f>IF($A34="","","a"&amp;$A34)</f>
        <v>a800</v>
      </c>
      <c r="J34" s="92" t="str">
        <f>IF($A34="","","b"&amp;$A34)</f>
        <v>b800</v>
      </c>
      <c r="K34" s="92" t="str">
        <f>IF($A34="","","r"&amp;$A34)</f>
        <v>r800</v>
      </c>
      <c r="L34" s="93">
        <f t="shared" si="0"/>
        <v>155.256</v>
      </c>
      <c r="M34" s="93">
        <f t="shared" si="0"/>
        <v>153.255</v>
      </c>
      <c r="N34" s="93">
        <f t="shared" si="1"/>
        <v>3.77</v>
      </c>
    </row>
    <row r="35" spans="1:14" x14ac:dyDescent="0.4">
      <c r="A35" s="92">
        <v>825</v>
      </c>
      <c r="B35" s="93">
        <v>155.09700000000001</v>
      </c>
      <c r="C35" s="93">
        <v>153.095</v>
      </c>
      <c r="D35" s="93">
        <f t="shared" si="6"/>
        <v>3.6749999999999998</v>
      </c>
      <c r="E35" s="94">
        <f t="shared" ref="E35:F42" si="9">IF($A35="","",(B34-B35)*1000/(B34*($A35-$A34))*100)</f>
        <v>0.48995590396878352</v>
      </c>
      <c r="F35" s="94">
        <f t="shared" si="9"/>
        <v>0.52248310093747141</v>
      </c>
      <c r="G35" s="94">
        <f t="shared" si="7"/>
        <v>0.50621950245312752</v>
      </c>
      <c r="I35" s="92" t="str">
        <f>IF($A35="","","a"&amp;$A35)</f>
        <v>a825</v>
      </c>
      <c r="J35" s="92" t="str">
        <f>IF($A35="","","b"&amp;$A35)</f>
        <v>b825</v>
      </c>
      <c r="K35" s="92" t="str">
        <f>IF($A35="","","r"&amp;$A35)</f>
        <v>r825</v>
      </c>
      <c r="L35" s="93">
        <f t="shared" si="0"/>
        <v>155.23699999999999</v>
      </c>
      <c r="M35" s="93">
        <f t="shared" si="0"/>
        <v>153.23499999999999</v>
      </c>
      <c r="N35" s="93">
        <f t="shared" si="1"/>
        <v>3.7449999999999997</v>
      </c>
    </row>
    <row r="36" spans="1:14" x14ac:dyDescent="0.4">
      <c r="A36" s="92">
        <v>850</v>
      </c>
      <c r="B36" s="93">
        <v>155.078</v>
      </c>
      <c r="C36" s="93">
        <v>153.077</v>
      </c>
      <c r="D36" s="93">
        <f t="shared" si="6"/>
        <v>3.65</v>
      </c>
      <c r="E36" s="94">
        <f t="shared" si="9"/>
        <v>0.49001592551772</v>
      </c>
      <c r="F36" s="94">
        <f t="shared" si="9"/>
        <v>0.47029622130051751</v>
      </c>
      <c r="G36" s="94">
        <f t="shared" si="7"/>
        <v>0.48015607340911876</v>
      </c>
      <c r="I36" s="92" t="str">
        <f t="shared" si="3"/>
        <v>a850</v>
      </c>
      <c r="J36" s="92" t="str">
        <f t="shared" si="4"/>
        <v>b850</v>
      </c>
      <c r="K36" s="92" t="str">
        <f t="shared" si="5"/>
        <v>r850</v>
      </c>
      <c r="L36" s="93">
        <f t="shared" si="0"/>
        <v>155.21799999999999</v>
      </c>
      <c r="M36" s="93">
        <f t="shared" si="0"/>
        <v>153.21699999999998</v>
      </c>
      <c r="N36" s="93">
        <f t="shared" si="1"/>
        <v>3.7199999999999998</v>
      </c>
    </row>
    <row r="37" spans="1:14" x14ac:dyDescent="0.4">
      <c r="A37" s="92">
        <v>875</v>
      </c>
      <c r="B37" s="93">
        <v>155.06100000000001</v>
      </c>
      <c r="C37" s="93">
        <v>153.06</v>
      </c>
      <c r="D37" s="93">
        <f t="shared" si="6"/>
        <v>3.625</v>
      </c>
      <c r="E37" s="94">
        <f t="shared" si="9"/>
        <v>0.43848901842932991</v>
      </c>
      <c r="F37" s="94">
        <f t="shared" si="9"/>
        <v>0.44422088230095724</v>
      </c>
      <c r="G37" s="94">
        <f t="shared" si="7"/>
        <v>0.44135495036514361</v>
      </c>
      <c r="I37" s="92" t="str">
        <f t="shared" si="3"/>
        <v>a875</v>
      </c>
      <c r="J37" s="92" t="str">
        <f t="shared" si="4"/>
        <v>b875</v>
      </c>
      <c r="K37" s="92" t="str">
        <f t="shared" si="5"/>
        <v>r875</v>
      </c>
      <c r="L37" s="93">
        <f t="shared" si="0"/>
        <v>155.20099999999999</v>
      </c>
      <c r="M37" s="93">
        <f t="shared" si="0"/>
        <v>153.19999999999999</v>
      </c>
      <c r="N37" s="93">
        <f t="shared" si="1"/>
        <v>3.6949999999999998</v>
      </c>
    </row>
    <row r="38" spans="1:14" x14ac:dyDescent="0.4">
      <c r="A38" s="92">
        <v>900</v>
      </c>
      <c r="B38" s="93">
        <v>155.04400000000001</v>
      </c>
      <c r="C38" s="93">
        <v>153.04400000000001</v>
      </c>
      <c r="D38" s="93">
        <f t="shared" si="6"/>
        <v>3.6</v>
      </c>
      <c r="E38" s="94">
        <f t="shared" si="9"/>
        <v>0.43853709185406797</v>
      </c>
      <c r="F38" s="94">
        <f t="shared" si="9"/>
        <v>0.41813667842652902</v>
      </c>
      <c r="G38" s="94">
        <f t="shared" si="7"/>
        <v>0.4283368851402985</v>
      </c>
      <c r="I38" s="92" t="str">
        <f t="shared" si="3"/>
        <v>a900</v>
      </c>
      <c r="J38" s="92" t="str">
        <f t="shared" si="4"/>
        <v>b900</v>
      </c>
      <c r="K38" s="92" t="str">
        <f t="shared" si="5"/>
        <v>r900</v>
      </c>
      <c r="L38" s="93">
        <f t="shared" si="0"/>
        <v>155.184</v>
      </c>
      <c r="M38" s="93">
        <f t="shared" si="0"/>
        <v>153.184</v>
      </c>
      <c r="N38" s="93">
        <f t="shared" si="1"/>
        <v>3.67</v>
      </c>
    </row>
    <row r="39" spans="1:14" x14ac:dyDescent="0.4">
      <c r="A39" s="92">
        <v>925</v>
      </c>
      <c r="B39" s="93">
        <v>155.03</v>
      </c>
      <c r="C39" s="93">
        <v>153.029</v>
      </c>
      <c r="D39" s="93">
        <f t="shared" si="6"/>
        <v>3.5750000000000002</v>
      </c>
      <c r="E39" s="94">
        <f t="shared" si="9"/>
        <v>0.36118779185289346</v>
      </c>
      <c r="F39" s="94">
        <f t="shared" si="9"/>
        <v>0.392044118031802</v>
      </c>
      <c r="G39" s="94">
        <f t="shared" si="7"/>
        <v>0.37661595494234773</v>
      </c>
      <c r="I39" s="92" t="str">
        <f t="shared" si="3"/>
        <v>a925</v>
      </c>
      <c r="J39" s="92" t="str">
        <f t="shared" si="4"/>
        <v>b925</v>
      </c>
      <c r="K39" s="92" t="str">
        <f t="shared" si="5"/>
        <v>r925</v>
      </c>
      <c r="L39" s="93">
        <f t="shared" si="0"/>
        <v>155.16999999999999</v>
      </c>
      <c r="M39" s="93">
        <f t="shared" si="0"/>
        <v>153.16899999999998</v>
      </c>
      <c r="N39" s="93">
        <f t="shared" si="1"/>
        <v>3.645</v>
      </c>
    </row>
    <row r="40" spans="1:14" x14ac:dyDescent="0.4">
      <c r="A40" s="92">
        <v>950</v>
      </c>
      <c r="B40" s="93">
        <v>155.017</v>
      </c>
      <c r="C40" s="93">
        <v>153.017</v>
      </c>
      <c r="D40" s="93">
        <f t="shared" si="6"/>
        <v>3.55</v>
      </c>
      <c r="E40" s="94">
        <f t="shared" si="9"/>
        <v>0.33541895117087611</v>
      </c>
      <c r="F40" s="94">
        <f t="shared" si="9"/>
        <v>0.31366603715636787</v>
      </c>
      <c r="G40" s="94">
        <f t="shared" si="7"/>
        <v>0.32454249416362202</v>
      </c>
      <c r="I40" s="92" t="str">
        <f t="shared" si="3"/>
        <v>a950</v>
      </c>
      <c r="J40" s="92" t="str">
        <f t="shared" si="4"/>
        <v>b950</v>
      </c>
      <c r="K40" s="92" t="str">
        <f t="shared" si="5"/>
        <v>r950</v>
      </c>
      <c r="L40" s="93">
        <f t="shared" si="0"/>
        <v>155.15699999999998</v>
      </c>
      <c r="M40" s="93">
        <f t="shared" si="0"/>
        <v>153.15699999999998</v>
      </c>
      <c r="N40" s="93">
        <f t="shared" si="1"/>
        <v>3.6199999999999997</v>
      </c>
    </row>
    <row r="41" spans="1:14" x14ac:dyDescent="0.4">
      <c r="A41" s="92">
        <v>975</v>
      </c>
      <c r="B41" s="93">
        <v>155.00700000000001</v>
      </c>
      <c r="C41" s="93">
        <v>153.00700000000001</v>
      </c>
      <c r="D41" s="93">
        <f t="shared" si="6"/>
        <v>3.5249999999999999</v>
      </c>
      <c r="E41" s="94">
        <f t="shared" si="9"/>
        <v>0.2580362153825943</v>
      </c>
      <c r="F41" s="94">
        <f t="shared" si="9"/>
        <v>0.26140886306726457</v>
      </c>
      <c r="G41" s="94">
        <f t="shared" si="7"/>
        <v>0.25972253922492944</v>
      </c>
      <c r="I41" s="92" t="str">
        <f t="shared" si="3"/>
        <v>a975</v>
      </c>
      <c r="J41" s="92" t="str">
        <f t="shared" si="4"/>
        <v>b975</v>
      </c>
      <c r="K41" s="92" t="str">
        <f t="shared" si="5"/>
        <v>r975</v>
      </c>
      <c r="L41" s="93">
        <f t="shared" si="0"/>
        <v>155.14699999999999</v>
      </c>
      <c r="M41" s="93">
        <f t="shared" si="0"/>
        <v>153.14699999999999</v>
      </c>
      <c r="N41" s="93">
        <f t="shared" si="1"/>
        <v>3.5949999999999998</v>
      </c>
    </row>
    <row r="42" spans="1:14" x14ac:dyDescent="0.4">
      <c r="A42" s="92">
        <v>1000</v>
      </c>
      <c r="B42" s="93">
        <v>155</v>
      </c>
      <c r="C42" s="93">
        <v>153</v>
      </c>
      <c r="D42" s="93">
        <f t="shared" si="6"/>
        <v>3.5</v>
      </c>
      <c r="E42" s="94">
        <f t="shared" si="9"/>
        <v>0.18063700349029405</v>
      </c>
      <c r="F42" s="94">
        <f t="shared" si="9"/>
        <v>0.18299816348284725</v>
      </c>
      <c r="G42" s="94">
        <f t="shared" si="7"/>
        <v>0.18181758348657065</v>
      </c>
      <c r="I42" s="92" t="str">
        <f t="shared" si="3"/>
        <v>a1000</v>
      </c>
      <c r="J42" s="92" t="str">
        <f t="shared" si="4"/>
        <v>b1000</v>
      </c>
      <c r="K42" s="92" t="str">
        <f t="shared" si="5"/>
        <v>r1000</v>
      </c>
      <c r="L42" s="93">
        <f t="shared" si="0"/>
        <v>155.13999999999999</v>
      </c>
      <c r="M42" s="93">
        <f t="shared" si="0"/>
        <v>153.13999999999999</v>
      </c>
      <c r="N42" s="93">
        <f t="shared" si="1"/>
        <v>3.57</v>
      </c>
    </row>
  </sheetData>
  <phoneticPr fontId="1"/>
  <conditionalFormatting sqref="B2:D42">
    <cfRule type="expression" dxfId="1" priority="2">
      <formula>$A2&lt;&gt;""</formula>
    </cfRule>
  </conditionalFormatting>
  <conditionalFormatting sqref="I2:N42">
    <cfRule type="expression" dxfId="0" priority="1">
      <formula>$A2&lt;&gt;""</formula>
    </cfRule>
  </conditionalFormatting>
  <dataValidations count="1">
    <dataValidation imeMode="disabled" allowBlank="1" showInputMessage="1" showErrorMessage="1" sqref="I1:O1048576 A1:D1048576" xr:uid="{70387CA0-3AE1-4C17-86DC-E7259AE3215B}"/>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17</vt:i4>
      </vt:variant>
    </vt:vector>
  </HeadingPairs>
  <TitlesOfParts>
    <vt:vector size="17" baseType="lpstr">
      <vt:lpstr>master</vt:lpstr>
      <vt:lpstr>wankyoku</vt:lpstr>
      <vt:lpstr>huriwake</vt:lpstr>
      <vt:lpstr>spacer</vt:lpstr>
      <vt:lpstr>gaikei</vt:lpstr>
      <vt:lpstr>naikei</vt:lpstr>
      <vt:lpstr>keyMizo</vt:lpstr>
      <vt:lpstr>bGaisaku</vt:lpstr>
      <vt:lpstr>tGaisaku</vt:lpstr>
      <vt:lpstr>bChanfer</vt:lpstr>
      <vt:lpstr>tChanfer</vt:lpstr>
      <vt:lpstr>zaguri</vt:lpstr>
      <vt:lpstr>palette</vt:lpstr>
      <vt:lpstr>cycleTime</vt:lpstr>
      <vt:lpstr>spacer calculator</vt:lpstr>
      <vt:lpstr>position</vt:lpstr>
      <vt:lpstr>e00937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user01</dc:creator>
  <cp:lastModifiedBy>mould mojimetal</cp:lastModifiedBy>
  <dcterms:created xsi:type="dcterms:W3CDTF">2023-08-17T04:42:45Z</dcterms:created>
  <dcterms:modified xsi:type="dcterms:W3CDTF">2023-11-03T08:47:22Z</dcterms:modified>
</cp:coreProperties>
</file>