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m001\Documents\GitHub\mould_moji\Mould_Database\"/>
    </mc:Choice>
  </mc:AlternateContent>
  <xr:revisionPtr revIDLastSave="0" documentId="13_ncr:1_{3E96A9A0-C4FE-4E88-A070-439A14547280}" xr6:coauthVersionLast="47" xr6:coauthVersionMax="47" xr10:uidLastSave="{00000000-0000-0000-0000-000000000000}"/>
  <bookViews>
    <workbookView xWindow="-37470" yWindow="-2700" windowWidth="19770" windowHeight="21600" tabRatio="638" firstSheet="13" activeTab="15" xr2:uid="{331D296A-DE97-4357-9338-22F5C8F49D08}"/>
  </bookViews>
  <sheets>
    <sheet name="master" sheetId="2" r:id="rId1"/>
    <sheet name="wankyoku" sheetId="5" r:id="rId2"/>
    <sheet name="huriwake" sheetId="6" r:id="rId3"/>
    <sheet name="spacer" sheetId="3" r:id="rId4"/>
    <sheet name="gaikei" sheetId="7" r:id="rId5"/>
    <sheet name="naikei" sheetId="8" r:id="rId6"/>
    <sheet name="keyMizo" sheetId="9" r:id="rId7"/>
    <sheet name="bGaisaku" sheetId="10" r:id="rId8"/>
    <sheet name="tGaisaku" sheetId="11" r:id="rId9"/>
    <sheet name="bChanfer" sheetId="12" r:id="rId10"/>
    <sheet name="tChanfer" sheetId="13" r:id="rId11"/>
    <sheet name="zaguri" sheetId="14" r:id="rId12"/>
    <sheet name="palette" sheetId="4" r:id="rId13"/>
    <sheet name="cycleTime" sheetId="1" r:id="rId14"/>
    <sheet name="spacer calculator" sheetId="16" r:id="rId15"/>
    <sheet name="position" sheetId="17" r:id="rId16"/>
    <sheet name="e00937" sheetId="19" r:id="rId1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0" i="17" l="1"/>
  <c r="H93" i="17"/>
  <c r="H92" i="17"/>
  <c r="F93" i="17"/>
  <c r="F92" i="17"/>
  <c r="F91" i="17"/>
  <c r="F90" i="17"/>
  <c r="F89" i="17"/>
  <c r="F88" i="17"/>
  <c r="K100" i="17"/>
  <c r="K101" i="17"/>
  <c r="K102" i="17"/>
  <c r="K103" i="17"/>
  <c r="K98" i="17"/>
  <c r="K99" i="17"/>
  <c r="F85" i="17"/>
  <c r="F84" i="17"/>
  <c r="F83" i="17"/>
  <c r="F82" i="17"/>
  <c r="F81" i="17"/>
  <c r="F80" i="17"/>
  <c r="N12" i="17"/>
  <c r="K4" i="17"/>
  <c r="N23" i="17"/>
  <c r="N28" i="17"/>
  <c r="N29" i="17" s="1"/>
  <c r="K142" i="17"/>
  <c r="K143" i="17"/>
  <c r="M140" i="17"/>
  <c r="M139" i="17"/>
  <c r="M138" i="17"/>
  <c r="M137" i="17"/>
  <c r="M136" i="17"/>
  <c r="M135" i="17"/>
  <c r="K136" i="17"/>
  <c r="K135" i="17"/>
  <c r="K134" i="17"/>
  <c r="M132" i="17"/>
  <c r="M131" i="17"/>
  <c r="M130" i="17"/>
  <c r="M129" i="17"/>
  <c r="M128" i="17"/>
  <c r="K133" i="17"/>
  <c r="K132" i="17"/>
  <c r="K131" i="17"/>
  <c r="K130" i="17"/>
  <c r="K129" i="17"/>
  <c r="K128" i="17"/>
  <c r="K139" i="17"/>
  <c r="K138" i="17"/>
  <c r="K137" i="17"/>
  <c r="H67" i="17"/>
  <c r="I67" i="17" s="1"/>
  <c r="F67" i="17"/>
  <c r="H66" i="17"/>
  <c r="I66" i="17" s="1"/>
  <c r="F66" i="17"/>
  <c r="F65" i="17"/>
  <c r="F64" i="17"/>
  <c r="F63" i="17"/>
  <c r="F62" i="17"/>
  <c r="M125" i="17"/>
  <c r="M124" i="17"/>
  <c r="M123" i="17"/>
  <c r="M122" i="17"/>
  <c r="M121" i="17"/>
  <c r="M120" i="17"/>
  <c r="M117" i="17"/>
  <c r="M116" i="17"/>
  <c r="M115" i="17"/>
  <c r="M114" i="17"/>
  <c r="M113" i="17"/>
  <c r="M112" i="17"/>
  <c r="K127" i="17"/>
  <c r="K126" i="17"/>
  <c r="K125" i="17"/>
  <c r="K124" i="17"/>
  <c r="K123" i="17"/>
  <c r="K122" i="17"/>
  <c r="K121" i="17"/>
  <c r="K120" i="17"/>
  <c r="K119" i="17"/>
  <c r="K118" i="17"/>
  <c r="K117" i="17"/>
  <c r="K116" i="17"/>
  <c r="K115" i="17"/>
  <c r="K114" i="17"/>
  <c r="K113" i="17"/>
  <c r="K112" i="17"/>
  <c r="F71" i="17" l="1"/>
  <c r="H19" i="17"/>
  <c r="K140" i="17"/>
  <c r="K141" i="17"/>
  <c r="K144" i="17"/>
  <c r="K145" i="17"/>
  <c r="K146" i="17"/>
  <c r="K147" i="17"/>
  <c r="K148" i="17"/>
  <c r="K149" i="17"/>
  <c r="K150" i="17"/>
  <c r="K151" i="17"/>
  <c r="K152" i="17"/>
  <c r="K153" i="17"/>
  <c r="K154" i="17"/>
  <c r="K155" i="17"/>
  <c r="M91" i="17"/>
  <c r="M90" i="17"/>
  <c r="M89" i="17"/>
  <c r="M88" i="17"/>
  <c r="M87" i="17"/>
  <c r="M86" i="17"/>
  <c r="M83" i="17"/>
  <c r="M82" i="17"/>
  <c r="M81" i="17"/>
  <c r="M80" i="17"/>
  <c r="M79" i="17"/>
  <c r="M78" i="17"/>
  <c r="M75" i="17"/>
  <c r="M74" i="17"/>
  <c r="M73" i="17"/>
  <c r="M72" i="17"/>
  <c r="K3"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104" i="17"/>
  <c r="K105" i="17"/>
  <c r="K106" i="17"/>
  <c r="K107" i="17"/>
  <c r="K109" i="17"/>
  <c r="K108" i="17"/>
  <c r="K110" i="17"/>
  <c r="K111" i="17"/>
  <c r="K2" i="17"/>
  <c r="M71" i="17"/>
  <c r="M70" i="17"/>
  <c r="F54" i="17"/>
  <c r="F55" i="17"/>
  <c r="F56" i="17"/>
  <c r="F57" i="17"/>
  <c r="F59" i="17"/>
  <c r="F58" i="17"/>
  <c r="M67" i="17"/>
  <c r="M66" i="17"/>
  <c r="M65" i="17"/>
  <c r="M64" i="17"/>
  <c r="M63" i="17"/>
  <c r="M62" i="17"/>
  <c r="M59" i="17"/>
  <c r="M58" i="17"/>
  <c r="M57" i="17"/>
  <c r="M56" i="17"/>
  <c r="M55" i="17"/>
  <c r="M54" i="17"/>
  <c r="H52" i="17"/>
  <c r="M51" i="17"/>
  <c r="M50" i="17"/>
  <c r="M49" i="17"/>
  <c r="M48" i="17"/>
  <c r="M43" i="17"/>
  <c r="M42" i="17"/>
  <c r="M41" i="17"/>
  <c r="M40" i="17"/>
  <c r="M47" i="17"/>
  <c r="M39" i="17"/>
  <c r="M46" i="17"/>
  <c r="M38" i="17"/>
  <c r="N30" i="17"/>
  <c r="N70" i="17" s="1"/>
  <c r="N34" i="17"/>
  <c r="N74" i="17" s="1"/>
  <c r="H58" i="17" s="1"/>
  <c r="N35" i="17"/>
  <c r="N75" i="17" s="1"/>
  <c r="H59" i="17" s="1"/>
  <c r="M30" i="17"/>
  <c r="M31" i="17"/>
  <c r="M32" i="17"/>
  <c r="M33" i="17"/>
  <c r="M34" i="17"/>
  <c r="M35" i="17"/>
  <c r="H51" i="17"/>
  <c r="N43" i="17"/>
  <c r="N42" i="17"/>
  <c r="N116" i="17" s="1"/>
  <c r="N82" i="17"/>
  <c r="N51" i="17" a="1"/>
  <c r="N50" i="17" a="1"/>
  <c r="N83" i="17"/>
  <c r="N117" i="17"/>
  <c r="N134" i="17"/>
  <c r="N38" i="17"/>
  <c r="H22" i="17"/>
  <c r="N112" i="17"/>
  <c r="N40" i="17"/>
  <c r="N78" i="17"/>
  <c r="N48" i="17" a="1"/>
  <c r="N44" i="17"/>
  <c r="H18" i="17" a="1"/>
  <c r="N39" i="17"/>
  <c r="N41" i="17"/>
  <c r="N45" i="17"/>
  <c r="N81" i="17"/>
  <c r="N79" i="17"/>
  <c r="N47" i="17" a="1"/>
  <c r="N115" i="17"/>
  <c r="N49" i="17" a="1"/>
  <c r="N59" i="17" l="1"/>
  <c r="H70" i="17"/>
  <c r="N94" i="17" s="1"/>
  <c r="N97" i="17" s="1"/>
  <c r="N58" i="17"/>
  <c r="H18" i="17"/>
  <c r="N61" i="17"/>
  <c r="N60" i="17"/>
  <c r="N57" i="17"/>
  <c r="N56" i="17"/>
  <c r="N55" i="17"/>
  <c r="N54" i="17"/>
  <c r="N50" i="17"/>
  <c r="N51" i="17"/>
  <c r="N49" i="17"/>
  <c r="N48" i="17"/>
  <c r="N47" i="17"/>
  <c r="M42" i="19"/>
  <c r="L42" i="19"/>
  <c r="K42" i="19"/>
  <c r="J42" i="19"/>
  <c r="I42" i="19"/>
  <c r="F42" i="19"/>
  <c r="E42" i="19"/>
  <c r="G42" i="19" s="1"/>
  <c r="D42" i="19"/>
  <c r="N42" i="19" s="1"/>
  <c r="N41" i="19"/>
  <c r="M41" i="19"/>
  <c r="L41" i="19"/>
  <c r="K41" i="19"/>
  <c r="J41" i="19"/>
  <c r="I41" i="19"/>
  <c r="F41" i="19"/>
  <c r="G41" i="19" s="1"/>
  <c r="E41" i="19"/>
  <c r="D41" i="19"/>
  <c r="M40" i="19"/>
  <c r="L40" i="19"/>
  <c r="K40" i="19"/>
  <c r="J40" i="19"/>
  <c r="I40" i="19"/>
  <c r="F40" i="19"/>
  <c r="E40" i="19"/>
  <c r="G40" i="19" s="1"/>
  <c r="D40" i="19"/>
  <c r="N40" i="19" s="1"/>
  <c r="M39" i="19"/>
  <c r="L39" i="19"/>
  <c r="K39" i="19"/>
  <c r="J39" i="19"/>
  <c r="I39" i="19"/>
  <c r="F39" i="19"/>
  <c r="E39" i="19"/>
  <c r="G39" i="19" s="1"/>
  <c r="D39" i="19"/>
  <c r="N39" i="19" s="1"/>
  <c r="M38" i="19"/>
  <c r="L38" i="19"/>
  <c r="K38" i="19"/>
  <c r="J38" i="19"/>
  <c r="I38" i="19"/>
  <c r="F38" i="19"/>
  <c r="E38" i="19"/>
  <c r="G38" i="19" s="1"/>
  <c r="D38" i="19"/>
  <c r="N38" i="19" s="1"/>
  <c r="M37" i="19"/>
  <c r="L37" i="19"/>
  <c r="K37" i="19"/>
  <c r="J37" i="19"/>
  <c r="I37" i="19"/>
  <c r="F37" i="19"/>
  <c r="G37" i="19" s="1"/>
  <c r="E37" i="19"/>
  <c r="D37" i="19"/>
  <c r="N37" i="19" s="1"/>
  <c r="M36" i="19"/>
  <c r="L36" i="19"/>
  <c r="K36" i="19"/>
  <c r="J36" i="19"/>
  <c r="I36" i="19"/>
  <c r="F36" i="19"/>
  <c r="G36" i="19" s="1"/>
  <c r="E36" i="19"/>
  <c r="D36" i="19"/>
  <c r="N36" i="19" s="1"/>
  <c r="M35" i="19"/>
  <c r="L35" i="19"/>
  <c r="K35" i="19"/>
  <c r="J35" i="19"/>
  <c r="I35" i="19"/>
  <c r="F35" i="19"/>
  <c r="G35" i="19" s="1"/>
  <c r="E35" i="19"/>
  <c r="D35" i="19"/>
  <c r="N35" i="19" s="1"/>
  <c r="N34" i="19"/>
  <c r="M34" i="19"/>
  <c r="L34" i="19"/>
  <c r="K34" i="19"/>
  <c r="J34" i="19"/>
  <c r="I34" i="19"/>
  <c r="F34" i="19"/>
  <c r="E34" i="19"/>
  <c r="D34" i="19"/>
  <c r="M33" i="19"/>
  <c r="L33" i="19"/>
  <c r="K33" i="19"/>
  <c r="J33" i="19"/>
  <c r="I33" i="19"/>
  <c r="G33" i="19"/>
  <c r="F33" i="19"/>
  <c r="E33" i="19"/>
  <c r="D33" i="19"/>
  <c r="N33" i="19" s="1"/>
  <c r="M32" i="19"/>
  <c r="L32" i="19"/>
  <c r="K32" i="19"/>
  <c r="J32" i="19"/>
  <c r="I32" i="19"/>
  <c r="F32" i="19"/>
  <c r="E32" i="19"/>
  <c r="G32" i="19" s="1"/>
  <c r="D32" i="19"/>
  <c r="N32" i="19" s="1"/>
  <c r="M31" i="19"/>
  <c r="L31" i="19"/>
  <c r="K31" i="19"/>
  <c r="J31" i="19"/>
  <c r="I31" i="19"/>
  <c r="F31" i="19"/>
  <c r="E31" i="19"/>
  <c r="G31" i="19" s="1"/>
  <c r="D31" i="19"/>
  <c r="N31" i="19" s="1"/>
  <c r="M30" i="19"/>
  <c r="L30" i="19"/>
  <c r="K30" i="19"/>
  <c r="J30" i="19"/>
  <c r="I30" i="19"/>
  <c r="F30" i="19"/>
  <c r="E30" i="19"/>
  <c r="G30" i="19" s="1"/>
  <c r="D30" i="19"/>
  <c r="N30" i="19" s="1"/>
  <c r="N29" i="19"/>
  <c r="M29" i="19"/>
  <c r="L29" i="19"/>
  <c r="K29" i="19"/>
  <c r="J29" i="19"/>
  <c r="I29" i="19"/>
  <c r="F29" i="19"/>
  <c r="E29" i="19"/>
  <c r="G29" i="19" s="1"/>
  <c r="D29" i="19"/>
  <c r="M28" i="19"/>
  <c r="L28" i="19"/>
  <c r="K28" i="19"/>
  <c r="J28" i="19"/>
  <c r="I28" i="19"/>
  <c r="F28" i="19"/>
  <c r="E28" i="19"/>
  <c r="D28" i="19"/>
  <c r="N28" i="19" s="1"/>
  <c r="M27" i="19"/>
  <c r="L27" i="19"/>
  <c r="K27" i="19"/>
  <c r="J27" i="19"/>
  <c r="I27" i="19"/>
  <c r="G27" i="19"/>
  <c r="F27" i="19"/>
  <c r="E27" i="19"/>
  <c r="D27" i="19"/>
  <c r="N27" i="19" s="1"/>
  <c r="N26" i="19"/>
  <c r="M26" i="19"/>
  <c r="L26" i="19"/>
  <c r="K26" i="19"/>
  <c r="J26" i="19"/>
  <c r="I26" i="19"/>
  <c r="F26" i="19"/>
  <c r="E26" i="19"/>
  <c r="D26" i="19"/>
  <c r="M25" i="19"/>
  <c r="L25" i="19"/>
  <c r="K25" i="19"/>
  <c r="J25" i="19"/>
  <c r="I25" i="19"/>
  <c r="F25" i="19"/>
  <c r="E25" i="19"/>
  <c r="G25" i="19" s="1"/>
  <c r="D25" i="19"/>
  <c r="N25" i="19" s="1"/>
  <c r="M24" i="19"/>
  <c r="L24" i="19"/>
  <c r="K24" i="19"/>
  <c r="J24" i="19"/>
  <c r="I24" i="19"/>
  <c r="F24" i="19"/>
  <c r="E24" i="19"/>
  <c r="D24" i="19"/>
  <c r="N24" i="19" s="1"/>
  <c r="M23" i="19"/>
  <c r="L23" i="19"/>
  <c r="K23" i="19"/>
  <c r="J23" i="19"/>
  <c r="I23" i="19"/>
  <c r="F23" i="19"/>
  <c r="E23" i="19"/>
  <c r="G23" i="19" s="1"/>
  <c r="D23" i="19"/>
  <c r="N23" i="19" s="1"/>
  <c r="N22" i="19"/>
  <c r="M22" i="19"/>
  <c r="L22" i="19"/>
  <c r="K22" i="19"/>
  <c r="J22" i="19"/>
  <c r="I22" i="19"/>
  <c r="F22" i="19"/>
  <c r="E22" i="19"/>
  <c r="G22" i="19" s="1"/>
  <c r="D22" i="19"/>
  <c r="M21" i="19"/>
  <c r="L21" i="19"/>
  <c r="K21" i="19"/>
  <c r="J21" i="19"/>
  <c r="I21" i="19"/>
  <c r="F21" i="19"/>
  <c r="G21" i="19" s="1"/>
  <c r="E21" i="19"/>
  <c r="D21" i="19"/>
  <c r="N21" i="19" s="1"/>
  <c r="M20" i="19"/>
  <c r="L20" i="19"/>
  <c r="K20" i="19"/>
  <c r="J20" i="19"/>
  <c r="I20" i="19"/>
  <c r="F20" i="19"/>
  <c r="E20" i="19"/>
  <c r="D20" i="19"/>
  <c r="N20" i="19" s="1"/>
  <c r="M19" i="19"/>
  <c r="L19" i="19"/>
  <c r="K19" i="19"/>
  <c r="J19" i="19"/>
  <c r="I19" i="19"/>
  <c r="F19" i="19"/>
  <c r="E19" i="19"/>
  <c r="G19" i="19" s="1"/>
  <c r="D19" i="19"/>
  <c r="N19" i="19" s="1"/>
  <c r="M18" i="19"/>
  <c r="L18" i="19"/>
  <c r="K18" i="19"/>
  <c r="J18" i="19"/>
  <c r="I18" i="19"/>
  <c r="G18" i="19"/>
  <c r="F18" i="19"/>
  <c r="E18" i="19"/>
  <c r="D18" i="19"/>
  <c r="N18" i="19" s="1"/>
  <c r="N17" i="19"/>
  <c r="M17" i="19"/>
  <c r="L17" i="19"/>
  <c r="K17" i="19"/>
  <c r="J17" i="19"/>
  <c r="I17" i="19"/>
  <c r="F17" i="19"/>
  <c r="E17" i="19"/>
  <c r="G17" i="19" s="1"/>
  <c r="D17" i="19"/>
  <c r="M16" i="19"/>
  <c r="L16" i="19"/>
  <c r="K16" i="19"/>
  <c r="J16" i="19"/>
  <c r="I16" i="19"/>
  <c r="F16" i="19"/>
  <c r="E16" i="19"/>
  <c r="G16" i="19" s="1"/>
  <c r="D16" i="19"/>
  <c r="N16" i="19" s="1"/>
  <c r="N15" i="19"/>
  <c r="M15" i="19"/>
  <c r="L15" i="19"/>
  <c r="K15" i="19"/>
  <c r="J15" i="19"/>
  <c r="I15" i="19"/>
  <c r="F15" i="19"/>
  <c r="G15" i="19" s="1"/>
  <c r="E15" i="19"/>
  <c r="D15" i="19"/>
  <c r="M14" i="19"/>
  <c r="L14" i="19"/>
  <c r="K14" i="19"/>
  <c r="J14" i="19"/>
  <c r="I14" i="19"/>
  <c r="F14" i="19"/>
  <c r="E14" i="19"/>
  <c r="D14" i="19"/>
  <c r="N14" i="19" s="1"/>
  <c r="M13" i="19"/>
  <c r="L13" i="19"/>
  <c r="K13" i="19"/>
  <c r="J13" i="19"/>
  <c r="I13" i="19"/>
  <c r="G13" i="19"/>
  <c r="F13" i="19"/>
  <c r="E13" i="19"/>
  <c r="D13" i="19"/>
  <c r="N13" i="19" s="1"/>
  <c r="N12" i="19"/>
  <c r="M12" i="19"/>
  <c r="L12" i="19"/>
  <c r="K12" i="19"/>
  <c r="J12" i="19"/>
  <c r="I12" i="19"/>
  <c r="F12" i="19"/>
  <c r="E12" i="19"/>
  <c r="D12" i="19"/>
  <c r="M11" i="19"/>
  <c r="L11" i="19"/>
  <c r="K11" i="19"/>
  <c r="J11" i="19"/>
  <c r="I11" i="19"/>
  <c r="F11" i="19"/>
  <c r="E11" i="19"/>
  <c r="G11" i="19" s="1"/>
  <c r="D11" i="19"/>
  <c r="N11" i="19" s="1"/>
  <c r="M10" i="19"/>
  <c r="L10" i="19"/>
  <c r="K10" i="19"/>
  <c r="J10" i="19"/>
  <c r="I10" i="19"/>
  <c r="F10" i="19"/>
  <c r="E10" i="19"/>
  <c r="G10" i="19" s="1"/>
  <c r="D10" i="19"/>
  <c r="N10" i="19" s="1"/>
  <c r="M9" i="19"/>
  <c r="L9" i="19"/>
  <c r="K9" i="19"/>
  <c r="J9" i="19"/>
  <c r="I9" i="19"/>
  <c r="F9" i="19"/>
  <c r="E9" i="19"/>
  <c r="G9" i="19" s="1"/>
  <c r="D9" i="19"/>
  <c r="N9" i="19" s="1"/>
  <c r="N8" i="19"/>
  <c r="M8" i="19"/>
  <c r="L8" i="19"/>
  <c r="K8" i="19"/>
  <c r="J8" i="19"/>
  <c r="I8" i="19"/>
  <c r="F8" i="19"/>
  <c r="E8" i="19"/>
  <c r="G8" i="19" s="1"/>
  <c r="D8" i="19"/>
  <c r="M7" i="19"/>
  <c r="L7" i="19"/>
  <c r="K7" i="19"/>
  <c r="J7" i="19"/>
  <c r="I7" i="19"/>
  <c r="G7" i="19"/>
  <c r="F7" i="19"/>
  <c r="E7" i="19"/>
  <c r="D7" i="19"/>
  <c r="N7" i="19" s="1"/>
  <c r="M6" i="19"/>
  <c r="L6" i="19"/>
  <c r="K6" i="19"/>
  <c r="J6" i="19"/>
  <c r="I6" i="19"/>
  <c r="F6" i="19"/>
  <c r="E6" i="19"/>
  <c r="G6" i="19" s="1"/>
  <c r="D6" i="19"/>
  <c r="N6" i="19" s="1"/>
  <c r="N5" i="19"/>
  <c r="M5" i="19"/>
  <c r="L5" i="19"/>
  <c r="K5" i="19"/>
  <c r="J5" i="19"/>
  <c r="I5" i="19"/>
  <c r="G5" i="19"/>
  <c r="F5" i="19"/>
  <c r="E5" i="19"/>
  <c r="D5" i="19"/>
  <c r="M4" i="19"/>
  <c r="L4" i="19"/>
  <c r="K4" i="19"/>
  <c r="J4" i="19"/>
  <c r="I4" i="19"/>
  <c r="F4" i="19"/>
  <c r="E4" i="19"/>
  <c r="G4" i="19" s="1"/>
  <c r="D4" i="19"/>
  <c r="N4" i="19" s="1"/>
  <c r="M3" i="19"/>
  <c r="L3" i="19"/>
  <c r="K3" i="19"/>
  <c r="J3" i="19"/>
  <c r="I3" i="19"/>
  <c r="F3" i="19"/>
  <c r="E3" i="19"/>
  <c r="G3" i="19" s="1"/>
  <c r="D3" i="19"/>
  <c r="N3" i="19" s="1"/>
  <c r="N2" i="19"/>
  <c r="M2" i="19"/>
  <c r="L2" i="19"/>
  <c r="K2" i="19"/>
  <c r="J2" i="19"/>
  <c r="I2" i="19"/>
  <c r="D2" i="19"/>
  <c r="N90" i="17"/>
  <c r="N91" i="17"/>
  <c r="N125" i="17"/>
  <c r="N124" i="17"/>
  <c r="N53" i="17" a="1"/>
  <c r="N89" i="17"/>
  <c r="N87" i="17"/>
  <c r="N118" i="17"/>
  <c r="N123" i="17"/>
  <c r="N114" i="17"/>
  <c r="N84" i="17"/>
  <c r="N80" i="17"/>
  <c r="N121" i="17"/>
  <c r="N88" i="17"/>
  <c r="N113" i="17"/>
  <c r="N85" i="17"/>
  <c r="N52" i="17" a="1"/>
  <c r="N119" i="17"/>
  <c r="N122" i="17"/>
  <c r="N46" i="17" a="1"/>
  <c r="N53" i="17" l="1"/>
  <c r="N69" i="17" s="1"/>
  <c r="N67" i="17"/>
  <c r="N132" i="17" s="1"/>
  <c r="N46" i="17"/>
  <c r="N62" i="17" s="1"/>
  <c r="N52" i="17"/>
  <c r="N68" i="17" s="1"/>
  <c r="N66" i="17"/>
  <c r="N139" i="17" s="1"/>
  <c r="N65" i="17"/>
  <c r="N138" i="17" s="1"/>
  <c r="N64" i="17"/>
  <c r="N137" i="17" s="1"/>
  <c r="N63" i="17"/>
  <c r="N136" i="17" s="1"/>
  <c r="G24" i="19"/>
  <c r="G14" i="19"/>
  <c r="G12" i="19"/>
  <c r="G20" i="19"/>
  <c r="G28" i="19"/>
  <c r="G26" i="19"/>
  <c r="G34" i="19"/>
  <c r="N18" i="17"/>
  <c r="N15" i="17"/>
  <c r="N11" i="17"/>
  <c r="N10" i="17"/>
  <c r="N9" i="17"/>
  <c r="N108" i="17"/>
  <c r="N109" i="17"/>
  <c r="N127" i="17"/>
  <c r="N86" i="17"/>
  <c r="N120" i="17"/>
  <c r="N93" i="17"/>
  <c r="H78" i="17" l="1"/>
  <c r="N140" i="17"/>
  <c r="N131" i="17"/>
  <c r="H54" i="17"/>
  <c r="N19" i="17"/>
  <c r="N20" i="17"/>
  <c r="N135" i="17"/>
  <c r="N129" i="17"/>
  <c r="N130" i="17"/>
  <c r="N128" i="17"/>
  <c r="H71" i="17"/>
  <c r="N102" i="17" s="1"/>
  <c r="H72" i="17"/>
  <c r="N103" i="17" s="1"/>
  <c r="N16" i="17"/>
  <c r="N17" i="17"/>
  <c r="N8" i="17"/>
  <c r="N7" i="17" s="1"/>
  <c r="N13" i="17" s="1"/>
  <c r="N92" i="17"/>
  <c r="N126" i="17"/>
  <c r="N105" i="17" l="1"/>
  <c r="N133" i="17"/>
  <c r="N141" i="17"/>
  <c r="N22" i="17"/>
  <c r="N95" i="17"/>
  <c r="N96" i="17" s="1"/>
  <c r="N98" i="17" s="1"/>
  <c r="N21" i="17"/>
  <c r="H49" i="17"/>
  <c r="H48" i="17"/>
  <c r="Q22" i="17"/>
  <c r="Q21" i="17"/>
  <c r="H11" i="17"/>
  <c r="C39" i="17"/>
  <c r="H23" i="17" s="1"/>
  <c r="Q7" i="17"/>
  <c r="Q16" i="17"/>
  <c r="N24" i="17" s="1"/>
  <c r="G2" i="16"/>
  <c r="G3" i="16" s="1"/>
  <c r="G4" i="16"/>
  <c r="N24" i="16" s="1"/>
  <c r="G8" i="16"/>
  <c r="G10" i="16" s="1"/>
  <c r="N8" i="16"/>
  <c r="N9" i="16"/>
  <c r="N10" i="16"/>
  <c r="N11" i="16"/>
  <c r="N12" i="16"/>
  <c r="N13" i="16"/>
  <c r="O16" i="16"/>
  <c r="P16" i="16"/>
  <c r="Q16" i="16"/>
  <c r="R16" i="16"/>
  <c r="N17" i="16"/>
  <c r="O17" i="16"/>
  <c r="P17" i="16"/>
  <c r="Q17" i="16"/>
  <c r="R17" i="16"/>
  <c r="N18" i="16"/>
  <c r="O18" i="16"/>
  <c r="P18" i="16"/>
  <c r="Q18" i="16"/>
  <c r="R18" i="16"/>
  <c r="O19" i="16"/>
  <c r="P19" i="16"/>
  <c r="Q19" i="16"/>
  <c r="R19" i="16"/>
  <c r="N20" i="16"/>
  <c r="O20" i="16"/>
  <c r="P20" i="16"/>
  <c r="Q20" i="16"/>
  <c r="R20" i="16"/>
  <c r="O21" i="16"/>
  <c r="P21" i="16"/>
  <c r="Q21" i="16"/>
  <c r="R21" i="16"/>
  <c r="N22" i="16"/>
  <c r="O22" i="16"/>
  <c r="P22" i="16"/>
  <c r="Q22" i="16"/>
  <c r="R22" i="16"/>
  <c r="N23" i="16"/>
  <c r="O23" i="16"/>
  <c r="P23" i="16"/>
  <c r="Q23" i="16"/>
  <c r="R23" i="16"/>
  <c r="O24" i="16"/>
  <c r="P24" i="16"/>
  <c r="Q24" i="16"/>
  <c r="R24" i="16"/>
  <c r="O25" i="16"/>
  <c r="P25" i="16"/>
  <c r="Q25" i="16"/>
  <c r="R25" i="16"/>
  <c r="O26" i="16"/>
  <c r="P26" i="16"/>
  <c r="Q26" i="16"/>
  <c r="R26" i="16"/>
  <c r="N27" i="16"/>
  <c r="O27" i="16"/>
  <c r="P27" i="16"/>
  <c r="Q27" i="16"/>
  <c r="R27" i="16"/>
  <c r="N28" i="16"/>
  <c r="O28" i="16"/>
  <c r="P28" i="16"/>
  <c r="Q28" i="16"/>
  <c r="R28" i="16"/>
  <c r="O29" i="16"/>
  <c r="P29" i="16"/>
  <c r="Q29" i="16"/>
  <c r="R29" i="16"/>
  <c r="O30" i="16"/>
  <c r="P30" i="16"/>
  <c r="Q30" i="16"/>
  <c r="R30" i="16"/>
  <c r="O31" i="16"/>
  <c r="P31" i="16"/>
  <c r="Q31" i="16"/>
  <c r="R31" i="16"/>
  <c r="N32" i="16"/>
  <c r="O32" i="16"/>
  <c r="P32" i="16"/>
  <c r="Q32" i="16"/>
  <c r="R32" i="16"/>
  <c r="C2" i="4"/>
  <c r="C3" i="4"/>
  <c r="C4" i="4"/>
  <c r="C14" i="1"/>
  <c r="C4" i="1"/>
  <c r="C17" i="1"/>
  <c r="C7" i="1"/>
  <c r="C23" i="1"/>
  <c r="C20" i="1"/>
  <c r="C24" i="1"/>
  <c r="C25" i="1"/>
  <c r="C2" i="1"/>
  <c r="C3" i="1"/>
  <c r="C5" i="1"/>
  <c r="C6" i="1"/>
  <c r="C8" i="1"/>
  <c r="C9" i="1"/>
  <c r="C10" i="1"/>
  <c r="C11" i="1"/>
  <c r="C12" i="1"/>
  <c r="C13" i="1"/>
  <c r="C15" i="1"/>
  <c r="C16" i="1"/>
  <c r="C18" i="1"/>
  <c r="C19" i="1"/>
  <c r="C21" i="1"/>
  <c r="C22" i="1"/>
  <c r="N99" i="17" l="1"/>
  <c r="H73" i="17" s="1"/>
  <c r="N101" i="17" s="1"/>
  <c r="N25" i="17"/>
  <c r="Q15" i="17" s="1"/>
  <c r="N26" i="17"/>
  <c r="N27" i="17"/>
  <c r="H45" i="17"/>
  <c r="N149" i="17"/>
  <c r="N150" i="17"/>
  <c r="N145" i="17"/>
  <c r="N151" i="17"/>
  <c r="N4" i="16"/>
  <c r="N26" i="16"/>
  <c r="N21" i="16"/>
  <c r="N31" i="16"/>
  <c r="N15" i="16"/>
  <c r="O15" i="16" s="1"/>
  <c r="N25" i="16"/>
  <c r="N5" i="16"/>
  <c r="N19" i="16"/>
  <c r="N14" i="16"/>
  <c r="O14" i="16" s="1"/>
  <c r="G14" i="16"/>
  <c r="K6" i="16" s="1"/>
  <c r="N6" i="16"/>
  <c r="N16" i="16"/>
  <c r="O10" i="16"/>
  <c r="O4" i="16"/>
  <c r="O11" i="16"/>
  <c r="O8" i="16"/>
  <c r="O12" i="16"/>
  <c r="G5" i="16"/>
  <c r="G9" i="16"/>
  <c r="G11" i="16" s="1"/>
  <c r="C12" i="16" s="1"/>
  <c r="O5" i="16"/>
  <c r="O9" i="16"/>
  <c r="O13" i="16"/>
  <c r="O6" i="16"/>
  <c r="N30" i="16"/>
  <c r="N7" i="16"/>
  <c r="O7" i="16" s="1"/>
  <c r="N3" i="16"/>
  <c r="O3" i="16" s="1"/>
  <c r="N29" i="16"/>
  <c r="N100" i="17" l="1"/>
  <c r="H32" i="17"/>
  <c r="P15" i="16"/>
  <c r="R15" i="16" s="1"/>
  <c r="P14" i="16"/>
  <c r="R14" i="16" s="1"/>
  <c r="Q6" i="17"/>
  <c r="Q23" i="17"/>
  <c r="H36" i="17"/>
  <c r="N152" i="17"/>
  <c r="N146" i="17"/>
  <c r="P3" i="16"/>
  <c r="Q3" i="16" s="1"/>
  <c r="P7" i="16"/>
  <c r="Q7" i="16" s="1"/>
  <c r="P8" i="16"/>
  <c r="R8" i="16" s="1"/>
  <c r="P12" i="16"/>
  <c r="Q12" i="16" s="1"/>
  <c r="P9" i="16"/>
  <c r="Q9" i="16" s="1"/>
  <c r="R9" i="16"/>
  <c r="P13" i="16"/>
  <c r="R13" i="16" s="1"/>
  <c r="K7" i="16"/>
  <c r="K8" i="16"/>
  <c r="K9" i="16"/>
  <c r="P4" i="16"/>
  <c r="Q4" i="16" s="1"/>
  <c r="R4" i="16"/>
  <c r="P6" i="16"/>
  <c r="R6" i="16" s="1"/>
  <c r="Q6" i="16"/>
  <c r="P5" i="16"/>
  <c r="Q5" i="16"/>
  <c r="R5" i="16"/>
  <c r="P11" i="16"/>
  <c r="Q11" i="16" s="1"/>
  <c r="P10" i="16"/>
  <c r="Q10" i="16" s="1"/>
  <c r="H88" i="17" l="1"/>
  <c r="H85" i="17"/>
  <c r="H84" i="17"/>
  <c r="H80" i="17"/>
  <c r="H35" i="17"/>
  <c r="I35" i="17" s="1"/>
  <c r="R7" i="16"/>
  <c r="Q15" i="16"/>
  <c r="Q14" i="16"/>
  <c r="R3" i="16"/>
  <c r="N14" i="17"/>
  <c r="R12" i="16"/>
  <c r="N148" i="17"/>
  <c r="N154" i="17" s="1"/>
  <c r="N147" i="17"/>
  <c r="N153" i="17" s="1"/>
  <c r="R10" i="16"/>
  <c r="Q8" i="16"/>
  <c r="K10" i="16"/>
  <c r="R11" i="16"/>
  <c r="Q13" i="16"/>
  <c r="N3" i="17" l="1"/>
  <c r="N4" i="17" s="1"/>
  <c r="H8" i="17" s="1"/>
  <c r="I8" i="17" s="1"/>
  <c r="Q17" i="17"/>
  <c r="N155" i="17"/>
  <c r="Q2" i="17"/>
  <c r="Q9" i="17"/>
  <c r="Q11" i="17"/>
  <c r="R11" i="17" s="1"/>
  <c r="Q10" i="17"/>
  <c r="Q8" i="17"/>
  <c r="H7" i="17" l="1"/>
  <c r="Q19" i="17"/>
  <c r="R19" i="17" s="1"/>
  <c r="R9" i="17"/>
  <c r="R8" i="17"/>
  <c r="R17" i="17"/>
  <c r="Q3" i="17"/>
  <c r="R2" i="17"/>
  <c r="R10" i="17"/>
  <c r="Q4" i="17"/>
  <c r="N2" i="17" l="1"/>
  <c r="I7" i="17"/>
  <c r="Q20" i="17"/>
  <c r="R20" i="17" s="1"/>
  <c r="R3" i="17"/>
  <c r="Q5" i="17"/>
  <c r="N5" i="17" l="1"/>
  <c r="H3" i="17" s="1"/>
  <c r="N6" i="17"/>
  <c r="H14" i="17" s="1"/>
  <c r="Q12" i="17"/>
  <c r="R12" i="17" s="1"/>
  <c r="Q14" i="17"/>
  <c r="R14" i="17" s="1"/>
  <c r="H24" i="17" l="1"/>
  <c r="H37" i="17" s="1"/>
  <c r="I37" i="17" s="1"/>
  <c r="H33" i="17"/>
  <c r="I33" i="17" s="1"/>
  <c r="H13" i="17"/>
  <c r="H15" i="17"/>
  <c r="I15" i="17" s="1"/>
  <c r="H12" i="17"/>
  <c r="I12" i="17" s="1"/>
  <c r="I14" i="17"/>
  <c r="H4" i="17"/>
  <c r="H62" i="17"/>
  <c r="I62" i="17" s="1"/>
  <c r="H69" i="17"/>
  <c r="I69" i="17" s="1"/>
  <c r="H64" i="17"/>
  <c r="I64" i="17" s="1"/>
  <c r="H65" i="17"/>
  <c r="I65" i="17" s="1"/>
  <c r="H31" i="17"/>
  <c r="I31" i="17" s="1"/>
  <c r="H41" i="17"/>
  <c r="I41" i="17" s="1"/>
  <c r="H68" i="17"/>
  <c r="I68" i="17" s="1"/>
  <c r="H40" i="17"/>
  <c r="I40" i="17" s="1"/>
  <c r="H25" i="17"/>
  <c r="I25" i="17" s="1"/>
  <c r="H63" i="17"/>
  <c r="I63" i="17" s="1"/>
  <c r="H5" i="17"/>
  <c r="H29" i="17"/>
  <c r="I3" i="17"/>
  <c r="Q13" i="17"/>
  <c r="R13" i="17" s="1"/>
  <c r="Q18" i="17"/>
  <c r="R18" i="17" s="1"/>
  <c r="I24" i="17" l="1"/>
  <c r="H26" i="17"/>
  <c r="I26" i="17" s="1"/>
  <c r="H42" i="17"/>
  <c r="I42" i="17" s="1"/>
  <c r="H43" i="17"/>
  <c r="I43" i="17" s="1"/>
  <c r="I4" i="17"/>
  <c r="H6" i="17"/>
  <c r="H20" i="17"/>
  <c r="I13" i="17"/>
  <c r="H30" i="17"/>
  <c r="I30" i="17" s="1"/>
  <c r="I29" i="17"/>
  <c r="Q24" i="17"/>
  <c r="Q25" i="17"/>
  <c r="N36" i="17"/>
  <c r="N76" i="17" s="1"/>
  <c r="N31" i="17"/>
  <c r="N71" i="17" s="1"/>
  <c r="N37" i="17"/>
  <c r="N32" i="17"/>
  <c r="N72" i="17" s="1"/>
  <c r="N33" i="17"/>
  <c r="N73" i="17" s="1"/>
  <c r="H74" i="17" l="1"/>
  <c r="H56" i="17"/>
  <c r="H90" i="17" s="1"/>
  <c r="H55" i="17"/>
  <c r="H89" i="17" s="1"/>
  <c r="H60" i="17"/>
  <c r="H94" i="17" s="1"/>
  <c r="H57" i="17"/>
  <c r="H91" i="17" s="1"/>
  <c r="H21" i="17"/>
  <c r="I20" i="17"/>
  <c r="N77" i="17"/>
  <c r="N104" i="17"/>
  <c r="N106" i="17" s="1"/>
  <c r="N107" i="17" s="1"/>
  <c r="H83" i="17" l="1"/>
  <c r="H81" i="17"/>
  <c r="N110" i="17"/>
  <c r="H86" i="17"/>
  <c r="H82" i="17"/>
  <c r="H61" i="17"/>
  <c r="H34" i="17"/>
  <c r="I34" i="17" s="1"/>
  <c r="I21" i="17"/>
  <c r="I74" i="17"/>
  <c r="H75" i="17"/>
  <c r="H76" i="17" s="1"/>
  <c r="H87" i="17" l="1"/>
  <c r="H95" i="17"/>
  <c r="N111" i="17"/>
  <c r="H77" i="17" s="1"/>
  <c r="I76" i="1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<sst xmlns="http://schemas.openxmlformats.org/spreadsheetml/2006/main" count="607" uniqueCount="479">
  <si>
    <t>列1</t>
  </si>
  <si>
    <t>sp#</t>
    <phoneticPr fontId="1"/>
  </si>
  <si>
    <t>#wankyoku</t>
    <phoneticPr fontId="1"/>
  </si>
  <si>
    <t>#program</t>
    <phoneticPr fontId="1"/>
  </si>
  <si>
    <t>#zumen</t>
    <phoneticPr fontId="1"/>
  </si>
  <si>
    <t>#huriwake</t>
    <phoneticPr fontId="1"/>
  </si>
  <si>
    <t>#gaikei</t>
    <phoneticPr fontId="1"/>
  </si>
  <si>
    <t>#naikei</t>
    <phoneticPr fontId="1"/>
  </si>
  <si>
    <t>#bGaisaku</t>
    <phoneticPr fontId="1"/>
  </si>
  <si>
    <t>#tGaisaku</t>
    <phoneticPr fontId="1"/>
  </si>
  <si>
    <t>#bChanfer</t>
    <phoneticPr fontId="1"/>
  </si>
  <si>
    <t>#tChanfer</t>
    <phoneticPr fontId="1"/>
  </si>
  <si>
    <t>#zaguri</t>
    <phoneticPr fontId="1"/>
  </si>
  <si>
    <t>#haridashi</t>
    <phoneticPr fontId="1"/>
  </si>
  <si>
    <t>#length</t>
    <phoneticPr fontId="1"/>
  </si>
  <si>
    <t>#fixedPoint</t>
    <phoneticPr fontId="1"/>
  </si>
  <si>
    <t>#fixingHight</t>
    <phoneticPr fontId="1"/>
  </si>
  <si>
    <t>#fixingWidth</t>
    <phoneticPr fontId="1"/>
  </si>
  <si>
    <t>#palette</t>
    <phoneticPr fontId="1"/>
  </si>
  <si>
    <t>#fixedPointBX</t>
    <phoneticPr fontId="1"/>
  </si>
  <si>
    <t>#fixedPointTX</t>
    <phoneticPr fontId="1"/>
  </si>
  <si>
    <t>#cycleTime</t>
    <phoneticPr fontId="1"/>
  </si>
  <si>
    <t>#cycleTimeS</t>
    <phoneticPr fontId="1"/>
  </si>
  <si>
    <t>#dimle</t>
    <phoneticPr fontId="1"/>
  </si>
  <si>
    <t>#nigashi</t>
    <phoneticPr fontId="1"/>
  </si>
  <si>
    <t>#keyMizo</t>
    <phoneticPr fontId="1"/>
  </si>
  <si>
    <t>ジグの長さの半分</t>
    <rPh sb="3" eb="4">
      <t>ナガ</t>
    </rPh>
    <rPh sb="6" eb="8">
      <t>ハンブン</t>
    </rPh>
    <phoneticPr fontId="1"/>
  </si>
  <si>
    <t>受板の長さ</t>
    <rPh sb="0" eb="1">
      <t>ウケ</t>
    </rPh>
    <rPh sb="1" eb="2">
      <t>イタ</t>
    </rPh>
    <rPh sb="3" eb="4">
      <t>ナガ</t>
    </rPh>
    <phoneticPr fontId="1"/>
  </si>
  <si>
    <t>l</t>
    <phoneticPr fontId="1"/>
  </si>
  <si>
    <t>σ</t>
    <phoneticPr fontId="1"/>
  </si>
  <si>
    <t>ρ</t>
    <phoneticPr fontId="1"/>
  </si>
  <si>
    <t>受板の半径</t>
    <rPh sb="0" eb="1">
      <t>ウケ</t>
    </rPh>
    <rPh sb="1" eb="2">
      <t>イタ</t>
    </rPh>
    <rPh sb="3" eb="4">
      <t>ハン</t>
    </rPh>
    <rPh sb="4" eb="5">
      <t>ケイ</t>
    </rPh>
    <phoneticPr fontId="1"/>
  </si>
  <si>
    <t>中心湾曲</t>
    <rPh sb="0" eb="2">
      <t>チュウシン</t>
    </rPh>
    <rPh sb="2" eb="4">
      <t>ワン</t>
    </rPh>
    <phoneticPr fontId="1"/>
  </si>
  <si>
    <t>w</t>
    <phoneticPr fontId="1"/>
  </si>
  <si>
    <t>外径</t>
    <rPh sb="0" eb="2">
      <t>ガイケイ</t>
    </rPh>
    <phoneticPr fontId="1"/>
  </si>
  <si>
    <t>トップ振分長</t>
    <rPh sb="3" eb="5">
      <t>フリワ</t>
    </rPh>
    <rPh sb="5" eb="6">
      <t>チョウ</t>
    </rPh>
    <phoneticPr fontId="1"/>
  </si>
  <si>
    <t>ボトム振分長</t>
    <rPh sb="3" eb="5">
      <t>フリ</t>
    </rPh>
    <rPh sb="5" eb="6">
      <t>チョウ</t>
    </rPh>
    <phoneticPr fontId="1"/>
  </si>
  <si>
    <t>δ</t>
    <phoneticPr fontId="1"/>
  </si>
  <si>
    <r>
      <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-d</t>
    </r>
    <r>
      <rPr>
        <vertAlign val="superscript"/>
        <sz val="10"/>
        <color theme="1"/>
        <rFont val="メイリオ"/>
        <family val="3"/>
        <charset val="128"/>
      </rPr>
      <t>2</t>
    </r>
    <phoneticPr fontId="1"/>
  </si>
  <si>
    <t>d*bar l</t>
    <phoneticPr fontId="1"/>
  </si>
  <si>
    <t>外面C側湾曲</t>
    <rPh sb="0" eb="2">
      <t>ガイメン</t>
    </rPh>
    <rPh sb="3" eb="4">
      <t>ガワ</t>
    </rPh>
    <rPh sb="4" eb="6">
      <t>ワンキョク</t>
    </rPh>
    <phoneticPr fontId="1"/>
  </si>
  <si>
    <t>受板までの径</t>
    <rPh sb="0" eb="1">
      <t>ウケ</t>
    </rPh>
    <rPh sb="1" eb="2">
      <t>イタ</t>
    </rPh>
    <rPh sb="5" eb="6">
      <t>ケイ</t>
    </rPh>
    <phoneticPr fontId="1"/>
  </si>
  <si>
    <t>受板中心間の距離</t>
    <rPh sb="0" eb="1">
      <t>ウケ</t>
    </rPh>
    <rPh sb="1" eb="2">
      <t>イタ</t>
    </rPh>
    <rPh sb="2" eb="4">
      <t>チュウシン</t>
    </rPh>
    <rPh sb="4" eb="5">
      <t>カン</t>
    </rPh>
    <rPh sb="6" eb="8">
      <t>キョリ</t>
    </rPh>
    <phoneticPr fontId="1"/>
  </si>
  <si>
    <t>均等振分</t>
    <rPh sb="0" eb="2">
      <t>キントウ</t>
    </rPh>
    <rPh sb="2" eb="4">
      <t>フリワ</t>
    </rPh>
    <phoneticPr fontId="1"/>
  </si>
  <si>
    <r>
      <t>δ</t>
    </r>
    <r>
      <rPr>
        <vertAlign val="superscript"/>
        <sz val="10"/>
        <color theme="1"/>
        <rFont val="メイリオ"/>
        <family val="3"/>
        <charset val="128"/>
      </rPr>
      <t>2</t>
    </r>
    <r>
      <rPr>
        <sz val="10"/>
        <color theme="1"/>
        <rFont val="メイリオ"/>
        <family val="2"/>
        <charset val="128"/>
      </rPr>
      <t>+(2bar l)</t>
    </r>
    <r>
      <rPr>
        <vertAlign val="superscript"/>
        <sz val="10"/>
        <color theme="1"/>
        <rFont val="メイリオ"/>
        <family val="3"/>
        <charset val="128"/>
      </rPr>
      <t>2</t>
    </r>
    <phoneticPr fontId="1"/>
  </si>
  <si>
    <t>Δ</t>
    <phoneticPr fontId="1"/>
  </si>
  <si>
    <t>BD外径</t>
    <rPh sb="2" eb="4">
      <t>ガイケイ</t>
    </rPh>
    <phoneticPr fontId="1"/>
  </si>
  <si>
    <r>
      <t>f</t>
    </r>
    <r>
      <rPr>
        <vertAlign val="subscript"/>
        <sz val="10"/>
        <color theme="1"/>
        <rFont val="メイリオ"/>
        <family val="3"/>
        <charset val="128"/>
      </rPr>
      <t>b</t>
    </r>
    <r>
      <rPr>
        <sz val="10"/>
        <color theme="1"/>
        <rFont val="メイリオ"/>
        <family val="2"/>
        <charset val="128"/>
      </rPr>
      <t>'</t>
    </r>
    <phoneticPr fontId="1"/>
  </si>
  <si>
    <t>任意スペーサ</t>
    <rPh sb="0" eb="2">
      <t>ニンイ</t>
    </rPh>
    <phoneticPr fontId="1"/>
  </si>
  <si>
    <t>※</t>
    <phoneticPr fontId="1"/>
  </si>
  <si>
    <r>
      <t>f</t>
    </r>
    <r>
      <rPr>
        <vertAlign val="subscript"/>
        <sz val="10"/>
        <color theme="1"/>
        <rFont val="メイリオ"/>
        <family val="3"/>
        <charset val="128"/>
      </rPr>
      <t>t</t>
    </r>
    <r>
      <rPr>
        <sz val="10"/>
        <color theme="1"/>
        <rFont val="メイリオ"/>
        <family val="2"/>
        <charset val="128"/>
      </rPr>
      <t>'</t>
    </r>
    <phoneticPr fontId="1"/>
  </si>
  <si>
    <t>理論値スペーサ</t>
    <rPh sb="0" eb="3">
      <t>リロンチ</t>
    </rPh>
    <phoneticPr fontId="1"/>
  </si>
  <si>
    <t>（スペーサ取付前の）トップ振分長がボトム振分長より長い場合は想定していない</t>
    <rPh sb="7" eb="8">
      <t>マエ</t>
    </rPh>
    <rPh sb="13" eb="15">
      <t>フリワ</t>
    </rPh>
    <rPh sb="15" eb="16">
      <t>チョウ</t>
    </rPh>
    <rPh sb="20" eb="22">
      <t>フリワケ</t>
    </rPh>
    <rPh sb="22" eb="23">
      <t>チョウ</t>
    </rPh>
    <rPh sb="25" eb="26">
      <t>ナガ</t>
    </rPh>
    <rPh sb="27" eb="29">
      <t>バアイ</t>
    </rPh>
    <rPh sb="30" eb="32">
      <t>ソウテイ</t>
    </rPh>
    <phoneticPr fontId="1"/>
  </si>
  <si>
    <r>
      <t>δ</t>
    </r>
    <r>
      <rPr>
        <vertAlign val="subscript"/>
        <sz val="10"/>
        <color theme="1"/>
        <rFont val="メイリオ"/>
        <family val="3"/>
        <charset val="128"/>
      </rPr>
      <t>h</t>
    </r>
    <r>
      <rPr>
        <vertAlign val="superscript"/>
        <sz val="10"/>
        <color theme="1"/>
        <rFont val="メイリオ"/>
        <family val="3"/>
        <charset val="128"/>
      </rPr>
      <t>2</t>
    </r>
    <phoneticPr fontId="1"/>
  </si>
  <si>
    <t>均等振分</t>
    <rPh sb="0" eb="2">
      <t>キントウ</t>
    </rPh>
    <rPh sb="2" eb="4">
      <t>フリワケ</t>
    </rPh>
    <phoneticPr fontId="1"/>
  </si>
  <si>
    <t>注意事項</t>
    <rPh sb="0" eb="4">
      <t>チュウイジコウ</t>
    </rPh>
    <phoneticPr fontId="1"/>
  </si>
  <si>
    <t>差(T-B)</t>
    <rPh sb="0" eb="1">
      <t>サ</t>
    </rPh>
    <phoneticPr fontId="1"/>
  </si>
  <si>
    <t>↓</t>
    <phoneticPr fontId="1"/>
  </si>
  <si>
    <t>取付後張出ボトム</t>
    <rPh sb="3" eb="5">
      <t>ハリダ</t>
    </rPh>
    <phoneticPr fontId="1"/>
  </si>
  <si>
    <t>要確認</t>
    <rPh sb="0" eb="3">
      <t>ヨウカクニン</t>
    </rPh>
    <phoneticPr fontId="1"/>
  </si>
  <si>
    <t>取付後張出トップ</t>
    <rPh sb="3" eb="5">
      <t>ハリダ</t>
    </rPh>
    <phoneticPr fontId="1"/>
  </si>
  <si>
    <r>
      <t>d=(f</t>
    </r>
    <r>
      <rPr>
        <vertAlign val="subscript"/>
        <sz val="10"/>
        <color theme="1"/>
        <rFont val="メイリオ"/>
        <family val="3"/>
        <charset val="128"/>
      </rPr>
      <t>b</t>
    </r>
    <r>
      <rPr>
        <sz val="10"/>
        <color theme="1"/>
        <rFont val="メイリオ"/>
        <family val="2"/>
        <charset val="128"/>
      </rPr>
      <t>-f</t>
    </r>
    <r>
      <rPr>
        <vertAlign val="subscript"/>
        <sz val="10"/>
        <color theme="1"/>
        <rFont val="メイリオ"/>
        <family val="3"/>
        <charset val="128"/>
      </rPr>
      <t>t</t>
    </r>
    <r>
      <rPr>
        <sz val="10"/>
        <color theme="1"/>
        <rFont val="メイリオ"/>
        <family val="2"/>
        <charset val="128"/>
      </rPr>
      <t>)/2</t>
    </r>
    <phoneticPr fontId="1"/>
  </si>
  <si>
    <r>
      <t>入力</t>
    </r>
    <r>
      <rPr>
        <b/>
        <sz val="10"/>
        <color theme="1"/>
        <rFont val="メイリオ"/>
        <family val="3"/>
        <charset val="128"/>
      </rPr>
      <t>しない</t>
    </r>
    <r>
      <rPr>
        <sz val="10"/>
        <color theme="1"/>
        <rFont val="メイリオ"/>
        <family val="2"/>
        <charset val="128"/>
      </rPr>
      <t>（自動計算）</t>
    </r>
    <rPh sb="0" eb="2">
      <t>ニュウリョ</t>
    </rPh>
    <rPh sb="6" eb="10">
      <t>ジドウケイサン</t>
    </rPh>
    <phoneticPr fontId="1"/>
  </si>
  <si>
    <t>取付後振分ボトム</t>
    <rPh sb="2" eb="3">
      <t>ゴ</t>
    </rPh>
    <rPh sb="3" eb="5">
      <t>フリワ</t>
    </rPh>
    <phoneticPr fontId="1"/>
  </si>
  <si>
    <t>参照する値</t>
    <rPh sb="0" eb="2">
      <t>サンショウ</t>
    </rPh>
    <rPh sb="4" eb="5">
      <t>アタイ</t>
    </rPh>
    <phoneticPr fontId="1"/>
  </si>
  <si>
    <t>取付後振分トップ</t>
    <rPh sb="2" eb="3">
      <t>ゴ</t>
    </rPh>
    <rPh sb="3" eb="5">
      <t>フリワ</t>
    </rPh>
    <phoneticPr fontId="1"/>
  </si>
  <si>
    <r>
      <t>f</t>
    </r>
    <r>
      <rPr>
        <vertAlign val="subscript"/>
        <sz val="10"/>
        <color theme="1"/>
        <rFont val="メイリオ"/>
        <family val="3"/>
        <charset val="128"/>
      </rPr>
      <t>b</t>
    </r>
    <phoneticPr fontId="1"/>
  </si>
  <si>
    <t>取付後の振分</t>
    <rPh sb="0" eb="2">
      <t>トリツケ</t>
    </rPh>
    <rPh sb="2" eb="3">
      <t>ゴ</t>
    </rPh>
    <rPh sb="4" eb="6">
      <t>フリワ</t>
    </rPh>
    <phoneticPr fontId="1"/>
  </si>
  <si>
    <r>
      <t>sqrt(R</t>
    </r>
    <r>
      <rPr>
        <vertAlign val="subscript"/>
        <sz val="10"/>
        <color theme="1"/>
        <rFont val="メイリオ"/>
        <family val="3"/>
        <charset val="128"/>
      </rPr>
      <t>i</t>
    </r>
    <r>
      <rPr>
        <sz val="10"/>
        <color theme="1"/>
        <rFont val="メイリオ"/>
        <family val="2"/>
        <charset val="128"/>
      </rPr>
      <t>'</t>
    </r>
    <r>
      <rPr>
        <vertAlign val="superscript"/>
        <sz val="10"/>
        <color theme="1"/>
        <rFont val="メイリオ"/>
        <family val="3"/>
        <charset val="128"/>
      </rPr>
      <t>2</t>
    </r>
    <r>
      <rPr>
        <sz val="10"/>
        <color theme="1"/>
        <rFont val="メイリオ"/>
        <family val="2"/>
        <charset val="128"/>
      </rPr>
      <t>-bar l</t>
    </r>
    <r>
      <rPr>
        <vertAlign val="superscript"/>
        <sz val="10"/>
        <color theme="1"/>
        <rFont val="メイリオ"/>
        <family val="3"/>
        <charset val="128"/>
      </rPr>
      <t>2</t>
    </r>
    <r>
      <rPr>
        <sz val="10"/>
        <color theme="1"/>
        <rFont val="メイリオ"/>
        <family val="2"/>
        <charset val="128"/>
      </rPr>
      <t>)</t>
    </r>
    <phoneticPr fontId="1"/>
  </si>
  <si>
    <r>
      <t>f</t>
    </r>
    <r>
      <rPr>
        <vertAlign val="subscript"/>
        <sz val="10"/>
        <color theme="1"/>
        <rFont val="メイリオ"/>
        <family val="3"/>
        <charset val="128"/>
      </rPr>
      <t>t</t>
    </r>
    <phoneticPr fontId="1"/>
  </si>
  <si>
    <t>bar l=l-σ/2</t>
    <phoneticPr fontId="1"/>
  </si>
  <si>
    <t>使用スペーサ</t>
    <rPh sb="0" eb="2">
      <t>シヨウ</t>
    </rPh>
    <phoneticPr fontId="1"/>
  </si>
  <si>
    <r>
      <t>δ</t>
    </r>
    <r>
      <rPr>
        <vertAlign val="subscript"/>
        <sz val="10"/>
        <color theme="1"/>
        <rFont val="メイリオ"/>
        <family val="3"/>
        <charset val="128"/>
      </rPr>
      <t>h</t>
    </r>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</si>
  <si>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i</t>
    </r>
    <r>
      <rPr>
        <sz val="10"/>
        <color theme="1"/>
        <rFont val="メイリオ"/>
        <family val="2"/>
        <charset val="128"/>
      </rPr>
      <t>-ρ</t>
    </r>
    <phoneticPr fontId="1"/>
  </si>
  <si>
    <r>
      <t>R</t>
    </r>
    <r>
      <rPr>
        <vertAlign val="subscript"/>
        <sz val="10"/>
        <color theme="1"/>
        <rFont val="メイリオ"/>
        <family val="3"/>
        <charset val="128"/>
      </rPr>
      <t>c</t>
    </r>
    <phoneticPr fontId="1"/>
  </si>
  <si>
    <t>人が入力するかどうか</t>
    <rPh sb="0" eb="1">
      <t>ヒト</t>
    </rPh>
    <rPh sb="2" eb="4">
      <t>ニュウリョク</t>
    </rPh>
    <phoneticPr fontId="1"/>
  </si>
  <si>
    <t>内容</t>
    <rPh sb="0" eb="2">
      <t>ナイヨウ</t>
    </rPh>
    <phoneticPr fontId="1"/>
  </si>
  <si>
    <t>色</t>
    <rPh sb="0" eb="1">
      <t>イロ</t>
    </rPh>
    <phoneticPr fontId="1"/>
  </si>
  <si>
    <t>再振分B</t>
    <rPh sb="0" eb="3">
      <t>サイフリワ</t>
    </rPh>
    <phoneticPr fontId="1"/>
  </si>
  <si>
    <t>再振分T</t>
    <rPh sb="0" eb="1">
      <t>サイ</t>
    </rPh>
    <rPh sb="1" eb="3">
      <t>フリワケ</t>
    </rPh>
    <phoneticPr fontId="1"/>
  </si>
  <si>
    <t>所持スペーサ</t>
    <rPh sb="0" eb="2">
      <t>ショジ</t>
    </rPh>
    <phoneticPr fontId="1"/>
  </si>
  <si>
    <t>要入力</t>
    <rPh sb="0" eb="3">
      <t>ヨウニュウリョク</t>
    </rPh>
    <phoneticPr fontId="1"/>
  </si>
  <si>
    <r>
      <t>R</t>
    </r>
    <r>
      <rPr>
        <vertAlign val="subscript"/>
        <sz val="10"/>
        <color theme="1"/>
        <rFont val="メイリオ"/>
        <family val="3"/>
        <charset val="128"/>
      </rPr>
      <t>i</t>
    </r>
    <r>
      <rPr>
        <sz val="10"/>
        <color theme="1"/>
        <rFont val="メイリオ"/>
        <family val="2"/>
        <charset val="128"/>
      </rPr>
      <t>=R</t>
    </r>
    <r>
      <rPr>
        <vertAlign val="subscript"/>
        <sz val="10"/>
        <color theme="1"/>
        <rFont val="メイリオ"/>
        <family val="3"/>
        <charset val="128"/>
      </rPr>
      <t>c</t>
    </r>
    <r>
      <rPr>
        <sz val="10"/>
        <color theme="1"/>
        <rFont val="メイリオ"/>
        <family val="2"/>
        <charset val="128"/>
      </rPr>
      <t>-w/2</t>
    </r>
    <phoneticPr fontId="1"/>
  </si>
  <si>
    <t>各々の数値のセルに対する色分け</t>
    <rPh sb="0" eb="2">
      <t>オノオ</t>
    </rPh>
    <rPh sb="3" eb="5">
      <t>スウチ</t>
    </rPh>
    <rPh sb="9" eb="10">
      <t>タイ</t>
    </rPh>
    <rPh sb="12" eb="14">
      <t>イロワ</t>
    </rPh>
    <phoneticPr fontId="1"/>
  </si>
  <si>
    <t>所持スペーサによる再振分計算および一覧</t>
    <rPh sb="0" eb="2">
      <t>ショジ</t>
    </rPh>
    <rPh sb="9" eb="10">
      <t>サイ</t>
    </rPh>
    <rPh sb="10" eb="12">
      <t>フリワケ</t>
    </rPh>
    <rPh sb="12" eb="14">
      <t>ケイサン</t>
    </rPh>
    <rPh sb="17" eb="19">
      <t>イチラン</t>
    </rPh>
    <phoneticPr fontId="1"/>
  </si>
  <si>
    <t>任意スペーサ取付後 振分計算</t>
    <rPh sb="6" eb="8">
      <t>トリツケ</t>
    </rPh>
    <phoneticPr fontId="1"/>
  </si>
  <si>
    <t>均等振分用スペーサ計算</t>
    <rPh sb="0" eb="2">
      <t>キントウ</t>
    </rPh>
    <rPh sb="2" eb="4">
      <t>フリワ</t>
    </rPh>
    <rPh sb="4" eb="5">
      <t>ヨウ</t>
    </rPh>
    <rPh sb="9" eb="11">
      <t>ケイサン</t>
    </rPh>
    <phoneticPr fontId="1"/>
  </si>
  <si>
    <t>ジグがディンプルマシニングと同様であれば三菱マシニングでも使用可</t>
    <rPh sb="14" eb="16">
      <t>ドウヨウ</t>
    </rPh>
    <rPh sb="20" eb="22">
      <t>ミツビシ</t>
    </rPh>
    <rPh sb="29" eb="31">
      <t>シヨウ</t>
    </rPh>
    <rPh sb="31" eb="32">
      <t>カ</t>
    </rPh>
    <phoneticPr fontId="1"/>
  </si>
  <si>
    <t>図面上の値（モールド）および使用スペーサ</t>
    <rPh sb="0" eb="3">
      <t>ズメンジョウ</t>
    </rPh>
    <rPh sb="4" eb="5">
      <t>アタイ</t>
    </rPh>
    <rPh sb="14" eb="16">
      <t>シヨウ</t>
    </rPh>
    <phoneticPr fontId="1"/>
  </si>
  <si>
    <t>図面上の値（ジグ）および所有スペーサ</t>
    <rPh sb="0" eb="3">
      <t>ズメンジョウ</t>
    </rPh>
    <rPh sb="4" eb="5">
      <t>アタイ</t>
    </rPh>
    <rPh sb="12" eb="14">
      <t>ショユウ</t>
    </rPh>
    <phoneticPr fontId="1"/>
  </si>
  <si>
    <t>振分長の差が最も小さいところの値</t>
    <rPh sb="0" eb="2">
      <t>フリワケ</t>
    </rPh>
    <rPh sb="2" eb="3">
      <t>チョウ</t>
    </rPh>
    <rPh sb="4" eb="5">
      <t>サ</t>
    </rPh>
    <rPh sb="6" eb="7">
      <t>モット</t>
    </rPh>
    <rPh sb="8" eb="9">
      <t>チイ</t>
    </rPh>
    <rPh sb="15" eb="16">
      <t>アタイ</t>
    </rPh>
    <phoneticPr fontId="1"/>
  </si>
  <si>
    <t>誤入力の可能性の高いセル</t>
    <rPh sb="0" eb="3">
      <t>ゴニュウリョク</t>
    </rPh>
    <rPh sb="4" eb="7">
      <t>カノウセイ</t>
    </rPh>
    <rPh sb="8" eb="9">
      <t>タカ</t>
    </rPh>
    <phoneticPr fontId="1"/>
  </si>
  <si>
    <t>セルが赤色でも計算は可能（赤色はエラーではなく警告）</t>
    <rPh sb="3" eb="5">
      <t>アカイロ</t>
    </rPh>
    <rPh sb="7" eb="9">
      <t>ケイサン</t>
    </rPh>
    <rPh sb="10" eb="12">
      <t>カノウ</t>
    </rPh>
    <rPh sb="13" eb="14">
      <t>アカ</t>
    </rPh>
    <rPh sb="14" eb="15">
      <t>イロ</t>
    </rPh>
    <rPh sb="23" eb="25">
      <t>ケイコク</t>
    </rPh>
    <phoneticPr fontId="1"/>
  </si>
  <si>
    <t>入力する</t>
    <rPh sb="0" eb="2">
      <t>ニュウリョク</t>
    </rPh>
    <phoneticPr fontId="1"/>
  </si>
  <si>
    <t>入力する（頻度少）</t>
    <rPh sb="0" eb="2">
      <t>ニュウリョク</t>
    </rPh>
    <rPh sb="5" eb="7">
      <t>ヒンド</t>
    </rPh>
    <rPh sb="7" eb="8">
      <t>ショウ</t>
    </rPh>
    <phoneticPr fontId="1"/>
  </si>
  <si>
    <t>テーブル・受板中心間距離</t>
    <rPh sb="5" eb="6">
      <t>ウケ</t>
    </rPh>
    <rPh sb="6" eb="7">
      <t>イタ</t>
    </rPh>
    <rPh sb="7" eb="9">
      <t>チュウシン</t>
    </rPh>
    <rPh sb="9" eb="10">
      <t>カン</t>
    </rPh>
    <rPh sb="10" eb="12">
      <t>キョリ</t>
    </rPh>
    <phoneticPr fontId="1"/>
  </si>
  <si>
    <t>湾曲中心トップ端</t>
    <rPh sb="0" eb="2">
      <t>ワンキョク</t>
    </rPh>
    <rPh sb="2" eb="4">
      <t>チュウシン</t>
    </rPh>
    <rPh sb="7" eb="8">
      <t>ハシ</t>
    </rPh>
    <phoneticPr fontId="1"/>
  </si>
  <si>
    <t>外面A側湾曲</t>
    <rPh sb="0" eb="2">
      <t>ガイメン</t>
    </rPh>
    <rPh sb="3" eb="4">
      <t>ガワ</t>
    </rPh>
    <rPh sb="4" eb="6">
      <t>ワンキョク</t>
    </rPh>
    <phoneticPr fontId="1"/>
  </si>
  <si>
    <t>湾曲・受板中心間</t>
    <rPh sb="0" eb="2">
      <t>ワンキョク</t>
    </rPh>
    <rPh sb="3" eb="4">
      <t>ウケ</t>
    </rPh>
    <rPh sb="4" eb="5">
      <t>イタ</t>
    </rPh>
    <rPh sb="5" eb="7">
      <t>チュウシン</t>
    </rPh>
    <rPh sb="7" eb="8">
      <t>カン</t>
    </rPh>
    <phoneticPr fontId="1"/>
  </si>
  <si>
    <t>湾曲中心ボトム端</t>
    <rPh sb="0" eb="2">
      <t>ワンキョク</t>
    </rPh>
    <rPh sb="2" eb="4">
      <t>チュウシン</t>
    </rPh>
    <rPh sb="7" eb="8">
      <t>ハシ</t>
    </rPh>
    <phoneticPr fontId="1"/>
  </si>
  <si>
    <t>内面めっき膜厚</t>
    <rPh sb="0" eb="2">
      <t>ナイメン</t>
    </rPh>
    <rPh sb="5" eb="6">
      <t>マク</t>
    </rPh>
    <rPh sb="6" eb="7">
      <t>アツ</t>
    </rPh>
    <phoneticPr fontId="1"/>
  </si>
  <si>
    <t>ボトム外削A側面肉厚</t>
    <rPh sb="3" eb="5">
      <t>ガイサク</t>
    </rPh>
    <rPh sb="6" eb="7">
      <t>ガワ</t>
    </rPh>
    <rPh sb="7" eb="8">
      <t>メン</t>
    </rPh>
    <rPh sb="8" eb="10">
      <t>ニクアツ</t>
    </rPh>
    <phoneticPr fontId="1"/>
  </si>
  <si>
    <t>通り芯</t>
    <rPh sb="0" eb="1">
      <t>トオ</t>
    </rPh>
    <rPh sb="2" eb="3">
      <t>シン</t>
    </rPh>
    <phoneticPr fontId="1"/>
  </si>
  <si>
    <t>テーブル回転中心X</t>
    <rPh sb="4" eb="8">
      <t>カイテン</t>
    </rPh>
    <phoneticPr fontId="1"/>
  </si>
  <si>
    <t>テーブル回転中心Z</t>
    <rPh sb="4" eb="8">
      <t>カイテン</t>
    </rPh>
    <phoneticPr fontId="1"/>
  </si>
  <si>
    <t>トップ外削A側面肉厚</t>
    <rPh sb="3" eb="5">
      <t>ガイサク</t>
    </rPh>
    <rPh sb="6" eb="7">
      <t>ガワ</t>
    </rPh>
    <rPh sb="7" eb="8">
      <t>メン</t>
    </rPh>
    <rPh sb="8" eb="10">
      <t>ニクアツ</t>
    </rPh>
    <phoneticPr fontId="1"/>
  </si>
  <si>
    <t>モールド移動距離水平</t>
    <rPh sb="4" eb="8">
      <t>イドウ</t>
    </rPh>
    <rPh sb="8" eb="10">
      <t>スイヘイ</t>
    </rPh>
    <phoneticPr fontId="1"/>
  </si>
  <si>
    <t>モールド移動距離鉛直</t>
    <rPh sb="4" eb="8">
      <t>イドウ</t>
    </rPh>
    <rPh sb="8" eb="10">
      <t>エンチョク</t>
    </rPh>
    <phoneticPr fontId="1"/>
  </si>
  <si>
    <t>均等振分スペーサ</t>
    <rPh sb="0" eb="2">
      <t>キントウ</t>
    </rPh>
    <rPh sb="2" eb="4">
      <t>フリワケ</t>
    </rPh>
    <phoneticPr fontId="1"/>
  </si>
  <si>
    <t>両受板中心間（後）</t>
    <rPh sb="0" eb="1">
      <t>リョウ</t>
    </rPh>
    <rPh sb="1" eb="2">
      <t>ウケ</t>
    </rPh>
    <rPh sb="2" eb="3">
      <t>イタ</t>
    </rPh>
    <rPh sb="3" eb="5">
      <t>チュウシン</t>
    </rPh>
    <rPh sb="5" eb="6">
      <t>カン</t>
    </rPh>
    <rPh sb="7" eb="8">
      <t>アト</t>
    </rPh>
    <phoneticPr fontId="1"/>
  </si>
  <si>
    <t>cos</t>
    <phoneticPr fontId="1"/>
  </si>
  <si>
    <t>sin</t>
    <phoneticPr fontId="1"/>
  </si>
  <si>
    <t>トップ端湾曲中心水平距離</t>
    <rPh sb="3" eb="4">
      <t>タン</t>
    </rPh>
    <rPh sb="4" eb="6">
      <t>ワンキョク</t>
    </rPh>
    <rPh sb="6" eb="8">
      <t>チュウシン</t>
    </rPh>
    <rPh sb="8" eb="10">
      <t>スイヘイ</t>
    </rPh>
    <rPh sb="10" eb="12">
      <t>キョリ</t>
    </rPh>
    <phoneticPr fontId="1"/>
  </si>
  <si>
    <t>外面A側トップ端水平距離</t>
    <rPh sb="0" eb="2">
      <t>ガイメン</t>
    </rPh>
    <rPh sb="3" eb="4">
      <t>ガワ</t>
    </rPh>
    <rPh sb="7" eb="8">
      <t>タン</t>
    </rPh>
    <rPh sb="8" eb="10">
      <t>スイヘイ</t>
    </rPh>
    <rPh sb="10" eb="12">
      <t>キョリ</t>
    </rPh>
    <phoneticPr fontId="1"/>
  </si>
  <si>
    <t>外面C側トップ端水平距離</t>
    <rPh sb="0" eb="2">
      <t>ガイメン</t>
    </rPh>
    <rPh sb="3" eb="4">
      <t>ガワ</t>
    </rPh>
    <rPh sb="7" eb="8">
      <t>タン</t>
    </rPh>
    <rPh sb="8" eb="10">
      <t>スイヘイ</t>
    </rPh>
    <rPh sb="10" eb="12">
      <t>キョリ</t>
    </rPh>
    <phoneticPr fontId="1"/>
  </si>
  <si>
    <t>ボトム端湾曲中心水平距離</t>
    <rPh sb="3" eb="4">
      <t>タン</t>
    </rPh>
    <rPh sb="4" eb="6">
      <t>ワンキョク</t>
    </rPh>
    <rPh sb="6" eb="8">
      <t>チュウシン</t>
    </rPh>
    <rPh sb="8" eb="10">
      <t>スイヘイ</t>
    </rPh>
    <rPh sb="10" eb="12">
      <t>キョリ</t>
    </rPh>
    <phoneticPr fontId="1"/>
  </si>
  <si>
    <t>外面A側ボトム端水平距離</t>
    <rPh sb="0" eb="2">
      <t>ガイメン</t>
    </rPh>
    <rPh sb="3" eb="4">
      <t>ガワ</t>
    </rPh>
    <rPh sb="7" eb="8">
      <t>タン</t>
    </rPh>
    <rPh sb="8" eb="10">
      <t>スイヘイ</t>
    </rPh>
    <rPh sb="10" eb="12">
      <t>キョリ</t>
    </rPh>
    <phoneticPr fontId="1"/>
  </si>
  <si>
    <t>外面C側ボトム端水平距離</t>
    <rPh sb="0" eb="2">
      <t>ガイメン</t>
    </rPh>
    <rPh sb="3" eb="4">
      <t>ガワ</t>
    </rPh>
    <rPh sb="7" eb="8">
      <t>タン</t>
    </rPh>
    <rPh sb="8" eb="10">
      <t>スイヘイ</t>
    </rPh>
    <rPh sb="10" eb="12">
      <t>キョリ</t>
    </rPh>
    <phoneticPr fontId="1"/>
  </si>
  <si>
    <t>溝位置</t>
    <rPh sb="0" eb="1">
      <t>ミゾ</t>
    </rPh>
    <rPh sb="1" eb="3">
      <t>イチ</t>
    </rPh>
    <phoneticPr fontId="1"/>
  </si>
  <si>
    <t>溝幅</t>
    <rPh sb="0" eb="1">
      <t>ミゾ</t>
    </rPh>
    <rPh sb="1" eb="2">
      <t>ハバ</t>
    </rPh>
    <phoneticPr fontId="1"/>
  </si>
  <si>
    <t>A側溝深さ（指定時）</t>
    <rPh sb="1" eb="2">
      <t>ガワ</t>
    </rPh>
    <rPh sb="2" eb="3">
      <t>ミゾ</t>
    </rPh>
    <rPh sb="3" eb="4">
      <t>フカ</t>
    </rPh>
    <rPh sb="6" eb="8">
      <t>シテイ</t>
    </rPh>
    <rPh sb="8" eb="9">
      <t>ジ</t>
    </rPh>
    <phoneticPr fontId="1"/>
  </si>
  <si>
    <t>溝AC径</t>
    <rPh sb="0" eb="1">
      <t>ミゾ</t>
    </rPh>
    <rPh sb="3" eb="4">
      <t>ケイ</t>
    </rPh>
    <phoneticPr fontId="1"/>
  </si>
  <si>
    <t>δ/2+I6-I22</t>
    <phoneticPr fontId="1"/>
  </si>
  <si>
    <t>振分中心-溝中央間距離</t>
    <rPh sb="0" eb="2">
      <t>フリワケ</t>
    </rPh>
    <rPh sb="2" eb="4">
      <t>チュウシン</t>
    </rPh>
    <rPh sb="5" eb="6">
      <t>ミゾ</t>
    </rPh>
    <rPh sb="6" eb="8">
      <t>チュウオウ</t>
    </rPh>
    <rPh sb="8" eb="9">
      <t>カン</t>
    </rPh>
    <rPh sb="9" eb="11">
      <t>キョリ</t>
    </rPh>
    <phoneticPr fontId="1"/>
  </si>
  <si>
    <t>湾曲中心-溝中心間距離X</t>
    <rPh sb="0" eb="2">
      <t>ワンキョク</t>
    </rPh>
    <rPh sb="2" eb="4">
      <t>チュウシン</t>
    </rPh>
    <rPh sb="5" eb="6">
      <t>ミゾ</t>
    </rPh>
    <rPh sb="6" eb="8">
      <t>チュウシン</t>
    </rPh>
    <rPh sb="8" eb="9">
      <t>アイダ</t>
    </rPh>
    <rPh sb="9" eb="11">
      <t>キョリ</t>
    </rPh>
    <phoneticPr fontId="1"/>
  </si>
  <si>
    <t>溝中心AC（A側溝深さ基準）</t>
    <rPh sb="0" eb="1">
      <t>ミゾ</t>
    </rPh>
    <rPh sb="1" eb="3">
      <t>チュウシン</t>
    </rPh>
    <rPh sb="7" eb="8">
      <t>ガワ</t>
    </rPh>
    <rPh sb="8" eb="9">
      <t>ミゾ</t>
    </rPh>
    <rPh sb="9" eb="10">
      <t>フカ</t>
    </rPh>
    <rPh sb="11" eb="13">
      <t>キジュン</t>
    </rPh>
    <phoneticPr fontId="1"/>
  </si>
  <si>
    <t>溝中心AC（ボトム外削基準）</t>
    <rPh sb="0" eb="1">
      <t>ミゾ</t>
    </rPh>
    <rPh sb="1" eb="3">
      <t>チュウシン</t>
    </rPh>
    <rPh sb="9" eb="11">
      <t>ガイサク</t>
    </rPh>
    <rPh sb="11" eb="13">
      <t>キジュン</t>
    </rPh>
    <phoneticPr fontId="1"/>
  </si>
  <si>
    <t>溝中心tb</t>
    <rPh sb="0" eb="1">
      <t>ミゾ</t>
    </rPh>
    <rPh sb="1" eb="3">
      <t>チュウシン</t>
    </rPh>
    <phoneticPr fontId="1"/>
  </si>
  <si>
    <t>溝-トップ端 湾曲中心間距離水平</t>
    <rPh sb="0" eb="1">
      <t>ミゾ</t>
    </rPh>
    <rPh sb="5" eb="6">
      <t>タン</t>
    </rPh>
    <rPh sb="7" eb="9">
      <t>ワンキョク</t>
    </rPh>
    <rPh sb="9" eb="11">
      <t>チュウシン</t>
    </rPh>
    <rPh sb="11" eb="12">
      <t>カン</t>
    </rPh>
    <rPh sb="12" eb="14">
      <t>キョリ</t>
    </rPh>
    <rPh sb="14" eb="16">
      <t>スイヘイ</t>
    </rPh>
    <phoneticPr fontId="1"/>
  </si>
  <si>
    <t>溝-トップ端 湾曲中心間距離鉛直</t>
    <rPh sb="0" eb="1">
      <t>ミゾ</t>
    </rPh>
    <rPh sb="5" eb="6">
      <t>タン</t>
    </rPh>
    <rPh sb="7" eb="9">
      <t>ワンキョク</t>
    </rPh>
    <rPh sb="9" eb="11">
      <t>チュウシン</t>
    </rPh>
    <rPh sb="11" eb="12">
      <t>カン</t>
    </rPh>
    <rPh sb="12" eb="14">
      <t>キョリ</t>
    </rPh>
    <rPh sb="14" eb="16">
      <t>エ</t>
    </rPh>
    <phoneticPr fontId="1"/>
  </si>
  <si>
    <t>テーブル回転中心B</t>
    <rPh sb="4" eb="6">
      <t>カイテン</t>
    </rPh>
    <rPh sb="6" eb="8">
      <t>チュウシン</t>
    </rPh>
    <phoneticPr fontId="1"/>
  </si>
  <si>
    <t>溝中心AC（湾曲中心基準）</t>
    <rPh sb="0" eb="1">
      <t>ミゾ</t>
    </rPh>
    <rPh sb="1" eb="3">
      <t>チュウシン</t>
    </rPh>
    <rPh sb="6" eb="8">
      <t>ワンキョク</t>
    </rPh>
    <rPh sb="8" eb="10">
      <t>チュウシン</t>
    </rPh>
    <rPh sb="10" eb="12">
      <t>キジュン</t>
    </rPh>
    <phoneticPr fontId="1"/>
  </si>
  <si>
    <t>トップ端-内面溝１列目間距離</t>
    <rPh sb="3" eb="4">
      <t>タン</t>
    </rPh>
    <rPh sb="5" eb="8">
      <t>ナイメン</t>
    </rPh>
    <rPh sb="9" eb="10">
      <t>レツ</t>
    </rPh>
    <rPh sb="10" eb="11">
      <t>メ</t>
    </rPh>
    <rPh sb="11" eb="12">
      <t>カン</t>
    </rPh>
    <rPh sb="12" eb="14">
      <t>キョリ</t>
    </rPh>
    <phoneticPr fontId="1"/>
  </si>
  <si>
    <t>内面溝ピッチ鉛直</t>
    <rPh sb="0" eb="2">
      <t>ナイメン</t>
    </rPh>
    <rPh sb="2" eb="3">
      <t>ミゾ</t>
    </rPh>
    <rPh sb="6" eb="8">
      <t>エンチョク</t>
    </rPh>
    <phoneticPr fontId="1"/>
  </si>
  <si>
    <t>内面溝ピッチ水平</t>
    <rPh sb="0" eb="2">
      <t>ナイメン</t>
    </rPh>
    <rPh sb="2" eb="3">
      <t>ミゾ</t>
    </rPh>
    <rPh sb="6" eb="8">
      <t>スイヘイ</t>
    </rPh>
    <phoneticPr fontId="1"/>
  </si>
  <si>
    <t>内面溝列数</t>
    <rPh sb="0" eb="3">
      <t>ナイメ</t>
    </rPh>
    <rPh sb="3" eb="4">
      <t>レツ</t>
    </rPh>
    <rPh sb="4" eb="5">
      <t>スウ</t>
    </rPh>
    <phoneticPr fontId="1"/>
  </si>
  <si>
    <t>内面溝１列目個数</t>
    <rPh sb="0" eb="2">
      <t>ナイメン</t>
    </rPh>
    <rPh sb="2" eb="3">
      <t>ミゾ</t>
    </rPh>
    <rPh sb="4" eb="6">
      <t>レツメ</t>
    </rPh>
    <rPh sb="6" eb="8">
      <t>コスウ</t>
    </rPh>
    <phoneticPr fontId="1"/>
  </si>
  <si>
    <t>内面溝２列目個数</t>
    <rPh sb="0" eb="2">
      <t>ナイメン</t>
    </rPh>
    <rPh sb="2" eb="3">
      <t>ミゾ</t>
    </rPh>
    <rPh sb="4" eb="6">
      <t>レツメ</t>
    </rPh>
    <rPh sb="6" eb="8">
      <t>コスウ</t>
    </rPh>
    <phoneticPr fontId="1"/>
  </si>
  <si>
    <t>再振分長トップ</t>
    <rPh sb="0" eb="1">
      <t>サイ</t>
    </rPh>
    <rPh sb="1" eb="3">
      <t>フリワケ</t>
    </rPh>
    <rPh sb="3" eb="4">
      <t>チョウ</t>
    </rPh>
    <phoneticPr fontId="1"/>
  </si>
  <si>
    <t>再振分長ボトム</t>
    <rPh sb="0" eb="1">
      <t>サイ</t>
    </rPh>
    <rPh sb="1" eb="3">
      <t>フリワケ</t>
    </rPh>
    <rPh sb="3" eb="4">
      <t>チョウ</t>
    </rPh>
    <phoneticPr fontId="1"/>
  </si>
  <si>
    <t>再張出長トップ</t>
    <rPh sb="0" eb="1">
      <t>サイ</t>
    </rPh>
    <rPh sb="1" eb="3">
      <t>ハリダシ</t>
    </rPh>
    <rPh sb="3" eb="4">
      <t>チョウ</t>
    </rPh>
    <phoneticPr fontId="1"/>
  </si>
  <si>
    <t>再張出長ボトム</t>
    <rPh sb="0" eb="1">
      <t>サイ</t>
    </rPh>
    <rPh sb="1" eb="3">
      <t>ハリダシ</t>
    </rPh>
    <rPh sb="3" eb="4">
      <t>チョウ</t>
    </rPh>
    <phoneticPr fontId="1"/>
  </si>
  <si>
    <t>外面中心トップ端</t>
    <rPh sb="0" eb="2">
      <t>ガイメン</t>
    </rPh>
    <rPh sb="2" eb="4">
      <t>チュウシン</t>
    </rPh>
    <rPh sb="7" eb="8">
      <t>タン</t>
    </rPh>
    <phoneticPr fontId="1"/>
  </si>
  <si>
    <t>外面中心ボトム端</t>
    <rPh sb="0" eb="2">
      <t>ガイメン</t>
    </rPh>
    <rPh sb="2" eb="4">
      <t>チュウシン</t>
    </rPh>
    <rPh sb="7" eb="8">
      <t>タン</t>
    </rPh>
    <phoneticPr fontId="1"/>
  </si>
  <si>
    <t>2bar l/I8</t>
    <phoneticPr fontId="1"/>
  </si>
  <si>
    <t>δ/I8</t>
    <phoneticPr fontId="1"/>
  </si>
  <si>
    <t>外削中心トップ（ボトム基準）</t>
    <rPh sb="0" eb="2">
      <t>ガイサク</t>
    </rPh>
    <rPh sb="2" eb="4">
      <t>チュウシン</t>
    </rPh>
    <rPh sb="11" eb="13">
      <t>キジュン</t>
    </rPh>
    <phoneticPr fontId="1"/>
  </si>
  <si>
    <t>外削中心トップ（トップ基準）</t>
    <rPh sb="0" eb="2">
      <t>ガイサク</t>
    </rPh>
    <rPh sb="2" eb="4">
      <t>チュウシン</t>
    </rPh>
    <rPh sb="11" eb="13">
      <t>キジュン</t>
    </rPh>
    <phoneticPr fontId="1"/>
  </si>
  <si>
    <t>内面溝加工用傾き角（度）</t>
    <rPh sb="0" eb="3">
      <t>ナイ</t>
    </rPh>
    <rPh sb="3" eb="6">
      <t>カコウヨウ</t>
    </rPh>
    <rPh sb="6" eb="7">
      <t>カタム</t>
    </rPh>
    <rPh sb="8" eb="9">
      <t>カク</t>
    </rPh>
    <rPh sb="10" eb="11">
      <t>ド</t>
    </rPh>
    <phoneticPr fontId="1"/>
  </si>
  <si>
    <t>傾き後湾曲中心トップ端X</t>
    <rPh sb="0" eb="1">
      <t>カタム</t>
    </rPh>
    <rPh sb="2" eb="3">
      <t>ゴ</t>
    </rPh>
    <rPh sb="3" eb="7">
      <t>ワン</t>
    </rPh>
    <rPh sb="10" eb="11">
      <t>タン</t>
    </rPh>
    <phoneticPr fontId="1"/>
  </si>
  <si>
    <t>傾き後湾曲中心トップ端Z</t>
    <rPh sb="0" eb="1">
      <t>カタム</t>
    </rPh>
    <rPh sb="2" eb="3">
      <t>ゴ</t>
    </rPh>
    <rPh sb="3" eb="7">
      <t>ワン</t>
    </rPh>
    <rPh sb="10" eb="11">
      <t>タン</t>
    </rPh>
    <phoneticPr fontId="1"/>
  </si>
  <si>
    <t>外削中心ボトム（概算）</t>
    <rPh sb="0" eb="2">
      <t>ガイサク</t>
    </rPh>
    <rPh sb="2" eb="4">
      <t>チュウシン</t>
    </rPh>
    <rPh sb="8" eb="10">
      <t>ガイサン</t>
    </rPh>
    <phoneticPr fontId="1"/>
  </si>
  <si>
    <t>ジグの底Y</t>
    <rPh sb="3" eb="4">
      <t>ソコ</t>
    </rPh>
    <phoneticPr fontId="1"/>
  </si>
  <si>
    <t>中心Y</t>
    <rPh sb="0" eb="2">
      <t>チ</t>
    </rPh>
    <phoneticPr fontId="1"/>
  </si>
  <si>
    <t>AC外径</t>
    <rPh sb="2" eb="4">
      <t>ガイケイ</t>
    </rPh>
    <phoneticPr fontId="1"/>
  </si>
  <si>
    <t>I21*I9</t>
    <phoneticPr fontId="1"/>
  </si>
  <si>
    <t>I21*I10</t>
    <phoneticPr fontId="1"/>
  </si>
  <si>
    <t>両受板中心間（δ=0）</t>
    <rPh sb="0" eb="1">
      <t>リョウ</t>
    </rPh>
    <rPh sb="1" eb="2">
      <t>ウケ</t>
    </rPh>
    <rPh sb="2" eb="3">
      <t>イタ</t>
    </rPh>
    <rPh sb="3" eb="5">
      <t>チュウシン</t>
    </rPh>
    <rPh sb="5" eb="6">
      <t>カン</t>
    </rPh>
    <phoneticPr fontId="1"/>
  </si>
  <si>
    <t>Δ'</t>
    <phoneticPr fontId="1"/>
  </si>
  <si>
    <t>θ</t>
    <phoneticPr fontId="1"/>
  </si>
  <si>
    <t>振分用回転角(rad)</t>
    <rPh sb="0" eb="3">
      <t>フリ</t>
    </rPh>
    <rPh sb="3" eb="5">
      <t>カイテン</t>
    </rPh>
    <rPh sb="5" eb="6">
      <t>カク</t>
    </rPh>
    <phoneticPr fontId="1"/>
  </si>
  <si>
    <t>均等振分角度(rad)</t>
    <rPh sb="0" eb="2">
      <t>キントウ</t>
    </rPh>
    <rPh sb="2" eb="4">
      <t>フリワケ</t>
    </rPh>
    <rPh sb="4" eb="6">
      <t>カクド</t>
    </rPh>
    <phoneticPr fontId="1"/>
  </si>
  <si>
    <t>sinθ</t>
    <phoneticPr fontId="1"/>
  </si>
  <si>
    <t>sinθ'</t>
    <phoneticPr fontId="1"/>
  </si>
  <si>
    <t>cosθ</t>
    <phoneticPr fontId="1"/>
  </si>
  <si>
    <t>トップ端 内中心-A側内面 間距離</t>
    <rPh sb="3" eb="4">
      <t>タン</t>
    </rPh>
    <rPh sb="5" eb="6">
      <t>ウチ</t>
    </rPh>
    <rPh sb="6" eb="8">
      <t>チュウシン</t>
    </rPh>
    <rPh sb="10" eb="11">
      <t>ガワ</t>
    </rPh>
    <rPh sb="11" eb="13">
      <t>ナイメン</t>
    </rPh>
    <rPh sb="14" eb="15">
      <t>カン</t>
    </rPh>
    <rPh sb="15" eb="17">
      <t>キョリ</t>
    </rPh>
    <phoneticPr fontId="1"/>
  </si>
  <si>
    <t>溝幅中央-トップ端 間距離</t>
    <rPh sb="0" eb="1">
      <t>ミゾ</t>
    </rPh>
    <rPh sb="1" eb="2">
      <t>ハバ</t>
    </rPh>
    <rPh sb="2" eb="4">
      <t>チュウ</t>
    </rPh>
    <rPh sb="8" eb="9">
      <t>タン</t>
    </rPh>
    <rPh sb="10" eb="11">
      <t>カン</t>
    </rPh>
    <rPh sb="11" eb="13">
      <t>キョリ</t>
    </rPh>
    <phoneticPr fontId="1"/>
  </si>
  <si>
    <t>溝幅中央-トップ端 湾曲中心 間水平距離</t>
    <rPh sb="0" eb="1">
      <t>ミゾ</t>
    </rPh>
    <rPh sb="1" eb="2">
      <t>ハバ</t>
    </rPh>
    <rPh sb="2" eb="4">
      <t>チュウオウ</t>
    </rPh>
    <rPh sb="8" eb="9">
      <t>タン</t>
    </rPh>
    <rPh sb="10" eb="12">
      <t>ワンキョク</t>
    </rPh>
    <rPh sb="12" eb="14">
      <t>チュウシン</t>
    </rPh>
    <rPh sb="15" eb="16">
      <t>カン</t>
    </rPh>
    <rPh sb="16" eb="18">
      <t>スイヘイ</t>
    </rPh>
    <rPh sb="18" eb="20">
      <t>キョリ</t>
    </rPh>
    <phoneticPr fontId="1"/>
  </si>
  <si>
    <t>トップ端-溝中央 間距離</t>
    <rPh sb="3" eb="4">
      <t>タン</t>
    </rPh>
    <rPh sb="5" eb="6">
      <t>ミゾ</t>
    </rPh>
    <rPh sb="6" eb="8">
      <t>チュウオウ</t>
    </rPh>
    <rPh sb="9" eb="10">
      <t>カン</t>
    </rPh>
    <rPh sb="10" eb="12">
      <t>ky</t>
    </rPh>
    <phoneticPr fontId="1"/>
  </si>
  <si>
    <t>ボトム外径中心-O 間水平距離</t>
    <rPh sb="3" eb="5">
      <t>ガイケイ</t>
    </rPh>
    <rPh sb="5" eb="7">
      <t>チュウシン</t>
    </rPh>
    <rPh sb="10" eb="11">
      <t>カン</t>
    </rPh>
    <rPh sb="11" eb="13">
      <t>スイヘイ</t>
    </rPh>
    <rPh sb="13" eb="15">
      <t>キョリ</t>
    </rPh>
    <phoneticPr fontId="1"/>
  </si>
  <si>
    <t>トップ外径中心-O 間水平距離</t>
    <rPh sb="3" eb="5">
      <t>ガイケイ</t>
    </rPh>
    <rPh sb="5" eb="7">
      <t>チュウシン</t>
    </rPh>
    <rPh sb="10" eb="11">
      <t>カン</t>
    </rPh>
    <rPh sb="11" eb="13">
      <t>スイヘイ</t>
    </rPh>
    <rPh sb="13" eb="15">
      <t>キョリ</t>
    </rPh>
    <phoneticPr fontId="1"/>
  </si>
  <si>
    <t>溝中心AC（トップ外削基準）</t>
    <rPh sb="0" eb="1">
      <t>ミゾ</t>
    </rPh>
    <rPh sb="1" eb="3">
      <t>チュウシン</t>
    </rPh>
    <rPh sb="9" eb="11">
      <t>ガイサク</t>
    </rPh>
    <rPh sb="11" eb="13">
      <t>キジュン</t>
    </rPh>
    <phoneticPr fontId="1"/>
  </si>
  <si>
    <t>溝中央A側</t>
    <rPh sb="0" eb="1">
      <t>ミゾ</t>
    </rPh>
    <rPh sb="1" eb="3">
      <t>チュウオウ</t>
    </rPh>
    <phoneticPr fontId="1"/>
  </si>
  <si>
    <t>溝中央C側</t>
    <rPh sb="0" eb="1">
      <t>ミゾ</t>
    </rPh>
    <rPh sb="1" eb="3">
      <t>チュウオウ</t>
    </rPh>
    <phoneticPr fontId="1"/>
  </si>
  <si>
    <t>湾曲・テーブル両中心間距離</t>
    <rPh sb="0" eb="2">
      <t>ワンキョク</t>
    </rPh>
    <rPh sb="7" eb="8">
      <t>リョウ</t>
    </rPh>
    <rPh sb="8" eb="10">
      <t>チュウシン</t>
    </rPh>
    <rPh sb="10" eb="11">
      <t>カン</t>
    </rPh>
    <rPh sb="11" eb="13">
      <t>キョリ</t>
    </rPh>
    <phoneticPr fontId="1"/>
  </si>
  <si>
    <t>ボトム端 内中心-A側内面 間（負）距離</t>
    <rPh sb="3" eb="4">
      <t>タン</t>
    </rPh>
    <rPh sb="5" eb="6">
      <t>ウチ</t>
    </rPh>
    <rPh sb="6" eb="8">
      <t>チュウシン</t>
    </rPh>
    <rPh sb="10" eb="11">
      <t>ガワ</t>
    </rPh>
    <rPh sb="11" eb="13">
      <t>ナイメン</t>
    </rPh>
    <rPh sb="14" eb="15">
      <t>カン</t>
    </rPh>
    <rPh sb="16" eb="17">
      <t>フ</t>
    </rPh>
    <rPh sb="18" eb="20">
      <t>キョリ</t>
    </rPh>
    <phoneticPr fontId="1"/>
  </si>
  <si>
    <t>トップ外削深さ</t>
    <rPh sb="3" eb="5">
      <t>ガイサク</t>
    </rPh>
    <rPh sb="5" eb="6">
      <t>フカ</t>
    </rPh>
    <phoneticPr fontId="1"/>
  </si>
  <si>
    <t>ボトム外削深さ</t>
    <rPh sb="3" eb="5">
      <t>ガイサク</t>
    </rPh>
    <rPh sb="5" eb="6">
      <t>フカ</t>
    </rPh>
    <phoneticPr fontId="1"/>
  </si>
  <si>
    <t>機械座標</t>
    <rPh sb="0" eb="2">
      <t>キカイ</t>
    </rPh>
    <rPh sb="2" eb="4">
      <t>ザヒョウ</t>
    </rPh>
    <phoneticPr fontId="1"/>
  </si>
  <si>
    <t>[溝位置+溝幅]-トップ端距離</t>
    <rPh sb="1" eb="2">
      <t>ミゾ</t>
    </rPh>
    <rPh sb="2" eb="4">
      <t>イチ</t>
    </rPh>
    <rPh sb="5" eb="7">
      <t>ミゾハバ</t>
    </rPh>
    <rPh sb="12" eb="13">
      <t>タン</t>
    </rPh>
    <rPh sb="13" eb="15">
      <t>キョリ</t>
    </rPh>
    <phoneticPr fontId="1"/>
  </si>
  <si>
    <t>面取C トップ 内 深さ</t>
    <rPh sb="0" eb="2">
      <t>メントリ</t>
    </rPh>
    <rPh sb="8" eb="9">
      <t>ウチ</t>
    </rPh>
    <rPh sb="10" eb="11">
      <t>フカ</t>
    </rPh>
    <phoneticPr fontId="1"/>
  </si>
  <si>
    <t>面取C トップ 外 深さ</t>
    <rPh sb="0" eb="2">
      <t>メントリ</t>
    </rPh>
    <rPh sb="8" eb="9">
      <t>ソト</t>
    </rPh>
    <rPh sb="10" eb="11">
      <t>フカ</t>
    </rPh>
    <phoneticPr fontId="1"/>
  </si>
  <si>
    <t>面取C ボトム 外 深さ</t>
    <rPh sb="0" eb="2">
      <t>メントリ</t>
    </rPh>
    <rPh sb="8" eb="9">
      <t>ソト</t>
    </rPh>
    <rPh sb="10" eb="11">
      <t>フカ</t>
    </rPh>
    <phoneticPr fontId="1"/>
  </si>
  <si>
    <t>面取C ボトム 内 深さ</t>
    <rPh sb="0" eb="2">
      <t>メントリ</t>
    </rPh>
    <rPh sb="8" eb="9">
      <t>ウチ</t>
    </rPh>
    <rPh sb="10" eb="11">
      <t>フカ</t>
    </rPh>
    <phoneticPr fontId="1"/>
  </si>
  <si>
    <t>中心 外削 ボトム（概算）</t>
    <rPh sb="10" eb="12">
      <t>ガイサン</t>
    </rPh>
    <phoneticPr fontId="1"/>
  </si>
  <si>
    <t>中心 外削 トップ（ボトム基準）</t>
    <rPh sb="13" eb="15">
      <t>キジュン</t>
    </rPh>
    <phoneticPr fontId="1"/>
  </si>
  <si>
    <t>中心 外削 トップ（トップ基準）</t>
    <rPh sb="13" eb="15">
      <t>キジュン</t>
    </rPh>
    <phoneticPr fontId="1"/>
  </si>
  <si>
    <t>外削 トップ 先端</t>
    <rPh sb="7" eb="9">
      <t>センタン</t>
    </rPh>
    <phoneticPr fontId="1"/>
  </si>
  <si>
    <t>外削 ボトム 先端</t>
    <rPh sb="7" eb="9">
      <t>センタン</t>
    </rPh>
    <phoneticPr fontId="1"/>
  </si>
  <si>
    <t>ボトム端-面取先端 湾曲中心間水平距離</t>
    <rPh sb="3" eb="4">
      <t>タン</t>
    </rPh>
    <rPh sb="7" eb="9">
      <t>センタン</t>
    </rPh>
    <rPh sb="10" eb="12">
      <t>ワンキョク</t>
    </rPh>
    <rPh sb="12" eb="14">
      <t>チュウシン</t>
    </rPh>
    <rPh sb="14" eb="15">
      <t>カン</t>
    </rPh>
    <rPh sb="15" eb="19">
      <t>スイヘイ</t>
    </rPh>
    <phoneticPr fontId="1"/>
  </si>
  <si>
    <t>振分</t>
    <rPh sb="0" eb="2">
      <t>フリワ</t>
    </rPh>
    <phoneticPr fontId="1"/>
  </si>
  <si>
    <t>溝</t>
    <rPh sb="0" eb="1">
      <t>ミゾ</t>
    </rPh>
    <phoneticPr fontId="1"/>
  </si>
  <si>
    <t>内面溝</t>
    <rPh sb="0" eb="2">
      <t>ナイメン</t>
    </rPh>
    <rPh sb="2" eb="3">
      <t>ミゾ</t>
    </rPh>
    <phoneticPr fontId="1"/>
  </si>
  <si>
    <t>外削</t>
    <rPh sb="0" eb="2">
      <t>ガイサク</t>
    </rPh>
    <phoneticPr fontId="1"/>
  </si>
  <si>
    <t>両外削</t>
    <rPh sb="0" eb="1">
      <t>リョウ</t>
    </rPh>
    <rPh sb="1" eb="2">
      <t>ガイ</t>
    </rPh>
    <rPh sb="2" eb="3">
      <t>サク</t>
    </rPh>
    <phoneticPr fontId="1"/>
  </si>
  <si>
    <t>振分けテーブル回転の場合</t>
    <rPh sb="0" eb="3">
      <t>h</t>
    </rPh>
    <rPh sb="7" eb="9">
      <t>カイテン</t>
    </rPh>
    <rPh sb="10" eb="12">
      <t>バアイ</t>
    </rPh>
    <phoneticPr fontId="1"/>
  </si>
  <si>
    <t>振分けスペーサの場合</t>
    <rPh sb="0" eb="3">
      <t>フリ</t>
    </rPh>
    <rPh sb="8" eb="10">
      <t>バアイ</t>
    </rPh>
    <phoneticPr fontId="1"/>
  </si>
  <si>
    <t>-</t>
    <phoneticPr fontId="1"/>
  </si>
  <si>
    <t>Y中心</t>
    <rPh sb="1" eb="3">
      <t>チ</t>
    </rPh>
    <phoneticPr fontId="1"/>
  </si>
  <si>
    <t>X中心 外 トップ端</t>
    <rPh sb="1" eb="3">
      <t>チュウシン</t>
    </rPh>
    <rPh sb="4" eb="5">
      <t>ソト</t>
    </rPh>
    <phoneticPr fontId="1"/>
  </si>
  <si>
    <t xml:space="preserve">X湾曲中心 トップ端 </t>
    <rPh sb="9" eb="10">
      <t>タン</t>
    </rPh>
    <phoneticPr fontId="1"/>
  </si>
  <si>
    <t>X中心 外 ボトム端</t>
    <rPh sb="9" eb="10">
      <t>タン</t>
    </rPh>
    <phoneticPr fontId="1"/>
  </si>
  <si>
    <t>X湾曲中心 ボトム端</t>
    <phoneticPr fontId="1"/>
  </si>
  <si>
    <t>Z</t>
    <phoneticPr fontId="1"/>
  </si>
  <si>
    <t>B</t>
    <phoneticPr fontId="1"/>
  </si>
  <si>
    <t>Y</t>
    <phoneticPr fontId="1"/>
  </si>
  <si>
    <t>X</t>
    <phoneticPr fontId="1"/>
  </si>
  <si>
    <t>C面取</t>
    <rPh sb="1" eb="3">
      <t>メントリ</t>
    </rPh>
    <phoneticPr fontId="1"/>
  </si>
  <si>
    <t>外径・湾曲中心</t>
    <rPh sb="0" eb="2">
      <t>ガイケイ</t>
    </rPh>
    <rPh sb="3" eb="5">
      <t>ワン</t>
    </rPh>
    <rPh sb="5" eb="7">
      <t>チュウシン</t>
    </rPh>
    <phoneticPr fontId="1"/>
  </si>
  <si>
    <t>溝中心AC（A溝深さ基準）</t>
    <rPh sb="0" eb="1">
      <t>ミゾ</t>
    </rPh>
    <rPh sb="1" eb="3">
      <t>チュウシン</t>
    </rPh>
    <rPh sb="7" eb="8">
      <t>ミゾ</t>
    </rPh>
    <rPh sb="8" eb="9">
      <t>フカ</t>
    </rPh>
    <rPh sb="10" eb="12">
      <t>キジュン</t>
    </rPh>
    <phoneticPr fontId="1"/>
  </si>
  <si>
    <t>溝中心AC（A溝深さ基準）-A側外面距離</t>
    <rPh sb="0" eb="1">
      <t>ミゾ</t>
    </rPh>
    <rPh sb="1" eb="3">
      <t>チュウシン</t>
    </rPh>
    <rPh sb="7" eb="8">
      <t>ミゾ</t>
    </rPh>
    <rPh sb="8" eb="9">
      <t>フカ</t>
    </rPh>
    <rPh sb="10" eb="12">
      <t>キジュン</t>
    </rPh>
    <rPh sb="15" eb="16">
      <t>ガワ</t>
    </rPh>
    <rPh sb="16" eb="18">
      <t>ガイメン</t>
    </rPh>
    <rPh sb="18" eb="20">
      <t>キョ</t>
    </rPh>
    <phoneticPr fontId="1"/>
  </si>
  <si>
    <t>ジグ・テーブル寸法, その他</t>
    <rPh sb="7" eb="9">
      <t>スンポウ</t>
    </rPh>
    <rPh sb="13" eb="14">
      <t>タ</t>
    </rPh>
    <phoneticPr fontId="1"/>
  </si>
  <si>
    <t>トップ 内面取 角度(deg)</t>
    <rPh sb="4" eb="5">
      <t>ウチ</t>
    </rPh>
    <rPh sb="5" eb="7">
      <t>メントリ</t>
    </rPh>
    <rPh sb="8" eb="10">
      <t>カクド</t>
    </rPh>
    <phoneticPr fontId="1"/>
  </si>
  <si>
    <t>ボトム 外面取 深さ</t>
    <rPh sb="4" eb="5">
      <t>ソト</t>
    </rPh>
    <rPh sb="5" eb="7">
      <t>メントリ</t>
    </rPh>
    <rPh sb="8" eb="9">
      <t>フカ</t>
    </rPh>
    <phoneticPr fontId="1"/>
  </si>
  <si>
    <t>ボトム 外面取 角度(deg)</t>
    <rPh sb="4" eb="5">
      <t>ソト</t>
    </rPh>
    <rPh sb="5" eb="7">
      <t>メントリ</t>
    </rPh>
    <rPh sb="8" eb="10">
      <t>カクド</t>
    </rPh>
    <phoneticPr fontId="1"/>
  </si>
  <si>
    <t>ボトム 内面取 深さ</t>
    <rPh sb="4" eb="5">
      <t>ウチ</t>
    </rPh>
    <rPh sb="5" eb="7">
      <t>メントリ</t>
    </rPh>
    <rPh sb="8" eb="9">
      <t>フカ</t>
    </rPh>
    <phoneticPr fontId="1"/>
  </si>
  <si>
    <t>ボトム 内面取 角度(deg)</t>
    <rPh sb="4" eb="5">
      <t>ウチ</t>
    </rPh>
    <rPh sb="5" eb="7">
      <t>メントリ</t>
    </rPh>
    <rPh sb="8" eb="10">
      <t>カクド</t>
    </rPh>
    <phoneticPr fontId="1"/>
  </si>
  <si>
    <t>トップ 外面取 深さ</t>
    <rPh sb="4" eb="5">
      <t>ソト</t>
    </rPh>
    <rPh sb="6" eb="7">
      <t>トリ</t>
    </rPh>
    <rPh sb="8" eb="9">
      <t>フカ</t>
    </rPh>
    <phoneticPr fontId="1"/>
  </si>
  <si>
    <t>トップ 外面取 角度(deg)</t>
    <rPh sb="4" eb="5">
      <t>ソト</t>
    </rPh>
    <rPh sb="5" eb="7">
      <t>メントリ</t>
    </rPh>
    <rPh sb="8" eb="10">
      <t>カクド</t>
    </rPh>
    <phoneticPr fontId="1"/>
  </si>
  <si>
    <t>トップ 内面取 深さ</t>
    <rPh sb="4" eb="5">
      <t>ウチ</t>
    </rPh>
    <rPh sb="5" eb="7">
      <t>メントリ</t>
    </rPh>
    <rPh sb="8" eb="9">
      <t>フカ</t>
    </rPh>
    <phoneticPr fontId="1"/>
  </si>
  <si>
    <t>内面溝列（全明細中）最大数</t>
    <rPh sb="0" eb="2">
      <t>ナイメン</t>
    </rPh>
    <rPh sb="2" eb="3">
      <t>ミゾ</t>
    </rPh>
    <rPh sb="3" eb="4">
      <t>レツ</t>
    </rPh>
    <rPh sb="5" eb="6">
      <t>ゼン</t>
    </rPh>
    <rPh sb="6" eb="8">
      <t>メイサイ</t>
    </rPh>
    <rPh sb="8" eb="9">
      <t>チュウ</t>
    </rPh>
    <rPh sb="10" eb="13">
      <t>サイダイスウ</t>
    </rPh>
    <phoneticPr fontId="1"/>
  </si>
  <si>
    <t>トップ端 AC内径</t>
    <rPh sb="3" eb="4">
      <t>タン</t>
    </rPh>
    <rPh sb="7" eb="9">
      <t>ナイケイ</t>
    </rPh>
    <phoneticPr fontId="1"/>
  </si>
  <si>
    <t>q</t>
    <phoneticPr fontId="1"/>
  </si>
  <si>
    <t>ボトム端 AC内径</t>
    <rPh sb="3" eb="4">
      <t>タン</t>
    </rPh>
    <rPh sb="7" eb="9">
      <t>ナイケイ</t>
    </rPh>
    <phoneticPr fontId="1"/>
  </si>
  <si>
    <t>qのC側内面R</t>
    <rPh sb="3" eb="4">
      <t>ガワ</t>
    </rPh>
    <rPh sb="4" eb="6">
      <t>ナイメン</t>
    </rPh>
    <phoneticPr fontId="1"/>
  </si>
  <si>
    <t>m列目のC側内面R</t>
    <rPh sb="1" eb="2">
      <t>レツ</t>
    </rPh>
    <rPh sb="2" eb="3">
      <t>メ</t>
    </rPh>
    <rPh sb="5" eb="6">
      <t>ガワ</t>
    </rPh>
    <rPh sb="6" eb="8">
      <t>ナイメン</t>
    </rPh>
    <phoneticPr fontId="1"/>
  </si>
  <si>
    <t>m</t>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</si>
  <si>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</si>
  <si>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q-λ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</si>
  <si>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t>
    </r>
    <phoneticPr fontId="1"/>
  </si>
  <si>
    <r>
      <t>q+(m-1)p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</si>
  <si>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Φ</t>
    </r>
    <r>
      <rPr>
        <vertAlign val="subscript"/>
        <sz val="8"/>
        <color theme="1"/>
        <rFont val="メイリオ"/>
        <family val="3"/>
        <charset val="128"/>
      </rPr>
      <t>A</t>
    </r>
    <r>
      <rPr>
        <sz val="8"/>
        <color theme="1"/>
        <rFont val="メイリオ"/>
        <family val="3"/>
        <charset val="128"/>
      </rPr>
      <t xml:space="preserve"> (rad)</t>
    </r>
    <phoneticPr fontId="1"/>
  </si>
  <si>
    <r>
      <t>Φ</t>
    </r>
    <r>
      <rPr>
        <vertAlign val="subscript"/>
        <sz val="8"/>
        <color theme="1"/>
        <rFont val="メイリオ"/>
        <family val="3"/>
        <charset val="128"/>
      </rPr>
      <t>C</t>
    </r>
    <r>
      <rPr>
        <sz val="8"/>
        <color theme="1"/>
        <rFont val="メイリオ"/>
        <family val="3"/>
        <charset val="128"/>
      </rPr>
      <t xml:space="preserve"> (rad)</t>
    </r>
    <phoneticPr fontId="1"/>
  </si>
  <si>
    <t>振分中心-内面溝m列目間距離</t>
    <rPh sb="0" eb="2">
      <t>フリワケ</t>
    </rPh>
    <rPh sb="2" eb="4">
      <t>チュウシン</t>
    </rPh>
    <rPh sb="5" eb="8">
      <t>ナイメン</t>
    </rPh>
    <rPh sb="9" eb="10">
      <t>レツ</t>
    </rPh>
    <rPh sb="10" eb="11">
      <t>メ</t>
    </rPh>
    <rPh sb="11" eb="12">
      <t>カン</t>
    </rPh>
    <rPh sb="12" eb="14">
      <t>キョリ</t>
    </rPh>
    <phoneticPr fontId="1"/>
  </si>
  <si>
    <t>振分中心-内面溝m-1列目間距離</t>
    <rPh sb="0" eb="2">
      <t>フリワケ</t>
    </rPh>
    <rPh sb="2" eb="4">
      <t>チュウシン</t>
    </rPh>
    <rPh sb="5" eb="8">
      <t>ナイメン</t>
    </rPh>
    <rPh sb="11" eb="12">
      <t>レツ</t>
    </rPh>
    <rPh sb="12" eb="13">
      <t>メ</t>
    </rPh>
    <rPh sb="13" eb="14">
      <t>カン</t>
    </rPh>
    <rPh sb="14" eb="16">
      <t>キョリ</t>
    </rPh>
    <phoneticPr fontId="1"/>
  </si>
  <si>
    <t>内面溝m列目の長さ</t>
    <rPh sb="0" eb="3">
      <t>ナイメ</t>
    </rPh>
    <rPh sb="4" eb="5">
      <t>レツ</t>
    </rPh>
    <rPh sb="5" eb="6">
      <t>メ</t>
    </rPh>
    <rPh sb="7" eb="8">
      <t>ナガ</t>
    </rPh>
    <phoneticPr fontId="1"/>
  </si>
  <si>
    <t>内面溝m-1列目の長さ</t>
    <rPh sb="0" eb="3">
      <t>ナイメ</t>
    </rPh>
    <rPh sb="6" eb="7">
      <t>レツ</t>
    </rPh>
    <rPh sb="7" eb="8">
      <t>メ</t>
    </rPh>
    <rPh sb="9" eb="10">
      <t>ナガ</t>
    </rPh>
    <phoneticPr fontId="1"/>
  </si>
  <si>
    <t>湾曲・振分</t>
    <rPh sb="0" eb="2">
      <t>ワンキョク</t>
    </rPh>
    <rPh sb="3" eb="5">
      <t>フリワ</t>
    </rPh>
    <phoneticPr fontId="1"/>
  </si>
  <si>
    <r>
      <t>R</t>
    </r>
    <r>
      <rPr>
        <vertAlign val="subscript"/>
        <sz val="8"/>
        <color theme="1"/>
        <rFont val="メイリオ"/>
        <family val="3"/>
        <charset val="128"/>
      </rPr>
      <t>c</t>
    </r>
    <phoneticPr fontId="1"/>
  </si>
  <si>
    <r>
      <t>f</t>
    </r>
    <r>
      <rPr>
        <vertAlign val="subscript"/>
        <sz val="8"/>
        <color theme="1"/>
        <rFont val="メイリオ"/>
        <family val="3"/>
        <charset val="128"/>
      </rPr>
      <t>t</t>
    </r>
    <phoneticPr fontId="1"/>
  </si>
  <si>
    <r>
      <t>f</t>
    </r>
    <r>
      <rPr>
        <vertAlign val="subscript"/>
        <sz val="8"/>
        <color theme="1"/>
        <rFont val="メイリオ"/>
        <family val="3"/>
        <charset val="128"/>
      </rPr>
      <t>b</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</si>
  <si>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t>
    </r>
    <r>
      <rPr>
        <vertAlign val="superscript"/>
        <sz val="8"/>
        <color theme="1"/>
        <rFont val="メイリオ"/>
        <family val="3"/>
        <charset val="128"/>
      </rPr>
      <t>2</t>
    </r>
    <r>
      <rPr>
        <sz val="8"/>
        <color theme="1"/>
        <rFont val="メイリオ"/>
        <family val="3"/>
        <charset val="128"/>
      </rPr>
      <t>)</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</si>
  <si>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i</t>
    </r>
    <r>
      <rPr>
        <sz val="8"/>
        <color theme="1"/>
        <rFont val="メイリオ"/>
        <family val="3"/>
        <charset val="128"/>
      </rPr>
      <t>-ρ</t>
    </r>
    <phoneticPr fontId="1"/>
  </si>
  <si>
    <r>
      <t>R</t>
    </r>
    <r>
      <rPr>
        <vertAlign val="subscript"/>
        <sz val="8"/>
        <color theme="1"/>
        <rFont val="メイリオ"/>
        <family val="3"/>
        <charset val="128"/>
      </rPr>
      <t>i</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</si>
  <si>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R</t>
    </r>
    <r>
      <rPr>
        <vertAlign val="subscript"/>
        <sz val="8"/>
        <color theme="1"/>
        <rFont val="メイリオ"/>
        <family val="3"/>
        <charset val="128"/>
      </rPr>
      <t>o</t>
    </r>
    <r>
      <rPr>
        <sz val="8"/>
        <color theme="1"/>
        <rFont val="メイリオ"/>
        <family val="3"/>
        <charset val="128"/>
      </rPr>
      <t>=R</t>
    </r>
    <r>
      <rPr>
        <vertAlign val="subscript"/>
        <sz val="8"/>
        <color theme="1"/>
        <rFont val="メイリオ"/>
        <family val="3"/>
        <charset val="128"/>
      </rPr>
      <t>c</t>
    </r>
    <r>
      <rPr>
        <sz val="8"/>
        <color theme="1"/>
        <rFont val="メイリオ"/>
        <family val="3"/>
        <charset val="128"/>
      </rPr>
      <t>+w/2</t>
    </r>
    <phoneticPr fontId="1"/>
  </si>
  <si>
    <r>
      <t>f</t>
    </r>
    <r>
      <rPr>
        <vertAlign val="subscript"/>
        <sz val="8"/>
        <color theme="1"/>
        <rFont val="メイリオ"/>
        <family val="3"/>
        <charset val="128"/>
      </rPr>
      <t>d</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)/2</t>
    </r>
    <phoneticPr fontId="1"/>
  </si>
  <si>
    <r>
      <t>f'</t>
    </r>
    <r>
      <rPr>
        <vertAlign val="subscript"/>
        <sz val="8"/>
        <color theme="1"/>
        <rFont val="メイリオ"/>
        <family val="3"/>
        <charset val="128"/>
      </rPr>
      <t>d</t>
    </r>
    <r>
      <rPr>
        <sz val="8"/>
        <color theme="1"/>
        <rFont val="メイリオ"/>
        <family val="3"/>
        <charset val="128"/>
      </rPr>
      <t>/Δ'</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</si>
  <si>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</si>
  <si>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</si>
  <si>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</si>
  <si>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</si>
  <si>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</si>
  <si>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t>
    </r>
    <phoneticPr fontId="1"/>
  </si>
  <si>
    <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</si>
  <si>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phoneticPr fontId="1"/>
  </si>
  <si>
    <r>
      <t>p</t>
    </r>
    <r>
      <rPr>
        <vertAlign val="subscript"/>
        <sz val="8"/>
        <color theme="1"/>
        <rFont val="メイリオ"/>
        <family val="3"/>
        <charset val="128"/>
      </rPr>
      <t>Z</t>
    </r>
    <phoneticPr fontId="1"/>
  </si>
  <si>
    <r>
      <t>p</t>
    </r>
    <r>
      <rPr>
        <vertAlign val="subscript"/>
        <sz val="8"/>
        <color theme="1"/>
        <rFont val="メイリオ"/>
        <family val="3"/>
        <charset val="128"/>
      </rPr>
      <t>x</t>
    </r>
    <phoneticPr fontId="1"/>
  </si>
  <si>
    <r>
      <t>f</t>
    </r>
    <r>
      <rPr>
        <vertAlign val="subscript"/>
        <sz val="8"/>
        <color theme="1"/>
        <rFont val="メイリオ"/>
        <family val="3"/>
        <charset val="128"/>
      </rPr>
      <t>t</t>
    </r>
    <r>
      <rPr>
        <sz val="8"/>
        <color theme="1"/>
        <rFont val="メイリオ"/>
        <family val="3"/>
        <charset val="128"/>
      </rPr>
      <t>-q</t>
    </r>
    <phoneticPr fontId="1"/>
  </si>
  <si>
    <r>
      <t>λ</t>
    </r>
    <r>
      <rPr>
        <vertAlign val="subscript"/>
        <sz val="8"/>
        <color theme="1"/>
        <rFont val="メイリオ"/>
        <family val="3"/>
        <charset val="128"/>
      </rPr>
      <t>j</t>
    </r>
    <r>
      <rPr>
        <sz val="8"/>
        <color theme="1"/>
        <rFont val="メイリオ"/>
        <family val="3"/>
        <charset val="128"/>
      </rPr>
      <t xml:space="preserve"> (q)</t>
    </r>
    <phoneticPr fontId="1"/>
  </si>
  <si>
    <r>
      <t>λ</t>
    </r>
    <r>
      <rPr>
        <vertAlign val="subscript"/>
        <sz val="8"/>
        <color theme="1"/>
        <rFont val="メイリオ"/>
        <family val="3"/>
        <charset val="128"/>
      </rPr>
      <t>j+1</t>
    </r>
    <r>
      <rPr>
        <sz val="8"/>
        <color theme="1"/>
        <rFont val="メイリオ"/>
        <family val="3"/>
        <charset val="128"/>
      </rPr>
      <t xml:space="preserve"> (q)</t>
    </r>
    <phoneticPr fontId="1"/>
  </si>
  <si>
    <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</si>
  <si>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</si>
  <si>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-q-(m-1)p</t>
    </r>
    <r>
      <rPr>
        <vertAlign val="subscript"/>
        <sz val="8"/>
        <color theme="1"/>
        <rFont val="メイリオ"/>
        <family val="3"/>
        <charset val="128"/>
      </rPr>
      <t>z</t>
    </r>
    <phoneticPr fontId="1"/>
  </si>
  <si>
    <r>
      <t>tanΦ</t>
    </r>
    <r>
      <rPr>
        <vertAlign val="subscript"/>
        <sz val="8"/>
        <color theme="1"/>
        <rFont val="メイリオ"/>
        <family val="3"/>
        <charset val="128"/>
      </rPr>
      <t>A</t>
    </r>
    <phoneticPr fontId="1"/>
  </si>
  <si>
    <r>
      <t>Φ</t>
    </r>
    <r>
      <rPr>
        <vertAlign val="subscript"/>
        <sz val="8"/>
        <color theme="1"/>
        <rFont val="メイリオ"/>
        <family val="3"/>
        <charset val="128"/>
      </rPr>
      <t>A</t>
    </r>
    <phoneticPr fontId="1"/>
  </si>
  <si>
    <r>
      <t>tanΦ</t>
    </r>
    <r>
      <rPr>
        <vertAlign val="subscript"/>
        <sz val="8"/>
        <color theme="1"/>
        <rFont val="メイリオ"/>
        <family val="3"/>
        <charset val="128"/>
      </rPr>
      <t>C</t>
    </r>
    <phoneticPr fontId="1"/>
  </si>
  <si>
    <r>
      <t>Φ</t>
    </r>
    <r>
      <rPr>
        <vertAlign val="subscript"/>
        <sz val="8"/>
        <color theme="1"/>
        <rFont val="メイリオ"/>
        <family val="3"/>
        <charset val="128"/>
      </rPr>
      <t>C</t>
    </r>
    <phoneticPr fontId="1"/>
  </si>
  <si>
    <r>
      <t>d</t>
    </r>
    <r>
      <rPr>
        <vertAlign val="subscript"/>
        <sz val="8"/>
        <color theme="1"/>
        <rFont val="メイリオ"/>
        <family val="3"/>
        <charset val="128"/>
      </rPr>
      <t>m</t>
    </r>
    <phoneticPr fontId="1"/>
  </si>
  <si>
    <r>
      <t>d</t>
    </r>
    <r>
      <rPr>
        <vertAlign val="subscript"/>
        <sz val="8"/>
        <color theme="1"/>
        <rFont val="メイリオ"/>
        <family val="3"/>
        <charset val="128"/>
      </rPr>
      <t>m-1</t>
    </r>
    <phoneticPr fontId="1"/>
  </si>
  <si>
    <r>
      <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phoneticPr fontId="1"/>
  </si>
  <si>
    <r>
      <t>sqrt(δ</t>
    </r>
    <r>
      <rPr>
        <vertAlign val="superscript"/>
        <sz val="8"/>
        <color theme="1"/>
        <rFont val="メイリオ"/>
        <family val="3"/>
        <charset val="128"/>
      </rPr>
      <t>2</t>
    </r>
    <r>
      <rPr>
        <sz val="8"/>
        <color theme="1"/>
        <rFont val="メイリオ"/>
        <family val="3"/>
        <charset val="128"/>
      </rPr>
      <t>+(2bar l)</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</si>
  <si>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</si>
  <si>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-(bar l+f</t>
    </r>
    <r>
      <rPr>
        <vertAlign val="subscript"/>
        <sz val="8"/>
        <color theme="1"/>
        <rFont val="メイリオ"/>
        <family val="3"/>
        <charset val="128"/>
      </rPr>
      <t>d</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</si>
  <si>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f</t>
    </r>
    <r>
      <rPr>
        <vertAlign val="subscript"/>
        <sz val="8"/>
        <color theme="1"/>
        <rFont val="メイリオ"/>
        <family val="3"/>
        <charset val="128"/>
      </rPr>
      <t>d</t>
    </r>
    <r>
      <rPr>
        <sz val="8"/>
        <color theme="1"/>
        <rFont val="メイリオ"/>
        <family val="3"/>
        <charset val="128"/>
      </rPr>
      <t>*bar l</t>
    </r>
    <phoneticPr fontId="1"/>
  </si>
  <si>
    <r>
      <t>sqrt(R</t>
    </r>
    <r>
      <rPr>
        <vertAlign val="subscript"/>
        <sz val="8"/>
        <color theme="1"/>
        <rFont val="メイリオ"/>
        <family val="3"/>
        <charset val="128"/>
      </rPr>
      <t>i</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-I7/4)</t>
    </r>
    <phoneticPr fontId="1"/>
  </si>
  <si>
    <t>A内面溝 トップ端-1列目間用</t>
    <rPh sb="1" eb="3">
      <t>ナイメン</t>
    </rPh>
    <rPh sb="3" eb="4">
      <t>ミゾ</t>
    </rPh>
    <rPh sb="8" eb="9">
      <t>タン</t>
    </rPh>
    <rPh sb="11" eb="13">
      <t>レツメ</t>
    </rPh>
    <rPh sb="13" eb="14">
      <t>カン</t>
    </rPh>
    <rPh sb="14" eb="15">
      <t>ヨウ</t>
    </rPh>
    <phoneticPr fontId="1"/>
  </si>
  <si>
    <t>C内面溝 1列目-m列目間用</t>
    <rPh sb="1" eb="3">
      <t>ナイメン</t>
    </rPh>
    <rPh sb="3" eb="4">
      <t>ミゾ</t>
    </rPh>
    <rPh sb="6" eb="8">
      <t>レツメ</t>
    </rPh>
    <rPh sb="10" eb="12">
      <t>レツメ</t>
    </rPh>
    <rPh sb="12" eb="13">
      <t>カン</t>
    </rPh>
    <rPh sb="13" eb="14">
      <t>ヨウ</t>
    </rPh>
    <phoneticPr fontId="1"/>
  </si>
  <si>
    <t>A内面トップ端-内面溝間 最近X距離</t>
    <rPh sb="1" eb="3">
      <t>ナイメン</t>
    </rPh>
    <rPh sb="6" eb="7">
      <t>タン</t>
    </rPh>
    <rPh sb="8" eb="10">
      <t>ナイメン</t>
    </rPh>
    <rPh sb="10" eb="11">
      <t>ミゾ</t>
    </rPh>
    <rPh sb="11" eb="12">
      <t>カン</t>
    </rPh>
    <rPh sb="13" eb="15">
      <t>サイキン</t>
    </rPh>
    <rPh sb="16" eb="18">
      <t>キョリ</t>
    </rPh>
    <phoneticPr fontId="1"/>
  </si>
  <si>
    <t>A内面 トップ端-(m-1, 1)間 X距離</t>
    <rPh sb="1" eb="3">
      <t>ナイメン</t>
    </rPh>
    <rPh sb="7" eb="8">
      <t>タン</t>
    </rPh>
    <rPh sb="17" eb="18">
      <t>カン</t>
    </rPh>
    <rPh sb="20" eb="22">
      <t>キョリ</t>
    </rPh>
    <phoneticPr fontId="1"/>
  </si>
  <si>
    <t>A内面 トップ端-(m, 1)間 X距離</t>
    <rPh sb="1" eb="3">
      <t>ナイメン</t>
    </rPh>
    <rPh sb="7" eb="8">
      <t>タン</t>
    </rPh>
    <rPh sb="15" eb="16">
      <t>カン</t>
    </rPh>
    <rPh sb="18" eb="20">
      <t>キョリ</t>
    </rPh>
    <phoneticPr fontId="1"/>
  </si>
  <si>
    <r>
      <t>w</t>
    </r>
    <r>
      <rPr>
        <vertAlign val="subscript"/>
        <sz val="8"/>
        <color theme="1"/>
        <rFont val="メイリオ"/>
        <family val="3"/>
        <charset val="128"/>
      </rPr>
      <t>A0</t>
    </r>
    <phoneticPr fontId="1"/>
  </si>
  <si>
    <t>溝BC径</t>
    <rPh sb="0" eb="1">
      <t>ミゾ</t>
    </rPh>
    <rPh sb="3" eb="4">
      <t>ケイ</t>
    </rPh>
    <phoneticPr fontId="1"/>
  </si>
  <si>
    <t>ボトム外削AC外径</t>
    <rPh sb="3" eb="5">
      <t>ガイサク</t>
    </rPh>
    <rPh sb="7" eb="9">
      <t>ガイケイ</t>
    </rPh>
    <phoneticPr fontId="1"/>
  </si>
  <si>
    <t>ボトム外削BD外径</t>
    <rPh sb="3" eb="5">
      <t>ガイサク</t>
    </rPh>
    <rPh sb="7" eb="9">
      <t>ガイケイ</t>
    </rPh>
    <phoneticPr fontId="1"/>
  </si>
  <si>
    <t>pos</t>
    <phoneticPr fontId="1"/>
  </si>
  <si>
    <t>AC_len</t>
    <phoneticPr fontId="1"/>
  </si>
  <si>
    <t>BD_len</t>
    <phoneticPr fontId="1"/>
  </si>
  <si>
    <t>CR</t>
    <phoneticPr fontId="1"/>
  </si>
  <si>
    <t>ratioAC</t>
    <phoneticPr fontId="1"/>
  </si>
  <si>
    <t>ratioBD</t>
    <phoneticPr fontId="1"/>
  </si>
  <si>
    <t>ratioAve</t>
    <phoneticPr fontId="1"/>
  </si>
  <si>
    <t>mekki</t>
    <phoneticPr fontId="1"/>
  </si>
  <si>
    <t>pAC</t>
    <phoneticPr fontId="1"/>
  </si>
  <si>
    <t>pBD</t>
    <phoneticPr fontId="1"/>
  </si>
  <si>
    <t>pCR</t>
    <phoneticPr fontId="1"/>
  </si>
  <si>
    <t>mAC_len</t>
    <phoneticPr fontId="1"/>
  </si>
  <si>
    <t>mCR</t>
    <phoneticPr fontId="1"/>
  </si>
  <si>
    <t>テーブル中心</t>
    <rPh sb="4" eb="6">
      <t>チュウシン</t>
    </rPh>
    <phoneticPr fontId="1"/>
  </si>
  <si>
    <t>工具-A側内面溝 余裕代</t>
    <rPh sb="0" eb="2">
      <t>コウグ</t>
    </rPh>
    <rPh sb="4" eb="5">
      <t>ガワ</t>
    </rPh>
    <rPh sb="5" eb="7">
      <t>ナイメン</t>
    </rPh>
    <rPh sb="7" eb="8">
      <t>ミゾ</t>
    </rPh>
    <rPh sb="9" eb="11">
      <t>ヨユウ</t>
    </rPh>
    <rPh sb="11" eb="12">
      <t>ダイ</t>
    </rPh>
    <phoneticPr fontId="1"/>
  </si>
  <si>
    <t>内径・内面</t>
    <rPh sb="0" eb="2">
      <t>ナイケイ</t>
    </rPh>
    <rPh sb="3" eb="5">
      <t>ナイメン</t>
    </rPh>
    <phoneticPr fontId="1"/>
  </si>
  <si>
    <t>μ</t>
    <phoneticPr fontId="1"/>
  </si>
  <si>
    <t>内面テーパ#</t>
    <rPh sb="0" eb="2">
      <t>ナイメン</t>
    </rPh>
    <phoneticPr fontId="1"/>
  </si>
  <si>
    <t>e937</t>
    <phoneticPr fontId="1"/>
  </si>
  <si>
    <t>トップ端のA側内面R（近似）</t>
    <rPh sb="3" eb="4">
      <t>タン</t>
    </rPh>
    <rPh sb="6" eb="7">
      <t>ガワ</t>
    </rPh>
    <rPh sb="7" eb="9">
      <t>ナイメン</t>
    </rPh>
    <rPh sb="11" eb="13">
      <t>キンジ</t>
    </rPh>
    <phoneticPr fontId="1"/>
  </si>
  <si>
    <t>qのA側内面R（近似）</t>
    <rPh sb="3" eb="4">
      <t>ガワ</t>
    </rPh>
    <rPh sb="4" eb="6">
      <t>ナイメン</t>
    </rPh>
    <rPh sb="8" eb="10">
      <t>キンジ</t>
    </rPh>
    <phoneticPr fontId="1"/>
  </si>
  <si>
    <t>内面溝加工用傾き角A（deg, 相対）</t>
    <rPh sb="0" eb="3">
      <t>ナイ</t>
    </rPh>
    <rPh sb="3" eb="6">
      <t>カコウヨウ</t>
    </rPh>
    <rPh sb="6" eb="7">
      <t>カタム</t>
    </rPh>
    <rPh sb="8" eb="9">
      <t>カク</t>
    </rPh>
    <rPh sb="16" eb="18">
      <t>ソウタイ</t>
    </rPh>
    <phoneticPr fontId="1"/>
  </si>
  <si>
    <t>内面溝加工用傾き角A（deg, 絶対）</t>
    <rPh sb="0" eb="3">
      <t>ナイ</t>
    </rPh>
    <rPh sb="3" eb="6">
      <t>カコウヨウ</t>
    </rPh>
    <rPh sb="6" eb="7">
      <t>カタム</t>
    </rPh>
    <rPh sb="8" eb="9">
      <t>カク</t>
    </rPh>
    <rPh sb="16" eb="18">
      <t>ゼッタイ</t>
    </rPh>
    <phoneticPr fontId="1"/>
  </si>
  <si>
    <t>内面溝 奇数列の数</t>
    <rPh sb="0" eb="2">
      <t>ナイメン</t>
    </rPh>
    <rPh sb="2" eb="3">
      <t>ミゾ</t>
    </rPh>
    <rPh sb="4" eb="6">
      <t>キスウ</t>
    </rPh>
    <rPh sb="6" eb="7">
      <t>レツ</t>
    </rPh>
    <rPh sb="8" eb="9">
      <t>カズ</t>
    </rPh>
    <phoneticPr fontId="1"/>
  </si>
  <si>
    <t>内面溝 偶数列の数</t>
    <rPh sb="0" eb="2">
      <t>ナイメン</t>
    </rPh>
    <rPh sb="2" eb="3">
      <t>ミゾ</t>
    </rPh>
    <rPh sb="4" eb="6">
      <t>グウスウ</t>
    </rPh>
    <rPh sb="6" eb="7">
      <t>レツ</t>
    </rPh>
    <rPh sb="7" eb="8">
      <t>スウレツ</t>
    </rPh>
    <rPh sb="8" eb="9">
      <t>カズ</t>
    </rPh>
    <phoneticPr fontId="1"/>
  </si>
  <si>
    <r>
      <t>f</t>
    </r>
    <r>
      <rPr>
        <vertAlign val="subscript"/>
        <sz val="8"/>
        <color theme="1"/>
        <rFont val="メイリオ"/>
        <family val="3"/>
        <charset val="128"/>
      </rPr>
      <t>t</t>
    </r>
    <r>
      <rPr>
        <sz val="8"/>
        <color theme="1"/>
        <rFont val="メイリオ"/>
        <family val="3"/>
        <charset val="128"/>
      </rPr>
      <t>'</t>
    </r>
    <phoneticPr fontId="1"/>
  </si>
  <si>
    <r>
      <t>f</t>
    </r>
    <r>
      <rPr>
        <vertAlign val="subscript"/>
        <sz val="8"/>
        <color theme="1"/>
        <rFont val="メイリオ"/>
        <family val="3"/>
        <charset val="128"/>
      </rPr>
      <t>b</t>
    </r>
    <r>
      <rPr>
        <sz val="8"/>
        <color theme="1"/>
        <rFont val="メイリオ"/>
        <family val="3"/>
        <charset val="128"/>
      </rPr>
      <t>'</t>
    </r>
    <phoneticPr fontId="1"/>
  </si>
  <si>
    <t>均等振分角度(deg)</t>
    <rPh sb="0" eb="2">
      <t>キントウ</t>
    </rPh>
    <rPh sb="2" eb="4">
      <t>フリワケ</t>
    </rPh>
    <rPh sb="4" eb="6">
      <t>カクド</t>
    </rPh>
    <phoneticPr fontId="1"/>
  </si>
  <si>
    <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</si>
  <si>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</si>
  <si>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</si>
  <si>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phoneticPr fontId="1"/>
  </si>
  <si>
    <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</si>
  <si>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</si>
  <si>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</si>
  <si>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</si>
  <si>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</si>
  <si>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</si>
  <si>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</si>
  <si>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</si>
  <si>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</si>
  <si>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</si>
  <si>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</si>
  <si>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b/>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</si>
  <si>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</si>
  <si>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(q+4pz)</t>
    </r>
  </si>
  <si>
    <r>
      <t>λ</t>
    </r>
    <r>
      <rPr>
        <vertAlign val="subscript"/>
        <sz val="8"/>
        <color theme="1"/>
        <rFont val="メイリオ"/>
        <family val="3"/>
        <charset val="128"/>
      </rPr>
      <t>j+1</t>
    </r>
    <r>
      <rPr>
        <sz val="8"/>
        <color theme="1"/>
        <rFont val="メイリオ"/>
        <family val="3"/>
        <charset val="128"/>
      </rPr>
      <t xml:space="preserve"> (q+5pz)</t>
    </r>
  </si>
  <si>
    <r>
      <t>λ</t>
    </r>
    <r>
      <rPr>
        <vertAlign val="subscript"/>
        <sz val="8"/>
        <color theme="1"/>
        <rFont val="メイリオ"/>
        <family val="3"/>
        <charset val="128"/>
      </rPr>
      <t>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</si>
  <si>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</si>
  <si>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λ</t>
    </r>
    <r>
      <rPr>
        <vertAlign val="subscript"/>
        <sz val="8"/>
        <color theme="1"/>
        <rFont val="メイリオ"/>
        <family val="3"/>
        <charset val="128"/>
      </rPr>
      <t>j+1</t>
    </r>
    <phoneticPr fontId="1"/>
  </si>
  <si>
    <r>
      <t>n</t>
    </r>
    <r>
      <rPr>
        <vertAlign val="subscript"/>
        <sz val="8"/>
        <color theme="1"/>
        <rFont val="メイリオ"/>
        <family val="3"/>
        <charset val="128"/>
      </rPr>
      <t>o</t>
    </r>
    <phoneticPr fontId="1"/>
  </si>
  <si>
    <r>
      <t>n</t>
    </r>
    <r>
      <rPr>
        <vertAlign val="subscript"/>
        <sz val="8"/>
        <color theme="1"/>
        <rFont val="メイリオ"/>
        <family val="3"/>
        <charset val="128"/>
      </rPr>
      <t>e</t>
    </r>
    <phoneticPr fontId="1"/>
  </si>
  <si>
    <r>
      <t>q+p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</si>
  <si>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</si>
  <si>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q+3p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</si>
  <si>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q+4p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</si>
  <si>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q+5p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</si>
  <si>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q+(m-2)p</t>
    </r>
    <r>
      <rPr>
        <vertAlign val="subscript"/>
        <sz val="8"/>
        <color theme="1"/>
        <rFont val="メイリオ"/>
        <family val="3"/>
        <charset val="128"/>
      </rPr>
      <t>z</t>
    </r>
    <r>
      <rPr>
        <sz val="8"/>
        <color theme="1"/>
        <rFont val="メイリオ"/>
        <family val="3"/>
        <charset val="128"/>
      </rPr>
      <t>-λ</t>
    </r>
    <r>
      <rPr>
        <vertAlign val="subscript"/>
        <sz val="8"/>
        <color theme="1"/>
        <rFont val="メイリオ"/>
        <family val="3"/>
        <charset val="128"/>
      </rPr>
      <t>j</t>
    </r>
    <phoneticPr fontId="1"/>
  </si>
  <si>
    <r>
      <t>λ</t>
    </r>
    <r>
      <rPr>
        <vertAlign val="subscript"/>
        <sz val="8"/>
        <color theme="1"/>
        <rFont val="メイリオ"/>
        <family val="3"/>
        <charset val="128"/>
      </rPr>
      <t>j+1</t>
    </r>
    <r>
      <rPr>
        <sz val="8"/>
        <color theme="1"/>
        <rFont val="メイリオ"/>
        <family val="3"/>
        <charset val="128"/>
      </rPr>
      <t>-q-p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</si>
  <si>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-q-2p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</si>
  <si>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-q-3p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</si>
  <si>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-q-4p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</si>
  <si>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-q-5p</t>
    </r>
    <r>
      <rPr>
        <vertAlign val="subscript"/>
        <sz val="8"/>
        <color theme="1"/>
        <rFont val="メイリオ"/>
        <family val="3"/>
        <charset val="128"/>
      </rPr>
      <t>z</t>
    </r>
    <phoneticPr fontId="1"/>
  </si>
  <si>
    <r>
      <t>λ</t>
    </r>
    <r>
      <rPr>
        <vertAlign val="subscript"/>
        <sz val="8"/>
        <color theme="1"/>
        <rFont val="メイリオ"/>
        <family val="3"/>
        <charset val="128"/>
      </rPr>
      <t>j+1</t>
    </r>
    <r>
      <rPr>
        <sz val="8"/>
        <color theme="1"/>
        <rFont val="メイリオ"/>
        <family val="3"/>
        <charset val="128"/>
      </rPr>
      <t>-q-(m-2)p</t>
    </r>
    <r>
      <rPr>
        <vertAlign val="subscript"/>
        <sz val="8"/>
        <color theme="1"/>
        <rFont val="メイリオ"/>
        <family val="3"/>
        <charset val="128"/>
      </rPr>
      <t>z</t>
    </r>
    <phoneticPr fontId="1"/>
  </si>
  <si>
    <t>内面溝m列目-トップ端 湾曲中心間X距離</t>
    <rPh sb="0" eb="2">
      <t>ナイメン</t>
    </rPh>
    <rPh sb="4" eb="6">
      <t>レツメ</t>
    </rPh>
    <rPh sb="10" eb="11">
      <t>タン</t>
    </rPh>
    <rPh sb="12" eb="14">
      <t>ワンキョク</t>
    </rPh>
    <rPh sb="14" eb="16">
      <t>チュウシン</t>
    </rPh>
    <rPh sb="16" eb="17">
      <t>カン</t>
    </rPh>
    <rPh sb="18" eb="20">
      <t>キョリ</t>
    </rPh>
    <phoneticPr fontId="1"/>
  </si>
  <si>
    <t>内面溝m-1列目-トップ端 湾曲中心間X距離</t>
    <rPh sb="0" eb="2">
      <t>ナイメン</t>
    </rPh>
    <rPh sb="6" eb="8">
      <t>レツメ</t>
    </rPh>
    <rPh sb="12" eb="13">
      <t>タン</t>
    </rPh>
    <rPh sb="14" eb="16">
      <t>ワンキョク</t>
    </rPh>
    <rPh sb="16" eb="18">
      <t>チュウシン</t>
    </rPh>
    <rPh sb="18" eb="19">
      <t>カン</t>
    </rPh>
    <rPh sb="20" eb="22">
      <t>キョリ</t>
    </rPh>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</si>
  <si>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</si>
  <si>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</si>
  <si>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</si>
  <si>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-q-3p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</si>
  <si>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-q-4p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</si>
  <si>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-q-5p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</si>
  <si>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-q-(m-2)p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</si>
  <si>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t>
    </r>
    <r>
      <rPr>
        <vertAlign val="subscript"/>
        <sz val="8"/>
        <color theme="1"/>
        <rFont val="メイリオ"/>
        <family val="3"/>
        <charset val="128"/>
      </rPr>
      <t>z</t>
    </r>
    <r>
      <rPr>
        <sz val="8"/>
        <color theme="1"/>
        <rFont val="メイリオ"/>
        <family val="3"/>
        <charset val="128"/>
      </rPr>
      <t>}</t>
    </r>
    <r>
      <rPr>
        <vertAlign val="superscript"/>
        <sz val="8"/>
        <color theme="1"/>
        <rFont val="メイリオ"/>
        <family val="3"/>
        <charset val="128"/>
      </rPr>
      <t>2</t>
    </r>
    <r>
      <rPr>
        <sz val="8"/>
        <color theme="1"/>
        <rFont val="メイリオ"/>
        <family val="3"/>
        <charset val="128"/>
      </rPr>
      <t>]</t>
    </r>
    <phoneticPr fontId="1"/>
  </si>
  <si>
    <t>m-2列目湾曲中心X</t>
    <phoneticPr fontId="1"/>
  </si>
  <si>
    <t>m-1列目湾曲中心X</t>
    <phoneticPr fontId="1"/>
  </si>
  <si>
    <r>
      <t>w</t>
    </r>
    <r>
      <rPr>
        <vertAlign val="subscript"/>
        <sz val="8"/>
        <color theme="1"/>
        <rFont val="メイリオ"/>
        <family val="3"/>
        <charset val="128"/>
      </rPr>
      <t>Aj</t>
    </r>
    <r>
      <rPr>
        <sz val="8"/>
        <color theme="1"/>
        <rFont val="メイリオ"/>
        <family val="3"/>
        <charset val="128"/>
      </rPr>
      <t xml:space="preserve"> (q)</t>
    </r>
    <phoneticPr fontId="1"/>
  </si>
  <si>
    <r>
      <t>w</t>
    </r>
    <r>
      <rPr>
        <vertAlign val="subscript"/>
        <sz val="8"/>
        <color theme="1"/>
        <rFont val="メイリオ"/>
        <family val="3"/>
        <charset val="128"/>
      </rPr>
      <t>Aj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</si>
  <si>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</si>
  <si>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</si>
  <si>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</si>
  <si>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</si>
  <si>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</si>
  <si>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</si>
  <si>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</si>
  <si>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Aj</t>
    </r>
    <phoneticPr fontId="1"/>
  </si>
  <si>
    <r>
      <t>w</t>
    </r>
    <r>
      <rPr>
        <vertAlign val="subscript"/>
        <sz val="8"/>
        <color theme="1"/>
        <rFont val="メイリオ"/>
        <family val="3"/>
        <charset val="128"/>
      </rPr>
      <t>Aj+1</t>
    </r>
    <r>
      <rPr>
        <sz val="8"/>
        <color theme="1"/>
        <rFont val="メイリオ"/>
        <family val="3"/>
        <charset val="128"/>
      </rPr>
      <t xml:space="preserve"> (q)</t>
    </r>
    <phoneticPr fontId="1"/>
  </si>
  <si>
    <r>
      <t>w</t>
    </r>
    <r>
      <rPr>
        <vertAlign val="subscript"/>
        <sz val="8"/>
        <color theme="1"/>
        <rFont val="メイリオ"/>
        <family val="3"/>
        <charset val="128"/>
      </rPr>
      <t>Aj+1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</si>
  <si>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</si>
  <si>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</si>
  <si>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</si>
  <si>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</si>
  <si>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</si>
  <si>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Aj+1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</si>
  <si>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</si>
  <si>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Aj+1</t>
    </r>
    <phoneticPr fontId="1"/>
  </si>
  <si>
    <r>
      <rPr>
        <i/>
        <sz val="8"/>
        <color theme="1"/>
        <rFont val="メイリオ"/>
        <family val="3"/>
        <charset val="128"/>
      </rPr>
      <t>L</t>
    </r>
    <r>
      <rPr>
        <vertAlign val="subscript"/>
        <sz val="8"/>
        <color theme="1"/>
        <rFont val="メイリオ"/>
        <family val="3"/>
        <charset val="128"/>
      </rPr>
      <t>1</t>
    </r>
    <phoneticPr fontId="1"/>
  </si>
  <si>
    <r>
      <rPr>
        <i/>
        <sz val="8"/>
        <color theme="1"/>
        <rFont val="メイリオ"/>
        <family val="3"/>
        <charset val="128"/>
      </rPr>
      <t>L</t>
    </r>
    <r>
      <rPr>
        <vertAlign val="subscript"/>
        <sz val="8"/>
        <color theme="1"/>
        <rFont val="メイリオ"/>
        <family val="3"/>
        <charset val="128"/>
      </rPr>
      <t>2</t>
    </r>
    <r>
      <rPr>
        <sz val="10"/>
        <color theme="1"/>
        <rFont val="メイリオ"/>
        <family val="2"/>
        <charset val="128"/>
      </rPr>
      <t/>
    </r>
  </si>
  <si>
    <r>
      <rPr>
        <i/>
        <sz val="8"/>
        <color theme="1"/>
        <rFont val="メイリオ"/>
        <family val="3"/>
        <charset val="128"/>
      </rPr>
      <t>L</t>
    </r>
    <r>
      <rPr>
        <vertAlign val="subscript"/>
        <sz val="8"/>
        <color theme="1"/>
        <rFont val="メイリオ"/>
        <family val="3"/>
        <charset val="128"/>
      </rPr>
      <t>m</t>
    </r>
    <phoneticPr fontId="1"/>
  </si>
  <si>
    <r>
      <t>d</t>
    </r>
    <r>
      <rPr>
        <vertAlign val="subscript"/>
        <sz val="8"/>
        <color theme="1"/>
        <rFont val="メイリオ"/>
        <family val="3"/>
        <charset val="128"/>
      </rPr>
      <t>1</t>
    </r>
    <phoneticPr fontId="1"/>
  </si>
  <si>
    <r>
      <t>d</t>
    </r>
    <r>
      <rPr>
        <vertAlign val="subscript"/>
        <sz val="8"/>
        <color theme="1"/>
        <rFont val="メイリオ"/>
        <family val="3"/>
        <charset val="128"/>
      </rPr>
      <t>2</t>
    </r>
    <phoneticPr fontId="1"/>
  </si>
  <si>
    <r>
      <t>w'</t>
    </r>
    <r>
      <rPr>
        <vertAlign val="subscript"/>
        <sz val="8"/>
        <color theme="1"/>
        <rFont val="メイリオ"/>
        <family val="3"/>
        <charset val="128"/>
      </rPr>
      <t>A0</t>
    </r>
    <phoneticPr fontId="1"/>
  </si>
  <si>
    <r>
      <t>w'</t>
    </r>
    <r>
      <rPr>
        <vertAlign val="subscript"/>
        <sz val="8"/>
        <color theme="1"/>
        <rFont val="メイリオ"/>
        <family val="3"/>
        <charset val="128"/>
      </rPr>
      <t>B0</t>
    </r>
    <phoneticPr fontId="1"/>
  </si>
  <si>
    <r>
      <t>w'</t>
    </r>
    <r>
      <rPr>
        <vertAlign val="subscript"/>
        <sz val="8"/>
        <color theme="1"/>
        <rFont val="メイリオ"/>
        <family val="3"/>
        <charset val="128"/>
      </rPr>
      <t>Aq</t>
    </r>
    <phoneticPr fontId="1"/>
  </si>
  <si>
    <t>トップ端 AC内径（水平・めっき含・概算）</t>
    <rPh sb="3" eb="4">
      <t>タン</t>
    </rPh>
    <rPh sb="7" eb="9">
      <t>ナイケイ</t>
    </rPh>
    <rPh sb="10" eb="12">
      <t>スイヘイ</t>
    </rPh>
    <rPh sb="16" eb="17">
      <t>フク</t>
    </rPh>
    <rPh sb="18" eb="20">
      <t>ガイサン</t>
    </rPh>
    <phoneticPr fontId="1"/>
  </si>
  <si>
    <t>m列目 AC内径（水平・めっき含・概算）</t>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</si>
  <si>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</si>
  <si>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</si>
  <si>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phoneticPr fontId="1"/>
  </si>
  <si>
    <r>
      <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</si>
  <si>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</si>
  <si>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A0</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</si>
  <si>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Aq+(m-1)pz</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-q-(m-1)pz}</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</si>
  <si>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c</t>
    </r>
    <r>
      <rPr>
        <sz val="8"/>
        <color theme="1"/>
        <rFont val="メイリオ"/>
        <family val="3"/>
        <charset val="128"/>
      </rPr>
      <t>-w'</t>
    </r>
    <r>
      <rPr>
        <vertAlign val="subscript"/>
        <sz val="8"/>
        <color theme="1"/>
        <rFont val="メイリオ"/>
        <family val="3"/>
        <charset val="128"/>
      </rPr>
      <t>Aq</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-q)</t>
    </r>
    <r>
      <rPr>
        <vertAlign val="superscript"/>
        <sz val="8"/>
        <color theme="1"/>
        <rFont val="メイリオ"/>
        <family val="3"/>
        <charset val="128"/>
      </rPr>
      <t>2</t>
    </r>
    <r>
      <rPr>
        <sz val="8"/>
        <color theme="1"/>
        <rFont val="メイリオ"/>
        <family val="3"/>
        <charset val="128"/>
      </rPr>
      <t>}</t>
    </r>
    <phoneticPr fontId="1"/>
  </si>
  <si>
    <t>内面溝加工用傾き角C（deg, 絶対）</t>
    <rPh sb="0" eb="3">
      <t>ナイ</t>
    </rPh>
    <rPh sb="3" eb="6">
      <t>カコウヨウ</t>
    </rPh>
    <rPh sb="6" eb="7">
      <t>カタム</t>
    </rPh>
    <rPh sb="8" eb="9">
      <t>カク</t>
    </rPh>
    <rPh sb="16" eb="18">
      <t>ゼッタイ</t>
    </rPh>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</si>
  <si>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m-1</t>
    </r>
    <r>
      <rPr>
        <sz val="8"/>
        <color theme="1"/>
        <rFont val="メイリオ"/>
        <family val="3"/>
        <charset val="128"/>
      </rPr>
      <t>-d</t>
    </r>
    <r>
      <rPr>
        <vertAlign val="subscript"/>
        <sz val="8"/>
        <color theme="1"/>
        <rFont val="メイリオ"/>
        <family val="3"/>
        <charset val="128"/>
      </rPr>
      <t>m-1</t>
    </r>
    <r>
      <rPr>
        <sz val="8"/>
        <color theme="1"/>
        <rFont val="メイリオ"/>
        <family val="3"/>
        <charset val="128"/>
      </rPr>
      <t>/2</t>
    </r>
    <phoneticPr fontId="1"/>
  </si>
  <si>
    <r>
      <t>w'</t>
    </r>
    <r>
      <rPr>
        <vertAlign val="subscript"/>
        <sz val="8"/>
        <color theme="1"/>
        <rFont val="メイリオ"/>
        <family val="3"/>
        <charset val="128"/>
      </rPr>
      <t>A0</t>
    </r>
    <r>
      <rPr>
        <sz val="8"/>
        <color theme="1"/>
        <rFont val="メイリオ"/>
        <family val="3"/>
        <charset val="128"/>
      </rPr>
      <t>-</t>
    </r>
    <r>
      <rPr>
        <i/>
        <sz val="8"/>
        <color theme="1"/>
        <rFont val="メイリオ"/>
        <family val="3"/>
        <charset val="128"/>
      </rPr>
      <t>L</t>
    </r>
    <r>
      <rPr>
        <vertAlign val="subscript"/>
        <sz val="8"/>
        <color theme="1"/>
        <rFont val="メイリオ"/>
        <family val="3"/>
        <charset val="128"/>
      </rPr>
      <t>m</t>
    </r>
    <r>
      <rPr>
        <sz val="8"/>
        <color theme="1"/>
        <rFont val="メイリオ"/>
        <family val="3"/>
        <charset val="128"/>
      </rPr>
      <t>-d</t>
    </r>
    <r>
      <rPr>
        <vertAlign val="subscript"/>
        <sz val="8"/>
        <color theme="1"/>
        <rFont val="メイリオ"/>
        <family val="3"/>
        <charset val="128"/>
      </rPr>
      <t>m</t>
    </r>
    <r>
      <rPr>
        <sz val="8"/>
        <color theme="1"/>
        <rFont val="メイリオ"/>
        <family val="3"/>
        <charset val="128"/>
      </rPr>
      <t>/2</t>
    </r>
    <phoneticPr fontId="1"/>
  </si>
  <si>
    <t>内面溝加工用傾き角C（deg, 相対）</t>
    <rPh sb="0" eb="3">
      <t>ナイ</t>
    </rPh>
    <rPh sb="3" eb="6">
      <t>カコウヨウ</t>
    </rPh>
    <rPh sb="6" eb="7">
      <t>カタム</t>
    </rPh>
    <rPh sb="8" eb="9">
      <t>カク</t>
    </rPh>
    <rPh sb="16" eb="18">
      <t>ソウタイ</t>
    </rPh>
    <phoneticPr fontId="1"/>
  </si>
  <si>
    <t>Φ</t>
    <phoneticPr fontId="1"/>
  </si>
  <si>
    <r>
      <t>Φ</t>
    </r>
    <r>
      <rPr>
        <vertAlign val="subscript"/>
        <sz val="8"/>
        <color theme="1"/>
        <rFont val="メイリオ"/>
        <family val="3"/>
        <charset val="128"/>
      </rPr>
      <t>c</t>
    </r>
    <phoneticPr fontId="1"/>
  </si>
  <si>
    <r>
      <t>w</t>
    </r>
    <r>
      <rPr>
        <vertAlign val="subscript"/>
        <sz val="8"/>
        <color theme="1"/>
        <rFont val="メイリオ"/>
        <family val="3"/>
        <charset val="128"/>
      </rPr>
      <t>Bj</t>
    </r>
    <r>
      <rPr>
        <sz val="8"/>
        <color theme="1"/>
        <rFont val="メイリオ"/>
        <family val="3"/>
        <charset val="128"/>
      </rPr>
      <t xml:space="preserve"> (q)</t>
    </r>
    <phoneticPr fontId="1"/>
  </si>
  <si>
    <r>
      <t>w</t>
    </r>
    <r>
      <rPr>
        <vertAlign val="subscript"/>
        <sz val="8"/>
        <color theme="1"/>
        <rFont val="メイリオ"/>
        <family val="3"/>
        <charset val="128"/>
      </rPr>
      <t>Bj</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</si>
  <si>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</si>
  <si>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</si>
  <si>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</si>
  <si>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</si>
  <si>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</si>
  <si>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</si>
  <si>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t>
    </r>
    <phoneticPr fontId="1"/>
  </si>
  <si>
    <r>
      <t>w</t>
    </r>
    <r>
      <rPr>
        <vertAlign val="subscript"/>
        <sz val="8"/>
        <color theme="1"/>
        <rFont val="メイリオ"/>
        <family val="3"/>
        <charset val="128"/>
      </rPr>
      <t>Bj+1</t>
    </r>
    <r>
      <rPr>
        <sz val="8"/>
        <color theme="1"/>
        <rFont val="メイリオ"/>
        <family val="3"/>
        <charset val="128"/>
      </rPr>
      <t xml:space="preserve"> (q+p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</si>
  <si>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</si>
  <si>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(q+3p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</si>
  <si>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(q+4p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</si>
  <si>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(q+5p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</si>
  <si>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{q+(m-2)p</t>
    </r>
    <r>
      <rPr>
        <vertAlign val="subscript"/>
        <sz val="8"/>
        <color theme="1"/>
        <rFont val="メイリオ"/>
        <family val="3"/>
        <charset val="128"/>
      </rPr>
      <t>z</t>
    </r>
    <r>
      <rPr>
        <sz val="8"/>
        <color theme="1"/>
        <rFont val="メイリオ"/>
        <family val="3"/>
        <charset val="128"/>
      </rPr>
      <t>}</t>
    </r>
    <phoneticPr fontId="1"/>
  </si>
  <si>
    <r>
      <t>w</t>
    </r>
    <r>
      <rPr>
        <vertAlign val="subscript"/>
        <sz val="8"/>
        <color theme="1"/>
        <rFont val="メイリオ"/>
        <family val="3"/>
        <charset val="128"/>
      </rPr>
      <t>Bj+1</t>
    </r>
    <r>
      <rPr>
        <sz val="8"/>
        <color theme="1"/>
        <rFont val="メイリオ"/>
        <family val="3"/>
        <charset val="128"/>
      </rPr>
      <t xml:space="preserve"> {q+(m-1)p</t>
    </r>
    <r>
      <rPr>
        <vertAlign val="subscript"/>
        <sz val="8"/>
        <color theme="1"/>
        <rFont val="メイリオ"/>
        <family val="3"/>
        <charset val="128"/>
      </rPr>
      <t>z</t>
    </r>
    <r>
      <rPr>
        <sz val="8"/>
        <color theme="1"/>
        <rFont val="メイリオ"/>
        <family val="3"/>
        <charset val="128"/>
      </rPr>
      <t>}</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</si>
  <si>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</si>
  <si>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b/>
        <vertAlign val="subscript"/>
        <sz val="8"/>
        <color theme="1"/>
        <rFont val="メイリオ"/>
        <family val="3"/>
        <charset val="128"/>
      </rPr>
      <t>Bj</t>
    </r>
    <phoneticPr fontId="1"/>
  </si>
  <si>
    <r>
      <t>λ</t>
    </r>
    <r>
      <rPr>
        <vertAlign val="subscript"/>
        <sz val="8"/>
        <color theme="1"/>
        <rFont val="メイリオ"/>
        <family val="3"/>
        <charset val="128"/>
      </rPr>
      <t>j</t>
    </r>
    <r>
      <rPr>
        <sz val="8"/>
        <color theme="1"/>
        <rFont val="メイリオ"/>
        <family val="3"/>
        <charset val="128"/>
      </rPr>
      <t xml:space="preserve"> ≦ q+(m-2)p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</si>
  <si>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t>λ</t>
    </r>
    <r>
      <rPr>
        <vertAlign val="subscript"/>
        <sz val="8"/>
        <color theme="1"/>
        <rFont val="メイリオ"/>
        <family val="3"/>
        <charset val="128"/>
      </rPr>
      <t>j</t>
    </r>
    <r>
      <rPr>
        <sz val="8"/>
        <color theme="1"/>
        <rFont val="メイリオ"/>
        <family val="3"/>
        <charset val="128"/>
      </rPr>
      <t xml:space="preserve"> ≦ q+(m-1)p</t>
    </r>
    <r>
      <rPr>
        <vertAlign val="subscript"/>
        <sz val="8"/>
        <color theme="1"/>
        <rFont val="メイリオ"/>
        <family val="3"/>
        <charset val="128"/>
      </rPr>
      <t>z</t>
    </r>
    <r>
      <rPr>
        <sz val="8"/>
        <color theme="1"/>
        <rFont val="メイリオ"/>
        <family val="3"/>
        <charset val="128"/>
      </rPr>
      <t xml:space="preserve"> &lt; λ</t>
    </r>
    <r>
      <rPr>
        <vertAlign val="subscript"/>
        <sz val="8"/>
        <color theme="1"/>
        <rFont val="メイリオ"/>
        <family val="3"/>
        <charset val="128"/>
      </rPr>
      <t>j+1</t>
    </r>
    <r>
      <rPr>
        <sz val="8"/>
        <color theme="1"/>
        <rFont val="メイリオ"/>
        <family val="3"/>
        <charset val="128"/>
      </rPr>
      <t xml:space="preserve"> の w</t>
    </r>
    <r>
      <rPr>
        <vertAlign val="subscript"/>
        <sz val="8"/>
        <color theme="1"/>
        <rFont val="メイリオ"/>
        <family val="3"/>
        <charset val="128"/>
      </rPr>
      <t>Bj+1</t>
    </r>
    <phoneticPr fontId="1"/>
  </si>
  <si>
    <r>
      <rPr>
        <i/>
        <sz val="8"/>
        <color theme="1"/>
        <rFont val="メイリオ"/>
        <family val="3"/>
        <charset val="128"/>
      </rPr>
      <t>D</t>
    </r>
    <r>
      <rPr>
        <vertAlign val="subscript"/>
        <sz val="8"/>
        <color theme="1"/>
        <rFont val="メイリオ"/>
        <family val="3"/>
        <charset val="128"/>
      </rPr>
      <t>z2</t>
    </r>
    <phoneticPr fontId="1"/>
  </si>
  <si>
    <r>
      <rPr>
        <i/>
        <sz val="8"/>
        <color theme="1"/>
        <rFont val="メイリオ"/>
        <family val="3"/>
        <charset val="128"/>
      </rPr>
      <t>D</t>
    </r>
    <r>
      <rPr>
        <vertAlign val="subscript"/>
        <sz val="8"/>
        <color theme="1"/>
        <rFont val="メイリオ"/>
        <family val="3"/>
        <charset val="128"/>
      </rPr>
      <t>z1</t>
    </r>
    <phoneticPr fontId="1"/>
  </si>
  <si>
    <t>（傾き前）m-1列目Z座標</t>
    <phoneticPr fontId="1"/>
  </si>
  <si>
    <t>（傾き前）m列目Z座標</t>
    <phoneticPr fontId="1"/>
  </si>
  <si>
    <r>
      <rPr>
        <i/>
        <sz val="8"/>
        <color theme="1"/>
        <rFont val="メイリオ"/>
        <family val="3"/>
        <charset val="128"/>
      </rPr>
      <t>D</t>
    </r>
    <r>
      <rPr>
        <vertAlign val="subscript"/>
        <sz val="8"/>
        <color theme="1"/>
        <rFont val="メイリオ"/>
        <family val="3"/>
        <charset val="128"/>
      </rPr>
      <t>zm</t>
    </r>
    <phoneticPr fontId="1"/>
  </si>
  <si>
    <r>
      <t>w'</t>
    </r>
    <r>
      <rPr>
        <vertAlign val="subscript"/>
        <sz val="8"/>
        <color theme="1"/>
        <rFont val="メイリオ"/>
        <family val="3"/>
        <charset val="128"/>
      </rPr>
      <t>Bq</t>
    </r>
    <phoneticPr fontId="1"/>
  </si>
  <si>
    <t>m-1列目AC内径（水平・めっき含・概算）</t>
    <phoneticPr fontId="1"/>
  </si>
  <si>
    <t>m列目 BD内径（めっき含・概算）</t>
    <phoneticPr fontId="1"/>
  </si>
  <si>
    <t>トップ端 BD内径（めっき含・概算）</t>
    <rPh sb="3" eb="4">
      <t>タン</t>
    </rPh>
    <rPh sb="7" eb="9">
      <t>ナイケイ</t>
    </rPh>
    <rPh sb="13" eb="14">
      <t>ガン</t>
    </rPh>
    <rPh sb="15" eb="17">
      <t>ガイサン</t>
    </rPh>
    <phoneticPr fontId="1"/>
  </si>
  <si>
    <t>m-1列目 BD内径（めっき含・概算）</t>
    <phoneticPr fontId="1"/>
  </si>
  <si>
    <r>
      <t>w'</t>
    </r>
    <r>
      <rPr>
        <vertAlign val="subscript"/>
        <sz val="8"/>
        <color theme="1"/>
        <rFont val="メイリオ"/>
        <family val="3"/>
        <charset val="128"/>
      </rPr>
      <t>Bq+pz</t>
    </r>
    <phoneticPr fontId="1"/>
  </si>
  <si>
    <r>
      <t>w'</t>
    </r>
    <r>
      <rPr>
        <vertAlign val="subscript"/>
        <sz val="8"/>
        <color theme="1"/>
        <rFont val="メイリオ"/>
        <family val="3"/>
        <charset val="128"/>
      </rPr>
      <t>Bq+2pz</t>
    </r>
    <phoneticPr fontId="1"/>
  </si>
  <si>
    <r>
      <t>w'</t>
    </r>
    <r>
      <rPr>
        <vertAlign val="subscript"/>
        <sz val="8"/>
        <color theme="1"/>
        <rFont val="メイリオ"/>
        <family val="3"/>
        <charset val="128"/>
      </rPr>
      <t>Bq+3pz</t>
    </r>
    <phoneticPr fontId="1"/>
  </si>
  <si>
    <r>
      <t>w'</t>
    </r>
    <r>
      <rPr>
        <vertAlign val="subscript"/>
        <sz val="8"/>
        <color theme="1"/>
        <rFont val="メイリオ"/>
        <family val="3"/>
        <charset val="128"/>
      </rPr>
      <t>Bq+4pz</t>
    </r>
    <phoneticPr fontId="1"/>
  </si>
  <si>
    <r>
      <t>w'</t>
    </r>
    <r>
      <rPr>
        <vertAlign val="subscript"/>
        <sz val="8"/>
        <color theme="1"/>
        <rFont val="メイリオ"/>
        <family val="3"/>
        <charset val="128"/>
      </rPr>
      <t>Bq+5pz</t>
    </r>
    <phoneticPr fontId="1"/>
  </si>
  <si>
    <r>
      <t>w'</t>
    </r>
    <r>
      <rPr>
        <vertAlign val="subscript"/>
        <sz val="8"/>
        <color theme="1"/>
        <rFont val="メイリオ"/>
        <family val="3"/>
        <charset val="128"/>
      </rPr>
      <t>Bq+(m-1)pz</t>
    </r>
    <phoneticPr fontId="1"/>
  </si>
  <si>
    <r>
      <t>w'</t>
    </r>
    <r>
      <rPr>
        <vertAlign val="subscript"/>
        <sz val="8"/>
        <color theme="1"/>
        <rFont val="メイリオ"/>
        <family val="3"/>
        <charset val="128"/>
      </rPr>
      <t>Aq+pz</t>
    </r>
    <phoneticPr fontId="1"/>
  </si>
  <si>
    <r>
      <t>w'</t>
    </r>
    <r>
      <rPr>
        <vertAlign val="subscript"/>
        <sz val="8"/>
        <color theme="1"/>
        <rFont val="メイリオ"/>
        <family val="3"/>
        <charset val="128"/>
      </rPr>
      <t>Aq+2pz</t>
    </r>
    <phoneticPr fontId="1"/>
  </si>
  <si>
    <r>
      <t>w'</t>
    </r>
    <r>
      <rPr>
        <vertAlign val="subscript"/>
        <sz val="8"/>
        <color theme="1"/>
        <rFont val="メイリオ"/>
        <family val="3"/>
        <charset val="128"/>
      </rPr>
      <t>Aq+3pz</t>
    </r>
    <phoneticPr fontId="1"/>
  </si>
  <si>
    <r>
      <t>w'</t>
    </r>
    <r>
      <rPr>
        <vertAlign val="subscript"/>
        <sz val="8"/>
        <color theme="1"/>
        <rFont val="メイリオ"/>
        <family val="3"/>
        <charset val="128"/>
      </rPr>
      <t>Aq+4pz</t>
    </r>
    <phoneticPr fontId="1"/>
  </si>
  <si>
    <r>
      <t>w'</t>
    </r>
    <r>
      <rPr>
        <vertAlign val="subscript"/>
        <sz val="8"/>
        <color theme="1"/>
        <rFont val="メイリオ"/>
        <family val="3"/>
        <charset val="128"/>
      </rPr>
      <t>Aq+5pz</t>
    </r>
    <phoneticPr fontId="1"/>
  </si>
  <si>
    <r>
      <t>w'</t>
    </r>
    <r>
      <rPr>
        <vertAlign val="subscript"/>
        <sz val="8"/>
        <color theme="1"/>
        <rFont val="メイリオ"/>
        <family val="3"/>
        <charset val="128"/>
      </rPr>
      <t>Aq+(m-1)pz</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</si>
  <si>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</si>
  <si>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vertAlign val="superscript"/>
        <sz val="8"/>
        <color theme="1"/>
        <rFont val="メイリオ"/>
        <family val="3"/>
        <charset val="128"/>
      </rPr>
      <t>2</t>
    </r>
    <r>
      <rPr>
        <sz val="8"/>
        <color theme="1"/>
        <rFont val="メイリオ"/>
        <family val="3"/>
        <charset val="128"/>
      </rPr>
      <t>)}/2</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</si>
  <si>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</si>
  <si>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o</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</si>
  <si>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r>
      <t>sqrt{R</t>
    </r>
    <r>
      <rPr>
        <vertAlign val="subscript"/>
        <sz val="8"/>
        <color theme="1"/>
        <rFont val="メイリオ"/>
        <family val="3"/>
        <charset val="128"/>
      </rPr>
      <t>i</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t</t>
    </r>
    <r>
      <rPr>
        <sz val="8"/>
        <color theme="1"/>
        <rFont val="メイリオ"/>
        <family val="3"/>
        <charset val="128"/>
      </rPr>
      <t>-κ</t>
    </r>
    <r>
      <rPr>
        <vertAlign val="subscript"/>
        <sz val="8"/>
        <color theme="1"/>
        <rFont val="メイリオ"/>
        <family val="3"/>
        <charset val="128"/>
      </rPr>
      <t>p</t>
    </r>
    <r>
      <rPr>
        <sz val="8"/>
        <color theme="1"/>
        <rFont val="メイリオ"/>
        <family val="3"/>
        <charset val="128"/>
      </rPr>
      <t>-κ</t>
    </r>
    <r>
      <rPr>
        <vertAlign val="subscript"/>
        <sz val="8"/>
        <color theme="1"/>
        <rFont val="メイリオ"/>
        <family val="3"/>
        <charset val="128"/>
      </rPr>
      <t>w</t>
    </r>
    <r>
      <rPr>
        <sz val="8"/>
        <color theme="1"/>
        <rFont val="メイリオ"/>
        <family val="3"/>
        <charset val="128"/>
      </rPr>
      <t>/2)</t>
    </r>
    <r>
      <rPr>
        <vertAlign val="superscript"/>
        <sz val="8"/>
        <color theme="1"/>
        <rFont val="メイリオ"/>
        <family val="3"/>
        <charset val="128"/>
      </rPr>
      <t>2</t>
    </r>
    <r>
      <rPr>
        <sz val="8"/>
        <color theme="1"/>
        <rFont val="メイリオ"/>
        <family val="3"/>
        <charset val="128"/>
      </rPr>
      <t>}</t>
    </r>
    <phoneticPr fontId="1"/>
  </si>
  <si>
    <t>トップ端-面取先端 湾曲中心間水平距離</t>
    <rPh sb="3" eb="4">
      <t>タン</t>
    </rPh>
    <rPh sb="7" eb="9">
      <t>センタン</t>
    </rPh>
    <rPh sb="10" eb="12">
      <t>ワンキョク</t>
    </rPh>
    <rPh sb="12" eb="14">
      <t>チュウシン</t>
    </rPh>
    <rPh sb="14" eb="15">
      <t>カン</t>
    </rPh>
    <rPh sb="15" eb="19">
      <t>スイヘイ</t>
    </rPh>
    <phoneticPr fontId="1"/>
  </si>
  <si>
    <t>θ[rad]</t>
    <phoneticPr fontId="1"/>
  </si>
  <si>
    <t>θ'[rad]</t>
    <phoneticPr fontId="1"/>
  </si>
  <si>
    <t>θ'[deg]</t>
    <phoneticPr fontId="1"/>
  </si>
  <si>
    <t>再振分用角度(deg, 0.001度単位)</t>
    <rPh sb="0" eb="1">
      <t>サイ</t>
    </rPh>
    <rPh sb="1" eb="3">
      <t>フリワケ</t>
    </rPh>
    <rPh sb="3" eb="4">
      <t>ヨウ</t>
    </rPh>
    <rPh sb="4" eb="6">
      <t>カクド</t>
    </rPh>
    <rPh sb="5" eb="6">
      <t>フリカド</t>
    </rPh>
    <rPh sb="17" eb="18">
      <t>ド</t>
    </rPh>
    <rPh sb="18" eb="20">
      <t>タンイ</t>
    </rPh>
    <phoneticPr fontId="1"/>
  </si>
  <si>
    <t>再振分用角度(deg, 1度単位)</t>
    <rPh sb="0" eb="1">
      <t>サイ</t>
    </rPh>
    <rPh sb="1" eb="3">
      <t>フリワケ</t>
    </rPh>
    <rPh sb="3" eb="4">
      <t>ヨウ</t>
    </rPh>
    <rPh sb="4" eb="6">
      <t>カクド</t>
    </rPh>
    <rPh sb="5" eb="6">
      <t>フリカド</t>
    </rPh>
    <rPh sb="13" eb="14">
      <t>ド</t>
    </rPh>
    <rPh sb="14" eb="16">
      <t>タンイ</t>
    </rPh>
    <phoneticPr fontId="1"/>
  </si>
  <si>
    <t>再振分長トップ（θ:0.001度単位）</t>
    <rPh sb="0" eb="1">
      <t>サイ</t>
    </rPh>
    <rPh sb="1" eb="3">
      <t>フリワケ</t>
    </rPh>
    <rPh sb="3" eb="4">
      <t>チョウ</t>
    </rPh>
    <rPh sb="15" eb="16">
      <t>ド</t>
    </rPh>
    <rPh sb="16" eb="18">
      <t>タンイ</t>
    </rPh>
    <phoneticPr fontId="1"/>
  </si>
  <si>
    <t>再振分長ボトム（θ:0.001度単位）</t>
    <rPh sb="0" eb="1">
      <t>サイ</t>
    </rPh>
    <rPh sb="1" eb="3">
      <t>フリワケ</t>
    </rPh>
    <rPh sb="3" eb="4">
      <t>チョウ</t>
    </rPh>
    <rPh sb="15" eb="16">
      <t>ド</t>
    </rPh>
    <rPh sb="16" eb="18">
      <t>タンイ</t>
    </rPh>
    <phoneticPr fontId="1"/>
  </si>
  <si>
    <t>再張出長トップ（θ:0.001度単位）</t>
    <rPh sb="0" eb="1">
      <t>サイ</t>
    </rPh>
    <rPh sb="1" eb="3">
      <t>ハリダシ</t>
    </rPh>
    <rPh sb="3" eb="4">
      <t>チョウ</t>
    </rPh>
    <phoneticPr fontId="1"/>
  </si>
  <si>
    <t>再張出長ボトム（θ:0.001度単位）</t>
    <rPh sb="0" eb="1">
      <t>サイ</t>
    </rPh>
    <rPh sb="1" eb="3">
      <t>ハリダシ</t>
    </rPh>
    <rPh sb="3" eb="4">
      <t>チョウ</t>
    </rPh>
    <phoneticPr fontId="1"/>
  </si>
  <si>
    <t>均等振分 鉛直移動距離</t>
    <rPh sb="0" eb="2">
      <t>キントウ</t>
    </rPh>
    <rPh sb="2" eb="4">
      <t>フリワケ</t>
    </rPh>
    <rPh sb="5" eb="7">
      <t>エンチョク</t>
    </rPh>
    <rPh sb="7" eb="9">
      <t>イドウ</t>
    </rPh>
    <rPh sb="9" eb="11">
      <t>キョリ</t>
    </rPh>
    <phoneticPr fontId="1"/>
  </si>
  <si>
    <r>
      <t>f</t>
    </r>
    <r>
      <rPr>
        <vertAlign val="subscript"/>
        <sz val="8"/>
        <color theme="1"/>
        <rFont val="メイリオ"/>
        <family val="3"/>
        <charset val="128"/>
      </rPr>
      <t>b</t>
    </r>
    <r>
      <rPr>
        <sz val="8"/>
        <color theme="1"/>
        <rFont val="メイリオ"/>
        <family val="3"/>
        <charset val="128"/>
      </rPr>
      <t>-C48</t>
    </r>
    <phoneticPr fontId="1"/>
  </si>
  <si>
    <r>
      <t>sqrt{R</t>
    </r>
    <r>
      <rPr>
        <vertAlign val="subscript"/>
        <sz val="8"/>
        <color theme="1"/>
        <rFont val="メイリオ"/>
        <family val="3"/>
        <charset val="128"/>
      </rPr>
      <t>c</t>
    </r>
    <r>
      <rPr>
        <vertAlign val="superscript"/>
        <sz val="8"/>
        <color theme="1"/>
        <rFont val="メイリオ"/>
        <family val="3"/>
        <charset val="128"/>
      </rPr>
      <t>2</t>
    </r>
    <r>
      <rPr>
        <sz val="8"/>
        <color theme="1"/>
        <rFont val="メイリオ"/>
        <family val="3"/>
        <charset val="128"/>
      </rPr>
      <t>-(f</t>
    </r>
    <r>
      <rPr>
        <vertAlign val="subscript"/>
        <sz val="8"/>
        <color theme="1"/>
        <rFont val="メイリオ"/>
        <family val="3"/>
        <charset val="128"/>
      </rPr>
      <t>b</t>
    </r>
    <r>
      <rPr>
        <sz val="8"/>
        <color theme="1"/>
        <rFont val="メイリオ"/>
        <family val="3"/>
        <charset val="128"/>
      </rPr>
      <t>-C48)</t>
    </r>
    <r>
      <rPr>
        <vertAlign val="superscript"/>
        <sz val="8"/>
        <color theme="1"/>
        <rFont val="メイリオ"/>
        <family val="3"/>
        <charset val="128"/>
      </rPr>
      <t>2</t>
    </r>
    <r>
      <rPr>
        <sz val="8"/>
        <color theme="1"/>
        <rFont val="メイリオ"/>
        <family val="3"/>
        <charset val="128"/>
      </rPr>
      <t>}</t>
    </r>
    <phoneticPr fontId="1"/>
  </si>
  <si>
    <t>トップ外削外径AC</t>
    <rPh sb="3" eb="5">
      <t>ガイサク</t>
    </rPh>
    <rPh sb="5" eb="7">
      <t>ガイケイ</t>
    </rPh>
    <phoneticPr fontId="1"/>
  </si>
  <si>
    <t>ボトム端面C面取</t>
    <rPh sb="3" eb="5">
      <t>タンメン</t>
    </rPh>
    <rPh sb="6" eb="8">
      <t>メント</t>
    </rPh>
    <phoneticPr fontId="1"/>
  </si>
  <si>
    <t>トップ端面C面取</t>
    <rPh sb="3" eb="5">
      <t>タンメン</t>
    </rPh>
    <rPh sb="6" eb="8">
      <t>メント</t>
    </rPh>
    <phoneticPr fontId="1"/>
  </si>
  <si>
    <t>ボトム 内面取先端位置</t>
    <rPh sb="4" eb="5">
      <t>ナイ</t>
    </rPh>
    <rPh sb="5" eb="7">
      <t>メントリ</t>
    </rPh>
    <rPh sb="7" eb="9">
      <t>センタン</t>
    </rPh>
    <rPh sb="9" eb="11">
      <t>イチ</t>
    </rPh>
    <phoneticPr fontId="1"/>
  </si>
  <si>
    <t>ボトム 内面取先端 湾曲中心-O間 水平距離</t>
    <rPh sb="4" eb="5">
      <t>ウチ</t>
    </rPh>
    <rPh sb="5" eb="7">
      <t>メントリ</t>
    </rPh>
    <rPh sb="7" eb="9">
      <t>センタン</t>
    </rPh>
    <rPh sb="10" eb="12">
      <t>ワンキョク</t>
    </rPh>
    <rPh sb="12" eb="14">
      <t>チュウシン</t>
    </rPh>
    <rPh sb="16" eb="17">
      <t>カン</t>
    </rPh>
    <rPh sb="18" eb="22">
      <t>スイヘイ</t>
    </rPh>
    <phoneticPr fontId="1"/>
  </si>
  <si>
    <t>内面溝（傾き後）</t>
    <rPh sb="0" eb="2">
      <t>ナイメン</t>
    </rPh>
    <rPh sb="2" eb="3">
      <t>ミゾ</t>
    </rPh>
    <rPh sb="4" eb="5">
      <t>カタム</t>
    </rPh>
    <rPh sb="6" eb="7">
      <t>ゴ</t>
    </rPh>
    <phoneticPr fontId="1"/>
  </si>
  <si>
    <t>内面溝（傾き前）</t>
    <rPh sb="0" eb="2">
      <t>ナイメン</t>
    </rPh>
    <rPh sb="2" eb="3">
      <t>ミゾ</t>
    </rPh>
    <rPh sb="4" eb="5">
      <t>カタム</t>
    </rPh>
    <rPh sb="6" eb="7">
      <t>マエ</t>
    </rPh>
    <phoneticPr fontId="1"/>
  </si>
  <si>
    <t>内面溝１列目（奇数列）長さ</t>
    <rPh sb="0" eb="2">
      <t>ナイメン</t>
    </rPh>
    <rPh sb="2" eb="3">
      <t>ミゾ</t>
    </rPh>
    <rPh sb="4" eb="6">
      <t>レツメ</t>
    </rPh>
    <rPh sb="7" eb="9">
      <t>キスウ</t>
    </rPh>
    <rPh sb="9" eb="10">
      <t>レツ</t>
    </rPh>
    <rPh sb="11" eb="12">
      <t>ナガ</t>
    </rPh>
    <phoneticPr fontId="1"/>
  </si>
  <si>
    <t>内面溝２列目（偶数列）長さ</t>
    <rPh sb="0" eb="2">
      <t>ナイメン</t>
    </rPh>
    <rPh sb="2" eb="3">
      <t>ミゾ</t>
    </rPh>
    <rPh sb="4" eb="6">
      <t>レツメ</t>
    </rPh>
    <rPh sb="7" eb="9">
      <t>グウスウ</t>
    </rPh>
    <rPh sb="9" eb="10">
      <t>レツ</t>
    </rPh>
    <rPh sb="11" eb="12">
      <t>ナガ</t>
    </rPh>
    <phoneticPr fontId="1"/>
  </si>
  <si>
    <r>
      <t>cosΦ</t>
    </r>
    <r>
      <rPr>
        <vertAlign val="subscript"/>
        <sz val="8"/>
        <color theme="1"/>
        <rFont val="メイリオ"/>
        <family val="3"/>
        <charset val="128"/>
      </rPr>
      <t>A</t>
    </r>
    <phoneticPr fontId="1"/>
  </si>
  <si>
    <r>
      <t>sinΦ</t>
    </r>
    <r>
      <rPr>
        <vertAlign val="subscript"/>
        <sz val="8"/>
        <color theme="1"/>
        <rFont val="メイリオ"/>
        <family val="3"/>
        <charset val="128"/>
      </rPr>
      <t>A</t>
    </r>
    <phoneticPr fontId="1"/>
  </si>
  <si>
    <t>内面溝m-1列目-トップ端 湾曲中心間Z距離</t>
    <rPh sb="0" eb="2">
      <t>ナイメン</t>
    </rPh>
    <rPh sb="6" eb="8">
      <t>レツメ</t>
    </rPh>
    <rPh sb="12" eb="13">
      <t>タン</t>
    </rPh>
    <rPh sb="14" eb="16">
      <t>ワンキョク</t>
    </rPh>
    <rPh sb="16" eb="18">
      <t>チュウシン</t>
    </rPh>
    <rPh sb="18" eb="19">
      <t>カン</t>
    </rPh>
    <rPh sb="20" eb="22">
      <t>キョリ</t>
    </rPh>
    <phoneticPr fontId="1"/>
  </si>
  <si>
    <t>内面溝m列目-トップ端 湾曲中心間Z距離</t>
    <rPh sb="0" eb="2">
      <t>ナイメン</t>
    </rPh>
    <rPh sb="4" eb="6">
      <t>レツメ</t>
    </rPh>
    <rPh sb="10" eb="11">
      <t>タン</t>
    </rPh>
    <rPh sb="12" eb="14">
      <t>ワンキョク</t>
    </rPh>
    <rPh sb="14" eb="16">
      <t>チュウシン</t>
    </rPh>
    <rPh sb="16" eb="17">
      <t>カン</t>
    </rPh>
    <rPh sb="18" eb="20">
      <t>キョリ</t>
    </rPh>
    <phoneticPr fontId="1"/>
  </si>
  <si>
    <t>工具（刃）直径</t>
    <rPh sb="0" eb="2">
      <t>コウグ</t>
    </rPh>
    <rPh sb="3" eb="4">
      <t>ハ</t>
    </rPh>
    <rPh sb="5" eb="7">
      <t>チョッケイ</t>
    </rPh>
    <phoneticPr fontId="1"/>
  </si>
  <si>
    <t>工具（シャンク）直径</t>
    <rPh sb="0" eb="2">
      <t>コウグ</t>
    </rPh>
    <rPh sb="8" eb="10">
      <t>チョッケイ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</si>
</sst>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lt;=999]0000;General"/>
    <numFmt numFmtId="177" formatCode="[&lt;=9999]00&quot;:&quot;00;General"/>
    <numFmt numFmtId="178" formatCode="0_);[Red]\(0\)"/>
    <numFmt numFmtId="179" formatCode="0_);\(0\)"/>
    <numFmt numFmtId="180" formatCode="0.00_ "/>
    <numFmt numFmtId="181" formatCode="0.000_ "/>
    <numFmt numFmtId="182" formatCode="0.000_);[Red]\(0.000\)"/>
    <numFmt numFmtId="183" formatCode="0.0_ "/>
    <numFmt numFmtId="184" formatCode="0_ "/>
    <numFmt numFmtId="185" formatCode="0.000"/>
  </numFmts>
  <fonts count="14" x14ac:knownFonts="1">
    <font>
      <sz val="10"/>
      <color theme="1"/>
      <name val="メイリオ"/>
      <family val="2"/>
      <charset val="128"/>
    </font>
    <font>
      <sz val="6"/>
      <name val="メイリオ"/>
      <family val="2"/>
      <charset val="128"/>
    </font>
    <font>
      <vertAlign val="subscript"/>
      <sz val="10"/>
      <color theme="1"/>
      <name val="メイリオ"/>
      <family val="3"/>
      <charset val="128"/>
    </font>
    <font>
      <vertAlign val="superscript"/>
      <sz val="10"/>
      <color theme="1"/>
      <name val="メイリオ"/>
      <family val="3"/>
      <charset val="128"/>
    </font>
    <font>
      <sz val="10"/>
      <color theme="1"/>
      <name val="メイリオ"/>
      <family val="3"/>
      <charset val="128"/>
    </font>
    <font>
      <b/>
      <sz val="10"/>
      <color theme="1"/>
      <name val="メイリオ"/>
      <family val="3"/>
      <charset val="128"/>
    </font>
    <font>
      <sz val="8"/>
      <color theme="1"/>
      <name val="メイリオ"/>
      <family val="3"/>
      <charset val="128"/>
    </font>
    <font>
      <vertAlign val="subscript"/>
      <sz val="8"/>
      <color theme="1"/>
      <name val="メイリオ"/>
      <family val="3"/>
      <charset val="128"/>
    </font>
    <font>
      <b/>
      <sz val="8"/>
      <color theme="1"/>
      <name val="メイリオ"/>
      <family val="3"/>
      <charset val="128"/>
    </font>
    <font>
      <vertAlign val="superscript"/>
      <sz val="8"/>
      <color theme="1"/>
      <name val="メイリオ"/>
      <family val="3"/>
      <charset val="128"/>
    </font>
    <font>
      <sz val="9"/>
      <color theme="1"/>
      <name val="メイリオ"/>
      <family val="2"/>
      <charset val="128"/>
    </font>
    <font>
      <sz val="9"/>
      <color theme="1"/>
      <name val="メイリオ"/>
      <family val="3"/>
      <charset val="128"/>
    </font>
    <font>
      <b/>
      <vertAlign val="subscript"/>
      <sz val="8"/>
      <color theme="1"/>
      <name val="メイリオ"/>
      <family val="3"/>
      <charset val="128"/>
    </font>
    <font>
      <i/>
      <sz val="8"/>
      <color theme="1"/>
      <name val="メイリオ"/>
      <family val="3"/>
      <charset val="128"/>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9" tint="0.59999389629810485"/>
        <bgColor indexed="64"/>
      </patternFill>
    </fill>
  </fills>
  <borders count="22">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right style="thin">
        <color indexed="64"/>
      </right>
      <top/>
      <bottom style="thin">
        <color indexed="64"/>
      </bottom>
      <diagonal/>
    </border>
    <border diagonalUp="1">
      <left/>
      <right style="thin">
        <color indexed="64"/>
      </right>
      <top style="thin">
        <color indexed="64"/>
      </top>
      <bottom style="double">
        <color indexed="64"/>
      </bottom>
      <diagonal style="thin">
        <color indexed="64"/>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double">
        <color indexed="64"/>
      </left>
      <right style="thin">
        <color indexed="64"/>
      </right>
      <top style="thin">
        <color indexed="64"/>
      </top>
      <bottom style="double">
        <color indexed="64"/>
      </bottom>
      <diagonal/>
    </border>
    <border diagonalDown="1">
      <left style="thin">
        <color indexed="64"/>
      </left>
      <right style="double">
        <color indexed="64"/>
      </right>
      <top style="thin">
        <color indexed="64"/>
      </top>
      <bottom style="double">
        <color indexed="64"/>
      </bottom>
      <diagonal style="thin">
        <color indexed="64"/>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alignment vertical="center"/>
    </xf>
  </cellStyleXfs>
  <cellXfs count="113">
    <xf numFmtId="0" fontId="0" fillId="0" borderId="0" xfId="0">
      <alignment vertical="center"/>
    </xf>
    <xf numFmtId="0" fontId="0" fillId="0" borderId="0" xfId="0" applyAlignment="1">
      <alignment horizontal="center" vertical="center"/>
    </xf>
    <xf numFmtId="45"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8" fontId="0" fillId="0" borderId="0" xfId="0" applyNumberFormat="1" applyAlignment="1">
      <alignment horizontal="right" vertical="center"/>
    </xf>
    <xf numFmtId="179" fontId="0" fillId="0" borderId="0" xfId="0" applyNumberFormat="1" applyAlignment="1">
      <alignment horizontal="right" vertical="center"/>
    </xf>
    <xf numFmtId="180" fontId="0" fillId="0" borderId="0" xfId="0" applyNumberFormat="1" applyAlignment="1">
      <alignment horizontal="center" vertical="center"/>
    </xf>
    <xf numFmtId="178" fontId="0" fillId="0" borderId="0" xfId="0" applyNumberFormat="1" applyAlignment="1">
      <alignment horizontal="center" vertical="center"/>
    </xf>
    <xf numFmtId="179" fontId="0" fillId="0" borderId="0" xfId="0" applyNumberFormat="1" applyAlignment="1">
      <alignment horizontal="center" vertical="center"/>
    </xf>
    <xf numFmtId="181" fontId="0" fillId="0" borderId="0" xfId="0" applyNumberFormat="1" applyAlignment="1">
      <alignment horizontal="center" vertical="center"/>
    </xf>
    <xf numFmtId="181" fontId="0" fillId="0" borderId="1" xfId="0" applyNumberFormat="1" applyBorder="1" applyAlignment="1">
      <alignment horizontal="center" vertical="center"/>
    </xf>
    <xf numFmtId="181" fontId="0" fillId="2" borderId="1" xfId="0" applyNumberFormat="1" applyFill="1" applyBorder="1" applyAlignment="1">
      <alignment horizontal="center" vertical="center"/>
    </xf>
    <xf numFmtId="182" fontId="0" fillId="0" borderId="2" xfId="0" applyNumberFormat="1" applyBorder="1" applyAlignment="1">
      <alignment horizontal="center" vertical="center"/>
    </xf>
    <xf numFmtId="182" fontId="0" fillId="4" borderId="3" xfId="0" applyNumberFormat="1" applyFill="1" applyBorder="1" applyAlignment="1">
      <alignment horizontal="center" vertical="center"/>
    </xf>
    <xf numFmtId="182" fontId="0" fillId="4" borderId="4" xfId="0" applyNumberFormat="1" applyFill="1" applyBorder="1" applyAlignment="1">
      <alignment horizontal="center" vertical="center"/>
    </xf>
    <xf numFmtId="0" fontId="0" fillId="0" borderId="0" xfId="0" applyAlignment="1">
      <alignment horizontal="right" vertical="center"/>
    </xf>
    <xf numFmtId="181" fontId="0" fillId="2" borderId="5" xfId="0" applyNumberFormat="1" applyFill="1" applyBorder="1" applyAlignment="1">
      <alignment horizontal="center" vertical="center"/>
    </xf>
    <xf numFmtId="0" fontId="0" fillId="2" borderId="4" xfId="0" applyFill="1" applyBorder="1">
      <alignment vertical="center"/>
    </xf>
    <xf numFmtId="0" fontId="0" fillId="0" borderId="0" xfId="0" applyAlignment="1">
      <alignment horizontal="left" vertical="center"/>
    </xf>
    <xf numFmtId="181" fontId="0" fillId="0" borderId="6" xfId="0" applyNumberFormat="1" applyBorder="1" applyAlignment="1">
      <alignment horizontal="center" vertical="center"/>
    </xf>
    <xf numFmtId="0" fontId="0" fillId="0" borderId="7" xfId="0" applyBorder="1">
      <alignment vertical="center"/>
    </xf>
    <xf numFmtId="0" fontId="5" fillId="0" borderId="0" xfId="0" applyFont="1">
      <alignment vertical="center"/>
    </xf>
    <xf numFmtId="181" fontId="0" fillId="0" borderId="2" xfId="0" applyNumberFormat="1" applyBorder="1" applyAlignment="1">
      <alignment horizontal="center" vertical="center"/>
    </xf>
    <xf numFmtId="0" fontId="0" fillId="0" borderId="3" xfId="0" applyBorder="1">
      <alignment vertical="center"/>
    </xf>
    <xf numFmtId="181" fontId="0" fillId="0" borderId="0" xfId="0" applyNumberFormat="1">
      <alignment vertical="center"/>
    </xf>
    <xf numFmtId="181" fontId="0" fillId="2" borderId="2" xfId="0" applyNumberFormat="1" applyFill="1" applyBorder="1" applyAlignment="1">
      <alignment horizontal="center" vertical="center"/>
    </xf>
    <xf numFmtId="0" fontId="0" fillId="2" borderId="3" xfId="0" applyFill="1" applyBorder="1">
      <alignment vertical="center"/>
    </xf>
    <xf numFmtId="181" fontId="0" fillId="5" borderId="2" xfId="0" applyNumberFormat="1" applyFill="1" applyBorder="1" applyAlignment="1">
      <alignment horizontal="center" vertical="center"/>
    </xf>
    <xf numFmtId="0" fontId="0" fillId="0" borderId="8" xfId="0" applyBorder="1" applyAlignment="1">
      <alignment horizontal="left" vertical="center"/>
    </xf>
    <xf numFmtId="0" fontId="0" fillId="0" borderId="2" xfId="0" applyBorder="1" applyAlignment="1">
      <alignment horizontal="left" vertical="center"/>
    </xf>
    <xf numFmtId="0" fontId="0" fillId="6" borderId="3" xfId="0" applyFill="1" applyBorder="1">
      <alignment vertical="center"/>
    </xf>
    <xf numFmtId="180" fontId="0" fillId="0" borderId="0" xfId="0" applyNumberFormat="1">
      <alignment vertical="center"/>
    </xf>
    <xf numFmtId="0" fontId="0" fillId="7" borderId="3" xfId="0" applyFill="1" applyBorder="1">
      <alignment vertical="center"/>
    </xf>
    <xf numFmtId="181" fontId="0" fillId="3" borderId="2" xfId="0" applyNumberFormat="1" applyFill="1" applyBorder="1" applyAlignment="1">
      <alignment horizontal="center" vertical="center"/>
    </xf>
    <xf numFmtId="0" fontId="0" fillId="4" borderId="3" xfId="0" applyFill="1" applyBorder="1">
      <alignment vertical="center"/>
    </xf>
    <xf numFmtId="181" fontId="0" fillId="0" borderId="9" xfId="0" applyNumberFormat="1" applyBorder="1" applyAlignment="1">
      <alignment horizontal="center" vertical="center"/>
    </xf>
    <xf numFmtId="0" fontId="0" fillId="0" borderId="9" xfId="0" applyBorder="1">
      <alignment vertical="center"/>
    </xf>
    <xf numFmtId="0" fontId="0" fillId="0" borderId="1" xfId="0" applyBorder="1" applyAlignment="1">
      <alignment horizontal="left" vertical="center"/>
    </xf>
    <xf numFmtId="0" fontId="0" fillId="0" borderId="5" xfId="0" applyBorder="1" applyAlignment="1">
      <alignment horizontal="left" vertical="center"/>
    </xf>
    <xf numFmtId="0" fontId="0" fillId="3" borderId="4" xfId="0" applyFill="1" applyBorder="1">
      <alignment vertical="center"/>
    </xf>
    <xf numFmtId="182" fontId="0" fillId="0" borderId="5" xfId="0" applyNumberFormat="1" applyBorder="1" applyAlignment="1">
      <alignment horizontal="center" vertical="center"/>
    </xf>
    <xf numFmtId="0" fontId="0" fillId="0" borderId="4" xfId="0"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181" fontId="0" fillId="0" borderId="10" xfId="0" applyNumberFormat="1" applyBorder="1" applyAlignment="1">
      <alignment horizontal="center" vertical="center"/>
    </xf>
    <xf numFmtId="0" fontId="0" fillId="0" borderId="12" xfId="0" applyBorder="1" applyAlignment="1">
      <alignment horizontal="center" vertical="center"/>
    </xf>
    <xf numFmtId="181" fontId="0" fillId="0" borderId="13" xfId="0" applyNumberFormat="1" applyBorder="1" applyAlignment="1">
      <alignment horizontal="center" vertical="center"/>
    </xf>
    <xf numFmtId="0" fontId="0" fillId="0" borderId="14" xfId="0" applyBorder="1">
      <alignment vertical="center"/>
    </xf>
    <xf numFmtId="0" fontId="5" fillId="0" borderId="0" xfId="0" applyFont="1" applyAlignment="1">
      <alignment horizontal="left" vertical="center"/>
    </xf>
    <xf numFmtId="181" fontId="0" fillId="3" borderId="5" xfId="0" applyNumberFormat="1" applyFill="1" applyBorder="1" applyAlignment="1">
      <alignment horizontal="center" vertical="center"/>
    </xf>
    <xf numFmtId="0" fontId="4" fillId="0" borderId="0" xfId="0" applyFont="1">
      <alignment vertical="center"/>
    </xf>
    <xf numFmtId="0" fontId="6" fillId="0" borderId="0" xfId="0" applyFont="1">
      <alignment vertical="center"/>
    </xf>
    <xf numFmtId="181" fontId="6" fillId="0" borderId="0" xfId="0" applyNumberFormat="1" applyFont="1">
      <alignment vertical="center"/>
    </xf>
    <xf numFmtId="0" fontId="6" fillId="0" borderId="0" xfId="0" applyFont="1" applyAlignment="1">
      <alignment horizontal="center" vertical="center"/>
    </xf>
    <xf numFmtId="0" fontId="8" fillId="0" borderId="0" xfId="0" applyFont="1">
      <alignment vertical="center"/>
    </xf>
    <xf numFmtId="181" fontId="6" fillId="0" borderId="0" xfId="0" applyNumberFormat="1" applyFont="1" applyAlignment="1">
      <alignment horizontal="center" vertical="center"/>
    </xf>
    <xf numFmtId="0" fontId="8" fillId="0" borderId="0" xfId="0" applyFont="1" applyAlignment="1">
      <alignment horizontal="center" vertical="center"/>
    </xf>
    <xf numFmtId="0" fontId="6" fillId="0" borderId="14" xfId="0" applyFont="1" applyBorder="1">
      <alignment vertical="center"/>
    </xf>
    <xf numFmtId="181" fontId="6" fillId="0" borderId="13" xfId="0" applyNumberFormat="1" applyFont="1" applyBorder="1" applyAlignment="1">
      <alignment horizontal="center" vertical="center"/>
    </xf>
    <xf numFmtId="0" fontId="6" fillId="2" borderId="8" xfId="0" applyFont="1" applyFill="1" applyBorder="1">
      <alignment vertical="center"/>
    </xf>
    <xf numFmtId="181" fontId="6" fillId="2" borderId="8" xfId="0" applyNumberFormat="1" applyFont="1" applyFill="1" applyBorder="1">
      <alignment vertical="center"/>
    </xf>
    <xf numFmtId="0" fontId="6" fillId="0" borderId="4" xfId="0" applyFont="1" applyBorder="1">
      <alignment vertical="center"/>
    </xf>
    <xf numFmtId="181" fontId="6" fillId="3" borderId="5" xfId="0" applyNumberFormat="1" applyFont="1" applyFill="1" applyBorder="1" applyAlignment="1">
      <alignment horizontal="center" vertical="center"/>
    </xf>
    <xf numFmtId="0" fontId="6" fillId="2" borderId="8" xfId="0" applyFont="1" applyFill="1" applyBorder="1" applyAlignment="1">
      <alignment horizontal="center" vertical="center"/>
    </xf>
    <xf numFmtId="0" fontId="6" fillId="0" borderId="3" xfId="0" applyFont="1" applyBorder="1">
      <alignment vertical="center"/>
    </xf>
    <xf numFmtId="181" fontId="6" fillId="3" borderId="2" xfId="0" applyNumberFormat="1" applyFont="1" applyFill="1" applyBorder="1" applyAlignment="1">
      <alignment horizontal="center" vertical="center"/>
    </xf>
    <xf numFmtId="180" fontId="6" fillId="0" borderId="0" xfId="0" applyNumberFormat="1" applyFont="1">
      <alignment vertical="center"/>
    </xf>
    <xf numFmtId="0" fontId="6" fillId="2" borderId="16" xfId="0" applyFont="1" applyFill="1" applyBorder="1">
      <alignment vertical="center"/>
    </xf>
    <xf numFmtId="181" fontId="6" fillId="2" borderId="16" xfId="0" applyNumberFormat="1" applyFont="1" applyFill="1" applyBorder="1">
      <alignment vertical="center"/>
    </xf>
    <xf numFmtId="181" fontId="6" fillId="5" borderId="2" xfId="0" applyNumberFormat="1" applyFont="1" applyFill="1" applyBorder="1" applyAlignment="1">
      <alignment horizontal="center" vertical="center"/>
    </xf>
    <xf numFmtId="0" fontId="6" fillId="2" borderId="16" xfId="0" applyFont="1" applyFill="1" applyBorder="1" applyAlignment="1">
      <alignment horizontal="center" vertical="center"/>
    </xf>
    <xf numFmtId="0" fontId="6" fillId="0" borderId="17" xfId="0" applyFont="1" applyBorder="1">
      <alignment vertical="center"/>
    </xf>
    <xf numFmtId="181" fontId="6" fillId="0" borderId="17" xfId="0" applyNumberFormat="1" applyFont="1" applyBorder="1" applyAlignment="1">
      <alignment horizontal="center" vertical="center"/>
    </xf>
    <xf numFmtId="0" fontId="6" fillId="0" borderId="17" xfId="0" applyFont="1" applyBorder="1" applyAlignment="1">
      <alignment horizontal="center" vertical="center"/>
    </xf>
    <xf numFmtId="181" fontId="6" fillId="0" borderId="17" xfId="0" applyNumberFormat="1" applyFont="1" applyBorder="1">
      <alignment vertical="center"/>
    </xf>
    <xf numFmtId="0" fontId="8" fillId="0" borderId="18" xfId="0" applyFont="1" applyBorder="1">
      <alignment vertical="center"/>
    </xf>
    <xf numFmtId="184" fontId="6" fillId="0" borderId="18" xfId="0" applyNumberFormat="1" applyFont="1" applyBorder="1" applyAlignment="1">
      <alignment horizontal="center" vertical="center"/>
    </xf>
    <xf numFmtId="0" fontId="8" fillId="0" borderId="18" xfId="0" applyFont="1" applyBorder="1" applyAlignment="1">
      <alignment horizontal="center" vertical="center"/>
    </xf>
    <xf numFmtId="181" fontId="6" fillId="0" borderId="18" xfId="0" applyNumberFormat="1" applyFont="1" applyBorder="1" applyAlignment="1">
      <alignment horizontal="center" vertical="center"/>
    </xf>
    <xf numFmtId="183" fontId="6" fillId="2" borderId="8" xfId="0" applyNumberFormat="1" applyFont="1" applyFill="1" applyBorder="1">
      <alignment vertical="center"/>
    </xf>
    <xf numFmtId="181" fontId="6" fillId="2" borderId="8" xfId="0" applyNumberFormat="1" applyFont="1" applyFill="1" applyBorder="1" applyAlignment="1">
      <alignment horizontal="center" vertical="center"/>
    </xf>
    <xf numFmtId="183" fontId="6" fillId="3" borderId="2" xfId="0" applyNumberFormat="1" applyFont="1" applyFill="1" applyBorder="1" applyAlignment="1">
      <alignment horizontal="center" vertical="center"/>
    </xf>
    <xf numFmtId="181" fontId="8" fillId="0" borderId="0" xfId="0" applyNumberFormat="1" applyFont="1">
      <alignment vertical="center"/>
    </xf>
    <xf numFmtId="181" fontId="6" fillId="3" borderId="15" xfId="0" applyNumberFormat="1" applyFont="1" applyFill="1" applyBorder="1" applyAlignment="1">
      <alignment horizontal="center" vertical="center"/>
    </xf>
    <xf numFmtId="181" fontId="8" fillId="0" borderId="18" xfId="0" applyNumberFormat="1" applyFont="1" applyBorder="1">
      <alignment vertical="center"/>
    </xf>
    <xf numFmtId="181" fontId="6" fillId="2" borderId="1" xfId="0" applyNumberFormat="1" applyFont="1" applyFill="1" applyBorder="1">
      <alignment vertical="center"/>
    </xf>
    <xf numFmtId="181" fontId="6" fillId="2" borderId="1" xfId="0" applyNumberFormat="1" applyFont="1" applyFill="1" applyBorder="1" applyAlignment="1">
      <alignment horizontal="center" vertical="center"/>
    </xf>
    <xf numFmtId="181" fontId="6" fillId="5" borderId="15" xfId="0" applyNumberFormat="1" applyFont="1" applyFill="1" applyBorder="1" applyAlignment="1">
      <alignment horizontal="center" vertical="center"/>
    </xf>
    <xf numFmtId="183" fontId="6" fillId="5" borderId="2" xfId="0" applyNumberFormat="1" applyFont="1" applyFill="1" applyBorder="1" applyAlignment="1">
      <alignment horizontal="center" vertical="center"/>
    </xf>
    <xf numFmtId="49" fontId="6" fillId="3" borderId="2" xfId="0" applyNumberFormat="1" applyFont="1" applyFill="1" applyBorder="1" applyAlignment="1">
      <alignment horizontal="center" vertical="center"/>
    </xf>
    <xf numFmtId="0" fontId="10" fillId="0" borderId="0" xfId="0" applyFont="1" applyAlignment="1">
      <alignment horizontal="center" vertical="center"/>
    </xf>
    <xf numFmtId="181" fontId="11" fillId="0" borderId="0" xfId="0" applyNumberFormat="1" applyFont="1" applyAlignment="1">
      <alignment horizontal="center" vertical="center"/>
    </xf>
    <xf numFmtId="180" fontId="11" fillId="0" borderId="0" xfId="0" applyNumberFormat="1" applyFont="1" applyAlignment="1">
      <alignment horizontal="center" vertical="center"/>
    </xf>
    <xf numFmtId="0" fontId="11" fillId="3" borderId="0" xfId="0" applyFont="1" applyFill="1" applyAlignment="1">
      <alignment horizontal="center" vertical="center"/>
    </xf>
    <xf numFmtId="181" fontId="6" fillId="0" borderId="0" xfId="0" applyNumberFormat="1" applyFont="1" applyAlignment="1">
      <alignment horizontal="right" vertical="center"/>
    </xf>
    <xf numFmtId="0" fontId="6" fillId="0" borderId="0" xfId="0" applyFont="1" applyAlignment="1">
      <alignment horizontal="center" vertical="center" shrinkToFit="1"/>
    </xf>
    <xf numFmtId="185" fontId="6" fillId="0" borderId="0" xfId="0" applyNumberFormat="1" applyFont="1" applyAlignment="1">
      <alignment horizontal="right" vertical="center"/>
    </xf>
    <xf numFmtId="185" fontId="6" fillId="0" borderId="0" xfId="0" applyNumberFormat="1" applyFont="1">
      <alignment vertical="center"/>
    </xf>
    <xf numFmtId="183" fontId="6" fillId="2" borderId="1" xfId="0" applyNumberFormat="1" applyFont="1" applyFill="1" applyBorder="1" applyAlignment="1">
      <alignment horizontal="center" vertical="center"/>
    </xf>
    <xf numFmtId="183" fontId="6" fillId="2" borderId="8" xfId="0" applyNumberFormat="1" applyFont="1" applyFill="1" applyBorder="1" applyAlignment="1">
      <alignment horizontal="center" vertical="center"/>
    </xf>
    <xf numFmtId="181" fontId="6" fillId="2" borderId="16" xfId="0" applyNumberFormat="1" applyFont="1" applyFill="1" applyBorder="1" applyAlignment="1">
      <alignment horizontal="center" vertical="center"/>
    </xf>
    <xf numFmtId="181" fontId="6" fillId="0" borderId="21" xfId="0" applyNumberFormat="1" applyFont="1" applyBorder="1" applyAlignment="1">
      <alignment horizontal="center" vertical="center"/>
    </xf>
    <xf numFmtId="181" fontId="6" fillId="0" borderId="19" xfId="0" applyNumberFormat="1" applyFont="1" applyBorder="1" applyAlignment="1">
      <alignment horizontal="center" vertical="center"/>
    </xf>
    <xf numFmtId="181" fontId="6" fillId="0" borderId="20" xfId="0" applyNumberFormat="1" applyFont="1" applyBorder="1" applyAlignment="1">
      <alignment horizontal="center" vertical="center"/>
    </xf>
    <xf numFmtId="0" fontId="6" fillId="0" borderId="0" xfId="0" applyFont="1" applyAlignment="1">
      <alignment vertical="center" shrinkToFit="1"/>
    </xf>
    <xf numFmtId="181" fontId="6" fillId="0" borderId="0" xfId="0" applyNumberFormat="1" applyFont="1" applyAlignment="1">
      <alignment vertical="center" shrinkToFit="1"/>
    </xf>
    <xf numFmtId="181" fontId="6" fillId="0" borderId="8" xfId="0" applyNumberFormat="1" applyFont="1" applyBorder="1" applyAlignment="1">
      <alignment horizontal="center" vertical="center"/>
    </xf>
    <xf numFmtId="0" fontId="6" fillId="0" borderId="16" xfId="0" applyFont="1" applyBorder="1">
      <alignment vertical="center"/>
    </xf>
    <xf numFmtId="0" fontId="6" fillId="0" borderId="16" xfId="0" applyFont="1" applyBorder="1" applyAlignment="1">
      <alignment horizontal="center" vertical="center"/>
    </xf>
    <xf numFmtId="181" fontId="6" fillId="0" borderId="8" xfId="0" applyNumberFormat="1" applyFont="1" applyBorder="1">
      <alignment vertical="center"/>
    </xf>
    <xf numFmtId="185" fontId="6" fillId="2" borderId="8" xfId="0" applyNumberFormat="1" applyFont="1" applyFill="1" applyBorder="1" applyAlignment="1">
      <alignment horizontal="center" vertical="center"/>
    </xf>
  </cellXfs>
  <cellStyles count="1">
    <cellStyle name="標準" xfId="0" builtinId="0"/>
  </cellStyles>
  <dxfs count="79">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14996795556505021"/>
        </patternFill>
      </fill>
    </dxf>
    <dxf>
      <fill>
        <patternFill>
          <bgColor theme="8" tint="0.59996337778862885"/>
        </patternFill>
      </fill>
    </dxf>
    <dxf>
      <fill>
        <patternFill>
          <bgColor theme="7" tint="0.59996337778862885"/>
        </patternFill>
      </fill>
    </dxf>
    <dxf>
      <fill>
        <patternFill>
          <bgColor theme="9" tint="0.59996337778862885"/>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strike val="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theme="9" tint="0.59996337778862885"/>
        </patternFill>
      </fill>
    </dxf>
    <dxf>
      <fill>
        <patternFill patternType="none">
          <bgColor auto="1"/>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179" formatCode="0_);\(0\)"/>
      <alignment horizontal="right" vertical="center" textRotation="0" wrapText="0" indent="0" justifyLastLine="0" shrinkToFit="0" readingOrder="0"/>
    </dxf>
    <dxf>
      <numFmt numFmtId="177" formatCode="[&lt;=9999]00&quot;:&quot;00;General"/>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numFmt numFmtId="179" formatCode="0_);\(0\)"/>
      <alignment horizontal="center" vertical="center" textRotation="0" wrapText="0" indent="0" justifyLastLine="0" shrinkToFit="0" readingOrder="0"/>
    </dxf>
    <dxf>
      <numFmt numFmtId="180" formatCode="0.00_ "/>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76" formatCode="[&lt;=999]0000;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0C37C7-60F8-4ECF-BFC0-8D1FBF229D9E}" name="テーブル2" displayName="テーブル2" ref="A1:O34" totalsRowShown="0" headerRowDxfId="78">
  <autoFilter ref="A1:O34" xr:uid="{930C37C7-60F8-4ECF-BFC0-8D1FBF229D9E}"/>
  <tableColumns count="15">
    <tableColumn id="1" xr3:uid="{8506785A-7890-47E7-A8BD-4A0F82BDB757}" name="#zumen" dataDxfId="77"/>
    <tableColumn id="2" xr3:uid="{F1A7F9CC-0192-4A97-ADD1-658F8F5B6686}" name="#program" dataDxfId="76"/>
    <tableColumn id="9" xr3:uid="{D7C1D5F3-2999-4087-B4CA-13BFDB223D3E}" name="#wankyoku" dataDxfId="75"/>
    <tableColumn id="3" xr3:uid="{E7259851-675D-4DCE-8389-F98935C8D8AA}" name="#huriwake"/>
    <tableColumn id="7" xr3:uid="{D9F075D9-AC94-4188-BB69-E3CE71099F41}" name="#gaikei"/>
    <tableColumn id="6" xr3:uid="{12B03DE5-82A2-4552-A525-F308D4F75E6A}" name="#naikei"/>
    <tableColumn id="4" xr3:uid="{7D15B515-47F8-4096-B1B1-BCC7F61CE7D8}" name="#keyMizo"/>
    <tableColumn id="10" xr3:uid="{08B2AF75-D97B-4BAA-99D6-58D36C62AB9A}" name="#bGaisaku"/>
    <tableColumn id="11" xr3:uid="{5A2B6BDD-BD61-4759-AAA3-DE5E6B63787E}" name="#tGaisaku"/>
    <tableColumn id="14" xr3:uid="{1C87B233-0670-4859-BB21-B1BCC2C7C12A}" name="#bChanfer"/>
    <tableColumn id="13" xr3:uid="{38F0500E-A6B4-456F-BD04-9AB43A7B3A8D}" name="#tChanfer"/>
    <tableColumn id="8" xr3:uid="{6DBDF68B-76FA-4191-B512-A73C0EE3C573}" name="#dimle"/>
    <tableColumn id="15" xr3:uid="{EF803FDE-DD7D-4372-9E3F-25D35D3C753A}" name="#nigashi"/>
    <tableColumn id="12" xr3:uid="{AC54FD41-113A-4285-BD4B-8CC65DD163D3}" name="#zaguri"/>
    <tableColumn id="5" xr3:uid="{F59F9AFA-52D3-4BBB-AE00-820B40C29BDB}" name="#palette" dataDxfId="7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AE3BD2-EFE7-457E-B899-E9CDBC550254}" name="テーブル24" displayName="テーブル24" ref="A1:B8" totalsRowShown="0" headerRowDxfId="73" dataDxfId="72">
  <autoFilter ref="A1:B8" xr:uid="{94AE3BD2-EFE7-457E-B899-E9CDBC550254}"/>
  <tableColumns count="2">
    <tableColumn id="1" xr3:uid="{DD1AAD38-FB24-4129-B8D0-D2194F7F54D1}" name="sp#" dataDxfId="71"/>
    <tableColumn id="2" xr3:uid="{B120DFEE-67CD-48C9-B60E-A1386DC60788}" name="列1" dataDxfId="7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557FFB-0B5A-443D-AB71-C42CDBDC9141}" name="テーブル4" displayName="テーブル4" ref="A1:H4" totalsRowShown="0" headerRowDxfId="69" dataDxfId="68">
  <autoFilter ref="A1:H4" xr:uid="{77557FFB-0B5A-443D-AB71-C42CDBDC9141}"/>
  <tableColumns count="8">
    <tableColumn id="1" xr3:uid="{DADD43D4-3823-4AAF-A2AE-265B1D4A415A}" name="#palette" dataDxfId="67"/>
    <tableColumn id="2" xr3:uid="{73F2BD72-9B36-4BC4-9408-D4D83DAED46B}" name="#length" dataDxfId="66"/>
    <tableColumn id="3" xr3:uid="{256650DF-5A48-4411-8444-32116323383E}" name="#haridashi" dataDxfId="65">
      <calculatedColumnFormula>テーブル4[[#This Row],['#length]]/2</calculatedColumnFormula>
    </tableColumn>
    <tableColumn id="4" xr3:uid="{0D20E067-D4A8-4678-8CF6-EE36EC74070C}" name="#fixedPoint" dataDxfId="64"/>
    <tableColumn id="5" xr3:uid="{254E8622-947D-4A7A-8CC9-9678DAFCBD5D}" name="#fixingHight" dataDxfId="63"/>
    <tableColumn id="6" xr3:uid="{B1AE96B8-72E2-45AB-A65A-28CC5A39F5B0}" name="#fixingWidth" dataDxfId="62"/>
    <tableColumn id="10" xr3:uid="{DDCA0989-DFE4-451A-AFAD-5F50F6B3E5CE}" name="#fixedPointBX" dataDxfId="61"/>
    <tableColumn id="9" xr3:uid="{6AB232C2-8AA1-4BE6-9ED3-FCE0F10D7750}" name="#fixedPointTX" dataDxfId="6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F2650A-011E-4D4A-AC8E-9B77A25CD334}" name="テーブル1" displayName="テーブル1" ref="A1:C25" totalsRowShown="0" headerRowDxfId="59" dataDxfId="58">
  <autoFilter ref="A1:C25" xr:uid="{84F2650A-011E-4D4A-AC8E-9B77A25CD334}"/>
  <sortState xmlns:xlrd2="http://schemas.microsoft.com/office/spreadsheetml/2017/richdata2" ref="A2:C25">
    <sortCondition ref="A1:A25"/>
  </sortState>
  <tableColumns count="3">
    <tableColumn id="1" xr3:uid="{508307B6-91DE-4D5D-A41E-EA3E5488C8CC}" name="#program" dataDxfId="57"/>
    <tableColumn id="2" xr3:uid="{2294E81D-5C1D-4C34-A722-57344553455E}" name="#cycleTime" dataDxfId="56"/>
    <tableColumn id="6" xr3:uid="{F6AA9104-E34E-4196-8563-02BE967ECEE4}" name="#cycleTimeS" dataDxfId="55">
      <calculatedColumnFormula>LEFT(テーブル1[[#This Row],['#cycleTime]],2)*60+RIGHT(テーブル1[[#This Row],['#cycleTime]], 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185-337C-4F25-9636-8E61F3F8DDE9}">
  <sheetPr codeName="Sheet2"/>
  <dimension ref="A1:O34"/>
  <sheetViews>
    <sheetView zoomScaleNormal="100" workbookViewId="0">
      <pane ySplit="1" topLeftCell="A2" activePane="bottomLeft" state="frozen"/>
      <selection pane="bottomLeft" activeCell="C2" sqref="C2"/>
    </sheetView>
  </sheetViews>
  <sheetFormatPr defaultRowHeight="16.5" x14ac:dyDescent="0.4"/>
  <cols>
    <col min="1" max="1" width="12.875" style="1" bestFit="1" customWidth="1"/>
    <col min="2" max="2" width="14.5" style="1" bestFit="1" customWidth="1"/>
    <col min="3" max="3" width="16" style="1" bestFit="1" customWidth="1"/>
    <col min="4" max="4" width="15.25" bestFit="1" customWidth="1"/>
    <col min="5" max="6" width="12.25" bestFit="1" customWidth="1"/>
    <col min="7" max="7" width="14" bestFit="1" customWidth="1"/>
    <col min="8" max="8" width="15.125" bestFit="1" customWidth="1"/>
    <col min="9" max="9" width="14.625" bestFit="1" customWidth="1"/>
    <col min="10" max="10" width="15.125" bestFit="1" customWidth="1"/>
    <col min="11" max="11" width="14.625" bestFit="1" customWidth="1"/>
    <col min="12" max="13" width="14.625" customWidth="1"/>
    <col min="14" max="14" width="12.5" bestFit="1" customWidth="1"/>
    <col min="15" max="15" width="13.25" style="1" bestFit="1" customWidth="1"/>
  </cols>
  <sheetData>
    <row r="1" spans="1:15" s="1" customFormat="1" x14ac:dyDescent="0.4">
      <c r="A1" s="1" t="s">
        <v>4</v>
      </c>
      <c r="B1" s="1" t="s">
        <v>3</v>
      </c>
      <c r="C1" s="1" t="s">
        <v>2</v>
      </c>
      <c r="D1" s="1" t="s">
        <v>5</v>
      </c>
      <c r="E1" s="1" t="s">
        <v>6</v>
      </c>
      <c r="F1" s="1" t="s">
        <v>7</v>
      </c>
      <c r="G1" s="1" t="s">
        <v>25</v>
      </c>
      <c r="H1" s="1" t="s">
        <v>8</v>
      </c>
      <c r="I1" s="1" t="s">
        <v>9</v>
      </c>
      <c r="J1" s="1" t="s">
        <v>10</v>
      </c>
      <c r="K1" s="1" t="s">
        <v>11</v>
      </c>
      <c r="L1" s="1" t="s">
        <v>23</v>
      </c>
      <c r="M1" s="1" t="s">
        <v>24</v>
      </c>
      <c r="N1" s="1" t="s">
        <v>12</v>
      </c>
      <c r="O1" s="1" t="s">
        <v>18</v>
      </c>
    </row>
    <row r="2" spans="1:15" x14ac:dyDescent="0.4">
      <c r="A2" s="1">
        <v>1151</v>
      </c>
      <c r="B2" s="3">
        <v>1151</v>
      </c>
      <c r="C2" s="3"/>
    </row>
    <row r="3" spans="1:15" x14ac:dyDescent="0.4">
      <c r="A3" s="1">
        <v>1202</v>
      </c>
      <c r="B3" s="3">
        <v>2008</v>
      </c>
      <c r="C3" s="3"/>
    </row>
    <row r="4" spans="1:15" x14ac:dyDescent="0.4">
      <c r="A4" s="1">
        <v>1366</v>
      </c>
      <c r="B4" s="3">
        <v>1366</v>
      </c>
      <c r="C4" s="3"/>
    </row>
    <row r="5" spans="1:15" x14ac:dyDescent="0.4">
      <c r="A5" s="1">
        <v>1419</v>
      </c>
      <c r="B5" s="3">
        <v>1419</v>
      </c>
      <c r="C5" s="3"/>
    </row>
    <row r="6" spans="1:15" x14ac:dyDescent="0.4">
      <c r="A6" s="1">
        <v>1922</v>
      </c>
      <c r="B6" s="3">
        <v>1411</v>
      </c>
      <c r="C6" s="3"/>
    </row>
    <row r="7" spans="1:15" x14ac:dyDescent="0.4">
      <c r="A7" s="1">
        <v>1985</v>
      </c>
      <c r="B7" s="3">
        <v>7592</v>
      </c>
      <c r="C7" s="3"/>
    </row>
    <row r="8" spans="1:15" x14ac:dyDescent="0.4">
      <c r="A8" s="1">
        <v>2008</v>
      </c>
      <c r="B8" s="3">
        <v>2008</v>
      </c>
      <c r="C8" s="3"/>
    </row>
    <row r="9" spans="1:15" x14ac:dyDescent="0.4">
      <c r="A9" s="1">
        <v>2211</v>
      </c>
      <c r="B9" s="3">
        <v>2211</v>
      </c>
      <c r="C9" s="3"/>
    </row>
    <row r="10" spans="1:15" x14ac:dyDescent="0.4">
      <c r="A10" s="1">
        <v>2215</v>
      </c>
      <c r="B10" s="3">
        <v>2215</v>
      </c>
      <c r="C10" s="3"/>
    </row>
    <row r="11" spans="1:15" x14ac:dyDescent="0.4">
      <c r="A11" s="1">
        <v>2233</v>
      </c>
      <c r="B11" s="3">
        <v>1419</v>
      </c>
      <c r="C11" s="3"/>
    </row>
    <row r="12" spans="1:15" x14ac:dyDescent="0.4">
      <c r="A12" s="1">
        <v>2248</v>
      </c>
      <c r="B12" s="3">
        <v>2248</v>
      </c>
      <c r="C12" s="3"/>
    </row>
    <row r="13" spans="1:15" x14ac:dyDescent="0.4">
      <c r="A13" s="1">
        <v>2259</v>
      </c>
      <c r="B13" s="3">
        <v>2248</v>
      </c>
      <c r="C13" s="3"/>
    </row>
    <row r="14" spans="1:15" x14ac:dyDescent="0.4">
      <c r="A14" s="1">
        <v>2270</v>
      </c>
      <c r="B14" s="3">
        <v>2270</v>
      </c>
      <c r="C14" s="3"/>
    </row>
    <row r="15" spans="1:15" x14ac:dyDescent="0.4">
      <c r="A15" s="1">
        <v>2278</v>
      </c>
      <c r="B15" s="3">
        <v>2278</v>
      </c>
      <c r="C15" s="3"/>
    </row>
    <row r="16" spans="1:15" x14ac:dyDescent="0.4">
      <c r="A16" s="1">
        <v>2282</v>
      </c>
      <c r="B16" s="3">
        <v>2282</v>
      </c>
      <c r="C16" s="3"/>
    </row>
    <row r="17" spans="1:3" x14ac:dyDescent="0.4">
      <c r="A17" s="1">
        <v>2381</v>
      </c>
      <c r="B17" s="3">
        <v>2381</v>
      </c>
      <c r="C17" s="3"/>
    </row>
    <row r="18" spans="1:3" x14ac:dyDescent="0.4">
      <c r="A18" s="1">
        <v>2385</v>
      </c>
      <c r="B18" s="3">
        <v>2248</v>
      </c>
      <c r="C18" s="3"/>
    </row>
    <row r="19" spans="1:3" x14ac:dyDescent="0.4">
      <c r="A19" s="1">
        <v>2430</v>
      </c>
      <c r="B19" s="3">
        <v>2430</v>
      </c>
      <c r="C19" s="3"/>
    </row>
    <row r="20" spans="1:3" x14ac:dyDescent="0.4">
      <c r="A20" s="1">
        <v>2439</v>
      </c>
      <c r="B20" s="3">
        <v>7985</v>
      </c>
      <c r="C20" s="3"/>
    </row>
    <row r="21" spans="1:3" x14ac:dyDescent="0.4">
      <c r="A21" s="1">
        <v>2444</v>
      </c>
      <c r="B21" s="3">
        <v>315</v>
      </c>
      <c r="C21" s="3"/>
    </row>
    <row r="22" spans="1:3" x14ac:dyDescent="0.4">
      <c r="A22" s="1">
        <v>2459</v>
      </c>
      <c r="B22" s="3">
        <v>2459</v>
      </c>
      <c r="C22" s="3"/>
    </row>
    <row r="23" spans="1:3" x14ac:dyDescent="0.4">
      <c r="A23" s="1">
        <v>2466</v>
      </c>
      <c r="B23" s="3">
        <v>2421</v>
      </c>
      <c r="C23" s="3"/>
    </row>
    <row r="24" spans="1:3" x14ac:dyDescent="0.4">
      <c r="A24" s="1">
        <v>2501</v>
      </c>
      <c r="B24" s="3">
        <v>2501</v>
      </c>
      <c r="C24" s="3"/>
    </row>
    <row r="25" spans="1:3" x14ac:dyDescent="0.4">
      <c r="A25" s="1">
        <v>2506</v>
      </c>
      <c r="B25" s="3">
        <v>2506</v>
      </c>
      <c r="C25" s="3"/>
    </row>
    <row r="26" spans="1:3" x14ac:dyDescent="0.4">
      <c r="A26" s="1">
        <v>2507</v>
      </c>
      <c r="B26" s="3">
        <v>2506</v>
      </c>
      <c r="C26" s="3"/>
    </row>
    <row r="27" spans="1:3" x14ac:dyDescent="0.4">
      <c r="A27" s="1">
        <v>2515</v>
      </c>
      <c r="B27" s="3">
        <v>2515</v>
      </c>
      <c r="C27" s="3"/>
    </row>
    <row r="28" spans="1:3" x14ac:dyDescent="0.4">
      <c r="A28" s="1">
        <v>2518</v>
      </c>
      <c r="B28" s="3">
        <v>2515</v>
      </c>
      <c r="C28" s="3"/>
    </row>
    <row r="29" spans="1:3" x14ac:dyDescent="0.4">
      <c r="A29" s="1">
        <v>2532</v>
      </c>
      <c r="B29" s="3">
        <v>2211</v>
      </c>
      <c r="C29" s="3"/>
    </row>
    <row r="30" spans="1:3" x14ac:dyDescent="0.4">
      <c r="A30" s="1">
        <v>2534</v>
      </c>
      <c r="B30" s="3">
        <v>2515</v>
      </c>
      <c r="C30" s="3"/>
    </row>
    <row r="31" spans="1:3" x14ac:dyDescent="0.4">
      <c r="A31" s="1">
        <v>2544</v>
      </c>
      <c r="B31" s="3">
        <v>2544</v>
      </c>
      <c r="C31" s="3"/>
    </row>
    <row r="32" spans="1:3" x14ac:dyDescent="0.4">
      <c r="A32" s="1">
        <v>2547</v>
      </c>
      <c r="B32" s="3">
        <v>2185</v>
      </c>
      <c r="C32" s="3"/>
    </row>
    <row r="33" spans="1:2" x14ac:dyDescent="0.4">
      <c r="A33" s="1">
        <v>2548</v>
      </c>
      <c r="B33" s="1">
        <v>2548</v>
      </c>
    </row>
    <row r="34" spans="1:2" x14ac:dyDescent="0.4">
      <c r="A34" s="1">
        <v>2551</v>
      </c>
      <c r="B34" s="1">
        <v>1512</v>
      </c>
    </row>
  </sheetData>
  <phoneticPr fontId="1"/>
  <dataValidations count="2">
    <dataValidation type="whole" imeMode="disabled" allowBlank="1" showInputMessage="1" showErrorMessage="1" sqref="A2:C32" xr:uid="{5FA83FCE-AAB1-4B51-A22D-3247301A28F2}">
      <formula1>0</formula1>
      <formula2>9999</formula2>
    </dataValidation>
    <dataValidation imeMode="disabled" allowBlank="1" showInputMessage="1" showErrorMessage="1" sqref="A2:A32 O2:O34" xr:uid="{977C56CA-BE36-44B2-90A2-FBD88C54FC13}"/>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9D67-8F84-4B98-A044-60C0B103548C}">
  <sheetPr codeName="Sheet3"/>
  <dimension ref="A1"/>
  <sheetViews>
    <sheetView workbookViewId="0"/>
  </sheetViews>
  <sheetFormatPr defaultRowHeight="16.5" x14ac:dyDescent="0.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5901-42DA-4B3A-BE02-DEFA06DC535A}">
  <sheetPr codeName="Sheet4"/>
  <dimension ref="A1"/>
  <sheetViews>
    <sheetView workbookViewId="0"/>
  </sheetViews>
  <sheetFormatPr defaultRowHeight="16.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1D652-B312-4AEC-A306-3951AD15C80A}">
  <sheetPr codeName="Sheet5"/>
  <dimension ref="A1:B8"/>
  <sheetViews>
    <sheetView workbookViewId="0">
      <selection activeCell="D8" sqref="D8"/>
    </sheetView>
  </sheetViews>
  <sheetFormatPr defaultRowHeight="16.5" x14ac:dyDescent="0.4"/>
  <cols>
    <col min="1" max="1" width="9.125" style="8" bestFit="1" customWidth="1"/>
    <col min="2" max="2" width="8.5" bestFit="1" customWidth="1"/>
  </cols>
  <sheetData>
    <row r="1" spans="1:2" x14ac:dyDescent="0.4">
      <c r="A1" s="9" t="s">
        <v>1</v>
      </c>
      <c r="B1" s="1" t="s">
        <v>0</v>
      </c>
    </row>
    <row r="2" spans="1:2" x14ac:dyDescent="0.4">
      <c r="A2" s="9">
        <v>1</v>
      </c>
      <c r="B2" s="7">
        <v>5.88</v>
      </c>
    </row>
    <row r="3" spans="1:2" x14ac:dyDescent="0.4">
      <c r="A3" s="9">
        <v>2</v>
      </c>
      <c r="B3" s="7">
        <v>6.85</v>
      </c>
    </row>
    <row r="4" spans="1:2" x14ac:dyDescent="0.4">
      <c r="A4" s="9">
        <v>3</v>
      </c>
      <c r="B4" s="7">
        <v>7.01</v>
      </c>
    </row>
    <row r="5" spans="1:2" x14ac:dyDescent="0.4">
      <c r="A5" s="9">
        <v>4</v>
      </c>
      <c r="B5" s="7">
        <v>7.25</v>
      </c>
    </row>
    <row r="6" spans="1:2" x14ac:dyDescent="0.4">
      <c r="A6" s="9">
        <v>5</v>
      </c>
      <c r="B6" s="7">
        <v>8.35</v>
      </c>
    </row>
    <row r="7" spans="1:2" x14ac:dyDescent="0.4">
      <c r="A7" s="9">
        <v>6</v>
      </c>
      <c r="B7" s="7">
        <v>14.15</v>
      </c>
    </row>
    <row r="8" spans="1:2" x14ac:dyDescent="0.4">
      <c r="A8" s="9">
        <v>7</v>
      </c>
      <c r="B8" s="7">
        <v>25</v>
      </c>
    </row>
  </sheetData>
  <phoneticPr fontId="1"/>
  <dataValidations disablePrompts="1" count="2">
    <dataValidation imeMode="disabled" allowBlank="1" showInputMessage="1" showErrorMessage="1" sqref="A2:B3 A4:A8" xr:uid="{1A15C162-3C77-464D-8FEF-E287B73135CD}"/>
    <dataValidation type="whole" imeMode="disabled" allowBlank="1" showInputMessage="1" showErrorMessage="1" sqref="A2:B3 A4:A8" xr:uid="{9B6FFCF0-CF21-4F75-A89E-1469A998406A}">
      <formula1>0</formula1>
      <formula2>9999</formula2>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BA8CB-F726-41E1-9222-C0656F0B5520}">
  <sheetPr codeName="Sheet6"/>
  <dimension ref="A1"/>
  <sheetViews>
    <sheetView workbookViewId="0"/>
  </sheetViews>
  <sheetFormatPr defaultRowHeight="16.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45E2-AC36-4696-B734-6CAA5ECA99CA}">
  <sheetPr codeName="Sheet7"/>
  <dimension ref="A1"/>
  <sheetViews>
    <sheetView workbookViewId="0"/>
  </sheetViews>
  <sheetFormatPr defaultRowHeight="16.5"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EFD97-47F0-41AE-B416-1D1DA2EB4DEE}">
  <sheetPr codeName="Sheet8"/>
  <dimension ref="A1"/>
  <sheetViews>
    <sheetView workbookViewId="0"/>
  </sheetViews>
  <sheetFormatPr defaultRowHeight="16.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2707-19AE-4645-ABBC-50CE391561CA}">
  <sheetPr codeName="Sheet9"/>
  <dimension ref="A1"/>
  <sheetViews>
    <sheetView workbookViewId="0"/>
  </sheetViews>
  <sheetFormatPr defaultRowHeight="16.5" x14ac:dyDescent="0.4"/>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0124F-799C-46C3-9FEE-CBD2D607F3A0}">
  <sheetPr codeName="Sheet10"/>
  <dimension ref="A1"/>
  <sheetViews>
    <sheetView workbookViewId="0"/>
  </sheetViews>
  <sheetFormatPr defaultRowHeight="16.5" x14ac:dyDescent="0.4"/>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E0FB-E2F7-49E0-8716-E7A98486B48D}">
  <sheetPr codeName="Sheet11"/>
  <dimension ref="A1"/>
  <sheetViews>
    <sheetView workbookViewId="0"/>
  </sheetViews>
  <sheetFormatPr defaultRowHeight="16.5" x14ac:dyDescent="0.4"/>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8065-A9AB-4E37-86D7-CFC7B4DB34B2}">
  <sheetPr codeName="Sheet12"/>
  <dimension ref="A1"/>
  <sheetViews>
    <sheetView workbookViewId="0"/>
  </sheetViews>
  <sheetFormatPr defaultRowHeight="16.5" x14ac:dyDescent="0.4"/>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CCA7A-5E75-46FC-9D8F-0B353D7654C3}">
  <sheetPr codeName="Sheet13"/>
  <dimension ref="A1"/>
  <sheetViews>
    <sheetView workbookViewId="0"/>
  </sheetViews>
  <sheetFormatPr defaultRowHeight="16.5" x14ac:dyDescent="0.4"/>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2AB70-1803-46C5-93EF-6FFFAD3C643B}">
  <sheetPr codeName="Sheet14"/>
  <dimension ref="A1:H4"/>
  <sheetViews>
    <sheetView workbookViewId="0"/>
  </sheetViews>
  <sheetFormatPr defaultRowHeight="16.5" x14ac:dyDescent="0.4"/>
  <cols>
    <col min="1" max="1" width="13.25" style="1" bestFit="1" customWidth="1"/>
    <col min="2" max="2" width="12.75" style="1" bestFit="1" customWidth="1"/>
    <col min="3" max="3" width="15.25" style="1" bestFit="1" customWidth="1"/>
    <col min="4" max="4" width="16" style="1" bestFit="1" customWidth="1"/>
    <col min="5" max="5" width="17" bestFit="1" customWidth="1"/>
    <col min="6" max="6" width="17.625" style="1" bestFit="1" customWidth="1"/>
    <col min="7" max="7" width="18.625" style="1" bestFit="1" customWidth="1"/>
    <col min="8" max="8" width="18.5" style="1" bestFit="1" customWidth="1"/>
    <col min="9" max="9" width="18.625" style="1" bestFit="1" customWidth="1"/>
    <col min="10" max="16384" width="9" style="1"/>
  </cols>
  <sheetData>
    <row r="1" spans="1:8" x14ac:dyDescent="0.4">
      <c r="A1" s="1" t="s">
        <v>18</v>
      </c>
      <c r="B1" s="1" t="s">
        <v>14</v>
      </c>
      <c r="C1" s="1" t="s">
        <v>13</v>
      </c>
      <c r="D1" s="1" t="s">
        <v>15</v>
      </c>
      <c r="E1" s="1" t="s">
        <v>16</v>
      </c>
      <c r="F1" s="1" t="s">
        <v>17</v>
      </c>
      <c r="G1" s="1" t="s">
        <v>19</v>
      </c>
      <c r="H1" s="1" t="s">
        <v>20</v>
      </c>
    </row>
    <row r="2" spans="1:8" x14ac:dyDescent="0.4">
      <c r="A2" s="1">
        <v>1</v>
      </c>
      <c r="B2" s="1">
        <v>540</v>
      </c>
      <c r="C2" s="1">
        <f>テーブル4[[#This Row],['#length]]/2</f>
        <v>270</v>
      </c>
      <c r="D2" s="1">
        <v>250</v>
      </c>
      <c r="E2" s="1">
        <v>250</v>
      </c>
      <c r="F2" s="1">
        <v>255</v>
      </c>
    </row>
    <row r="3" spans="1:8" x14ac:dyDescent="0.4">
      <c r="A3" s="1">
        <v>2</v>
      </c>
      <c r="B3" s="1">
        <v>500</v>
      </c>
      <c r="C3" s="1">
        <f>テーブル4[[#This Row],['#length]]/2</f>
        <v>250</v>
      </c>
      <c r="D3" s="1">
        <v>250</v>
      </c>
      <c r="E3" s="1">
        <v>0</v>
      </c>
      <c r="F3" s="1">
        <v>0</v>
      </c>
    </row>
    <row r="4" spans="1:8" x14ac:dyDescent="0.4">
      <c r="A4" s="1">
        <v>3</v>
      </c>
      <c r="B4" s="1">
        <v>500</v>
      </c>
      <c r="C4" s="1">
        <f>テーブル4[[#This Row],['#length]]/2</f>
        <v>250</v>
      </c>
      <c r="D4" s="1">
        <v>250</v>
      </c>
      <c r="E4" s="1">
        <v>0</v>
      </c>
      <c r="F4" s="1">
        <v>0</v>
      </c>
    </row>
  </sheetData>
  <phoneticPr fontId="1"/>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17688-3273-4718-9DA2-A999F3FC0C4A}">
  <sheetPr codeName="Sheet1"/>
  <dimension ref="A1:C25"/>
  <sheetViews>
    <sheetView workbookViewId="0"/>
  </sheetViews>
  <sheetFormatPr defaultRowHeight="16.5" x14ac:dyDescent="0.4"/>
  <cols>
    <col min="1" max="1" width="14.5" style="1" bestFit="1" customWidth="1"/>
    <col min="2" max="2" width="15.75" style="2" bestFit="1" customWidth="1"/>
    <col min="3" max="3" width="17" style="5" bestFit="1" customWidth="1"/>
    <col min="4" max="16384" width="9" style="1"/>
  </cols>
  <sheetData>
    <row r="1" spans="1:3" x14ac:dyDescent="0.4">
      <c r="A1" s="1" t="s">
        <v>3</v>
      </c>
      <c r="B1" s="2" t="s">
        <v>21</v>
      </c>
      <c r="C1" s="2" t="s">
        <v>22</v>
      </c>
    </row>
    <row r="2" spans="1:3" x14ac:dyDescent="0.4">
      <c r="A2" s="3">
        <v>315</v>
      </c>
      <c r="B2" s="4">
        <v>1332</v>
      </c>
      <c r="C2" s="6">
        <f>LEFT(テーブル1[[#This Row],['#cycleTime]],2)*60+RIGHT(テーブル1[[#This Row],['#cycleTime]], 2)</f>
        <v>812</v>
      </c>
    </row>
    <row r="3" spans="1:3" x14ac:dyDescent="0.4">
      <c r="A3" s="3">
        <v>1151</v>
      </c>
      <c r="B3" s="4">
        <v>3433</v>
      </c>
      <c r="C3" s="6">
        <f>LEFT(テーブル1[[#This Row],['#cycleTime]],2)*60+RIGHT(テーブル1[[#This Row],['#cycleTime]], 2)</f>
        <v>2073</v>
      </c>
    </row>
    <row r="4" spans="1:3" x14ac:dyDescent="0.4">
      <c r="A4" s="3">
        <v>1366</v>
      </c>
      <c r="B4" s="4">
        <v>3934</v>
      </c>
      <c r="C4" s="6">
        <f>LEFT(テーブル1[[#This Row],['#cycleTime]],2)*60+RIGHT(テーブル1[[#This Row],['#cycleTime]], 2)</f>
        <v>2374</v>
      </c>
    </row>
    <row r="5" spans="1:3" x14ac:dyDescent="0.4">
      <c r="A5" s="3">
        <v>1411</v>
      </c>
      <c r="B5" s="4">
        <v>1712</v>
      </c>
      <c r="C5" s="6">
        <f>LEFT(テーブル1[[#This Row],['#cycleTime]],2)*60+RIGHT(テーブル1[[#This Row],['#cycleTime]], 2)</f>
        <v>1032</v>
      </c>
    </row>
    <row r="6" spans="1:3" x14ac:dyDescent="0.4">
      <c r="A6" s="3">
        <v>1419</v>
      </c>
      <c r="B6" s="4">
        <v>2525</v>
      </c>
      <c r="C6" s="6">
        <f>LEFT(テーブル1[[#This Row],['#cycleTime]],2)*60+RIGHT(テーブル1[[#This Row],['#cycleTime]], 2)</f>
        <v>1525</v>
      </c>
    </row>
    <row r="7" spans="1:3" x14ac:dyDescent="0.4">
      <c r="A7" s="3">
        <v>1512</v>
      </c>
      <c r="B7" s="4">
        <v>2209</v>
      </c>
      <c r="C7" s="6">
        <f>LEFT(テーブル1[[#This Row],['#cycleTime]],2)*60+RIGHT(テーブル1[[#This Row],['#cycleTime]], 2)</f>
        <v>1329</v>
      </c>
    </row>
    <row r="8" spans="1:3" x14ac:dyDescent="0.4">
      <c r="A8" s="3">
        <v>2008</v>
      </c>
      <c r="B8" s="4">
        <v>1051</v>
      </c>
      <c r="C8" s="6">
        <f>LEFT(テーブル1[[#This Row],['#cycleTime]],2)*60+RIGHT(テーブル1[[#This Row],['#cycleTime]], 2)</f>
        <v>651</v>
      </c>
    </row>
    <row r="9" spans="1:3" x14ac:dyDescent="0.4">
      <c r="A9" s="3">
        <v>2185</v>
      </c>
      <c r="B9" s="4">
        <v>2549</v>
      </c>
      <c r="C9" s="6">
        <f>LEFT(テーブル1[[#This Row],['#cycleTime]],2)*60+RIGHT(テーブル1[[#This Row],['#cycleTime]], 2)</f>
        <v>1549</v>
      </c>
    </row>
    <row r="10" spans="1:3" x14ac:dyDescent="0.4">
      <c r="A10" s="3">
        <v>2211</v>
      </c>
      <c r="B10" s="4">
        <v>2146</v>
      </c>
      <c r="C10" s="6">
        <f>LEFT(テーブル1[[#This Row],['#cycleTime]],2)*60+RIGHT(テーブル1[[#This Row],['#cycleTime]], 2)</f>
        <v>1306</v>
      </c>
    </row>
    <row r="11" spans="1:3" x14ac:dyDescent="0.4">
      <c r="A11" s="3">
        <v>2215</v>
      </c>
      <c r="B11" s="4">
        <v>2207</v>
      </c>
      <c r="C11" s="6">
        <f>LEFT(テーブル1[[#This Row],['#cycleTime]],2)*60+RIGHT(テーブル1[[#This Row],['#cycleTime]], 2)</f>
        <v>1327</v>
      </c>
    </row>
    <row r="12" spans="1:3" x14ac:dyDescent="0.4">
      <c r="A12" s="3">
        <v>2248</v>
      </c>
      <c r="B12" s="4">
        <v>1339</v>
      </c>
      <c r="C12" s="6">
        <f>LEFT(テーブル1[[#This Row],['#cycleTime]],2)*60+RIGHT(テーブル1[[#This Row],['#cycleTime]], 2)</f>
        <v>819</v>
      </c>
    </row>
    <row r="13" spans="1:3" x14ac:dyDescent="0.4">
      <c r="A13" s="3">
        <v>2270</v>
      </c>
      <c r="B13" s="4">
        <v>4222</v>
      </c>
      <c r="C13" s="6">
        <f>LEFT(テーブル1[[#This Row],['#cycleTime]],2)*60+RIGHT(テーブル1[[#This Row],['#cycleTime]], 2)</f>
        <v>2542</v>
      </c>
    </row>
    <row r="14" spans="1:3" x14ac:dyDescent="0.4">
      <c r="A14" s="3">
        <v>2278</v>
      </c>
      <c r="B14" s="4">
        <v>3215</v>
      </c>
      <c r="C14" s="6">
        <f>LEFT(テーブル1[[#This Row],['#cycleTime]],2)*60+RIGHT(テーブル1[[#This Row],['#cycleTime]], 2)</f>
        <v>1935</v>
      </c>
    </row>
    <row r="15" spans="1:3" x14ac:dyDescent="0.4">
      <c r="A15" s="3">
        <v>2282</v>
      </c>
      <c r="B15" s="4">
        <v>3721</v>
      </c>
      <c r="C15" s="6">
        <f>LEFT(テーブル1[[#This Row],['#cycleTime]],2)*60+RIGHT(テーブル1[[#This Row],['#cycleTime]], 2)</f>
        <v>2241</v>
      </c>
    </row>
    <row r="16" spans="1:3" x14ac:dyDescent="0.4">
      <c r="A16" s="3">
        <v>2381</v>
      </c>
      <c r="B16" s="4">
        <v>4307</v>
      </c>
      <c r="C16" s="6">
        <f>LEFT(テーブル1[[#This Row],['#cycleTime]],2)*60+RIGHT(テーブル1[[#This Row],['#cycleTime]], 2)</f>
        <v>2587</v>
      </c>
    </row>
    <row r="17" spans="1:3" x14ac:dyDescent="0.4">
      <c r="A17" s="3">
        <v>2421</v>
      </c>
      <c r="B17" s="4">
        <v>3517</v>
      </c>
      <c r="C17" s="6">
        <f>LEFT(テーブル1[[#This Row],['#cycleTime]],2)*60+RIGHT(テーブル1[[#This Row],['#cycleTime]], 2)</f>
        <v>2117</v>
      </c>
    </row>
    <row r="18" spans="1:3" x14ac:dyDescent="0.4">
      <c r="A18" s="3">
        <v>2430</v>
      </c>
      <c r="B18" s="4">
        <v>3057</v>
      </c>
      <c r="C18" s="6">
        <f>LEFT(テーブル1[[#This Row],['#cycleTime]],2)*60+RIGHT(テーブル1[[#This Row],['#cycleTime]], 2)</f>
        <v>1857</v>
      </c>
    </row>
    <row r="19" spans="1:3" x14ac:dyDescent="0.4">
      <c r="A19" s="3">
        <v>2501</v>
      </c>
      <c r="B19" s="4">
        <v>3257</v>
      </c>
      <c r="C19" s="6">
        <f>LEFT(テーブル1[[#This Row],['#cycleTime]],2)*60+RIGHT(テーブル1[[#This Row],['#cycleTime]], 2)</f>
        <v>1977</v>
      </c>
    </row>
    <row r="20" spans="1:3" x14ac:dyDescent="0.4">
      <c r="A20" s="3">
        <v>2506</v>
      </c>
      <c r="B20" s="4">
        <v>2003</v>
      </c>
      <c r="C20" s="6">
        <f>LEFT(テーブル1[[#This Row],['#cycleTime]],2)*60+RIGHT(テーブル1[[#This Row],['#cycleTime]], 2)</f>
        <v>1203</v>
      </c>
    </row>
    <row r="21" spans="1:3" x14ac:dyDescent="0.4">
      <c r="A21" s="3">
        <v>2515</v>
      </c>
      <c r="B21" s="4">
        <v>3202</v>
      </c>
      <c r="C21" s="6">
        <f>LEFT(テーブル1[[#This Row],['#cycleTime]],2)*60+RIGHT(テーブル1[[#This Row],['#cycleTime]], 2)</f>
        <v>1922</v>
      </c>
    </row>
    <row r="22" spans="1:3" x14ac:dyDescent="0.4">
      <c r="A22" s="3">
        <v>2544</v>
      </c>
      <c r="B22" s="4">
        <v>2247</v>
      </c>
      <c r="C22" s="6">
        <f>LEFT(テーブル1[[#This Row],['#cycleTime]],2)*60+RIGHT(テーブル1[[#This Row],['#cycleTime]], 2)</f>
        <v>1367</v>
      </c>
    </row>
    <row r="23" spans="1:3" x14ac:dyDescent="0.4">
      <c r="A23" s="3">
        <v>2548</v>
      </c>
      <c r="B23" s="4">
        <v>2239</v>
      </c>
      <c r="C23" s="6">
        <f>LEFT(テーブル1[[#This Row],['#cycleTime]],2)*60+RIGHT(テーブル1[[#This Row],['#cycleTime]], 2)</f>
        <v>1359</v>
      </c>
    </row>
    <row r="24" spans="1:3" x14ac:dyDescent="0.4">
      <c r="A24" s="3">
        <v>7592</v>
      </c>
      <c r="B24" s="4">
        <v>1234</v>
      </c>
      <c r="C24" s="6">
        <f>LEFT(テーブル1[[#This Row],['#cycleTime]],2)*60+RIGHT(テーブル1[[#This Row],['#cycleTime]], 2)</f>
        <v>754</v>
      </c>
    </row>
    <row r="25" spans="1:3" x14ac:dyDescent="0.4">
      <c r="A25" s="3">
        <v>7985</v>
      </c>
      <c r="B25" s="4">
        <v>1103</v>
      </c>
      <c r="C25" s="6">
        <f>LEFT(テーブル1[[#This Row],['#cycleTime]],2)*60+RIGHT(テーブル1[[#This Row],['#cycleTime]], 2)</f>
        <v>663</v>
      </c>
    </row>
  </sheetData>
  <phoneticPr fontId="1"/>
  <dataValidations count="2">
    <dataValidation imeMode="disabled" allowBlank="1" showInputMessage="1" showErrorMessage="1" sqref="B2:C25" xr:uid="{81432FAA-2502-443D-B300-4A9F4C32CC7B}"/>
    <dataValidation type="whole" imeMode="disabled" allowBlank="1" showInputMessage="1" showErrorMessage="1" sqref="A2:A25" xr:uid="{27417B69-ECEF-44F4-937C-FE1943BB8668}">
      <formula1>0</formula1>
      <formula2>9999</formula2>
    </dataValidation>
  </dataValidation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AB898-F2FF-4A17-A5D5-DA67A8E12529}">
  <sheetPr codeName="Sheet15"/>
  <dimension ref="A1:V32"/>
  <sheetViews>
    <sheetView topLeftCell="B1" workbookViewId="0">
      <selection activeCell="B1" sqref="B1"/>
    </sheetView>
  </sheetViews>
  <sheetFormatPr defaultRowHeight="16.5" x14ac:dyDescent="0.4"/>
  <cols>
    <col min="1" max="1" width="3.25" style="1" hidden="1" customWidth="1"/>
    <col min="2" max="2" width="15" bestFit="1" customWidth="1"/>
    <col min="3" max="3" width="10.625" style="10" bestFit="1" customWidth="1"/>
    <col min="4" max="4" width="5.625" customWidth="1"/>
    <col min="5" max="5" width="13.875" style="1" hidden="1" customWidth="1"/>
    <col min="6" max="6" width="15" hidden="1" customWidth="1"/>
    <col min="7" max="7" width="9.5" hidden="1" customWidth="1"/>
    <col min="8" max="9" width="4.625" hidden="1" customWidth="1"/>
    <col min="10" max="10" width="15" bestFit="1" customWidth="1"/>
    <col min="11" max="11" width="10.375" style="10" bestFit="1" customWidth="1"/>
    <col min="12" max="12" width="5.625" customWidth="1"/>
    <col min="13" max="13" width="11.375" style="1" bestFit="1" customWidth="1"/>
    <col min="14" max="14" width="13.125" style="1" hidden="1" customWidth="1"/>
    <col min="15" max="16" width="8.625" style="10" bestFit="1" customWidth="1"/>
    <col min="17" max="17" width="12.875" style="10" hidden="1" customWidth="1"/>
    <col min="18" max="18" width="9.375" style="1" bestFit="1" customWidth="1"/>
    <col min="19" max="19" width="5.625" customWidth="1"/>
    <col min="20" max="20" width="3.625" customWidth="1"/>
    <col min="21" max="21" width="36.625" bestFit="1" customWidth="1"/>
    <col min="22" max="22" width="20.375" bestFit="1" customWidth="1"/>
  </cols>
  <sheetData>
    <row r="1" spans="1:22" x14ac:dyDescent="0.4">
      <c r="B1" s="22" t="s">
        <v>86</v>
      </c>
      <c r="J1" s="22" t="s">
        <v>85</v>
      </c>
      <c r="M1" s="50" t="s">
        <v>84</v>
      </c>
      <c r="T1" s="22" t="s">
        <v>83</v>
      </c>
    </row>
    <row r="2" spans="1:22" ht="18.75" thickBot="1" x14ac:dyDescent="0.45">
      <c r="B2" s="49"/>
      <c r="C2" s="48" t="s">
        <v>81</v>
      </c>
      <c r="E2" s="1" t="s">
        <v>82</v>
      </c>
      <c r="F2" t="s">
        <v>40</v>
      </c>
      <c r="G2">
        <f>C3-C4/2</f>
        <v>8830.2000000000007</v>
      </c>
      <c r="J2" s="49"/>
      <c r="K2" s="48" t="s">
        <v>81</v>
      </c>
      <c r="M2" s="45" t="s">
        <v>80</v>
      </c>
      <c r="N2" s="47" t="s">
        <v>44</v>
      </c>
      <c r="O2" s="46" t="s">
        <v>79</v>
      </c>
      <c r="P2" s="46" t="s">
        <v>78</v>
      </c>
      <c r="Q2" s="46"/>
      <c r="R2" s="43" t="s">
        <v>56</v>
      </c>
      <c r="T2" s="45" t="s">
        <v>77</v>
      </c>
      <c r="U2" s="44" t="s">
        <v>76</v>
      </c>
      <c r="V2" s="43" t="s">
        <v>75</v>
      </c>
    </row>
    <row r="3" spans="1:22" ht="17.25" thickTop="1" x14ac:dyDescent="0.4">
      <c r="A3" s="1" t="s">
        <v>74</v>
      </c>
      <c r="B3" s="42" t="s">
        <v>32</v>
      </c>
      <c r="C3" s="51">
        <v>8922.7000000000007</v>
      </c>
      <c r="E3" s="1" t="s">
        <v>73</v>
      </c>
      <c r="F3" t="s">
        <v>41</v>
      </c>
      <c r="G3">
        <f>G2-C9</f>
        <v>8730.2000000000007</v>
      </c>
      <c r="I3" s="1" t="s">
        <v>72</v>
      </c>
      <c r="J3" s="24" t="s">
        <v>71</v>
      </c>
      <c r="K3" s="34">
        <v>0</v>
      </c>
      <c r="M3" s="15">
        <v>0</v>
      </c>
      <c r="N3" s="41">
        <f t="shared" ref="N3:N32" si="0">$M3^2+(2*$G$4)^2</f>
        <v>384400</v>
      </c>
      <c r="O3" s="12">
        <f t="shared" ref="O3:O32" si="1">IF(M3&lt;&gt;"",$C$5+SQRT($G$3^2-$N3/4)*$M3/SQRT($N3),"")</f>
        <v>400</v>
      </c>
      <c r="P3" s="12">
        <f t="shared" ref="P3:P32" si="2">IF(M3&lt;&gt;"",$C$5+$C$6-$O3,"")</f>
        <v>600</v>
      </c>
      <c r="Q3" s="11">
        <f t="shared" ref="Q3:Q32" si="3">IF(M3&lt;&gt;"", ABS(O3-P3), 1000000)</f>
        <v>200</v>
      </c>
      <c r="R3" s="11">
        <f t="shared" ref="R3:R32" si="4">IF(M3&lt;&gt;"", O3-P3, "")</f>
        <v>-200</v>
      </c>
      <c r="S3" s="25"/>
      <c r="T3" s="40"/>
      <c r="U3" s="39" t="s">
        <v>88</v>
      </c>
      <c r="V3" s="38" t="s">
        <v>93</v>
      </c>
    </row>
    <row r="4" spans="1:22" x14ac:dyDescent="0.4">
      <c r="A4" s="1" t="s">
        <v>33</v>
      </c>
      <c r="B4" s="24" t="s">
        <v>34</v>
      </c>
      <c r="C4" s="34">
        <v>185</v>
      </c>
      <c r="E4" s="1" t="s">
        <v>70</v>
      </c>
      <c r="F4" t="s">
        <v>42</v>
      </c>
      <c r="G4">
        <f>C7-C8/2</f>
        <v>310</v>
      </c>
      <c r="J4" s="37"/>
      <c r="K4" s="36" t="s">
        <v>57</v>
      </c>
      <c r="M4" s="14">
        <v>1</v>
      </c>
      <c r="N4" s="13">
        <f t="shared" si="0"/>
        <v>384401</v>
      </c>
      <c r="O4" s="12">
        <f t="shared" si="1"/>
        <v>414.07206938408223</v>
      </c>
      <c r="P4" s="12">
        <f t="shared" si="2"/>
        <v>585.92793061591783</v>
      </c>
      <c r="Q4" s="11">
        <f t="shared" si="3"/>
        <v>171.8558612318356</v>
      </c>
      <c r="R4" s="11">
        <f t="shared" si="4"/>
        <v>-171.8558612318356</v>
      </c>
      <c r="T4" s="35"/>
      <c r="U4" s="30" t="s">
        <v>89</v>
      </c>
      <c r="V4" s="29" t="s">
        <v>94</v>
      </c>
    </row>
    <row r="5" spans="1:22" ht="18.75" thickBot="1" x14ac:dyDescent="0.45">
      <c r="A5" s="1" t="s">
        <v>69</v>
      </c>
      <c r="B5" s="24" t="s">
        <v>35</v>
      </c>
      <c r="C5" s="34">
        <v>400</v>
      </c>
      <c r="D5" s="25"/>
      <c r="E5" s="1" t="s">
        <v>68</v>
      </c>
      <c r="G5">
        <f>SQRT(G3^2-G4^2)</f>
        <v>8724.6943808938086</v>
      </c>
      <c r="J5" s="21" t="s">
        <v>67</v>
      </c>
      <c r="K5" s="20"/>
      <c r="M5" s="15">
        <v>2</v>
      </c>
      <c r="N5" s="13">
        <f t="shared" si="0"/>
        <v>384404</v>
      </c>
      <c r="O5" s="12">
        <f t="shared" si="1"/>
        <v>428.14402880680143</v>
      </c>
      <c r="P5" s="12">
        <f t="shared" si="2"/>
        <v>571.85597119319857</v>
      </c>
      <c r="Q5" s="11">
        <f t="shared" si="3"/>
        <v>143.71194238639714</v>
      </c>
      <c r="R5" s="11">
        <f t="shared" si="4"/>
        <v>-143.71194238639714</v>
      </c>
      <c r="T5" s="27"/>
      <c r="U5" s="30" t="s">
        <v>64</v>
      </c>
      <c r="V5" s="29" t="s">
        <v>62</v>
      </c>
    </row>
    <row r="6" spans="1:22" ht="17.25" thickTop="1" x14ac:dyDescent="0.4">
      <c r="A6" s="1" t="s">
        <v>66</v>
      </c>
      <c r="B6" s="24" t="s">
        <v>36</v>
      </c>
      <c r="C6" s="34">
        <v>600</v>
      </c>
      <c r="D6" s="32"/>
      <c r="J6" s="18" t="s">
        <v>65</v>
      </c>
      <c r="K6" s="17">
        <f>C5+SQRT(G3^2-G14/4)*K3/SQRT(G14)</f>
        <v>400</v>
      </c>
      <c r="M6" s="14">
        <v>3</v>
      </c>
      <c r="N6" s="13">
        <f t="shared" si="0"/>
        <v>384409</v>
      </c>
      <c r="O6" s="12">
        <f t="shared" si="1"/>
        <v>442.21576831108359</v>
      </c>
      <c r="P6" s="12">
        <f t="shared" si="2"/>
        <v>557.78423168891641</v>
      </c>
      <c r="Q6" s="11">
        <f t="shared" si="3"/>
        <v>115.56846337783281</v>
      </c>
      <c r="R6" s="11">
        <f t="shared" si="4"/>
        <v>-115.56846337783281</v>
      </c>
      <c r="T6" s="24"/>
      <c r="U6" s="30" t="s">
        <v>64</v>
      </c>
      <c r="V6" s="29" t="s">
        <v>62</v>
      </c>
    </row>
    <row r="7" spans="1:22" x14ac:dyDescent="0.4">
      <c r="A7" s="1" t="s">
        <v>28</v>
      </c>
      <c r="B7" s="24" t="s">
        <v>26</v>
      </c>
      <c r="C7" s="28">
        <v>330</v>
      </c>
      <c r="D7" s="32"/>
      <c r="F7" t="s">
        <v>43</v>
      </c>
      <c r="J7" s="18" t="s">
        <v>63</v>
      </c>
      <c r="K7" s="26">
        <f>C5+C6-K6</f>
        <v>600</v>
      </c>
      <c r="M7" s="15">
        <v>4</v>
      </c>
      <c r="N7" s="13">
        <f t="shared" si="0"/>
        <v>384416</v>
      </c>
      <c r="O7" s="12">
        <f t="shared" si="1"/>
        <v>456.28717794843232</v>
      </c>
      <c r="P7" s="12">
        <f t="shared" si="2"/>
        <v>543.71282205156763</v>
      </c>
      <c r="Q7" s="11">
        <f t="shared" si="3"/>
        <v>87.425644103135312</v>
      </c>
      <c r="R7" s="11">
        <f t="shared" si="4"/>
        <v>-87.425644103135312</v>
      </c>
      <c r="T7" s="33"/>
      <c r="U7" s="30" t="s">
        <v>90</v>
      </c>
      <c r="V7" s="29" t="s">
        <v>62</v>
      </c>
    </row>
    <row r="8" spans="1:22" x14ac:dyDescent="0.4">
      <c r="A8" s="1" t="s">
        <v>29</v>
      </c>
      <c r="B8" s="24" t="s">
        <v>27</v>
      </c>
      <c r="C8" s="28">
        <v>40</v>
      </c>
      <c r="D8" s="32"/>
      <c r="E8" s="1" t="s">
        <v>61</v>
      </c>
      <c r="G8">
        <f>(C6-C5)/2</f>
        <v>100</v>
      </c>
      <c r="J8" s="27" t="s">
        <v>60</v>
      </c>
      <c r="K8" s="26">
        <f>K6-C7</f>
        <v>70</v>
      </c>
      <c r="M8" s="14">
        <v>5</v>
      </c>
      <c r="N8" s="13">
        <f t="shared" si="0"/>
        <v>384425</v>
      </c>
      <c r="O8" s="12">
        <f t="shared" si="1"/>
        <v>470.35814778321657</v>
      </c>
      <c r="P8" s="12">
        <f t="shared" si="2"/>
        <v>529.64185221678349</v>
      </c>
      <c r="Q8" s="11">
        <f t="shared" si="3"/>
        <v>59.283704433566925</v>
      </c>
      <c r="R8" s="11">
        <f t="shared" si="4"/>
        <v>-59.283704433566925</v>
      </c>
      <c r="T8" s="31"/>
      <c r="U8" s="30" t="s">
        <v>91</v>
      </c>
      <c r="V8" s="29" t="s">
        <v>59</v>
      </c>
    </row>
    <row r="9" spans="1:22" ht="18" x14ac:dyDescent="0.4">
      <c r="A9" s="1" t="s">
        <v>30</v>
      </c>
      <c r="B9" s="24" t="s">
        <v>31</v>
      </c>
      <c r="C9" s="28">
        <v>100</v>
      </c>
      <c r="E9" s="1" t="s">
        <v>38</v>
      </c>
      <c r="G9">
        <f>G3^2-G4^2-G8^2</f>
        <v>76110292.040000007</v>
      </c>
      <c r="J9" s="27" t="s">
        <v>58</v>
      </c>
      <c r="K9" s="26">
        <f>C5+C6-K6-C7</f>
        <v>270</v>
      </c>
      <c r="M9" s="15">
        <v>6</v>
      </c>
      <c r="N9" s="13">
        <f t="shared" si="0"/>
        <v>384436</v>
      </c>
      <c r="O9" s="12">
        <f t="shared" si="1"/>
        <v>484.42856789695759</v>
      </c>
      <c r="P9" s="12">
        <f t="shared" si="2"/>
        <v>515.57143210304241</v>
      </c>
      <c r="Q9" s="11">
        <f t="shared" si="3"/>
        <v>31.142864206084823</v>
      </c>
      <c r="R9" s="11">
        <f t="shared" si="4"/>
        <v>-31.142864206084823</v>
      </c>
    </row>
    <row r="10" spans="1:22" x14ac:dyDescent="0.4">
      <c r="C10" s="10" t="s">
        <v>57</v>
      </c>
      <c r="D10" s="25"/>
      <c r="E10" s="1" t="s">
        <v>39</v>
      </c>
      <c r="G10">
        <f>G8*G4</f>
        <v>31000</v>
      </c>
      <c r="J10" s="24" t="s">
        <v>56</v>
      </c>
      <c r="K10" s="23">
        <f>K8-K9</f>
        <v>-200</v>
      </c>
      <c r="M10" s="14">
        <v>7</v>
      </c>
      <c r="N10" s="13">
        <f t="shared" si="0"/>
        <v>384449</v>
      </c>
      <c r="O10" s="12">
        <f t="shared" si="1"/>
        <v>498.49832839261359</v>
      </c>
      <c r="P10" s="12">
        <f t="shared" si="2"/>
        <v>501.50167160738641</v>
      </c>
      <c r="Q10" s="11">
        <f t="shared" si="3"/>
        <v>3.0033432147728263</v>
      </c>
      <c r="R10" s="11">
        <f t="shared" si="4"/>
        <v>-3.0033432147728263</v>
      </c>
      <c r="T10" s="22" t="s">
        <v>55</v>
      </c>
    </row>
    <row r="11" spans="1:22" ht="18.75" thickBot="1" x14ac:dyDescent="0.45">
      <c r="B11" s="21" t="s">
        <v>54</v>
      </c>
      <c r="C11" s="20"/>
      <c r="E11" s="1" t="s">
        <v>53</v>
      </c>
      <c r="G11">
        <f>2*(G9-SQRT(G9^2-4*G10^2))</f>
        <v>50.505661398172379</v>
      </c>
      <c r="M11" s="15">
        <v>8</v>
      </c>
      <c r="N11" s="13">
        <f t="shared" si="0"/>
        <v>384464</v>
      </c>
      <c r="O11" s="12">
        <f t="shared" si="1"/>
        <v>512.56731939886333</v>
      </c>
      <c r="P11" s="12">
        <f t="shared" si="2"/>
        <v>487.43268060113667</v>
      </c>
      <c r="Q11" s="11">
        <f t="shared" si="3"/>
        <v>25.134638797726666</v>
      </c>
      <c r="R11" s="11">
        <f t="shared" si="4"/>
        <v>25.134638797726666</v>
      </c>
      <c r="T11" s="16" t="s">
        <v>49</v>
      </c>
      <c r="U11" s="19" t="s">
        <v>52</v>
      </c>
    </row>
    <row r="12" spans="1:22" ht="17.25" thickTop="1" x14ac:dyDescent="0.4">
      <c r="A12" s="1" t="s">
        <v>37</v>
      </c>
      <c r="B12" s="18" t="s">
        <v>51</v>
      </c>
      <c r="C12" s="17">
        <f>SQRT(G11)</f>
        <v>7.1067335251979431</v>
      </c>
      <c r="I12" s="1" t="s">
        <v>50</v>
      </c>
      <c r="M12" s="14">
        <v>9</v>
      </c>
      <c r="N12" s="13">
        <f t="shared" si="0"/>
        <v>384481</v>
      </c>
      <c r="O12" s="12">
        <f t="shared" si="1"/>
        <v>526.6354310743867</v>
      </c>
      <c r="P12" s="12">
        <f t="shared" si="2"/>
        <v>473.3645689256133</v>
      </c>
      <c r="Q12" s="11">
        <f t="shared" si="3"/>
        <v>53.270862148773404</v>
      </c>
      <c r="R12" s="11">
        <f t="shared" si="4"/>
        <v>53.270862148773404</v>
      </c>
      <c r="T12" s="16" t="s">
        <v>49</v>
      </c>
      <c r="U12" t="s">
        <v>87</v>
      </c>
    </row>
    <row r="13" spans="1:22" x14ac:dyDescent="0.4">
      <c r="F13" t="s">
        <v>48</v>
      </c>
      <c r="I13" s="1" t="s">
        <v>47</v>
      </c>
      <c r="M13" s="15">
        <v>10</v>
      </c>
      <c r="N13" s="13">
        <f t="shared" si="0"/>
        <v>384500</v>
      </c>
      <c r="O13" s="12">
        <f t="shared" si="1"/>
        <v>540.70255361214276</v>
      </c>
      <c r="P13" s="12">
        <f t="shared" si="2"/>
        <v>459.29744638785724</v>
      </c>
      <c r="Q13" s="11">
        <f t="shared" si="3"/>
        <v>81.40510722428553</v>
      </c>
      <c r="R13" s="11">
        <f t="shared" si="4"/>
        <v>81.40510722428553</v>
      </c>
      <c r="T13" s="16" t="s">
        <v>49</v>
      </c>
      <c r="U13" s="52" t="s">
        <v>92</v>
      </c>
    </row>
    <row r="14" spans="1:22" ht="18" x14ac:dyDescent="0.4">
      <c r="E14" s="1" t="s">
        <v>44</v>
      </c>
      <c r="G14">
        <f>K3^2+(2*G4)^2</f>
        <v>384400</v>
      </c>
      <c r="M14" s="14"/>
      <c r="N14" s="13">
        <f t="shared" si="0"/>
        <v>384400</v>
      </c>
      <c r="O14" s="12" t="str">
        <f t="shared" si="1"/>
        <v/>
      </c>
      <c r="P14" s="12" t="str">
        <f t="shared" si="2"/>
        <v/>
      </c>
      <c r="Q14" s="11">
        <f t="shared" si="3"/>
        <v>1000000</v>
      </c>
      <c r="R14" s="11" t="str">
        <f t="shared" si="4"/>
        <v/>
      </c>
    </row>
    <row r="15" spans="1:22" x14ac:dyDescent="0.4">
      <c r="M15" s="14"/>
      <c r="N15" s="13">
        <f t="shared" si="0"/>
        <v>384400</v>
      </c>
      <c r="O15" s="12" t="str">
        <f t="shared" si="1"/>
        <v/>
      </c>
      <c r="P15" s="12" t="str">
        <f t="shared" si="2"/>
        <v/>
      </c>
      <c r="Q15" s="11">
        <f t="shared" si="3"/>
        <v>1000000</v>
      </c>
      <c r="R15" s="11" t="str">
        <f t="shared" si="4"/>
        <v/>
      </c>
    </row>
    <row r="16" spans="1:22" x14ac:dyDescent="0.4">
      <c r="M16" s="14"/>
      <c r="N16" s="13">
        <f t="shared" si="0"/>
        <v>384400</v>
      </c>
      <c r="O16" s="12" t="str">
        <f t="shared" si="1"/>
        <v/>
      </c>
      <c r="P16" s="12" t="str">
        <f t="shared" si="2"/>
        <v/>
      </c>
      <c r="Q16" s="11">
        <f t="shared" si="3"/>
        <v>1000000</v>
      </c>
      <c r="R16" s="11" t="str">
        <f t="shared" si="4"/>
        <v/>
      </c>
    </row>
    <row r="17" spans="13:18" x14ac:dyDescent="0.4">
      <c r="M17" s="14"/>
      <c r="N17" s="13">
        <f t="shared" si="0"/>
        <v>384400</v>
      </c>
      <c r="O17" s="12" t="str">
        <f t="shared" si="1"/>
        <v/>
      </c>
      <c r="P17" s="12" t="str">
        <f t="shared" si="2"/>
        <v/>
      </c>
      <c r="Q17" s="11">
        <f t="shared" si="3"/>
        <v>1000000</v>
      </c>
      <c r="R17" s="11" t="str">
        <f t="shared" si="4"/>
        <v/>
      </c>
    </row>
    <row r="18" spans="13:18" x14ac:dyDescent="0.4">
      <c r="M18" s="14"/>
      <c r="N18" s="13">
        <f t="shared" si="0"/>
        <v>384400</v>
      </c>
      <c r="O18" s="12" t="str">
        <f t="shared" si="1"/>
        <v/>
      </c>
      <c r="P18" s="12" t="str">
        <f t="shared" si="2"/>
        <v/>
      </c>
      <c r="Q18" s="11">
        <f t="shared" si="3"/>
        <v>1000000</v>
      </c>
      <c r="R18" s="11" t="str">
        <f t="shared" si="4"/>
        <v/>
      </c>
    </row>
    <row r="19" spans="13:18" x14ac:dyDescent="0.4">
      <c r="M19" s="14"/>
      <c r="N19" s="13">
        <f t="shared" si="0"/>
        <v>384400</v>
      </c>
      <c r="O19" s="12" t="str">
        <f t="shared" si="1"/>
        <v/>
      </c>
      <c r="P19" s="12" t="str">
        <f t="shared" si="2"/>
        <v/>
      </c>
      <c r="Q19" s="11">
        <f t="shared" si="3"/>
        <v>1000000</v>
      </c>
      <c r="R19" s="11" t="str">
        <f t="shared" si="4"/>
        <v/>
      </c>
    </row>
    <row r="20" spans="13:18" x14ac:dyDescent="0.4">
      <c r="M20" s="14"/>
      <c r="N20" s="13">
        <f t="shared" si="0"/>
        <v>384400</v>
      </c>
      <c r="O20" s="12" t="str">
        <f t="shared" si="1"/>
        <v/>
      </c>
      <c r="P20" s="12" t="str">
        <f t="shared" si="2"/>
        <v/>
      </c>
      <c r="Q20" s="11">
        <f t="shared" si="3"/>
        <v>1000000</v>
      </c>
      <c r="R20" s="11" t="str">
        <f t="shared" si="4"/>
        <v/>
      </c>
    </row>
    <row r="21" spans="13:18" x14ac:dyDescent="0.4">
      <c r="M21" s="14"/>
      <c r="N21" s="13">
        <f t="shared" si="0"/>
        <v>384400</v>
      </c>
      <c r="O21" s="12" t="str">
        <f t="shared" si="1"/>
        <v/>
      </c>
      <c r="P21" s="12" t="str">
        <f t="shared" si="2"/>
        <v/>
      </c>
      <c r="Q21" s="11">
        <f t="shared" si="3"/>
        <v>1000000</v>
      </c>
      <c r="R21" s="11" t="str">
        <f t="shared" si="4"/>
        <v/>
      </c>
    </row>
    <row r="22" spans="13:18" x14ac:dyDescent="0.4">
      <c r="M22" s="14"/>
      <c r="N22" s="13">
        <f t="shared" si="0"/>
        <v>384400</v>
      </c>
      <c r="O22" s="12" t="str">
        <f t="shared" si="1"/>
        <v/>
      </c>
      <c r="P22" s="12" t="str">
        <f t="shared" si="2"/>
        <v/>
      </c>
      <c r="Q22" s="11">
        <f t="shared" si="3"/>
        <v>1000000</v>
      </c>
      <c r="R22" s="11" t="str">
        <f t="shared" si="4"/>
        <v/>
      </c>
    </row>
    <row r="23" spans="13:18" x14ac:dyDescent="0.4">
      <c r="M23" s="14"/>
      <c r="N23" s="13">
        <f t="shared" si="0"/>
        <v>384400</v>
      </c>
      <c r="O23" s="12" t="str">
        <f t="shared" si="1"/>
        <v/>
      </c>
      <c r="P23" s="12" t="str">
        <f t="shared" si="2"/>
        <v/>
      </c>
      <c r="Q23" s="11">
        <f t="shared" si="3"/>
        <v>1000000</v>
      </c>
      <c r="R23" s="11" t="str">
        <f t="shared" si="4"/>
        <v/>
      </c>
    </row>
    <row r="24" spans="13:18" x14ac:dyDescent="0.4">
      <c r="M24" s="14"/>
      <c r="N24" s="13">
        <f t="shared" si="0"/>
        <v>384400</v>
      </c>
      <c r="O24" s="12" t="str">
        <f t="shared" si="1"/>
        <v/>
      </c>
      <c r="P24" s="12" t="str">
        <f t="shared" si="2"/>
        <v/>
      </c>
      <c r="Q24" s="11">
        <f t="shared" si="3"/>
        <v>1000000</v>
      </c>
      <c r="R24" s="11" t="str">
        <f t="shared" si="4"/>
        <v/>
      </c>
    </row>
    <row r="25" spans="13:18" x14ac:dyDescent="0.4">
      <c r="M25" s="14"/>
      <c r="N25" s="13">
        <f t="shared" si="0"/>
        <v>384400</v>
      </c>
      <c r="O25" s="12" t="str">
        <f t="shared" si="1"/>
        <v/>
      </c>
      <c r="P25" s="12" t="str">
        <f t="shared" si="2"/>
        <v/>
      </c>
      <c r="Q25" s="11">
        <f t="shared" si="3"/>
        <v>1000000</v>
      </c>
      <c r="R25" s="11" t="str">
        <f t="shared" si="4"/>
        <v/>
      </c>
    </row>
    <row r="26" spans="13:18" x14ac:dyDescent="0.4">
      <c r="M26" s="14"/>
      <c r="N26" s="13">
        <f t="shared" si="0"/>
        <v>384400</v>
      </c>
      <c r="O26" s="12" t="str">
        <f t="shared" si="1"/>
        <v/>
      </c>
      <c r="P26" s="12" t="str">
        <f t="shared" si="2"/>
        <v/>
      </c>
      <c r="Q26" s="11">
        <f t="shared" si="3"/>
        <v>1000000</v>
      </c>
      <c r="R26" s="11" t="str">
        <f t="shared" si="4"/>
        <v/>
      </c>
    </row>
    <row r="27" spans="13:18" x14ac:dyDescent="0.4">
      <c r="M27" s="14"/>
      <c r="N27" s="13">
        <f t="shared" si="0"/>
        <v>384400</v>
      </c>
      <c r="O27" s="12" t="str">
        <f t="shared" si="1"/>
        <v/>
      </c>
      <c r="P27" s="12" t="str">
        <f t="shared" si="2"/>
        <v/>
      </c>
      <c r="Q27" s="11">
        <f t="shared" si="3"/>
        <v>1000000</v>
      </c>
      <c r="R27" s="11" t="str">
        <f t="shared" si="4"/>
        <v/>
      </c>
    </row>
    <row r="28" spans="13:18" x14ac:dyDescent="0.4">
      <c r="M28" s="14"/>
      <c r="N28" s="13">
        <f t="shared" si="0"/>
        <v>384400</v>
      </c>
      <c r="O28" s="12" t="str">
        <f t="shared" si="1"/>
        <v/>
      </c>
      <c r="P28" s="12" t="str">
        <f t="shared" si="2"/>
        <v/>
      </c>
      <c r="Q28" s="11">
        <f t="shared" si="3"/>
        <v>1000000</v>
      </c>
      <c r="R28" s="11" t="str">
        <f t="shared" si="4"/>
        <v/>
      </c>
    </row>
    <row r="29" spans="13:18" x14ac:dyDescent="0.4">
      <c r="M29" s="14"/>
      <c r="N29" s="13">
        <f t="shared" si="0"/>
        <v>384400</v>
      </c>
      <c r="O29" s="12" t="str">
        <f t="shared" si="1"/>
        <v/>
      </c>
      <c r="P29" s="12" t="str">
        <f t="shared" si="2"/>
        <v/>
      </c>
      <c r="Q29" s="11">
        <f t="shared" si="3"/>
        <v>1000000</v>
      </c>
      <c r="R29" s="11" t="str">
        <f t="shared" si="4"/>
        <v/>
      </c>
    </row>
    <row r="30" spans="13:18" x14ac:dyDescent="0.4">
      <c r="M30" s="14"/>
      <c r="N30" s="13">
        <f t="shared" si="0"/>
        <v>384400</v>
      </c>
      <c r="O30" s="12" t="str">
        <f t="shared" si="1"/>
        <v/>
      </c>
      <c r="P30" s="12" t="str">
        <f t="shared" si="2"/>
        <v/>
      </c>
      <c r="Q30" s="11">
        <f t="shared" si="3"/>
        <v>1000000</v>
      </c>
      <c r="R30" s="11" t="str">
        <f t="shared" si="4"/>
        <v/>
      </c>
    </row>
    <row r="31" spans="13:18" x14ac:dyDescent="0.4">
      <c r="M31" s="14"/>
      <c r="N31" s="13">
        <f t="shared" si="0"/>
        <v>384400</v>
      </c>
      <c r="O31" s="12" t="str">
        <f t="shared" si="1"/>
        <v/>
      </c>
      <c r="P31" s="12" t="str">
        <f t="shared" si="2"/>
        <v/>
      </c>
      <c r="Q31" s="11">
        <f t="shared" si="3"/>
        <v>1000000</v>
      </c>
      <c r="R31" s="11" t="str">
        <f t="shared" si="4"/>
        <v/>
      </c>
    </row>
    <row r="32" spans="13:18" x14ac:dyDescent="0.4">
      <c r="M32" s="14"/>
      <c r="N32" s="13">
        <f t="shared" si="0"/>
        <v>384400</v>
      </c>
      <c r="O32" s="12" t="str">
        <f t="shared" si="1"/>
        <v/>
      </c>
      <c r="P32" s="12" t="str">
        <f t="shared" si="2"/>
        <v/>
      </c>
      <c r="Q32" s="11">
        <f t="shared" si="3"/>
        <v>1000000</v>
      </c>
      <c r="R32" s="11" t="str">
        <f t="shared" si="4"/>
        <v/>
      </c>
    </row>
  </sheetData>
  <phoneticPr fontId="1"/>
  <conditionalFormatting sqref="C3">
    <cfRule type="expression" dxfId="54" priority="6">
      <formula>G9^2&lt;4*G10^2</formula>
    </cfRule>
  </conditionalFormatting>
  <conditionalFormatting sqref="C4">
    <cfRule type="expression" dxfId="53" priority="5">
      <formula>$C$4&lt;=0</formula>
    </cfRule>
  </conditionalFormatting>
  <conditionalFormatting sqref="C5">
    <cfRule type="expression" dxfId="52" priority="1">
      <formula>C5&lt;0</formula>
    </cfRule>
  </conditionalFormatting>
  <conditionalFormatting sqref="C6">
    <cfRule type="expression" dxfId="51" priority="10">
      <formula>OR(C5&gt;C6, C6&lt;0)</formula>
    </cfRule>
  </conditionalFormatting>
  <conditionalFormatting sqref="C7">
    <cfRule type="expression" dxfId="50" priority="9">
      <formula>AND(C7&lt;&gt;330, C7&lt;&gt;270, C7&lt;&gt;250)</formula>
    </cfRule>
  </conditionalFormatting>
  <conditionalFormatting sqref="C8">
    <cfRule type="expression" dxfId="49" priority="8">
      <formula>C8&lt;&gt;40</formula>
    </cfRule>
  </conditionalFormatting>
  <conditionalFormatting sqref="C9">
    <cfRule type="expression" dxfId="48" priority="7">
      <formula>C9&lt;&gt;100</formula>
    </cfRule>
  </conditionalFormatting>
  <conditionalFormatting sqref="K3:K4">
    <cfRule type="expression" dxfId="47" priority="15">
      <formula>OR(($K$8&gt;($C$5+$C$6-2*$C$7)),$K$3&lt;0)</formula>
    </cfRule>
  </conditionalFormatting>
  <conditionalFormatting sqref="M3:M32">
    <cfRule type="expression" dxfId="46" priority="2">
      <formula>Q3&gt;=1000000</formula>
    </cfRule>
    <cfRule type="expression" dxfId="45" priority="13">
      <formula>Q3=MIN($Q$3:$Q32)</formula>
    </cfRule>
  </conditionalFormatting>
  <conditionalFormatting sqref="O3:O32">
    <cfRule type="expression" dxfId="44" priority="3">
      <formula>Q3&gt;=1000000</formula>
    </cfRule>
    <cfRule type="expression" dxfId="43" priority="12">
      <formula>Q3=MIN($Q$3:$Q32)</formula>
    </cfRule>
  </conditionalFormatting>
  <conditionalFormatting sqref="P3:P32">
    <cfRule type="expression" dxfId="42" priority="4">
      <formula>Q3&gt;=1000000</formula>
    </cfRule>
    <cfRule type="expression" dxfId="41" priority="11">
      <formula>Q3=MIN($Q$3:$Q32)</formula>
    </cfRule>
  </conditionalFormatting>
  <conditionalFormatting sqref="R3:R32">
    <cfRule type="expression" dxfId="40" priority="14">
      <formula>Q3=MIN($Q$3:$Q32)</formula>
    </cfRule>
  </conditionalFormatting>
  <dataValidations count="1">
    <dataValidation imeMode="disabled" allowBlank="1" showInputMessage="1" showErrorMessage="1" sqref="K3 C3:C9 M3:M32" xr:uid="{91FF811D-BCF3-4606-9FC3-CEB7148A6C2A}"/>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FC29-DC21-4B73-8FB9-EE84D8C0B11F}">
  <sheetPr codeName="Sheet16"/>
  <dimension ref="A1:R170"/>
  <sheetViews>
    <sheetView tabSelected="1" workbookViewId="0"/>
  </sheetViews>
  <sheetFormatPr defaultRowHeight="14.25" x14ac:dyDescent="0.4"/>
  <cols>
    <col min="1" max="1" width="3.75" style="55" bestFit="1" customWidth="1"/>
    <col min="2" max="2" width="23.5" style="53" bestFit="1" customWidth="1"/>
    <col min="3" max="3" width="9.25" style="57" bestFit="1" customWidth="1"/>
    <col min="4" max="4" width="1.625" style="53" customWidth="1"/>
    <col min="5" max="5" width="4.125" style="55" bestFit="1" customWidth="1"/>
    <col min="6" max="6" width="30.375" style="53" bestFit="1" customWidth="1"/>
    <col min="7" max="7" width="2.375" style="55" bestFit="1" customWidth="1"/>
    <col min="8" max="8" width="9.75" style="55" bestFit="1" customWidth="1"/>
    <col min="9" max="9" width="8.375" style="55" bestFit="1" customWidth="1"/>
    <col min="10" max="10" width="1.625" style="53" customWidth="1"/>
    <col min="11" max="11" width="4.125" style="55" bestFit="1" customWidth="1"/>
    <col min="12" max="12" width="19.625" style="97" customWidth="1"/>
    <col min="13" max="13" width="24.75" style="106" bestFit="1" customWidth="1"/>
    <col min="14" max="14" width="10.375" style="54" bestFit="1" customWidth="1"/>
    <col min="15" max="15" width="1.625" style="53" hidden="1" customWidth="1"/>
    <col min="16" max="16" width="23.125" style="53" hidden="1" customWidth="1"/>
    <col min="17" max="17" width="11.375" style="53" hidden="1" customWidth="1"/>
    <col min="18" max="18" width="8.375" style="53" hidden="1" customWidth="1"/>
    <col min="19" max="16384" width="9" style="53"/>
  </cols>
  <sheetData>
    <row r="1" spans="1:18" x14ac:dyDescent="0.4">
      <c r="B1" s="56" t="s">
        <v>237</v>
      </c>
      <c r="F1" s="56" t="s">
        <v>195</v>
      </c>
      <c r="G1" s="58"/>
      <c r="P1" s="56" t="s">
        <v>196</v>
      </c>
      <c r="Q1" s="55"/>
      <c r="R1" s="55"/>
    </row>
    <row r="2" spans="1:18" ht="15" thickBot="1" x14ac:dyDescent="0.45">
      <c r="B2" s="59"/>
      <c r="C2" s="60" t="s">
        <v>81</v>
      </c>
      <c r="F2" s="56" t="s">
        <v>190</v>
      </c>
      <c r="G2" s="58"/>
      <c r="H2" s="97" t="s">
        <v>297</v>
      </c>
      <c r="I2" s="55" t="s">
        <v>178</v>
      </c>
      <c r="K2" s="55">
        <f>ROW(K2)</f>
        <v>2</v>
      </c>
      <c r="L2" s="97" t="s">
        <v>452</v>
      </c>
      <c r="M2" s="106" t="s">
        <v>160</v>
      </c>
      <c r="N2" s="54">
        <f>RADIANS($H$7)</f>
        <v>1.1205013797803596E-2</v>
      </c>
      <c r="P2" s="61" t="s">
        <v>138</v>
      </c>
      <c r="Q2" s="62">
        <f>C4+N154</f>
        <v>500.00000001278181</v>
      </c>
      <c r="R2" s="62">
        <f>C65+Q2</f>
        <v>-649.97399998721812</v>
      </c>
    </row>
    <row r="3" spans="1:18" ht="15" thickTop="1" x14ac:dyDescent="0.4">
      <c r="A3" s="55" t="s">
        <v>238</v>
      </c>
      <c r="B3" s="63" t="s">
        <v>32</v>
      </c>
      <c r="C3" s="64">
        <v>8922.7000000000007</v>
      </c>
      <c r="E3" s="55" t="s">
        <v>309</v>
      </c>
      <c r="F3" s="61" t="s">
        <v>457</v>
      </c>
      <c r="G3" s="65" t="s">
        <v>203</v>
      </c>
      <c r="H3" s="82">
        <f>$C$4+$N$13*$N$5</f>
        <v>500.01603829462465</v>
      </c>
      <c r="I3" s="82">
        <f>$C$65+H3</f>
        <v>-649.95796170537528</v>
      </c>
      <c r="K3" s="55">
        <f t="shared" ref="K3:K63" si="0">ROW(K3)</f>
        <v>3</v>
      </c>
      <c r="L3" s="97" t="s">
        <v>453</v>
      </c>
      <c r="M3" s="106" t="s">
        <v>161</v>
      </c>
      <c r="N3" s="54">
        <f>ASIN($N$14)</f>
        <v>1.1203216917671469E-2</v>
      </c>
      <c r="P3" s="61" t="s">
        <v>139</v>
      </c>
      <c r="Q3" s="62">
        <f>C4+C5-Q2</f>
        <v>499.99999998721819</v>
      </c>
      <c r="R3" s="62">
        <f>C65+Q3</f>
        <v>-649.97400001278174</v>
      </c>
    </row>
    <row r="4" spans="1:18" x14ac:dyDescent="0.4">
      <c r="A4" s="55" t="s">
        <v>239</v>
      </c>
      <c r="B4" s="66" t="s">
        <v>35</v>
      </c>
      <c r="C4" s="67">
        <v>400</v>
      </c>
      <c r="E4" s="55" t="s">
        <v>310</v>
      </c>
      <c r="F4" s="61" t="s">
        <v>458</v>
      </c>
      <c r="G4" s="65" t="s">
        <v>203</v>
      </c>
      <c r="H4" s="82">
        <f>$C$4+$C$5-$H$3</f>
        <v>499.98396170537535</v>
      </c>
      <c r="I4" s="82">
        <f>$C$65+H4</f>
        <v>-649.99003829462458</v>
      </c>
      <c r="K4" s="55">
        <f t="shared" si="0"/>
        <v>4</v>
      </c>
      <c r="L4" s="97" t="s">
        <v>454</v>
      </c>
      <c r="M4" s="106" t="s">
        <v>311</v>
      </c>
      <c r="N4" s="54">
        <f>DEGREES($N$3)</f>
        <v>0.64189704635213818</v>
      </c>
      <c r="P4" s="61" t="s">
        <v>140</v>
      </c>
      <c r="Q4" s="62">
        <f>Q2-C59</f>
        <v>170.00000001278181</v>
      </c>
    </row>
    <row r="5" spans="1:18" x14ac:dyDescent="0.4">
      <c r="A5" s="55" t="s">
        <v>240</v>
      </c>
      <c r="B5" s="66" t="s">
        <v>36</v>
      </c>
      <c r="C5" s="67">
        <v>600</v>
      </c>
      <c r="D5" s="54"/>
      <c r="F5" s="61" t="s">
        <v>459</v>
      </c>
      <c r="G5" s="65" t="s">
        <v>203</v>
      </c>
      <c r="H5" s="82">
        <f>$H$3-$C$59</f>
        <v>170.01603829462465</v>
      </c>
      <c r="K5" s="55">
        <f t="shared" si="0"/>
        <v>5</v>
      </c>
      <c r="L5" s="97" t="s">
        <v>162</v>
      </c>
      <c r="N5" s="54">
        <f>SIN($N$2)</f>
        <v>1.120477933000264E-2</v>
      </c>
      <c r="P5" s="61" t="s">
        <v>141</v>
      </c>
      <c r="Q5" s="62">
        <f>Q3-C59</f>
        <v>169.99999998721819</v>
      </c>
    </row>
    <row r="6" spans="1:18" x14ac:dyDescent="0.4">
      <c r="B6" s="66" t="s">
        <v>71</v>
      </c>
      <c r="C6" s="71">
        <v>7.1067335251979431</v>
      </c>
      <c r="D6" s="68"/>
      <c r="F6" s="61" t="s">
        <v>460</v>
      </c>
      <c r="G6" s="65" t="s">
        <v>203</v>
      </c>
      <c r="H6" s="102">
        <f>$H$4-$C$59</f>
        <v>169.98396170537535</v>
      </c>
      <c r="K6" s="55">
        <f t="shared" si="0"/>
        <v>6</v>
      </c>
      <c r="L6" s="97" t="s">
        <v>164</v>
      </c>
      <c r="N6" s="54">
        <f>COS($N$2)</f>
        <v>0.99993722448970057</v>
      </c>
      <c r="P6" s="69" t="s">
        <v>108</v>
      </c>
      <c r="Q6" s="70">
        <f>N149-N150</f>
        <v>7.1067335242896661</v>
      </c>
    </row>
    <row r="7" spans="1:18" x14ac:dyDescent="0.4">
      <c r="B7" s="73"/>
      <c r="C7" s="74"/>
      <c r="E7" s="55" t="s">
        <v>159</v>
      </c>
      <c r="F7" s="69" t="s">
        <v>455</v>
      </c>
      <c r="G7" s="72" t="s">
        <v>204</v>
      </c>
      <c r="H7" s="82">
        <f>ROUND($N$4,3)</f>
        <v>0.64200000000000002</v>
      </c>
      <c r="I7" s="82">
        <f>$C$66+$H$7</f>
        <v>0.71499999999999997</v>
      </c>
      <c r="K7" s="55">
        <f t="shared" si="0"/>
        <v>7</v>
      </c>
      <c r="L7" s="97" t="s">
        <v>241</v>
      </c>
      <c r="N7" s="54">
        <f>SQRT($N$8^2-$N$9^2)</f>
        <v>8724.6943808938086</v>
      </c>
      <c r="P7" s="69" t="s">
        <v>153</v>
      </c>
      <c r="Q7" s="70">
        <f>C63+C10/2</f>
        <v>-648.5</v>
      </c>
    </row>
    <row r="8" spans="1:18" x14ac:dyDescent="0.4">
      <c r="B8" s="77" t="s">
        <v>34</v>
      </c>
      <c r="C8" s="78"/>
      <c r="E8" s="55" t="s">
        <v>159</v>
      </c>
      <c r="F8" s="109" t="s">
        <v>456</v>
      </c>
      <c r="G8" s="110" t="s">
        <v>204</v>
      </c>
      <c r="H8" s="108">
        <f>ROUND($N$4,0)</f>
        <v>1</v>
      </c>
      <c r="I8" s="108">
        <f>$C$66+$H$8</f>
        <v>1.073</v>
      </c>
      <c r="K8" s="55">
        <f t="shared" si="0"/>
        <v>8</v>
      </c>
      <c r="L8" s="97" t="s">
        <v>242</v>
      </c>
      <c r="M8" s="106" t="s">
        <v>98</v>
      </c>
      <c r="N8" s="54">
        <f>$N$10-$C$61</f>
        <v>8730.2000000000007</v>
      </c>
      <c r="P8" s="61" t="s">
        <v>142</v>
      </c>
      <c r="Q8" s="62">
        <f>-C62+(N16+N17)/2+C6/2-N153</f>
        <v>-8.3385574269177596</v>
      </c>
      <c r="R8" s="62">
        <f t="shared" ref="R8:R14" si="1">$C$64+Q8</f>
        <v>-558.35755742691777</v>
      </c>
    </row>
    <row r="9" spans="1:18" x14ac:dyDescent="0.4">
      <c r="B9" s="66" t="s">
        <v>154</v>
      </c>
      <c r="C9" s="67">
        <v>185</v>
      </c>
      <c r="F9" s="73"/>
      <c r="G9" s="75"/>
      <c r="H9" s="57"/>
      <c r="K9" s="55">
        <f t="shared" si="0"/>
        <v>9</v>
      </c>
      <c r="L9" s="97" t="s">
        <v>70</v>
      </c>
      <c r="M9" s="106" t="s">
        <v>157</v>
      </c>
      <c r="N9" s="54">
        <f>$C$59-$C$60/2</f>
        <v>310</v>
      </c>
      <c r="P9" s="61" t="s">
        <v>96</v>
      </c>
      <c r="Q9" s="62">
        <f>-C62+N15+C6/2-N153</f>
        <v>-8.337590837638345</v>
      </c>
      <c r="R9" s="62">
        <f t="shared" si="1"/>
        <v>-558.35659083763835</v>
      </c>
    </row>
    <row r="10" spans="1:18" x14ac:dyDescent="0.4">
      <c r="B10" s="66" t="s">
        <v>46</v>
      </c>
      <c r="C10" s="67">
        <v>183</v>
      </c>
      <c r="F10" s="77" t="s">
        <v>208</v>
      </c>
      <c r="G10" s="79"/>
      <c r="H10" s="80"/>
      <c r="K10" s="55">
        <f t="shared" si="0"/>
        <v>10</v>
      </c>
      <c r="L10" s="97" t="s">
        <v>243</v>
      </c>
      <c r="M10" s="106" t="s">
        <v>40</v>
      </c>
      <c r="N10" s="54">
        <f>$C$3-$C$9/2</f>
        <v>8830.2000000000007</v>
      </c>
      <c r="P10" s="61" t="s">
        <v>143</v>
      </c>
      <c r="Q10" s="62">
        <f>C62-(N19+N20)/2-C6/2+N153</f>
        <v>19.565491184843268</v>
      </c>
      <c r="R10" s="62">
        <f t="shared" si="1"/>
        <v>-530.45350881515674</v>
      </c>
    </row>
    <row r="11" spans="1:18" x14ac:dyDescent="0.4">
      <c r="B11" s="73"/>
      <c r="C11" s="74"/>
      <c r="F11" s="61" t="s">
        <v>198</v>
      </c>
      <c r="G11" s="65" t="s">
        <v>205</v>
      </c>
      <c r="H11" s="82">
        <f>$C$63+C10/2</f>
        <v>-648.5</v>
      </c>
      <c r="K11" s="55">
        <f t="shared" si="0"/>
        <v>11</v>
      </c>
      <c r="L11" s="97" t="s">
        <v>244</v>
      </c>
      <c r="M11" s="106" t="s">
        <v>97</v>
      </c>
      <c r="N11" s="54">
        <f>$C$3+$C$9/2</f>
        <v>9015.2000000000007</v>
      </c>
      <c r="P11" s="61" t="s">
        <v>99</v>
      </c>
      <c r="Q11" s="62">
        <f>C62-N18-C6/2+N153</f>
        <v>19.56330812012493</v>
      </c>
      <c r="R11" s="62">
        <f t="shared" si="1"/>
        <v>-530.45569187987508</v>
      </c>
    </row>
    <row r="12" spans="1:18" x14ac:dyDescent="0.4">
      <c r="B12" s="77" t="s">
        <v>191</v>
      </c>
      <c r="C12" s="80"/>
      <c r="F12" s="61" t="s">
        <v>199</v>
      </c>
      <c r="G12" s="65" t="s">
        <v>206</v>
      </c>
      <c r="H12" s="82">
        <f>$N$21-$N$13*$N$6</f>
        <v>-11.905406231671805</v>
      </c>
      <c r="I12" s="82">
        <f>$C$64+H12</f>
        <v>-561.92440623167181</v>
      </c>
      <c r="K12" s="55">
        <f t="shared" si="0"/>
        <v>12</v>
      </c>
      <c r="L12" s="97" t="s">
        <v>245</v>
      </c>
      <c r="M12" s="106" t="s">
        <v>461</v>
      </c>
      <c r="N12" s="54">
        <f>($C$5-$C$4)/2</f>
        <v>100</v>
      </c>
      <c r="P12" s="61" t="s">
        <v>151</v>
      </c>
      <c r="Q12" s="62" t="e">
        <f>C62-(N19+N20)/2-C6/2+N153-#REF!/2-C35+C36/2</f>
        <v>#REF!</v>
      </c>
      <c r="R12" s="62" t="e">
        <f t="shared" si="1"/>
        <v>#REF!</v>
      </c>
    </row>
    <row r="13" spans="1:18" x14ac:dyDescent="0.4">
      <c r="B13" s="66" t="s">
        <v>121</v>
      </c>
      <c r="C13" s="67">
        <v>172.9</v>
      </c>
      <c r="F13" s="61" t="s">
        <v>201</v>
      </c>
      <c r="G13" s="65" t="s">
        <v>206</v>
      </c>
      <c r="H13" s="82">
        <f>$N$13*$N$6-$N$22</f>
        <v>23.132339989597313</v>
      </c>
      <c r="I13" s="82">
        <f>$C$64+H13</f>
        <v>-526.88666001040269</v>
      </c>
      <c r="K13" s="55">
        <f t="shared" si="0"/>
        <v>13</v>
      </c>
      <c r="L13" s="97" t="s">
        <v>158</v>
      </c>
      <c r="M13" s="106" t="s">
        <v>174</v>
      </c>
      <c r="N13" s="54">
        <f>$C$62+$N$7</f>
        <v>8926.1943808938086</v>
      </c>
      <c r="P13" s="61" t="s">
        <v>146</v>
      </c>
      <c r="Q13" s="62" t="e">
        <f>-Q12+C44</f>
        <v>#REF!</v>
      </c>
      <c r="R13" s="62" t="e">
        <f t="shared" si="1"/>
        <v>#REF!</v>
      </c>
    </row>
    <row r="14" spans="1:18" x14ac:dyDescent="0.4">
      <c r="B14" s="66" t="s">
        <v>281</v>
      </c>
      <c r="C14" s="67">
        <v>172.9</v>
      </c>
      <c r="F14" s="61" t="s">
        <v>200</v>
      </c>
      <c r="G14" s="65" t="s">
        <v>206</v>
      </c>
      <c r="H14" s="82">
        <f>$N$15-$N$13*$N$6</f>
        <v>-11.90443964239239</v>
      </c>
      <c r="I14" s="82">
        <f>$C$64+H14</f>
        <v>-561.9234396423924</v>
      </c>
      <c r="K14" s="55">
        <f t="shared" si="0"/>
        <v>14</v>
      </c>
      <c r="L14" s="97" t="s">
        <v>246</v>
      </c>
      <c r="M14" s="106" t="s">
        <v>163</v>
      </c>
      <c r="N14" s="54">
        <f>$N$12/$N$13</f>
        <v>1.1202982562652493E-2</v>
      </c>
      <c r="P14" s="61" t="s">
        <v>147</v>
      </c>
      <c r="Q14" s="62" t="e">
        <f>-C62+(N16+N17)/2+C6/2-N153+#REF!/2+C39-C40/2</f>
        <v>#REF!</v>
      </c>
      <c r="R14" s="62" t="e">
        <f t="shared" si="1"/>
        <v>#REF!</v>
      </c>
    </row>
    <row r="15" spans="1:18" x14ac:dyDescent="0.4">
      <c r="B15" s="66" t="s">
        <v>118</v>
      </c>
      <c r="C15" s="67">
        <v>12.05</v>
      </c>
      <c r="D15" s="68"/>
      <c r="F15" s="61" t="s">
        <v>202</v>
      </c>
      <c r="G15" s="65" t="s">
        <v>206</v>
      </c>
      <c r="H15" s="82">
        <f>$N$13*$N$6-$N$18</f>
        <v>23.130156924878975</v>
      </c>
      <c r="I15" s="82">
        <f>$C$64+H15</f>
        <v>-526.88884307512103</v>
      </c>
      <c r="K15" s="55">
        <f t="shared" si="0"/>
        <v>15</v>
      </c>
      <c r="L15" s="97" t="s">
        <v>247</v>
      </c>
      <c r="M15" s="106" t="s">
        <v>112</v>
      </c>
      <c r="N15" s="54">
        <f>SQRT($C$3^2-$C$4^2)</f>
        <v>8913.7295948441242</v>
      </c>
      <c r="P15" s="62" t="s">
        <v>128</v>
      </c>
      <c r="Q15" s="62">
        <f>N25-N15</f>
        <v>0.70683627001562854</v>
      </c>
    </row>
    <row r="16" spans="1:18" x14ac:dyDescent="0.4">
      <c r="B16" s="66" t="s">
        <v>119</v>
      </c>
      <c r="C16" s="67">
        <v>8.0500000000000007</v>
      </c>
      <c r="D16" s="68"/>
      <c r="H16" s="57"/>
      <c r="I16" s="57"/>
      <c r="K16" s="55">
        <f t="shared" si="0"/>
        <v>16</v>
      </c>
      <c r="L16" s="97" t="s">
        <v>248</v>
      </c>
      <c r="M16" s="106" t="s">
        <v>113</v>
      </c>
      <c r="N16" s="54">
        <f>SQRT($N$11^2-$C$4^2)</f>
        <v>9006.321726431941</v>
      </c>
      <c r="P16" s="62" t="s">
        <v>129</v>
      </c>
      <c r="Q16" s="70">
        <f>C15+C16/2</f>
        <v>16.075000000000003</v>
      </c>
    </row>
    <row r="17" spans="1:18" x14ac:dyDescent="0.4">
      <c r="B17" s="66" t="s">
        <v>120</v>
      </c>
      <c r="C17" s="67">
        <v>6.1360000000000001</v>
      </c>
      <c r="F17" s="77" t="s">
        <v>193</v>
      </c>
      <c r="G17" s="79"/>
      <c r="H17" s="80"/>
      <c r="I17" s="57"/>
      <c r="K17" s="55">
        <f t="shared" si="0"/>
        <v>17</v>
      </c>
      <c r="L17" s="97" t="s">
        <v>249</v>
      </c>
      <c r="M17" s="106" t="s">
        <v>114</v>
      </c>
      <c r="N17" s="54">
        <f>SQRT($N$10^2-$C$4^2)</f>
        <v>8821.1355300777468</v>
      </c>
      <c r="P17" s="62" t="s">
        <v>131</v>
      </c>
      <c r="Q17" s="62">
        <f>N25-C62+C6/2-N153</f>
        <v>-7.6307545676227164</v>
      </c>
      <c r="R17" s="62">
        <f>$C$64+Q17</f>
        <v>-557.64975456762272</v>
      </c>
    </row>
    <row r="18" spans="1:18" x14ac:dyDescent="0.4">
      <c r="B18" s="73"/>
      <c r="C18" s="74"/>
      <c r="D18" s="54"/>
      <c r="F18" s="61" t="s">
        <v>223</v>
      </c>
      <c r="G18" s="65" t="s">
        <v>206</v>
      </c>
      <c r="H18" s="82" cm="1">
        <f t="array" aca="1" ref="H18" ca="1">INDEX(INDIRECT($H$52&amp;"!B:B"), MATCH(LOOKUP(2,1/(INDIRECT($H$52&amp;"!A:A")&lt;&gt;""), INDIRECT($H$52&amp;"!A:A")), INDIRECT($H$52&amp;"!A:A"), 0))</f>
        <v>155</v>
      </c>
      <c r="I18" s="103"/>
      <c r="K18" s="55">
        <f t="shared" si="0"/>
        <v>18</v>
      </c>
      <c r="L18" s="97" t="s">
        <v>250</v>
      </c>
      <c r="M18" s="106" t="s">
        <v>115</v>
      </c>
      <c r="N18" s="54">
        <f>SQRT($C$3^2-$C$5^2)</f>
        <v>8902.5038775616376</v>
      </c>
      <c r="P18" s="62" t="s">
        <v>126</v>
      </c>
      <c r="Q18" s="62" t="e">
        <f>-Q12+C44</f>
        <v>#REF!</v>
      </c>
      <c r="R18" s="62" t="e">
        <f>$C$64+Q18</f>
        <v>#REF!</v>
      </c>
    </row>
    <row r="19" spans="1:18" x14ac:dyDescent="0.4">
      <c r="B19" s="77" t="s">
        <v>192</v>
      </c>
      <c r="C19" s="80"/>
      <c r="D19" s="54"/>
      <c r="F19" s="61" t="s">
        <v>175</v>
      </c>
      <c r="G19" s="65" t="s">
        <v>206</v>
      </c>
      <c r="H19" s="82">
        <f>-$C$36/2+$C$35-$C$31</f>
        <v>-76.724999999999994</v>
      </c>
      <c r="I19" s="104"/>
      <c r="K19" s="55">
        <f t="shared" si="0"/>
        <v>19</v>
      </c>
      <c r="L19" s="97" t="s">
        <v>251</v>
      </c>
      <c r="M19" s="106" t="s">
        <v>116</v>
      </c>
      <c r="N19" s="54">
        <f>SQRT($N$11^2-$C$5^2)</f>
        <v>8995.2115617143772</v>
      </c>
      <c r="P19" s="62" t="s">
        <v>125</v>
      </c>
      <c r="Q19" s="62">
        <f>N26-C17-C13/2+N155-N13</f>
        <v>-7.6318892500185029</v>
      </c>
      <c r="R19" s="62">
        <f>$C$64+Q19</f>
        <v>-557.65088925001851</v>
      </c>
    </row>
    <row r="20" spans="1:18" x14ac:dyDescent="0.4">
      <c r="A20" s="55" t="s">
        <v>222</v>
      </c>
      <c r="B20" s="66" t="s">
        <v>132</v>
      </c>
      <c r="C20" s="67">
        <v>90</v>
      </c>
      <c r="D20" s="54"/>
      <c r="F20" s="61" t="s">
        <v>184</v>
      </c>
      <c r="G20" s="65" t="s">
        <v>206</v>
      </c>
      <c r="H20" s="82">
        <f ca="1">$H$13-$H$18/2-$C$35+$C$40/2</f>
        <v>22.287339989597314</v>
      </c>
      <c r="I20" s="82">
        <f ca="1">$C$64+H20</f>
        <v>-527.73166001040272</v>
      </c>
      <c r="K20" s="55">
        <f t="shared" si="0"/>
        <v>20</v>
      </c>
      <c r="L20" s="97" t="s">
        <v>252</v>
      </c>
      <c r="M20" s="106" t="s">
        <v>117</v>
      </c>
      <c r="N20" s="54">
        <f>SQRT($N$10^2-$C$5^2)</f>
        <v>8809.7918272794614</v>
      </c>
      <c r="P20" s="62" t="s">
        <v>127</v>
      </c>
      <c r="Q20" s="62">
        <f>Q3-Q16</f>
        <v>483.9249999872182</v>
      </c>
      <c r="R20" s="62">
        <f>C65+Q20</f>
        <v>-666.04900001278179</v>
      </c>
    </row>
    <row r="21" spans="1:18" x14ac:dyDescent="0.4">
      <c r="A21" s="55" t="s">
        <v>255</v>
      </c>
      <c r="B21" s="66" t="s">
        <v>133</v>
      </c>
      <c r="C21" s="67">
        <v>20</v>
      </c>
      <c r="D21" s="54"/>
      <c r="F21" s="61" t="s">
        <v>185</v>
      </c>
      <c r="G21" s="65" t="s">
        <v>206</v>
      </c>
      <c r="H21" s="82">
        <f ca="1">-$H$20+$C$44</f>
        <v>-11.287339989597314</v>
      </c>
      <c r="I21" s="82">
        <f ca="1">$C$64+H21</f>
        <v>-561.30633998959729</v>
      </c>
      <c r="K21" s="55">
        <f t="shared" si="0"/>
        <v>21</v>
      </c>
      <c r="L21" s="97" t="s">
        <v>446</v>
      </c>
      <c r="M21" s="106" t="s">
        <v>170</v>
      </c>
      <c r="N21" s="54">
        <f>($N$16+$N$17)/2</f>
        <v>8913.7286282548448</v>
      </c>
      <c r="P21" s="62" t="s">
        <v>136</v>
      </c>
      <c r="Q21" s="81">
        <f>$C$23/$C$22+1</f>
        <v>7</v>
      </c>
    </row>
    <row r="22" spans="1:18" x14ac:dyDescent="0.4">
      <c r="A22" s="55" t="s">
        <v>256</v>
      </c>
      <c r="B22" s="66" t="s">
        <v>134</v>
      </c>
      <c r="C22" s="67">
        <v>17</v>
      </c>
      <c r="E22" s="55" t="s">
        <v>280</v>
      </c>
      <c r="F22" s="61" t="s">
        <v>221</v>
      </c>
      <c r="G22" s="65" t="s">
        <v>206</v>
      </c>
      <c r="H22" s="82">
        <f ca="1">INDEX(INDIRECT($H$52&amp;"!B:B"), MATCH(0, INDIRECT($H$52&amp;"!A:A"), 0))</f>
        <v>156.863</v>
      </c>
      <c r="I22" s="105"/>
      <c r="K22" s="55">
        <f t="shared" si="0"/>
        <v>22</v>
      </c>
      <c r="L22" s="97" t="s">
        <v>447</v>
      </c>
      <c r="M22" s="106" t="s">
        <v>169</v>
      </c>
      <c r="N22" s="54">
        <f>($N$19+$N$20)/2</f>
        <v>8902.5016944969193</v>
      </c>
      <c r="P22" s="62" t="s">
        <v>137</v>
      </c>
      <c r="Q22" s="81">
        <f>$C$24/$C$22+1</f>
        <v>6</v>
      </c>
    </row>
    <row r="23" spans="1:18" x14ac:dyDescent="0.4">
      <c r="A23" s="55" t="s">
        <v>383</v>
      </c>
      <c r="B23" s="66" t="s">
        <v>471</v>
      </c>
      <c r="C23" s="67">
        <v>102</v>
      </c>
      <c r="F23" s="61" t="s">
        <v>165</v>
      </c>
      <c r="G23" s="65" t="s">
        <v>206</v>
      </c>
      <c r="H23" s="82">
        <f>$C$40/2-$C$39+$C$31</f>
        <v>77.799999999999983</v>
      </c>
      <c r="I23" s="104"/>
      <c r="K23" s="55">
        <f t="shared" si="0"/>
        <v>23</v>
      </c>
      <c r="L23" s="97" t="s">
        <v>253</v>
      </c>
      <c r="M23" s="106" t="s">
        <v>168</v>
      </c>
      <c r="N23" s="54">
        <f>$C$15+$C$16/2</f>
        <v>16.075000000000003</v>
      </c>
      <c r="P23" s="62" t="s">
        <v>148</v>
      </c>
      <c r="Q23" s="62">
        <f ca="1">DEGREES($N$54)</f>
        <v>859.43669269623479</v>
      </c>
    </row>
    <row r="24" spans="1:18" x14ac:dyDescent="0.4">
      <c r="A24" s="55" t="s">
        <v>384</v>
      </c>
      <c r="B24" s="66" t="s">
        <v>472</v>
      </c>
      <c r="C24" s="67">
        <v>85</v>
      </c>
      <c r="F24" s="61" t="s">
        <v>186</v>
      </c>
      <c r="G24" s="65" t="s">
        <v>206</v>
      </c>
      <c r="H24" s="82">
        <f ca="1">-$N$13*$N$6+$N$21+$H$22/2+$C$39-$C$40/2</f>
        <v>-11.203906231671795</v>
      </c>
      <c r="I24" s="82">
        <f ca="1">$C$64+H24</f>
        <v>-561.2229062316718</v>
      </c>
      <c r="K24" s="55">
        <f t="shared" si="0"/>
        <v>24</v>
      </c>
      <c r="L24" s="97" t="s">
        <v>254</v>
      </c>
      <c r="M24" s="106" t="s">
        <v>123</v>
      </c>
      <c r="N24" s="54">
        <f>C4-Q16</f>
        <v>383.92500000000001</v>
      </c>
      <c r="P24" s="62" t="s">
        <v>149</v>
      </c>
      <c r="Q24" s="62">
        <f ca="1">Q9*$N$95+Q2*$N$62</f>
        <v>-70046.624280368822</v>
      </c>
    </row>
    <row r="25" spans="1:18" x14ac:dyDescent="0.4">
      <c r="A25" s="55" t="s">
        <v>226</v>
      </c>
      <c r="B25" s="66" t="s">
        <v>135</v>
      </c>
      <c r="C25" s="83">
        <v>6</v>
      </c>
      <c r="F25" s="61" t="s">
        <v>187</v>
      </c>
      <c r="G25" s="65" t="s">
        <v>203</v>
      </c>
      <c r="H25" s="82">
        <f>$H$3-$C$41</f>
        <v>468.01603829462465</v>
      </c>
      <c r="I25" s="82">
        <f>$C$65+H25</f>
        <v>-681.95796170537528</v>
      </c>
      <c r="K25" s="55">
        <f t="shared" si="0"/>
        <v>25</v>
      </c>
      <c r="L25" s="97" t="s">
        <v>448</v>
      </c>
      <c r="M25" s="106" t="s">
        <v>124</v>
      </c>
      <c r="N25" s="54">
        <f>SQRT($C$3^2-$N$24^2)</f>
        <v>8914.4364311141399</v>
      </c>
      <c r="P25" s="62" t="s">
        <v>150</v>
      </c>
      <c r="Q25" s="62">
        <f ca="1">-Q$9*$N$62+Q$2*$N$95</f>
        <v>4500581.5260234261</v>
      </c>
    </row>
    <row r="26" spans="1:18" x14ac:dyDescent="0.4">
      <c r="B26" s="66" t="s">
        <v>477</v>
      </c>
      <c r="C26" s="71">
        <v>40</v>
      </c>
      <c r="F26" s="61" t="s">
        <v>188</v>
      </c>
      <c r="G26" s="65" t="s">
        <v>203</v>
      </c>
      <c r="H26" s="82">
        <f>$H$4-$C$38</f>
        <v>474.98396170537535</v>
      </c>
      <c r="I26" s="82">
        <f>$C$65+H26</f>
        <v>-674.99003829462458</v>
      </c>
      <c r="K26" s="55">
        <f t="shared" si="0"/>
        <v>26</v>
      </c>
      <c r="L26" s="97" t="s">
        <v>449</v>
      </c>
      <c r="M26" s="106" t="s">
        <v>172</v>
      </c>
      <c r="N26" s="54">
        <f>SQRT($N$11^2-$N$24^2)</f>
        <v>9007.0212964317452</v>
      </c>
    </row>
    <row r="27" spans="1:18" x14ac:dyDescent="0.4">
      <c r="B27" s="66" t="s">
        <v>478</v>
      </c>
      <c r="C27" s="71">
        <v>32</v>
      </c>
      <c r="H27" s="57"/>
      <c r="I27" s="57"/>
      <c r="K27" s="55">
        <f t="shared" si="0"/>
        <v>27</v>
      </c>
      <c r="L27" s="97" t="s">
        <v>450</v>
      </c>
      <c r="M27" s="106" t="s">
        <v>173</v>
      </c>
      <c r="N27" s="54">
        <f>SQRT($N$10^2-$N$24^2)</f>
        <v>8821.8497852987166</v>
      </c>
      <c r="P27" s="54"/>
    </row>
    <row r="28" spans="1:18" x14ac:dyDescent="0.4">
      <c r="B28" s="66" t="s">
        <v>298</v>
      </c>
      <c r="C28" s="71">
        <v>3</v>
      </c>
      <c r="F28" s="77" t="s">
        <v>191</v>
      </c>
      <c r="G28" s="79"/>
      <c r="H28" s="80"/>
      <c r="I28" s="80"/>
      <c r="K28" s="55">
        <f t="shared" si="0"/>
        <v>28</v>
      </c>
      <c r="L28" s="97" t="s">
        <v>462</v>
      </c>
      <c r="M28" s="106" t="s">
        <v>467</v>
      </c>
      <c r="N28" s="54">
        <f>$C$5-$C$49</f>
        <v>590</v>
      </c>
      <c r="P28" s="54"/>
    </row>
    <row r="29" spans="1:18" x14ac:dyDescent="0.4">
      <c r="B29" s="73"/>
      <c r="C29" s="74"/>
      <c r="F29" s="61" t="s">
        <v>118</v>
      </c>
      <c r="G29" s="65" t="s">
        <v>203</v>
      </c>
      <c r="H29" s="82">
        <f>$H$3-$C$15</f>
        <v>487.96603829462464</v>
      </c>
      <c r="I29" s="82">
        <f>$C$65+H29</f>
        <v>-662.00796170537524</v>
      </c>
      <c r="K29" s="55">
        <f t="shared" si="0"/>
        <v>29</v>
      </c>
      <c r="L29" s="97" t="s">
        <v>463</v>
      </c>
      <c r="M29" s="106" t="s">
        <v>468</v>
      </c>
      <c r="N29" s="54">
        <f>SQRT($C$3^2-$N$28^2)</f>
        <v>8903.1722037709678</v>
      </c>
    </row>
    <row r="30" spans="1:18" x14ac:dyDescent="0.4">
      <c r="B30" s="77" t="s">
        <v>299</v>
      </c>
      <c r="C30" s="80"/>
      <c r="F30" s="61" t="s">
        <v>179</v>
      </c>
      <c r="G30" s="65" t="s">
        <v>203</v>
      </c>
      <c r="H30" s="82">
        <f>$H$29-$C$16</f>
        <v>479.91603829462463</v>
      </c>
      <c r="I30" s="82">
        <f>$C$65+H30</f>
        <v>-670.05796170537531</v>
      </c>
      <c r="K30" s="55">
        <f t="shared" si="0"/>
        <v>30</v>
      </c>
      <c r="L30" s="97" t="s">
        <v>257</v>
      </c>
      <c r="M30" s="106" t="str">
        <f>IF($C$25&gt;=3, "振分中心-内面溝1列目間距離", "-")</f>
        <v>振分中心-内面溝1列目間距離</v>
      </c>
      <c r="N30" s="96">
        <f>$C$4-$C$20</f>
        <v>310</v>
      </c>
    </row>
    <row r="31" spans="1:18" x14ac:dyDescent="0.4">
      <c r="A31" s="55" t="s">
        <v>300</v>
      </c>
      <c r="B31" s="66" t="s">
        <v>100</v>
      </c>
      <c r="C31" s="67">
        <v>7.0000000000000007E-2</v>
      </c>
      <c r="F31" s="61" t="s">
        <v>166</v>
      </c>
      <c r="G31" s="65" t="s">
        <v>203</v>
      </c>
      <c r="H31" s="82">
        <f>$H$3-$N$23</f>
        <v>483.94103829462466</v>
      </c>
      <c r="I31" s="82">
        <f>$C$65+H31</f>
        <v>-666.03296170537533</v>
      </c>
      <c r="K31" s="55">
        <f t="shared" si="0"/>
        <v>31</v>
      </c>
      <c r="L31" s="97" t="s">
        <v>312</v>
      </c>
      <c r="M31" s="106" t="str">
        <f>IF($C$25&gt;=4, "振分中心-内面溝2列目間距離", "-")</f>
        <v>振分中心-内面溝2列目間距離</v>
      </c>
      <c r="N31" s="96">
        <f>IF($C$25&gt;=4,$N$30-1*$C$21, "-")</f>
        <v>290</v>
      </c>
    </row>
    <row r="32" spans="1:18" x14ac:dyDescent="0.4">
      <c r="B32" s="66" t="s">
        <v>301</v>
      </c>
      <c r="C32" s="91" t="s">
        <v>302</v>
      </c>
      <c r="F32" s="62" t="s">
        <v>167</v>
      </c>
      <c r="G32" s="82" t="s">
        <v>206</v>
      </c>
      <c r="H32" s="82">
        <f>$N$25-$N$15</f>
        <v>0.70683627001562854</v>
      </c>
      <c r="K32" s="55">
        <f t="shared" si="0"/>
        <v>32</v>
      </c>
      <c r="L32" s="97" t="s">
        <v>313</v>
      </c>
      <c r="M32" s="106" t="str">
        <f>IF($C$25&gt;=5, "振分中心-内面溝3列目間距離", "-")</f>
        <v>振分中心-内面溝3列目間距離</v>
      </c>
      <c r="N32" s="96">
        <f>IF($C$25&gt;=5,$N$30-2*$C$21, "-")</f>
        <v>270</v>
      </c>
    </row>
    <row r="33" spans="2:16" x14ac:dyDescent="0.4">
      <c r="F33" s="62" t="s">
        <v>131</v>
      </c>
      <c r="G33" s="82" t="s">
        <v>206</v>
      </c>
      <c r="H33" s="82">
        <f>$N$25-$N$13*$N$6</f>
        <v>-11.197603372376761</v>
      </c>
      <c r="I33" s="82">
        <f>$C$64+H33</f>
        <v>-561.21660337237677</v>
      </c>
      <c r="K33" s="55">
        <f t="shared" si="0"/>
        <v>33</v>
      </c>
      <c r="L33" s="97" t="s">
        <v>314</v>
      </c>
      <c r="M33" s="106" t="str">
        <f>IF($C$25&gt;=6, "振分中心-内面溝4列目間距離", "-")</f>
        <v>振分中心-内面溝4列目間距離</v>
      </c>
      <c r="N33" s="96">
        <f>IF($C$25&gt;=6,$N$30-3*$C$21, "-")</f>
        <v>250</v>
      </c>
    </row>
    <row r="34" spans="2:16" x14ac:dyDescent="0.4">
      <c r="B34" s="56" t="s">
        <v>193</v>
      </c>
      <c r="F34" s="62" t="s">
        <v>126</v>
      </c>
      <c r="G34" s="82" t="s">
        <v>206</v>
      </c>
      <c r="H34" s="82">
        <f ca="1">$H$21</f>
        <v>-11.287339989597314</v>
      </c>
      <c r="I34" s="82">
        <f ca="1">$C$64+H34</f>
        <v>-561.30633998959729</v>
      </c>
      <c r="K34" s="55">
        <f t="shared" si="0"/>
        <v>34</v>
      </c>
      <c r="L34" s="97" t="s">
        <v>316</v>
      </c>
      <c r="M34" s="106" t="str">
        <f>IF($C$25&gt;=7, "振分中心-内面溝5列目間距離", "-")</f>
        <v>-</v>
      </c>
      <c r="N34" s="96" t="str">
        <f>IF($C$25&gt;=7,$N$30-4*$C$21, "-")</f>
        <v>-</v>
      </c>
    </row>
    <row r="35" spans="2:16" x14ac:dyDescent="0.4">
      <c r="B35" s="66" t="s">
        <v>101</v>
      </c>
      <c r="C35" s="85">
        <v>13.82</v>
      </c>
      <c r="F35" s="62" t="s">
        <v>209</v>
      </c>
      <c r="G35" s="82" t="s">
        <v>206</v>
      </c>
      <c r="H35" s="82">
        <f>$N$26-$C$17-$C$13/2-$N$13</f>
        <v>-11.759084462064493</v>
      </c>
      <c r="I35" s="82">
        <f>$C$64+H35</f>
        <v>-561.7780844620645</v>
      </c>
      <c r="K35" s="55">
        <f t="shared" si="0"/>
        <v>35</v>
      </c>
      <c r="L35" s="97" t="s">
        <v>315</v>
      </c>
      <c r="M35" s="106" t="str">
        <f>IF($C$25&gt;=8, "振分中心-内面溝6列目間距離", "-")</f>
        <v>-</v>
      </c>
      <c r="N35" s="96" t="str">
        <f>IF($C$25&gt;=8,$N$30-5*$C$21, "-")</f>
        <v>-</v>
      </c>
    </row>
    <row r="36" spans="2:16" x14ac:dyDescent="0.4">
      <c r="B36" s="66" t="s">
        <v>282</v>
      </c>
      <c r="C36" s="85">
        <v>180.95</v>
      </c>
      <c r="F36" s="62" t="s">
        <v>210</v>
      </c>
      <c r="G36" s="82" t="s">
        <v>206</v>
      </c>
      <c r="H36" s="82">
        <f>$C$17+$C$13/2</f>
        <v>92.585999999999999</v>
      </c>
      <c r="K36" s="55">
        <f t="shared" si="0"/>
        <v>36</v>
      </c>
      <c r="L36" s="97" t="s">
        <v>261</v>
      </c>
      <c r="M36" s="106" t="s">
        <v>234</v>
      </c>
      <c r="N36" s="96">
        <f>$N$30-($C$25-2)*$C$21</f>
        <v>230</v>
      </c>
    </row>
    <row r="37" spans="2:16" x14ac:dyDescent="0.4">
      <c r="B37" s="66" t="s">
        <v>283</v>
      </c>
      <c r="C37" s="85">
        <v>180.95</v>
      </c>
      <c r="F37" s="62" t="s">
        <v>171</v>
      </c>
      <c r="G37" s="82" t="s">
        <v>206</v>
      </c>
      <c r="H37" s="82">
        <f ca="1">$H$24</f>
        <v>-11.203906231671795</v>
      </c>
      <c r="I37" s="82">
        <f ca="1">$C$64+H37</f>
        <v>-561.2229062316718</v>
      </c>
      <c r="K37" s="55">
        <f t="shared" si="0"/>
        <v>37</v>
      </c>
      <c r="L37" s="97" t="s">
        <v>260</v>
      </c>
      <c r="M37" s="106" t="s">
        <v>233</v>
      </c>
      <c r="N37" s="96">
        <f>$N$30-($C$25-1)*$C$21</f>
        <v>210</v>
      </c>
    </row>
    <row r="38" spans="2:16" x14ac:dyDescent="0.4">
      <c r="B38" s="66" t="s">
        <v>177</v>
      </c>
      <c r="C38" s="85">
        <v>25</v>
      </c>
      <c r="F38" s="54"/>
      <c r="G38" s="57"/>
      <c r="H38" s="57"/>
      <c r="I38" s="57"/>
      <c r="K38" s="55">
        <f t="shared" si="0"/>
        <v>38</v>
      </c>
      <c r="L38" s="97" t="s">
        <v>258</v>
      </c>
      <c r="M38" s="106" t="str">
        <f>IF($C$25&gt;=3,"λj ≦ q &lt; λj+1 の λj", "-")</f>
        <v>λj ≦ q &lt; λj+1 の λj</v>
      </c>
      <c r="N38" s="96">
        <f ca="1">IF($C$25&gt;=3,LOOKUP($C$20,INDIRECT($H$52&amp;"!$A:$A")),"-")</f>
        <v>75</v>
      </c>
    </row>
    <row r="39" spans="2:16" x14ac:dyDescent="0.4">
      <c r="B39" s="66" t="s">
        <v>105</v>
      </c>
      <c r="C39" s="85">
        <f>12.745</f>
        <v>12.744999999999999</v>
      </c>
      <c r="F39" s="84" t="s">
        <v>207</v>
      </c>
      <c r="G39" s="57"/>
      <c r="H39" s="57"/>
      <c r="I39" s="57"/>
      <c r="K39" s="55">
        <f t="shared" si="0"/>
        <v>39</v>
      </c>
      <c r="L39" s="97" t="s">
        <v>317</v>
      </c>
      <c r="M39" s="106" t="str">
        <f>IF($C$25&gt;=4,"λj ≦ q+pz &lt; λj+1 の λj", "-")</f>
        <v>λj ≦ q+pz &lt; λj+1 の λj</v>
      </c>
      <c r="N39" s="96">
        <f ca="1">IF($C$25&gt;=4,LOOKUP($C$20+$C$21, INDIRECT($H$52&amp;"!$A:$A")),"-")</f>
        <v>100</v>
      </c>
    </row>
    <row r="40" spans="2:16" x14ac:dyDescent="0.4">
      <c r="B40" s="66" t="s">
        <v>464</v>
      </c>
      <c r="C40" s="85">
        <v>180.95</v>
      </c>
      <c r="F40" s="62" t="s">
        <v>181</v>
      </c>
      <c r="G40" s="82" t="s">
        <v>203</v>
      </c>
      <c r="H40" s="82">
        <f>$H$3-$C$53</f>
        <v>499.01603829462465</v>
      </c>
      <c r="I40" s="82">
        <f>$C$65+H40</f>
        <v>-650.95796170537528</v>
      </c>
      <c r="K40" s="55">
        <f t="shared" si="0"/>
        <v>40</v>
      </c>
      <c r="L40" s="97" t="s">
        <v>319</v>
      </c>
      <c r="M40" s="106" t="str">
        <f>IF($C$25&gt;=5,"λj ≦ q+2pz &lt; λj+1 の λj", "-")</f>
        <v>λj ≦ q+2pz &lt; λj+1 の λj</v>
      </c>
      <c r="N40" s="96">
        <f ca="1">IF($C$25&gt;=5,LOOKUP($C$20+2*$C$21, INDIRECT($H$52&amp;"!$A:$A")),"-")</f>
        <v>125</v>
      </c>
      <c r="P40" s="54"/>
    </row>
    <row r="41" spans="2:16" x14ac:dyDescent="0.4">
      <c r="B41" s="66" t="s">
        <v>176</v>
      </c>
      <c r="C41" s="85">
        <v>32</v>
      </c>
      <c r="F41" s="62" t="s">
        <v>180</v>
      </c>
      <c r="G41" s="82" t="s">
        <v>203</v>
      </c>
      <c r="H41" s="82">
        <f>$H$3-$C$55</f>
        <v>499.51603829462465</v>
      </c>
      <c r="I41" s="82">
        <f>$C$65+H41</f>
        <v>-650.45796170537528</v>
      </c>
      <c r="K41" s="55">
        <f t="shared" si="0"/>
        <v>41</v>
      </c>
      <c r="L41" s="97" t="s">
        <v>321</v>
      </c>
      <c r="M41" s="106" t="str">
        <f>IF($C$25&gt;=6,"λj ≦ q+3pz &lt; λj+1 の λj", "-")</f>
        <v>λj ≦ q+3pz &lt; λj+1 の λj</v>
      </c>
      <c r="N41" s="96">
        <f ca="1">IF($C$25&gt;=6,LOOKUP($C$20+3*$C$21, INDIRECT($H$52&amp;"!$A:$A")),"-")</f>
        <v>150</v>
      </c>
    </row>
    <row r="42" spans="2:16" x14ac:dyDescent="0.4">
      <c r="F42" s="62" t="s">
        <v>182</v>
      </c>
      <c r="G42" s="82" t="s">
        <v>203</v>
      </c>
      <c r="H42" s="82">
        <f>$H$4-$C$47</f>
        <v>495.98396170537535</v>
      </c>
      <c r="I42" s="82">
        <f>$C$65+H42</f>
        <v>-653.99003829462458</v>
      </c>
      <c r="K42" s="55">
        <f t="shared" si="0"/>
        <v>42</v>
      </c>
      <c r="L42" s="97" t="s">
        <v>322</v>
      </c>
      <c r="M42" s="106" t="str">
        <f>IF($C$25&gt;=7,"λj ≦ q+4pz &lt; λj+1 の λj", "-")</f>
        <v>-</v>
      </c>
      <c r="N42" s="96" t="str">
        <f ca="1">IF($C$25&gt;=7,LOOKUP($C$20+4*$C$21, INDIRECT($H$52&amp;"!$A:$A")),"-")</f>
        <v>-</v>
      </c>
    </row>
    <row r="43" spans="2:16" x14ac:dyDescent="0.4">
      <c r="B43" s="56" t="s">
        <v>194</v>
      </c>
      <c r="F43" s="62" t="s">
        <v>183</v>
      </c>
      <c r="G43" s="82" t="s">
        <v>203</v>
      </c>
      <c r="H43" s="82">
        <f>$H$4-$C$49</f>
        <v>489.98396170537535</v>
      </c>
      <c r="I43" s="82">
        <f>$C$65+H43</f>
        <v>-659.99003829462458</v>
      </c>
      <c r="K43" s="55">
        <f t="shared" si="0"/>
        <v>43</v>
      </c>
      <c r="L43" s="97" t="s">
        <v>323</v>
      </c>
      <c r="M43" s="106" t="str">
        <f>IF($C$25&gt;=8,"λj ≦ q+5pz &lt; λj+1 の λj", "-")</f>
        <v>-</v>
      </c>
      <c r="N43" s="96" t="str">
        <f ca="1">IF($C$25&gt;=8,LOOKUP($C$20+5*$C$21, INDIRECT($H$52&amp;"!$A:$A")),"-")</f>
        <v>-</v>
      </c>
    </row>
    <row r="44" spans="2:16" x14ac:dyDescent="0.4">
      <c r="B44" s="66" t="s">
        <v>102</v>
      </c>
      <c r="C44" s="85">
        <v>11</v>
      </c>
      <c r="F44" s="62" t="s">
        <v>451</v>
      </c>
      <c r="G44" s="82" t="s">
        <v>206</v>
      </c>
      <c r="H44" s="82"/>
      <c r="I44" s="105"/>
      <c r="K44" s="55">
        <f t="shared" si="0"/>
        <v>44</v>
      </c>
      <c r="L44" s="97" t="s">
        <v>325</v>
      </c>
      <c r="M44" s="106" t="s">
        <v>327</v>
      </c>
      <c r="N44" s="54">
        <f ca="1">LOOKUP($C$20+($C$25-2)*$C$21, INDIRECT($H$52&amp;"!$A:$A"))</f>
        <v>150</v>
      </c>
    </row>
    <row r="45" spans="2:16" x14ac:dyDescent="0.4">
      <c r="F45" s="62" t="s">
        <v>189</v>
      </c>
      <c r="G45" s="82" t="s">
        <v>206</v>
      </c>
      <c r="H45" s="82">
        <f>$N$29-$N$18</f>
        <v>0.66832620933018916</v>
      </c>
      <c r="I45" s="103"/>
      <c r="K45" s="55">
        <f t="shared" si="0"/>
        <v>45</v>
      </c>
      <c r="L45" s="97" t="s">
        <v>324</v>
      </c>
      <c r="M45" s="106" t="s">
        <v>326</v>
      </c>
      <c r="N45" s="54">
        <f ca="1">LOOKUP($C$20+($C$25-1)*$C$21, INDIRECT($H$52&amp;"!$A:$A"))</f>
        <v>175</v>
      </c>
    </row>
    <row r="46" spans="2:16" x14ac:dyDescent="0.4">
      <c r="B46" s="56" t="s">
        <v>465</v>
      </c>
      <c r="F46" s="76"/>
      <c r="G46" s="74"/>
      <c r="H46" s="74"/>
      <c r="I46" s="57"/>
      <c r="K46" s="55">
        <f t="shared" si="0"/>
        <v>46</v>
      </c>
      <c r="L46" s="97" t="s">
        <v>259</v>
      </c>
      <c r="M46" s="106" t="str">
        <f>IF($C$25&gt;=3,"λj ≦ q &lt; λj+1 の λj+1", "-")</f>
        <v>λj ≦ q &lt; λj+1 の λj+1</v>
      </c>
      <c r="N46" s="54" cm="1">
        <f t="array" aca="1" ref="N46" ca="1">IF($C$25&gt;=3, INDEX(INDIRECT($H$52&amp;"!$A:$A"), MATCH($N38, INDIRECT($H$52&amp;"!$A:$A"), 0) +1),"-")</f>
        <v>100</v>
      </c>
    </row>
    <row r="47" spans="2:16" x14ac:dyDescent="0.4">
      <c r="B47" s="66" t="s">
        <v>213</v>
      </c>
      <c r="C47" s="67">
        <v>4</v>
      </c>
      <c r="F47" s="86" t="s">
        <v>192</v>
      </c>
      <c r="G47" s="80"/>
      <c r="H47" s="80"/>
      <c r="K47" s="55">
        <f t="shared" si="0"/>
        <v>47</v>
      </c>
      <c r="L47" s="97" t="s">
        <v>318</v>
      </c>
      <c r="M47" s="106" t="str">
        <f>IF($C$25&gt;=4,"λj ≦ q+pz &lt; λj+1 の λj+1", "-")</f>
        <v>λj ≦ q+pz &lt; λj+1 の λj+1</v>
      </c>
      <c r="N47" s="96" cm="1">
        <f t="array" aca="1" ref="N47" ca="1">IF($C$25&gt;=4, INDEX(INDIRECT($H$52&amp;"!$A:$A"), MATCH($N39, INDIRECT($H$52&amp;"!$A:$A"), 0) +1),"-")</f>
        <v>125</v>
      </c>
    </row>
    <row r="48" spans="2:16" x14ac:dyDescent="0.4">
      <c r="B48" s="66" t="s">
        <v>214</v>
      </c>
      <c r="C48" s="67">
        <v>15</v>
      </c>
      <c r="E48" s="55" t="s">
        <v>334</v>
      </c>
      <c r="F48" s="87" t="s">
        <v>136</v>
      </c>
      <c r="G48" s="88" t="s">
        <v>197</v>
      </c>
      <c r="H48" s="100">
        <f>$C$23/$C$22+1</f>
        <v>7</v>
      </c>
      <c r="K48" s="55">
        <f t="shared" si="0"/>
        <v>48</v>
      </c>
      <c r="L48" s="97" t="s">
        <v>320</v>
      </c>
      <c r="M48" s="106" t="str">
        <f>IF($C$25&gt;=5,"λj ≦ q+2pz &lt; λj+1 の λj+1", "-")</f>
        <v>λj ≦ q+2pz &lt; λj+1 の λj+1</v>
      </c>
      <c r="N48" s="96" cm="1">
        <f t="array" aca="1" ref="N48" ca="1">IF($C$25&gt;=5, INDEX(INDIRECT($H$52&amp;"!$A:$A"), MATCH($N40, INDIRECT($H$52&amp;"!$A:$A"), 0) +1),"-")</f>
        <v>150</v>
      </c>
    </row>
    <row r="49" spans="1:14" x14ac:dyDescent="0.4">
      <c r="B49" s="66" t="s">
        <v>215</v>
      </c>
      <c r="C49" s="67">
        <v>10</v>
      </c>
      <c r="E49" s="55" t="s">
        <v>335</v>
      </c>
      <c r="F49" s="62" t="s">
        <v>137</v>
      </c>
      <c r="G49" s="82" t="s">
        <v>197</v>
      </c>
      <c r="H49" s="101">
        <f>$C$24/$C$22+1</f>
        <v>6</v>
      </c>
      <c r="K49" s="55">
        <f t="shared" si="0"/>
        <v>49</v>
      </c>
      <c r="L49" s="97" t="s">
        <v>328</v>
      </c>
      <c r="M49" s="106" t="str">
        <f>IF($C$25&gt;=6,"λj ≦ q+3pz &lt; λj+1 の λj+1", "-")</f>
        <v>λj ≦ q+3pz &lt; λj+1 の λj+1</v>
      </c>
      <c r="N49" s="96" cm="1">
        <f t="array" aca="1" ref="N49" ca="1">IF($C$25&gt;=6, INDEX(INDIRECT($H$52&amp;"!$A:$A"), MATCH($N41, INDIRECT($H$52&amp;"!$A:$A"), 0) +1),"-")</f>
        <v>175</v>
      </c>
    </row>
    <row r="50" spans="1:14" x14ac:dyDescent="0.4">
      <c r="B50" s="66" t="s">
        <v>216</v>
      </c>
      <c r="C50" s="67">
        <v>15</v>
      </c>
      <c r="F50" s="62" t="s">
        <v>307</v>
      </c>
      <c r="G50" s="82" t="s">
        <v>197</v>
      </c>
      <c r="H50" s="101">
        <f>_xlfn.CEILING.MATH($C$25/2)</f>
        <v>3</v>
      </c>
      <c r="K50" s="55">
        <f t="shared" si="0"/>
        <v>50</v>
      </c>
      <c r="L50" s="97" t="s">
        <v>329</v>
      </c>
      <c r="M50" s="106" t="str">
        <f>IF($C$25&gt;=7,"λj ≦ q+4pz &lt; λj+1 の λj+1", "-")</f>
        <v>-</v>
      </c>
      <c r="N50" s="96" t="str" cm="1">
        <f t="array" aca="1" ref="N50" ca="1">IF($C$25&gt;=7, INDEX(INDIRECT($H$52&amp;"!$A:$A"), MATCH($N42, INDIRECT($H$52&amp;"!$A:$A"), 0) +1),"-")</f>
        <v>-</v>
      </c>
    </row>
    <row r="51" spans="1:14" x14ac:dyDescent="0.4">
      <c r="F51" s="62" t="s">
        <v>308</v>
      </c>
      <c r="G51" s="82" t="s">
        <v>197</v>
      </c>
      <c r="H51" s="101">
        <f>QUOTIENT($C$25,2)</f>
        <v>3</v>
      </c>
      <c r="K51" s="55">
        <f t="shared" si="0"/>
        <v>51</v>
      </c>
      <c r="L51" s="97" t="s">
        <v>330</v>
      </c>
      <c r="M51" s="106" t="str">
        <f>IF($C$25&gt;=8,"λj ≦ q+5pz &lt; λj+1 の λj+1", "-")</f>
        <v>-</v>
      </c>
      <c r="N51" s="96" t="str" cm="1">
        <f t="array" aca="1" ref="N51" ca="1">IF($C$25&gt;=8, INDEX(INDIRECT($H$52&amp;"!$A:$A"), MATCH($N43, INDIRECT($H$52&amp;"!$A:$A"), 0) +1),"-")</f>
        <v>-</v>
      </c>
    </row>
    <row r="52" spans="1:14" x14ac:dyDescent="0.4">
      <c r="B52" s="56" t="s">
        <v>466</v>
      </c>
      <c r="F52" s="62" t="s">
        <v>301</v>
      </c>
      <c r="G52" s="82" t="s">
        <v>197</v>
      </c>
      <c r="H52" s="82" t="str">
        <f>IF(ISNUMBER(VALUE(LEFT($C$32, 1))), TEXT($C$32, "00000"), LEFT($C$32, 1) &amp; TEXT(MID($C$32, 2, LEN($C$32) - 1), "00000"))</f>
        <v>e00937</v>
      </c>
      <c r="K52" s="55">
        <f t="shared" si="0"/>
        <v>52</v>
      </c>
      <c r="L52" s="97" t="s">
        <v>331</v>
      </c>
      <c r="M52" s="106" t="s">
        <v>333</v>
      </c>
      <c r="N52" s="96" cm="1">
        <f t="array" aca="1" ref="N52" ca="1">INDEX(INDIRECT($H$52&amp;"!$A:$A"), MATCH($N44, INDIRECT($H$52&amp;"!$A:$A"), 0) +1)</f>
        <v>175</v>
      </c>
    </row>
    <row r="53" spans="1:14" x14ac:dyDescent="0.4">
      <c r="B53" s="66" t="s">
        <v>217</v>
      </c>
      <c r="C53" s="67">
        <v>1</v>
      </c>
      <c r="F53" s="84" t="s">
        <v>470</v>
      </c>
      <c r="K53" s="55">
        <f t="shared" si="0"/>
        <v>53</v>
      </c>
      <c r="L53" s="97" t="s">
        <v>332</v>
      </c>
      <c r="M53" s="106" t="s">
        <v>227</v>
      </c>
      <c r="N53" s="96" cm="1">
        <f t="array" aca="1" ref="N53" ca="1">INDEX(INDIRECT($H$52&amp;"!$A:$A"), MATCH($N45, INDIRECT($H$52&amp;"!$A:$A"), 0) +1)</f>
        <v>200</v>
      </c>
    </row>
    <row r="54" spans="1:14" x14ac:dyDescent="0.4">
      <c r="B54" s="66" t="s">
        <v>218</v>
      </c>
      <c r="C54" s="67">
        <v>45</v>
      </c>
      <c r="E54" s="55" t="s">
        <v>380</v>
      </c>
      <c r="F54" s="62" t="str">
        <f>IF($C$25&gt;=3,"内面溝1列目-トップ端 湾曲中心間X距離", "-")</f>
        <v>内面溝1列目-トップ端 湾曲中心間X距離</v>
      </c>
      <c r="G54" s="65" t="s">
        <v>206</v>
      </c>
      <c r="H54" s="82">
        <f>IF($C$25&gt;=$C$67-5,$N$70-$N$15, "-")</f>
        <v>3.5836378510248323</v>
      </c>
      <c r="K54" s="55">
        <f t="shared" si="0"/>
        <v>54</v>
      </c>
      <c r="L54" s="97" t="s">
        <v>228</v>
      </c>
      <c r="M54" s="106" t="str">
        <f>IF($C$25&gt;=3,"q-λj","")</f>
        <v>q-λj</v>
      </c>
      <c r="N54" s="96">
        <f ca="1">IF($C$25&gt;=3,$C$20-$N$38, "-")</f>
        <v>15</v>
      </c>
    </row>
    <row r="55" spans="1:14" ht="16.5" x14ac:dyDescent="0.4">
      <c r="B55" s="66" t="s">
        <v>219</v>
      </c>
      <c r="C55" s="67">
        <v>0.5</v>
      </c>
      <c r="E55" s="55" t="s">
        <v>381</v>
      </c>
      <c r="F55" s="62" t="str">
        <f>IF($C$25&gt;=4,"内面溝2列目-トップ端 湾曲中心間X距離", "-")</f>
        <v>内面溝2列目-トップ端 湾曲中心間X距離</v>
      </c>
      <c r="G55" s="65" t="s">
        <v>206</v>
      </c>
      <c r="H55" s="82">
        <f>IF($C$25&gt;=$C67-4,$N$71-$N$15, "-")</f>
        <v>4.2564608749580657</v>
      </c>
      <c r="K55" s="55">
        <f t="shared" si="0"/>
        <v>55</v>
      </c>
      <c r="L55" s="97" t="s">
        <v>336</v>
      </c>
      <c r="M55" s="106" t="str">
        <f>IF($C$25&gt;=4,"q+pz-λj","")</f>
        <v>q+pz-λj</v>
      </c>
      <c r="N55" s="96">
        <f ca="1">IF($C$25&gt;=4,$C$20+$C$21-$N$39, "-")</f>
        <v>10</v>
      </c>
    </row>
    <row r="56" spans="1:14" x14ac:dyDescent="0.4">
      <c r="B56" s="66" t="s">
        <v>212</v>
      </c>
      <c r="C56" s="67">
        <v>45</v>
      </c>
      <c r="F56" s="62" t="str">
        <f>IF($C$25&gt;=5,"内面溝3列目-トップ端 湾曲中心間X距離", "-")</f>
        <v>内面溝3列目-トップ端 湾曲中心間X距離</v>
      </c>
      <c r="G56" s="65" t="s">
        <v>206</v>
      </c>
      <c r="H56" s="82">
        <f>IF($C$25&gt;=$C$67-3,$N$72-$N$15, "-")</f>
        <v>4.8843832356542407</v>
      </c>
      <c r="K56" s="55">
        <f t="shared" si="0"/>
        <v>56</v>
      </c>
      <c r="L56" s="97" t="s">
        <v>337</v>
      </c>
      <c r="M56" s="106" t="str">
        <f>IF($C$25&gt;=5,"q+2pz-λj","")</f>
        <v>q+2pz-λj</v>
      </c>
      <c r="N56" s="96">
        <f ca="1">IF($C$25&gt;=5,$C$20+2*$C$21-$N$40, "-")</f>
        <v>5</v>
      </c>
    </row>
    <row r="57" spans="1:14" x14ac:dyDescent="0.4">
      <c r="F57" s="62" t="str">
        <f>IF($C$25&gt;=6,"内面溝4列目-トップ端 湾曲中心間X距離", "-")</f>
        <v>内面溝4列目-トップ端 湾曲中心間X距離</v>
      </c>
      <c r="G57" s="65" t="s">
        <v>206</v>
      </c>
      <c r="H57" s="82">
        <f>IF($C$25&gt;=$C$67-2,$N$73-$N$15, "-")</f>
        <v>5.4674144162945595</v>
      </c>
      <c r="K57" s="55">
        <f t="shared" si="0"/>
        <v>57</v>
      </c>
      <c r="L57" s="97" t="s">
        <v>338</v>
      </c>
      <c r="M57" s="106" t="str">
        <f>IF($C$25&gt;=6,"q+3pz-λj","")</f>
        <v>q+3pz-λj</v>
      </c>
      <c r="N57" s="96">
        <f ca="1">IF($C$25&gt;=6,$C$20+3*$C$21-$N$41, "-")</f>
        <v>0</v>
      </c>
    </row>
    <row r="58" spans="1:14" x14ac:dyDescent="0.4">
      <c r="B58" s="77" t="s">
        <v>211</v>
      </c>
      <c r="C58" s="80"/>
      <c r="F58" s="62" t="str">
        <f>IF($C$25&gt;=7,"内面溝5列目-トップ端 湾曲中心間X距離", "-")</f>
        <v>-</v>
      </c>
      <c r="G58" s="65" t="s">
        <v>206</v>
      </c>
      <c r="H58" s="82" t="str">
        <f>IF($C$25&gt;=$C67-1,$N$74-$N$15, "-")</f>
        <v>-</v>
      </c>
      <c r="K58" s="55">
        <f t="shared" si="0"/>
        <v>58</v>
      </c>
      <c r="L58" s="97" t="s">
        <v>339</v>
      </c>
      <c r="M58" s="106" t="str">
        <f>IF($C$25&gt;=7,"q+4pz-λj","-")</f>
        <v>-</v>
      </c>
      <c r="N58" s="96" t="str">
        <f>IF($C$25&gt;=7,$C$20+4*$C$21-$N$42, "-")</f>
        <v>-</v>
      </c>
    </row>
    <row r="59" spans="1:14" x14ac:dyDescent="0.4">
      <c r="A59" s="55" t="s">
        <v>28</v>
      </c>
      <c r="B59" s="66" t="s">
        <v>26</v>
      </c>
      <c r="C59" s="71">
        <v>330</v>
      </c>
      <c r="F59" s="62" t="str">
        <f>IF($C$25&gt;=8,"内面溝6列目-トップ端 湾曲中心間X距離", "-")</f>
        <v>-</v>
      </c>
      <c r="G59" s="65" t="s">
        <v>206</v>
      </c>
      <c r="H59" s="82" t="str">
        <f>IF($C$25&gt;=$C67,$N$75-$N$15, "-")</f>
        <v>-</v>
      </c>
      <c r="K59" s="55">
        <f t="shared" si="0"/>
        <v>59</v>
      </c>
      <c r="L59" s="97" t="s">
        <v>340</v>
      </c>
      <c r="M59" s="106" t="str">
        <f>IF($C$25&gt;=8,"q+5pz-λj","-")</f>
        <v>-</v>
      </c>
      <c r="N59" s="96" t="str">
        <f>IF($C$25&gt;=8,$C$20+5*$C$21-$N$43, "-")</f>
        <v>-</v>
      </c>
    </row>
    <row r="60" spans="1:14" x14ac:dyDescent="0.4">
      <c r="A60" s="55" t="s">
        <v>29</v>
      </c>
      <c r="B60" s="66" t="s">
        <v>27</v>
      </c>
      <c r="C60" s="71">
        <v>40</v>
      </c>
      <c r="F60" s="62" t="s">
        <v>349</v>
      </c>
      <c r="G60" s="65" t="s">
        <v>206</v>
      </c>
      <c r="H60" s="82">
        <f>$N$76-$N$15</f>
        <v>6.0055632197072555</v>
      </c>
      <c r="K60" s="55">
        <f t="shared" si="0"/>
        <v>60</v>
      </c>
      <c r="L60" s="97" t="s">
        <v>341</v>
      </c>
      <c r="M60" s="106" t="s">
        <v>341</v>
      </c>
      <c r="N60" s="96">
        <f ca="1">$C$20+($C$25-2)*$C$21-$N$44</f>
        <v>20</v>
      </c>
    </row>
    <row r="61" spans="1:14" x14ac:dyDescent="0.4">
      <c r="A61" s="55" t="s">
        <v>30</v>
      </c>
      <c r="B61" s="66" t="s">
        <v>31</v>
      </c>
      <c r="C61" s="71">
        <v>100</v>
      </c>
      <c r="E61" s="55" t="s">
        <v>382</v>
      </c>
      <c r="F61" s="62" t="s">
        <v>348</v>
      </c>
      <c r="G61" s="65" t="s">
        <v>206</v>
      </c>
      <c r="H61" s="82">
        <f>$N$77-$N$15</f>
        <v>6.4988377690224297</v>
      </c>
      <c r="K61" s="55">
        <f t="shared" si="0"/>
        <v>61</v>
      </c>
      <c r="L61" s="97" t="s">
        <v>230</v>
      </c>
      <c r="M61" s="106" t="s">
        <v>230</v>
      </c>
      <c r="N61" s="96">
        <f ca="1">$C$20+($C$25-1)*$C$21-$N$45</f>
        <v>15</v>
      </c>
    </row>
    <row r="62" spans="1:14" x14ac:dyDescent="0.4">
      <c r="A62" s="55" t="s">
        <v>45</v>
      </c>
      <c r="B62" s="66" t="s">
        <v>95</v>
      </c>
      <c r="C62" s="89">
        <v>201.5</v>
      </c>
      <c r="E62" s="55" t="s">
        <v>425</v>
      </c>
      <c r="F62" s="61" t="str">
        <f>IF($C$25&gt;=3,"（傾き前）1列目Z座標","-")</f>
        <v>（傾き前）1列目Z座標</v>
      </c>
      <c r="G62" s="65" t="s">
        <v>203</v>
      </c>
      <c r="H62" s="112">
        <f>IF($C$25&gt;=3,$H$3-$C$20,"-")</f>
        <v>410.01603829462465</v>
      </c>
      <c r="I62" s="82">
        <f>IF($C$25&gt;=3,$C$65+H62,"-")</f>
        <v>-739.95796170537528</v>
      </c>
      <c r="K62" s="55">
        <f t="shared" si="0"/>
        <v>62</v>
      </c>
      <c r="L62" s="97" t="s">
        <v>229</v>
      </c>
      <c r="M62" s="106" t="str">
        <f>IF($C$25&gt;=3, "λj+1-q", "-")</f>
        <v>λj+1-q</v>
      </c>
      <c r="N62" s="96">
        <f ca="1">IF($C$25&gt;=3,$N$46-$C$20, "-")</f>
        <v>10</v>
      </c>
    </row>
    <row r="63" spans="1:14" x14ac:dyDescent="0.4">
      <c r="B63" s="66" t="s">
        <v>152</v>
      </c>
      <c r="C63" s="89">
        <v>-740</v>
      </c>
      <c r="E63" s="55" t="s">
        <v>424</v>
      </c>
      <c r="F63" s="61" t="str">
        <f>IF($C$25&gt;=4,"（傾き前）2列目Z座標","-")</f>
        <v>（傾き前）2列目Z座標</v>
      </c>
      <c r="G63" s="65" t="s">
        <v>203</v>
      </c>
      <c r="H63" s="112">
        <f>IF($C$25&gt;=4,$H$3-$C$20-$C$21,"-")</f>
        <v>390.01603829462465</v>
      </c>
      <c r="I63" s="82">
        <f>IF($C$25&gt;=4,$C$65+H63,"-")</f>
        <v>-759.95796170537528</v>
      </c>
      <c r="K63" s="55">
        <f t="shared" si="0"/>
        <v>63</v>
      </c>
      <c r="L63" s="97" t="s">
        <v>342</v>
      </c>
      <c r="M63" s="106" t="str">
        <f>IF($C$25&gt;=4, "λj+1-q-pz", "-")</f>
        <v>λj+1-q-pz</v>
      </c>
      <c r="N63" s="96">
        <f ca="1">IF($C$25&gt;=4,$N$47-$C$20-$C$21, "-")</f>
        <v>15</v>
      </c>
    </row>
    <row r="64" spans="1:14" x14ac:dyDescent="0.4">
      <c r="B64" s="66" t="s">
        <v>103</v>
      </c>
      <c r="C64" s="89">
        <v>-550.01900000000001</v>
      </c>
      <c r="F64" s="61" t="str">
        <f>IF($C$25&gt;=5,"（傾き前）3列目Z座標","-")</f>
        <v>（傾き前）3列目Z座標</v>
      </c>
      <c r="G64" s="65" t="s">
        <v>203</v>
      </c>
      <c r="H64" s="112">
        <f>IF($C$25&gt;=5,$H$3-$C$20-2*$C$21,"-")</f>
        <v>370.01603829462465</v>
      </c>
      <c r="I64" s="82">
        <f>IF($C$25&gt;=5,$C$65+H64,"-")</f>
        <v>-779.95796170537528</v>
      </c>
      <c r="K64" s="55">
        <f t="shared" ref="K64:K154" si="2">ROW(K64)</f>
        <v>64</v>
      </c>
      <c r="L64" s="97" t="s">
        <v>343</v>
      </c>
      <c r="M64" s="106" t="str">
        <f>IF($C$25&gt;=5, "λj+1-q-2pz", "-")</f>
        <v>λj+1-q-2pz</v>
      </c>
      <c r="N64" s="96">
        <f ca="1">IF($C$25&gt;=5,$N$48-$C$20-2*$C$21, "-")</f>
        <v>20</v>
      </c>
    </row>
    <row r="65" spans="2:14" x14ac:dyDescent="0.4">
      <c r="B65" s="66" t="s">
        <v>104</v>
      </c>
      <c r="C65" s="89">
        <v>-1149.9739999999999</v>
      </c>
      <c r="F65" s="61" t="str">
        <f>IF($C$25&gt;=6,"（傾き前）4列目Z座標","-")</f>
        <v>（傾き前）4列目Z座標</v>
      </c>
      <c r="G65" s="65" t="s">
        <v>203</v>
      </c>
      <c r="H65" s="112">
        <f>IF($C$25&gt;=6,$H$3-$C$20-3*$C$21,"-")</f>
        <v>350.01603829462465</v>
      </c>
      <c r="I65" s="82">
        <f>IF($C$25&gt;=6,$C$65+H65,"-")</f>
        <v>-799.95796170537528</v>
      </c>
      <c r="K65" s="55">
        <f t="shared" si="2"/>
        <v>65</v>
      </c>
      <c r="L65" s="97" t="s">
        <v>344</v>
      </c>
      <c r="M65" s="106" t="str">
        <f>IF($C$25&gt;=6, "λj+1-q-3pz", "-")</f>
        <v>λj+1-q-3pz</v>
      </c>
      <c r="N65" s="96">
        <f ca="1">IF($C$25&gt;=6,$N$49-$C$20-3*$C$21, "-")</f>
        <v>25</v>
      </c>
    </row>
    <row r="66" spans="2:14" x14ac:dyDescent="0.4">
      <c r="B66" s="66" t="s">
        <v>130</v>
      </c>
      <c r="C66" s="89">
        <v>7.2999999999999995E-2</v>
      </c>
      <c r="F66" s="61" t="str">
        <f>IF($C$25&gt;=7,"（傾き前）5列目Z座標","-")</f>
        <v>-</v>
      </c>
      <c r="G66" s="65" t="s">
        <v>203</v>
      </c>
      <c r="H66" s="112" t="str">
        <f>IF($C$25&gt;=7,$H$3-$C$20-4*$C$21,"-")</f>
        <v>-</v>
      </c>
      <c r="I66" s="82" t="str">
        <f>IF($C$25&gt;=7,$C$65+H66,"-")</f>
        <v>-</v>
      </c>
      <c r="K66" s="55">
        <f t="shared" si="2"/>
        <v>66</v>
      </c>
      <c r="L66" s="97" t="s">
        <v>345</v>
      </c>
      <c r="M66" s="106" t="str">
        <f>IF($C$25&gt;=7, "λj+1-q-4pz", "-")</f>
        <v>-</v>
      </c>
      <c r="N66" s="96" t="str">
        <f>IF($C$25&gt;=7,$N$50-$C$20-4*$C$21, "-")</f>
        <v>-</v>
      </c>
    </row>
    <row r="67" spans="2:14" x14ac:dyDescent="0.4">
      <c r="B67" s="66" t="s">
        <v>220</v>
      </c>
      <c r="C67" s="90">
        <v>8</v>
      </c>
      <c r="F67" s="61" t="str">
        <f>IF($C$25&gt;=8,"（傾き前）6列目Z座標","-")</f>
        <v>-</v>
      </c>
      <c r="G67" s="65" t="s">
        <v>203</v>
      </c>
      <c r="H67" s="112" t="str">
        <f>IF($C$25&gt;=8,$H$3-$C$20-5*$C$21,"-")</f>
        <v>-</v>
      </c>
      <c r="I67" s="82" t="str">
        <f>IF($C$25&gt;=8,$C$65+H67,"-")</f>
        <v>-</v>
      </c>
      <c r="J67" s="55"/>
      <c r="K67" s="55">
        <f t="shared" si="2"/>
        <v>67</v>
      </c>
      <c r="L67" s="97" t="s">
        <v>346</v>
      </c>
      <c r="M67" s="106" t="str">
        <f>IF($C$25&gt;=8, "λj+1-q-5pz", "-")</f>
        <v>-</v>
      </c>
      <c r="N67" s="96" t="str">
        <f>IF($C$25&gt;=8,$N$51-$C$20-5*$C$21, "-")</f>
        <v>-</v>
      </c>
    </row>
    <row r="68" spans="2:14" x14ac:dyDescent="0.4">
      <c r="F68" s="61" t="s">
        <v>426</v>
      </c>
      <c r="G68" s="65" t="s">
        <v>203</v>
      </c>
      <c r="H68" s="112">
        <f>$H$3-$C$20-($C$25-2)*$C$21</f>
        <v>330.01603829462465</v>
      </c>
      <c r="I68" s="82">
        <f>$C$65+H68</f>
        <v>-819.95796170537528</v>
      </c>
      <c r="K68" s="55">
        <f t="shared" si="2"/>
        <v>68</v>
      </c>
      <c r="L68" s="97" t="s">
        <v>347</v>
      </c>
      <c r="M68" s="106" t="s">
        <v>347</v>
      </c>
      <c r="N68" s="54">
        <f ca="1">$N$52-$C$20-($C$25-2)*$C$21</f>
        <v>5</v>
      </c>
    </row>
    <row r="69" spans="2:14" x14ac:dyDescent="0.4">
      <c r="E69" s="55" t="s">
        <v>428</v>
      </c>
      <c r="F69" s="61" t="s">
        <v>427</v>
      </c>
      <c r="G69" s="65" t="s">
        <v>203</v>
      </c>
      <c r="H69" s="112">
        <f>$H$3-$C$20-($C$25-1)*$C$21</f>
        <v>310.01603829462465</v>
      </c>
      <c r="I69" s="82">
        <f>$C$65+H69</f>
        <v>-839.95796170537528</v>
      </c>
      <c r="K69" s="55">
        <f t="shared" si="2"/>
        <v>69</v>
      </c>
      <c r="L69" s="97" t="s">
        <v>262</v>
      </c>
      <c r="M69" s="106" t="s">
        <v>262</v>
      </c>
      <c r="N69" s="54">
        <f ca="1">$N$53-$C$20-($C$25-1)*$C$21</f>
        <v>10</v>
      </c>
    </row>
    <row r="70" spans="2:14" x14ac:dyDescent="0.4">
      <c r="E70" s="55" t="s">
        <v>385</v>
      </c>
      <c r="F70" s="62" t="s">
        <v>388</v>
      </c>
      <c r="G70" s="65" t="s">
        <v>206</v>
      </c>
      <c r="H70" s="82">
        <f ca="1">$H$22+$C$31*2</f>
        <v>157.00299999999999</v>
      </c>
      <c r="K70" s="55">
        <f t="shared" si="2"/>
        <v>70</v>
      </c>
      <c r="L70" s="97" t="s">
        <v>350</v>
      </c>
      <c r="M70" s="106" t="str">
        <f>IF($C$25&gt;=3,"1列目湾曲中心X","-")</f>
        <v>1列目湾曲中心X</v>
      </c>
      <c r="N70" s="98">
        <f>IF($C$25&gt;=3,SQRT($C$3^2-$N$30^2),"-")</f>
        <v>8917.3132326951491</v>
      </c>
    </row>
    <row r="71" spans="2:14" x14ac:dyDescent="0.4">
      <c r="E71" s="55" t="s">
        <v>387</v>
      </c>
      <c r="F71" s="62" t="str">
        <f>IF($C$25&gt;=3,"1列目 AC内径（水平・めっき含・概算）","-")</f>
        <v>1列目 AC内径（水平・めっき含・概算）</v>
      </c>
      <c r="G71" s="65" t="s">
        <v>206</v>
      </c>
      <c r="H71" s="82">
        <f ca="1">IF($C$25&gt;=3,($N$54*$N$86+$N$62*$N$78)/($N$46-$N$38)+$C$31*2,"-")</f>
        <v>156.59259999999998</v>
      </c>
      <c r="K71" s="55">
        <f t="shared" si="2"/>
        <v>71</v>
      </c>
      <c r="L71" s="97" t="s">
        <v>351</v>
      </c>
      <c r="M71" s="106" t="str">
        <f>IF($C$25&gt;=4,"2列目湾曲中心X","-")</f>
        <v>2列目湾曲中心X</v>
      </c>
      <c r="N71" s="98">
        <f>IF($C$25&gt;=4,SQRT($C$3^2-$N$31^2),"-")</f>
        <v>8917.9860557190823</v>
      </c>
    </row>
    <row r="72" spans="2:14" x14ac:dyDescent="0.4">
      <c r="F72" s="62" t="s">
        <v>389</v>
      </c>
      <c r="G72" s="65" t="s">
        <v>206</v>
      </c>
      <c r="H72" s="82">
        <f ca="1">($N$61*$N$93+$N$69*$N$85)/($N$53-$N$45)+$C$31*2</f>
        <v>156.16120000000001</v>
      </c>
      <c r="K72" s="55">
        <f t="shared" si="2"/>
        <v>72</v>
      </c>
      <c r="L72" s="97" t="s">
        <v>352</v>
      </c>
      <c r="M72" s="106" t="str">
        <f>IF($C$25&gt;=5,"3列目湾曲中心X","-")</f>
        <v>3列目湾曲中心X</v>
      </c>
      <c r="N72" s="98">
        <f>IF($C$25&gt;=5,SQRT($C$3^2-$N$32^2),"-")</f>
        <v>8918.6139780797785</v>
      </c>
    </row>
    <row r="73" spans="2:14" x14ac:dyDescent="0.4">
      <c r="E73" s="55" t="s">
        <v>402</v>
      </c>
      <c r="F73" s="62" t="s">
        <v>305</v>
      </c>
      <c r="G73" s="82" t="s">
        <v>204</v>
      </c>
      <c r="H73" s="82">
        <f ca="1">ROUND(DEGREES($N$99),3)</f>
        <v>2.13</v>
      </c>
      <c r="I73" s="57"/>
      <c r="K73" s="55">
        <f t="shared" si="2"/>
        <v>73</v>
      </c>
      <c r="L73" s="97" t="s">
        <v>353</v>
      </c>
      <c r="M73" s="106" t="str">
        <f>IF($C$25&gt;=6,"4列目湾曲中心X","-")</f>
        <v>4列目湾曲中心X</v>
      </c>
      <c r="N73" s="98">
        <f>IF($C$25&gt;=6,SQRT($C$3^2-$N$33^2),"-")</f>
        <v>8919.1970092604188</v>
      </c>
    </row>
    <row r="74" spans="2:14" x14ac:dyDescent="0.4">
      <c r="E74" s="55" t="s">
        <v>402</v>
      </c>
      <c r="F74" s="62" t="s">
        <v>306</v>
      </c>
      <c r="G74" s="82" t="s">
        <v>204</v>
      </c>
      <c r="H74" s="82">
        <f ca="1">$H$7+$H$73</f>
        <v>2.7719999999999998</v>
      </c>
      <c r="I74" s="82">
        <f ca="1">$C$66+$H$74</f>
        <v>2.8449999999999998</v>
      </c>
      <c r="K74" s="55">
        <f t="shared" si="2"/>
        <v>74</v>
      </c>
      <c r="L74" s="97" t="s">
        <v>354</v>
      </c>
      <c r="M74" s="106" t="str">
        <f>IF($C$25&gt;=7,"5列目湾曲中心X","-")</f>
        <v>-</v>
      </c>
      <c r="N74" s="98" t="str">
        <f>IF($C$25&gt;=7,SQRT($C$3^2-$N$34^2),"-")</f>
        <v>-</v>
      </c>
    </row>
    <row r="75" spans="2:14" x14ac:dyDescent="0.4">
      <c r="E75" s="55" t="s">
        <v>403</v>
      </c>
      <c r="F75" s="111" t="s">
        <v>401</v>
      </c>
      <c r="G75" s="108" t="s">
        <v>204</v>
      </c>
      <c r="H75" s="108">
        <f ca="1">DEGREES($N$107)</f>
        <v>1.8081075579837422</v>
      </c>
      <c r="K75" s="55">
        <f t="shared" si="2"/>
        <v>75</v>
      </c>
      <c r="L75" s="97" t="s">
        <v>355</v>
      </c>
      <c r="M75" s="106" t="str">
        <f>IF($C$25&gt;=8,"6列目湾曲中心X","-")</f>
        <v>-</v>
      </c>
      <c r="N75" s="98" t="str">
        <f>IF($C$25&gt;=8,SQRT($C$3^2-$N$35^2),"-")</f>
        <v>-</v>
      </c>
    </row>
    <row r="76" spans="2:14" x14ac:dyDescent="0.4">
      <c r="E76" s="55" t="s">
        <v>403</v>
      </c>
      <c r="F76" s="111" t="s">
        <v>398</v>
      </c>
      <c r="G76" s="108" t="s">
        <v>204</v>
      </c>
      <c r="H76" s="108">
        <f ca="1">$H$7+$H$75</f>
        <v>2.4501075579837424</v>
      </c>
      <c r="I76" s="108">
        <f ca="1">$C$66+$H$76</f>
        <v>2.5231075579837423</v>
      </c>
      <c r="K76" s="55">
        <f t="shared" si="2"/>
        <v>76</v>
      </c>
      <c r="L76" s="97" t="s">
        <v>356</v>
      </c>
      <c r="M76" s="106" t="s">
        <v>358</v>
      </c>
      <c r="N76" s="99">
        <f>SQRT($C$3^2-$N$36^2)</f>
        <v>8919.7351580638315</v>
      </c>
    </row>
    <row r="77" spans="2:14" x14ac:dyDescent="0.4">
      <c r="F77" s="62" t="s">
        <v>277</v>
      </c>
      <c r="G77" s="82" t="s">
        <v>206</v>
      </c>
      <c r="H77" s="82">
        <f ca="1">MIN($N$110, $N$111)</f>
        <v>21.495936780292737</v>
      </c>
      <c r="K77" s="55">
        <f t="shared" si="2"/>
        <v>77</v>
      </c>
      <c r="L77" s="97" t="s">
        <v>357</v>
      </c>
      <c r="M77" s="106" t="s">
        <v>359</v>
      </c>
      <c r="N77" s="99">
        <f>SQRT($C$3^2-$N$37^2)</f>
        <v>8920.2284326131467</v>
      </c>
    </row>
    <row r="78" spans="2:14" x14ac:dyDescent="0.4">
      <c r="F78" s="62" t="s">
        <v>431</v>
      </c>
      <c r="G78" s="65" t="s">
        <v>205</v>
      </c>
      <c r="H78" s="82">
        <f ca="1">($N$61*$N$127+$N$69*$N$119)/($N$53-$N$45)+$C$31*2</f>
        <v>154.14839999999998</v>
      </c>
      <c r="K78" s="55">
        <f t="shared" si="2"/>
        <v>78</v>
      </c>
      <c r="L78" s="97" t="s">
        <v>360</v>
      </c>
      <c r="M78" s="106" t="str">
        <f>IF($C$25&gt;=3,"λj ≦ q &lt; λj+1 の wAj", "-")</f>
        <v>λj ≦ q &lt; λj+1 の wAj</v>
      </c>
      <c r="N78" s="96">
        <f ca="1">IF($C$25&gt;=3, INDEX(INDIRECT($H$52&amp;"!B:B"), MATCH($N$38, INDIRECT($H$52&amp;"!A:A"), 0)),"-")</f>
        <v>156.52099999999999</v>
      </c>
    </row>
    <row r="79" spans="2:14" x14ac:dyDescent="0.4">
      <c r="F79" s="84" t="s">
        <v>469</v>
      </c>
      <c r="K79" s="55">
        <f t="shared" si="2"/>
        <v>79</v>
      </c>
      <c r="L79" s="97" t="s">
        <v>361</v>
      </c>
      <c r="M79" s="106" t="str">
        <f>IF($C$25&gt;=4,"λj ≦ q+pz &lt; λj+1 の wAj", "-")</f>
        <v>λj ≦ q+pz &lt; λj+1 の wAj</v>
      </c>
      <c r="N79" s="96">
        <f ca="1">IF($C$25&gt;=4, INDEX(INDIRECT($H$52&amp;"!B:B"), MATCH($N$39, INDIRECT($H$52&amp;"!A:A"), 0)),"-")</f>
        <v>156.40700000000001</v>
      </c>
    </row>
    <row r="80" spans="2:14" x14ac:dyDescent="0.4">
      <c r="F80" s="62" t="str">
        <f>IF($C$25&gt;=3,"内面溝1列目-トップ端 湾曲中心間X距離", "-")</f>
        <v>内面溝1列目-トップ端 湾曲中心間X距離</v>
      </c>
      <c r="G80" s="65" t="s">
        <v>206</v>
      </c>
      <c r="H80" s="82">
        <f ca="1">IF($C$25&gt;=$C$67-5,$H$54*$N$101-$C$20*$N$100, "-")</f>
        <v>0.23613623834420849</v>
      </c>
      <c r="K80" s="55">
        <f t="shared" si="2"/>
        <v>80</v>
      </c>
      <c r="L80" s="97" t="s">
        <v>362</v>
      </c>
      <c r="M80" s="106" t="str">
        <f>IF($C$25&gt;=5,"λj ≦ q+2pz &lt; λj+1 の wAj", "-")</f>
        <v>λj ≦ q+2pz &lt; λj+1 の wAj</v>
      </c>
      <c r="N80" s="96">
        <f ca="1">IF($C$25&gt;=5, INDEX(INDIRECT($H$52&amp;"!B:B"), MATCH($N$40, INDIRECT($H$52&amp;"!A:A"), 0)),"-")</f>
        <v>156.29300000000001</v>
      </c>
    </row>
    <row r="81" spans="6:14" x14ac:dyDescent="0.4">
      <c r="F81" s="62" t="str">
        <f>IF($C$25&gt;=4,"内面溝2列目-トップ端 湾曲中心間X距離", "-")</f>
        <v>内面溝2列目-トップ端 湾曲中心間X距離</v>
      </c>
      <c r="G81" s="65" t="s">
        <v>206</v>
      </c>
      <c r="H81" s="82">
        <f ca="1">IF($C$25&gt;=$C$67-4,$H$55*$N$101-($C$20+$C21)*$N$100, "-")</f>
        <v>0.16515537313498907</v>
      </c>
      <c r="K81" s="55">
        <f t="shared" si="2"/>
        <v>81</v>
      </c>
      <c r="L81" s="97" t="s">
        <v>363</v>
      </c>
      <c r="M81" s="106" t="str">
        <f>IF($C$25&gt;=6,"λj ≦ q+3pz &lt; λj+1 の wAj", "-")</f>
        <v>λj ≦ q+3pz &lt; λj+1 の wAj</v>
      </c>
      <c r="N81" s="96">
        <f ca="1">IF($C$25&gt;=6, INDEX(INDIRECT($H$52&amp;"!B:B"), MATCH($N$41, INDIRECT($H$52&amp;"!A:A"), 0)),"-")</f>
        <v>156.179</v>
      </c>
    </row>
    <row r="82" spans="6:14" x14ac:dyDescent="0.4">
      <c r="F82" s="62" t="str">
        <f>IF($C$25&gt;=5,"内面溝3列目-トップ端 湾曲中心間X距離", "-")</f>
        <v>内面溝3列目-トップ端 湾曲中心間X距離</v>
      </c>
      <c r="G82" s="65" t="s">
        <v>206</v>
      </c>
      <c r="H82" s="82">
        <f ca="1">IF($C$25&gt;=$C$67-3,$H$56*$N$101-($C$20+2*$C$21)*$N$100, "-")</f>
        <v>4.930486789530697E-2</v>
      </c>
      <c r="K82" s="55">
        <f t="shared" si="2"/>
        <v>82</v>
      </c>
      <c r="L82" s="97" t="s">
        <v>364</v>
      </c>
      <c r="M82" s="106" t="str">
        <f>IF($C$25&gt;=7,"λj ≦ q+4pz &lt; λj+1 の wAj", "-")</f>
        <v>-</v>
      </c>
      <c r="N82" s="96" t="str">
        <f ca="1">IF($C$25&gt;=7, INDEX(INDIRECT($H$52&amp;"!B:B"), MATCH($N$42, INDIRECT($H$52&amp;"!A:A"), 0)),"-")</f>
        <v>-</v>
      </c>
    </row>
    <row r="83" spans="6:14" x14ac:dyDescent="0.4">
      <c r="F83" s="62" t="str">
        <f>IF($C$25&gt;=6,"内面溝4列目-トップ端 湾曲中心間X距離", "-")</f>
        <v>内面溝4列目-トップ端 湾曲中心間X距離</v>
      </c>
      <c r="G83" s="65" t="s">
        <v>206</v>
      </c>
      <c r="H83" s="82">
        <f ca="1">IF($C$25&gt;=$C$67-2,$H$57*$N$101-($C$20+3*$C$21)*$N$100, "-")</f>
        <v>-0.11140580074584783</v>
      </c>
      <c r="K83" s="55">
        <f t="shared" si="2"/>
        <v>83</v>
      </c>
      <c r="L83" s="97" t="s">
        <v>365</v>
      </c>
      <c r="M83" s="106" t="str">
        <f>IF($C$25&gt;=8,"λj ≦ q+5pz &lt; λj+1 の wAj", "-")</f>
        <v>-</v>
      </c>
      <c r="N83" s="96" t="str">
        <f ca="1">IF($C$25&gt;=8, INDEX(INDIRECT($H$52&amp;"!B:B"), MATCH($N$43, INDIRECT($H$52&amp;"!A:A"), 0)),"-")</f>
        <v>-</v>
      </c>
    </row>
    <row r="84" spans="6:14" x14ac:dyDescent="0.4">
      <c r="F84" s="62" t="str">
        <f>IF($C$25&gt;=7,"内面溝5列目-トップ端 湾曲中心間X距離", "-")</f>
        <v>-</v>
      </c>
      <c r="G84" s="65" t="s">
        <v>206</v>
      </c>
      <c r="H84" s="82" t="str">
        <f>IF($C$25&gt;=$C$67-1,$H$58*$N$101-($C$20+4*$C$21)*$N$100, "-")</f>
        <v>-</v>
      </c>
      <c r="K84" s="55">
        <f t="shared" si="2"/>
        <v>84</v>
      </c>
      <c r="L84" s="97" t="s">
        <v>366</v>
      </c>
      <c r="M84" s="106" t="s">
        <v>368</v>
      </c>
      <c r="N84" s="96">
        <f ca="1">INDEX(INDIRECT($H$52&amp;"!B:B"), MATCH($N$44, INDIRECT($H$52&amp;"!A:A"), 0))</f>
        <v>156.179</v>
      </c>
    </row>
    <row r="85" spans="6:14" x14ac:dyDescent="0.4">
      <c r="F85" s="62" t="str">
        <f>IF($C$25&gt;=8,"内面溝6列目-トップ端 湾曲中心間X距離", "-")</f>
        <v>-</v>
      </c>
      <c r="G85" s="65" t="s">
        <v>206</v>
      </c>
      <c r="H85" s="82" t="str">
        <f>IF($C$25&gt;=$C$67,$H$59*$N$101-($C$20+5*$C$21)*$N$100, "-")</f>
        <v>-</v>
      </c>
      <c r="K85" s="55">
        <f t="shared" si="2"/>
        <v>85</v>
      </c>
      <c r="L85" s="97" t="s">
        <v>367</v>
      </c>
      <c r="M85" s="106" t="s">
        <v>369</v>
      </c>
      <c r="N85" s="96">
        <f ca="1">INDEX(INDIRECT($H$52&amp;"!B:B"), MATCH($N$45, INDIRECT($H$52&amp;"!A:A"), 0))</f>
        <v>156.077</v>
      </c>
    </row>
    <row r="86" spans="6:14" x14ac:dyDescent="0.4">
      <c r="F86" s="62" t="s">
        <v>349</v>
      </c>
      <c r="G86" s="65" t="s">
        <v>206</v>
      </c>
      <c r="H86" s="82">
        <f ca="1">$H$60*$N$101-($C$20+($C$25-2)*$C$21)*$N$100</f>
        <v>-0.31696783604237844</v>
      </c>
      <c r="K86" s="55">
        <f t="shared" si="2"/>
        <v>86</v>
      </c>
      <c r="L86" s="97" t="s">
        <v>370</v>
      </c>
      <c r="M86" s="106" t="str">
        <f>IF($C$25&gt;=3,"λj ≦ q &lt; λj+1 の wAj+1", "-")</f>
        <v>λj ≦ q &lt; λj+1 の wAj+1</v>
      </c>
      <c r="N86" s="96">
        <f ca="1">IF($C$25&gt;=3, INDEX(INDIRECT($H$52&amp;"!B:B"), MATCH($N$46, INDIRECT($H$52&amp;"!A:A"), 0)),"-")</f>
        <v>156.40700000000001</v>
      </c>
    </row>
    <row r="87" spans="6:14" x14ac:dyDescent="0.4">
      <c r="F87" s="62" t="s">
        <v>348</v>
      </c>
      <c r="G87" s="65" t="s">
        <v>206</v>
      </c>
      <c r="H87" s="82">
        <f ca="1">$H$61*$N$101-($C$20+($C$25-1)*$C$21)*$N$100</f>
        <v>-0.56737312047669697</v>
      </c>
      <c r="K87" s="55">
        <f t="shared" si="2"/>
        <v>87</v>
      </c>
      <c r="L87" s="97" t="s">
        <v>371</v>
      </c>
      <c r="M87" s="106" t="str">
        <f>IF($C$25&gt;=4,"λj ≦ q+pz &lt; λj+1 の wAj+1", "-")</f>
        <v>λj ≦ q+pz &lt; λj+1 の wAj+1</v>
      </c>
      <c r="N87" s="96">
        <f ca="1">IF($C$25&gt;=4, INDEX(INDIRECT($H$52&amp;"!B:B"), MATCH($N$47, INDIRECT($H$52&amp;"!A:A"), 0)),"-")</f>
        <v>156.29300000000001</v>
      </c>
    </row>
    <row r="88" spans="6:14" x14ac:dyDescent="0.4">
      <c r="F88" s="62" t="str">
        <f>IF($C$25&gt;=3,"内面溝1列目-トップ端 湾曲中心間Z距離", "-")</f>
        <v>内面溝1列目-トップ端 湾曲中心間Z距離</v>
      </c>
      <c r="G88" s="65" t="s">
        <v>203</v>
      </c>
      <c r="H88" s="82">
        <f ca="1">IF($C$25&gt;=$C$67-5,$H$54*$N$100+$C$20*$N$101, "-")</f>
        <v>90.071009208980442</v>
      </c>
      <c r="K88" s="55">
        <f t="shared" si="2"/>
        <v>88</v>
      </c>
      <c r="L88" s="97" t="s">
        <v>372</v>
      </c>
      <c r="M88" s="106" t="str">
        <f>IF($C$25&gt;=5,"λj ≦ q+2pz &lt; λj+1 の wAj+1", "-")</f>
        <v>λj ≦ q+2pz &lt; λj+1 の wAj+1</v>
      </c>
      <c r="N88" s="96">
        <f ca="1">IF($C$25&gt;=5, INDEX(INDIRECT($H$52&amp;"!B:B"), MATCH($N$48, INDIRECT($H$52&amp;"!A:A"), 0)),"-")</f>
        <v>156.179</v>
      </c>
    </row>
    <row r="89" spans="6:14" x14ac:dyDescent="0.4">
      <c r="F89" s="62" t="str">
        <f>IF($C$25&gt;=4,"内面溝2列目-トップ端 湾曲中心間Z距離", "-")</f>
        <v>内面溝2列目-トップ端 湾曲中心間Z距離</v>
      </c>
      <c r="G89" s="65" t="s">
        <v>203</v>
      </c>
      <c r="H89" s="82">
        <f ca="1">IF($C$25&gt;=$C$67-4,$H$55*$N$100+($C$20+$C$21)*$N$101, "-")</f>
        <v>110.08219739305159</v>
      </c>
      <c r="K89" s="55">
        <f t="shared" si="2"/>
        <v>89</v>
      </c>
      <c r="L89" s="97" t="s">
        <v>373</v>
      </c>
      <c r="M89" s="106" t="str">
        <f>IF($C$25&gt;=6,"λj ≦ q+3pz &lt; λj+1 の wAj+1", "-")</f>
        <v>λj ≦ q+3pz &lt; λj+1 の wAj+1</v>
      </c>
      <c r="N89" s="96">
        <f ca="1">IF($C$25&gt;=6, INDEX(INDIRECT($H$52&amp;"!B:B"), MATCH($N$49, INDIRECT($H$52&amp;"!A:A"), 0)),"-")</f>
        <v>156.077</v>
      </c>
    </row>
    <row r="90" spans="6:14" x14ac:dyDescent="0.4">
      <c r="F90" s="62" t="str">
        <f>IF($C$25&gt;=5,"内面溝3列目-トップ端 湾曲中心間Z距離", "-")</f>
        <v>内面溝3列目-トップ端 湾曲中心間Z距離</v>
      </c>
      <c r="G90" s="65" t="s">
        <v>203</v>
      </c>
      <c r="H90" s="82">
        <f ca="1">IF($C$25&gt;=$C$67-3,$H$56*$N$100+($C$20+2*$C$21)*$N$101, "-")</f>
        <v>130.09171675638208</v>
      </c>
      <c r="K90" s="55">
        <f t="shared" si="2"/>
        <v>90</v>
      </c>
      <c r="L90" s="97" t="s">
        <v>374</v>
      </c>
      <c r="M90" s="106" t="str">
        <f>IF($C$25&gt;=7,"λj ≦ q+4pz &lt; λj+1 の wAj+1", "-")</f>
        <v>-</v>
      </c>
      <c r="N90" s="96" t="str">
        <f ca="1">IF($C$25&gt;=7, INDEX(INDIRECT($H$52&amp;"!B:B"), MATCH($N$50, INDIRECT($H$52&amp;"!A:A"), 0)),"-")</f>
        <v>-</v>
      </c>
    </row>
    <row r="91" spans="6:14" x14ac:dyDescent="0.4">
      <c r="F91" s="62" t="str">
        <f>IF($C$25&gt;=6,"内面溝4列目-トップ端 湾曲中心間Z距離", "-")</f>
        <v>内面溝4列目-トップ端 湾曲中心間Z距離</v>
      </c>
      <c r="G91" s="65" t="s">
        <v>203</v>
      </c>
      <c r="H91" s="82">
        <f ca="1">IF($C$25&gt;=$C$67-2,$H$57*$N$100+($C$20+3*$C$21)*$N$101, "-")</f>
        <v>150.09956765143286</v>
      </c>
      <c r="K91" s="55">
        <f t="shared" si="2"/>
        <v>91</v>
      </c>
      <c r="L91" s="97" t="s">
        <v>375</v>
      </c>
      <c r="M91" s="106" t="str">
        <f>IF($C$25&gt;=8,"λj ≦ q+5pz &lt; λj+1 の wAj+1", "-")</f>
        <v>-</v>
      </c>
      <c r="N91" s="96" t="str">
        <f ca="1">IF($C$25&gt;=8, INDEX(INDIRECT($H$52&amp;"!B:B"), MATCH($N$51, INDIRECT($H$52&amp;"!A:A"), 0)),"-")</f>
        <v>-</v>
      </c>
    </row>
    <row r="92" spans="6:14" x14ac:dyDescent="0.4">
      <c r="F92" s="62" t="str">
        <f>IF($C$25&gt;=7,"内面溝5列目-トップ端 湾曲中心間Z距離", "-")</f>
        <v>-</v>
      </c>
      <c r="G92" s="65" t="s">
        <v>203</v>
      </c>
      <c r="H92" s="82" t="str">
        <f>IF($C$25&gt;=$C$67-1,$H$58*$N$100+($C$20+4*$C$21)*$N$101, "-")</f>
        <v>-</v>
      </c>
      <c r="K92" s="55">
        <f t="shared" si="2"/>
        <v>92</v>
      </c>
      <c r="L92" s="97" t="s">
        <v>376</v>
      </c>
      <c r="M92" s="106" t="s">
        <v>378</v>
      </c>
      <c r="N92" s="96">
        <f ca="1">INDEX(INDIRECT($H$52&amp;"!B:B"), MATCH($N$52, INDIRECT($H$52&amp;"!A:A"), 0))</f>
        <v>156.077</v>
      </c>
    </row>
    <row r="93" spans="6:14" x14ac:dyDescent="0.4">
      <c r="F93" s="62" t="str">
        <f>IF($C$25&gt;=8,"内面溝6列目-トップ端 湾曲中心間Z距離", "-")</f>
        <v>-</v>
      </c>
      <c r="G93" s="65" t="s">
        <v>203</v>
      </c>
      <c r="H93" s="82" t="str">
        <f>IF($C$25&gt;=$C$67-0,$H$59*$N$100+($C$20+5*$C$21)*$N$101, "-")</f>
        <v>-</v>
      </c>
      <c r="K93" s="55">
        <f t="shared" si="2"/>
        <v>93</v>
      </c>
      <c r="L93" s="97" t="s">
        <v>377</v>
      </c>
      <c r="M93" s="106" t="s">
        <v>379</v>
      </c>
      <c r="N93" s="96">
        <f ca="1">INDEX(INDIRECT($H$52&amp;"!B:B"), MATCH($N$53, INDIRECT($H$52&amp;"!A:A"), 0))</f>
        <v>155.98400000000001</v>
      </c>
    </row>
    <row r="94" spans="6:14" x14ac:dyDescent="0.4">
      <c r="F94" s="62" t="s">
        <v>475</v>
      </c>
      <c r="G94" s="65" t="s">
        <v>203</v>
      </c>
      <c r="H94" s="82">
        <f ca="1">$H$60*$N$100+($C$20+($C$25-2)*$C$21)*$N$101</f>
        <v>170.10575040537816</v>
      </c>
      <c r="K94" s="55">
        <f t="shared" si="2"/>
        <v>94</v>
      </c>
      <c r="L94" s="97" t="s">
        <v>390</v>
      </c>
      <c r="M94" s="106" t="s">
        <v>303</v>
      </c>
      <c r="N94" s="54">
        <f ca="1">$C$3+$H$70/2</f>
        <v>9001.201500000001</v>
      </c>
    </row>
    <row r="95" spans="6:14" x14ac:dyDescent="0.4">
      <c r="F95" s="62" t="s">
        <v>476</v>
      </c>
      <c r="G95" s="65" t="s">
        <v>203</v>
      </c>
      <c r="H95" s="82">
        <f ca="1">$H$61*$N$100+($C$20+($C$25-1)*$C$21)*$N$101</f>
        <v>190.11026532013003</v>
      </c>
      <c r="K95" s="55">
        <f t="shared" si="2"/>
        <v>95</v>
      </c>
      <c r="L95" s="97" t="s">
        <v>391</v>
      </c>
      <c r="M95" s="106" t="s">
        <v>304</v>
      </c>
      <c r="N95" s="54">
        <f ca="1">$C$3+$H$71/2</f>
        <v>9000.9963000000007</v>
      </c>
    </row>
    <row r="96" spans="6:14" x14ac:dyDescent="0.4">
      <c r="K96" s="55">
        <f t="shared" ref="K96:K103" si="3">ROW(K96)</f>
        <v>96</v>
      </c>
      <c r="L96" s="97" t="s">
        <v>394</v>
      </c>
      <c r="M96" s="106" t="s">
        <v>275</v>
      </c>
      <c r="N96" s="54">
        <f ca="1">SQRT($N$95^2-$N$30^2)</f>
        <v>8995.6564181061131</v>
      </c>
    </row>
    <row r="97" spans="11:14" x14ac:dyDescent="0.4">
      <c r="K97" s="55">
        <f t="shared" si="3"/>
        <v>97</v>
      </c>
      <c r="L97" s="97" t="s">
        <v>395</v>
      </c>
      <c r="M97" s="106" t="s">
        <v>275</v>
      </c>
      <c r="N97" s="54">
        <f ca="1">SQRT($N$94^2-$C$4^2)</f>
        <v>8992.3094054643298</v>
      </c>
    </row>
    <row r="98" spans="11:14" x14ac:dyDescent="0.4">
      <c r="K98" s="55">
        <f t="shared" si="3"/>
        <v>98</v>
      </c>
      <c r="L98" s="97" t="s">
        <v>263</v>
      </c>
      <c r="M98" s="106" t="s">
        <v>263</v>
      </c>
      <c r="N98" s="54">
        <f ca="1">IF($N$96&gt;$N$97, ($N$96-$N$97)/$C$20, 0)</f>
        <v>3.7189029353147718E-2</v>
      </c>
    </row>
    <row r="99" spans="11:14" x14ac:dyDescent="0.4">
      <c r="K99" s="55">
        <f t="shared" si="3"/>
        <v>99</v>
      </c>
      <c r="L99" s="97" t="s">
        <v>264</v>
      </c>
      <c r="M99" s="106" t="s">
        <v>231</v>
      </c>
      <c r="N99" s="54">
        <f ca="1">ATAN($N$98)</f>
        <v>3.7171899126953054E-2</v>
      </c>
    </row>
    <row r="100" spans="11:14" x14ac:dyDescent="0.4">
      <c r="K100" s="55">
        <f t="shared" si="3"/>
        <v>100</v>
      </c>
      <c r="L100" s="97" t="s">
        <v>474</v>
      </c>
      <c r="M100" s="106" t="s">
        <v>474</v>
      </c>
      <c r="N100" s="54">
        <f ca="1">SIN(RADIANS($H$73))</f>
        <v>3.7166950783010577E-2</v>
      </c>
    </row>
    <row r="101" spans="11:14" x14ac:dyDescent="0.4">
      <c r="K101" s="55">
        <f t="shared" si="3"/>
        <v>101</v>
      </c>
      <c r="L101" s="97" t="s">
        <v>473</v>
      </c>
      <c r="M101" s="106" t="s">
        <v>473</v>
      </c>
      <c r="N101" s="54">
        <f ca="1">COS(RADIANS($H$73))</f>
        <v>0.9993090701927474</v>
      </c>
    </row>
    <row r="102" spans="11:14" x14ac:dyDescent="0.4">
      <c r="K102" s="55">
        <f t="shared" si="3"/>
        <v>102</v>
      </c>
      <c r="L102" s="97" t="s">
        <v>392</v>
      </c>
      <c r="M102" s="106" t="s">
        <v>224</v>
      </c>
      <c r="N102" s="54">
        <f ca="1">$C$3-$H$71/2</f>
        <v>8844.4037000000008</v>
      </c>
    </row>
    <row r="103" spans="11:14" x14ac:dyDescent="0.4">
      <c r="K103" s="55">
        <f t="shared" si="3"/>
        <v>103</v>
      </c>
      <c r="L103" s="97" t="s">
        <v>393</v>
      </c>
      <c r="M103" s="106" t="s">
        <v>225</v>
      </c>
      <c r="N103" s="54">
        <f ca="1">$C$3-$H$72/2</f>
        <v>8844.6194000000014</v>
      </c>
    </row>
    <row r="104" spans="11:14" x14ac:dyDescent="0.4">
      <c r="K104" s="55">
        <f t="shared" si="2"/>
        <v>104</v>
      </c>
      <c r="L104" s="97" t="s">
        <v>396</v>
      </c>
      <c r="M104" s="106" t="s">
        <v>276</v>
      </c>
      <c r="N104" s="54">
        <f ca="1">SQRT($N$103^2-$N$37^2)</f>
        <v>8842.1260074066122</v>
      </c>
    </row>
    <row r="105" spans="11:14" x14ac:dyDescent="0.4">
      <c r="K105" s="55">
        <f t="shared" si="2"/>
        <v>105</v>
      </c>
      <c r="L105" s="97" t="s">
        <v>397</v>
      </c>
      <c r="M105" s="106" t="s">
        <v>276</v>
      </c>
      <c r="N105" s="54">
        <f ca="1">SQRT($N$102^2-$N$30^2)</f>
        <v>8838.9692164060452</v>
      </c>
    </row>
    <row r="106" spans="11:14" x14ac:dyDescent="0.4">
      <c r="K106" s="55">
        <f t="shared" si="2"/>
        <v>106</v>
      </c>
      <c r="L106" s="97" t="s">
        <v>265</v>
      </c>
      <c r="N106" s="54">
        <f ca="1">($N104-$N105)/($N$30-$N$37)</f>
        <v>3.1567910005669546E-2</v>
      </c>
    </row>
    <row r="107" spans="11:14" x14ac:dyDescent="0.4">
      <c r="K107" s="55">
        <f t="shared" si="2"/>
        <v>107</v>
      </c>
      <c r="L107" s="97" t="s">
        <v>266</v>
      </c>
      <c r="M107" s="106" t="s">
        <v>232</v>
      </c>
      <c r="N107" s="54">
        <f ca="1">ATAN($N$106)</f>
        <v>3.1557430117010586E-2</v>
      </c>
    </row>
    <row r="108" spans="11:14" x14ac:dyDescent="0.4">
      <c r="K108" s="55">
        <f>ROW(K108)</f>
        <v>108</v>
      </c>
      <c r="L108" s="97" t="s">
        <v>268</v>
      </c>
      <c r="M108" s="106" t="s">
        <v>236</v>
      </c>
      <c r="N108" s="54">
        <f>IF(MOD($C$25, 2)=0, $C$23, $C$24)</f>
        <v>102</v>
      </c>
    </row>
    <row r="109" spans="11:14" x14ac:dyDescent="0.4">
      <c r="K109" s="55">
        <f t="shared" si="2"/>
        <v>109</v>
      </c>
      <c r="L109" s="97" t="s">
        <v>267</v>
      </c>
      <c r="M109" s="106" t="s">
        <v>235</v>
      </c>
      <c r="N109" s="54">
        <f>IF(MOD($C$25, 2)=0, $C$24, $C$23)</f>
        <v>85</v>
      </c>
    </row>
    <row r="110" spans="11:14" x14ac:dyDescent="0.4">
      <c r="K110" s="55">
        <f t="shared" si="2"/>
        <v>110</v>
      </c>
      <c r="L110" s="97" t="s">
        <v>399</v>
      </c>
      <c r="M110" s="106" t="s">
        <v>278</v>
      </c>
      <c r="N110" s="54">
        <f ca="1">$H$70/2-$H$60-$N$108/2</f>
        <v>21.495936780292737</v>
      </c>
    </row>
    <row r="111" spans="11:14" x14ac:dyDescent="0.4">
      <c r="K111" s="55">
        <f t="shared" si="2"/>
        <v>111</v>
      </c>
      <c r="L111" s="97" t="s">
        <v>400</v>
      </c>
      <c r="M111" s="106" t="s">
        <v>279</v>
      </c>
      <c r="N111" s="54">
        <f ca="1">$H$70/2-$H$61-$N$109/2</f>
        <v>29.502662230977563</v>
      </c>
    </row>
    <row r="112" spans="11:14" x14ac:dyDescent="0.4">
      <c r="K112" s="55">
        <f t="shared" si="2"/>
        <v>112</v>
      </c>
      <c r="L112" s="97" t="s">
        <v>404</v>
      </c>
      <c r="M112" s="106" t="str">
        <f>IF($C$25&gt;=3,"λj ≦ q &lt; λj+1 の wBj", "-")</f>
        <v>λj ≦ q &lt; λj+1 の wBj</v>
      </c>
      <c r="N112" s="96">
        <f ca="1">IF($C$25&gt;=3, INDEX(INDIRECT($H$52&amp;"!C:C"), MATCH($N$38, INDIRECT($H$52&amp;"!A:A"), 0)),"-")</f>
        <v>154.501</v>
      </c>
    </row>
    <row r="113" spans="11:14" x14ac:dyDescent="0.4">
      <c r="K113" s="55">
        <f t="shared" si="2"/>
        <v>113</v>
      </c>
      <c r="L113" s="97" t="s">
        <v>405</v>
      </c>
      <c r="M113" s="106" t="str">
        <f>IF($C$25&gt;=4,"λj ≦ q+pz &lt; λj+1 の wBj", "-")</f>
        <v>λj ≦ q+pz &lt; λj+1 の wBj</v>
      </c>
      <c r="N113" s="96">
        <f ca="1">IF($C$25&gt;=4, INDEX(INDIRECT($H$52&amp;"!C:C"), MATCH($N$39, INDIRECT($H$52&amp;"!A:A"), 0)),"-")</f>
        <v>154.38900000000001</v>
      </c>
    </row>
    <row r="114" spans="11:14" x14ac:dyDescent="0.4">
      <c r="K114" s="55">
        <f t="shared" si="2"/>
        <v>114</v>
      </c>
      <c r="L114" s="97" t="s">
        <v>406</v>
      </c>
      <c r="M114" s="106" t="str">
        <f>IF($C$25&gt;=5,"λj ≦ q+2pz &lt; λj+1 の wBj", "-")</f>
        <v>λj ≦ q+2pz &lt; λj+1 の wBj</v>
      </c>
      <c r="N114" s="96">
        <f ca="1">IF($C$25&gt;=5, INDEX(INDIRECT($H$52&amp;"!C:C"), MATCH($N$40, INDIRECT($H$52&amp;"!A:A"), 0)),"-")</f>
        <v>154.27600000000001</v>
      </c>
    </row>
    <row r="115" spans="11:14" x14ac:dyDescent="0.4">
      <c r="K115" s="55">
        <f t="shared" si="2"/>
        <v>115</v>
      </c>
      <c r="L115" s="97" t="s">
        <v>407</v>
      </c>
      <c r="M115" s="106" t="str">
        <f>IF($C$25&gt;=6,"λj ≦ q+3pz &lt; λj+1 の wBj", "-")</f>
        <v>λj ≦ q+3pz &lt; λj+1 の wBj</v>
      </c>
      <c r="N115" s="96">
        <f ca="1">IF($C$25&gt;=6, INDEX(INDIRECT($H$52&amp;"!C:C"), MATCH($N$41, INDIRECT($H$52&amp;"!A:A"), 0)),"-")</f>
        <v>154.16399999999999</v>
      </c>
    </row>
    <row r="116" spans="11:14" x14ac:dyDescent="0.4">
      <c r="K116" s="55">
        <f t="shared" si="2"/>
        <v>116</v>
      </c>
      <c r="L116" s="97" t="s">
        <v>408</v>
      </c>
      <c r="M116" s="106" t="str">
        <f>IF($C$25&gt;=7,"λj ≦ q+4pz &lt; λj+1 の wBj", "-")</f>
        <v>-</v>
      </c>
      <c r="N116" s="96" t="str">
        <f ca="1">IF($C$25&gt;=7, INDEX(INDIRECT($H$52&amp;"!C:C"), MATCH($N$42, INDIRECT($H$52&amp;"!A:A"), 0)),"-")</f>
        <v>-</v>
      </c>
    </row>
    <row r="117" spans="11:14" x14ac:dyDescent="0.4">
      <c r="K117" s="55">
        <f t="shared" si="2"/>
        <v>117</v>
      </c>
      <c r="L117" s="97" t="s">
        <v>409</v>
      </c>
      <c r="M117" s="106" t="str">
        <f>IF($C$25&gt;=8,"λj ≦ q+5pz &lt; λj+1 の wBj", "-")</f>
        <v>-</v>
      </c>
      <c r="N117" s="96" t="str">
        <f ca="1">IF($C$25&gt;=8, INDEX(INDIRECT($H$52&amp;"!C:C"), MATCH($N$43, INDIRECT($H$52&amp;"!A:A"), 0)),"-")</f>
        <v>-</v>
      </c>
    </row>
    <row r="118" spans="11:14" x14ac:dyDescent="0.4">
      <c r="K118" s="55">
        <f t="shared" si="2"/>
        <v>118</v>
      </c>
      <c r="L118" s="97" t="s">
        <v>410</v>
      </c>
      <c r="M118" s="106" t="s">
        <v>420</v>
      </c>
      <c r="N118" s="96">
        <f ca="1">INDEX(INDIRECT($H$52&amp;"!C:C"), MATCH($N$44, INDIRECT($H$52&amp;"!A:A"), 0))</f>
        <v>154.16399999999999</v>
      </c>
    </row>
    <row r="119" spans="11:14" x14ac:dyDescent="0.4">
      <c r="K119" s="55">
        <f t="shared" si="2"/>
        <v>119</v>
      </c>
      <c r="L119" s="97" t="s">
        <v>411</v>
      </c>
      <c r="M119" s="106" t="s">
        <v>421</v>
      </c>
      <c r="N119" s="96">
        <f ca="1">INDEX(INDIRECT($H$52&amp;"!C:C"), MATCH($N$45, INDIRECT($H$52&amp;"!A:A"), 0))</f>
        <v>154.06299999999999</v>
      </c>
    </row>
    <row r="120" spans="11:14" x14ac:dyDescent="0.4">
      <c r="K120" s="55">
        <f t="shared" si="2"/>
        <v>120</v>
      </c>
      <c r="L120" s="97" t="s">
        <v>412</v>
      </c>
      <c r="M120" s="106" t="str">
        <f>IF($C$25&gt;=3,"λj ≦ q &lt; λj+1 の wBj+1", "-")</f>
        <v>λj ≦ q &lt; λj+1 の wBj+1</v>
      </c>
      <c r="N120" s="96">
        <f ca="1">IF($C$25&gt;=3, INDEX(INDIRECT($H$52&amp;"!C:C"), MATCH($N$46, INDIRECT($H$52&amp;"!A:A"), 0)),"-")</f>
        <v>154.38900000000001</v>
      </c>
    </row>
    <row r="121" spans="11:14" x14ac:dyDescent="0.4">
      <c r="K121" s="55">
        <f t="shared" si="2"/>
        <v>121</v>
      </c>
      <c r="L121" s="97" t="s">
        <v>413</v>
      </c>
      <c r="M121" s="106" t="str">
        <f>IF($C$25&gt;=4,"λj ≦ q+pz &lt; λj+1 の wBj+1", "-")</f>
        <v>λj ≦ q+pz &lt; λj+1 の wBj+1</v>
      </c>
      <c r="N121" s="96">
        <f ca="1">IF($C$25&gt;=4, INDEX(INDIRECT($H$52&amp;"!C:C"), MATCH($N$47, INDIRECT($H$52&amp;"!A:A"), 0)),"-")</f>
        <v>154.27600000000001</v>
      </c>
    </row>
    <row r="122" spans="11:14" x14ac:dyDescent="0.4">
      <c r="K122" s="55">
        <f t="shared" si="2"/>
        <v>122</v>
      </c>
      <c r="L122" s="97" t="s">
        <v>414</v>
      </c>
      <c r="M122" s="106" t="str">
        <f>IF($C$25&gt;=5,"λj ≦ q+2pz &lt; λj+1 の wBj+1", "-")</f>
        <v>λj ≦ q+2pz &lt; λj+1 の wBj+1</v>
      </c>
      <c r="N122" s="96">
        <f ca="1">IF($C$25&gt;=5, INDEX(INDIRECT($H$52&amp;"!C:C"), MATCH($N$48, INDIRECT($H$52&amp;"!A:A"), 0)),"-")</f>
        <v>154.16399999999999</v>
      </c>
    </row>
    <row r="123" spans="11:14" x14ac:dyDescent="0.4">
      <c r="K123" s="55">
        <f t="shared" si="2"/>
        <v>123</v>
      </c>
      <c r="L123" s="97" t="s">
        <v>415</v>
      </c>
      <c r="M123" s="106" t="str">
        <f>IF($C$25&gt;=6,"λj ≦ q+3pz &lt; λj+1 の wBj+1", "-")</f>
        <v>λj ≦ q+3pz &lt; λj+1 の wBj+1</v>
      </c>
      <c r="N123" s="96">
        <f ca="1">IF($C$25&gt;=6, INDEX(INDIRECT($H$52&amp;"!C:C"), MATCH($N$49, INDIRECT($H$52&amp;"!A:A"), 0)),"-")</f>
        <v>154.06299999999999</v>
      </c>
    </row>
    <row r="124" spans="11:14" x14ac:dyDescent="0.4">
      <c r="K124" s="55">
        <f t="shared" si="2"/>
        <v>124</v>
      </c>
      <c r="L124" s="97" t="s">
        <v>416</v>
      </c>
      <c r="M124" s="106" t="str">
        <f>IF($C$25&gt;=7,"λj ≦ q+4pz &lt; λj+1 の wBj+1", "-")</f>
        <v>-</v>
      </c>
      <c r="N124" s="96" t="str">
        <f ca="1">IF($C$25&gt;=7, INDEX(INDIRECT($H$52&amp;"!C:C"), MATCH($N$50, INDIRECT($H$52&amp;"!A:A"), 0)),"-")</f>
        <v>-</v>
      </c>
    </row>
    <row r="125" spans="11:14" x14ac:dyDescent="0.4">
      <c r="K125" s="55">
        <f t="shared" si="2"/>
        <v>125</v>
      </c>
      <c r="L125" s="97" t="s">
        <v>417</v>
      </c>
      <c r="M125" s="106" t="str">
        <f>IF($C$25&gt;=8,"λj ≦ q+5pz &lt; λj+1 の wBj+1", "-")</f>
        <v>-</v>
      </c>
      <c r="N125" s="96" t="str">
        <f ca="1">IF($C$25&gt;=8, INDEX(INDIRECT($H$52&amp;"!C:C"), MATCH($N$51, INDIRECT($H$52&amp;"!A:A"), 0)),"-")</f>
        <v>-</v>
      </c>
    </row>
    <row r="126" spans="11:14" x14ac:dyDescent="0.4">
      <c r="K126" s="55">
        <f t="shared" si="2"/>
        <v>126</v>
      </c>
      <c r="L126" s="97" t="s">
        <v>418</v>
      </c>
      <c r="M126" s="106" t="s">
        <v>422</v>
      </c>
      <c r="N126" s="54">
        <f ca="1">INDEX(INDIRECT($H$52&amp;"!C:C"), MATCH($N$52, INDIRECT($H$52&amp;"!A:A"), 0))</f>
        <v>154.06299999999999</v>
      </c>
    </row>
    <row r="127" spans="11:14" x14ac:dyDescent="0.4">
      <c r="K127" s="55">
        <f t="shared" si="2"/>
        <v>127</v>
      </c>
      <c r="L127" s="97" t="s">
        <v>419</v>
      </c>
      <c r="M127" s="106" t="s">
        <v>423</v>
      </c>
      <c r="N127" s="54">
        <f ca="1">INDEX(INDIRECT($H$52&amp;"!C:C"), MATCH($N$53, INDIRECT($H$52&amp;"!A:A"), 0))</f>
        <v>153.97200000000001</v>
      </c>
    </row>
    <row r="128" spans="11:14" x14ac:dyDescent="0.4">
      <c r="K128" s="55">
        <f t="shared" si="2"/>
        <v>128</v>
      </c>
      <c r="L128" s="97" t="s">
        <v>440</v>
      </c>
      <c r="M128" s="107" t="str">
        <f>IF($C$25&gt;=4,"2列目AC内径（水平・めっき含・概算）","-")</f>
        <v>2列目AC内径（水平・めっき含・概算）</v>
      </c>
      <c r="N128" s="96">
        <f ca="1">IF($C$25&gt;=4,($N$55*$N$87+$N$63*$N$79)/($N$47-$N$39)+$C$31*2,"-")</f>
        <v>156.50139999999999</v>
      </c>
    </row>
    <row r="129" spans="11:14" x14ac:dyDescent="0.4">
      <c r="K129" s="55">
        <f t="shared" si="2"/>
        <v>129</v>
      </c>
      <c r="L129" s="97" t="s">
        <v>441</v>
      </c>
      <c r="M129" s="107" t="str">
        <f>IF($C$25&gt;=5,"3列目AC内径（水平・めっき含・概算）","-")</f>
        <v>3列目AC内径（水平・めっき含・概算）</v>
      </c>
      <c r="N129" s="96">
        <f ca="1">IF($C$25&gt;=5,($N$56*$N$88+$N$64*$N$80)/($N$48-$N$40)+$C$31*2,"-")</f>
        <v>156.4102</v>
      </c>
    </row>
    <row r="130" spans="11:14" x14ac:dyDescent="0.4">
      <c r="K130" s="55">
        <f t="shared" si="2"/>
        <v>130</v>
      </c>
      <c r="L130" s="97" t="s">
        <v>442</v>
      </c>
      <c r="M130" s="107" t="str">
        <f>IF($C$25&gt;=6,"4列目AC内径（水平・めっき含・概算）","-")</f>
        <v>4列目AC内径（水平・めっき含・概算）</v>
      </c>
      <c r="N130" s="96">
        <f ca="1">IF($C$25&gt;=6,($N$57*$N$89+$N$65*$N$81)/($N$49-$N$41)+$C$31*2,"-")</f>
        <v>156.31899999999999</v>
      </c>
    </row>
    <row r="131" spans="11:14" x14ac:dyDescent="0.4">
      <c r="K131" s="55">
        <f t="shared" si="2"/>
        <v>131</v>
      </c>
      <c r="L131" s="97" t="s">
        <v>443</v>
      </c>
      <c r="M131" s="107" t="str">
        <f>IF($C$25&gt;=7,"5列目AC内径（水平・めっき含・概算）","-")</f>
        <v>-</v>
      </c>
      <c r="N131" s="96" t="str">
        <f>IF($C$25&gt;=7,($N$58*$N$90+$N$66*$N$82)/($N$50-$N$42)+$C$31*2,"-")</f>
        <v>-</v>
      </c>
    </row>
    <row r="132" spans="11:14" x14ac:dyDescent="0.4">
      <c r="K132" s="55">
        <f t="shared" si="2"/>
        <v>132</v>
      </c>
      <c r="L132" s="97" t="s">
        <v>444</v>
      </c>
      <c r="M132" s="107" t="str">
        <f>IF($C$25&gt;=8,"6列目AC内径（水平・めっき含・概算）","-")</f>
        <v>-</v>
      </c>
      <c r="N132" s="96" t="str">
        <f>IF($C$25&gt;=8,($N$59*$N$91+$N$67*$N$83)/($N$51-$N$43)+$C$31*2,"-")</f>
        <v>-</v>
      </c>
    </row>
    <row r="133" spans="11:14" x14ac:dyDescent="0.4">
      <c r="K133" s="55">
        <f t="shared" si="2"/>
        <v>133</v>
      </c>
      <c r="L133" s="97" t="s">
        <v>445</v>
      </c>
      <c r="M133" s="107" t="s">
        <v>430</v>
      </c>
      <c r="N133" s="54">
        <f ca="1">($N$60*$N$92+$N$68*$N$84)/($N$52-$N$44)+$C$31*2</f>
        <v>156.23739999999998</v>
      </c>
    </row>
    <row r="134" spans="11:14" x14ac:dyDescent="0.4">
      <c r="K134" s="55">
        <f t="shared" si="2"/>
        <v>134</v>
      </c>
      <c r="L134" s="97" t="s">
        <v>386</v>
      </c>
      <c r="M134" s="107" t="s">
        <v>432</v>
      </c>
      <c r="N134" s="54">
        <f ca="1">INDEX(INDIRECT($H$52&amp;"!C:C"), MATCH(0, INDIRECT($H$52&amp;"!A:A"), 0))+$C$31*2</f>
        <v>154.97899999999998</v>
      </c>
    </row>
    <row r="135" spans="11:14" x14ac:dyDescent="0.4">
      <c r="K135" s="55">
        <f t="shared" si="2"/>
        <v>135</v>
      </c>
      <c r="L135" s="97" t="s">
        <v>429</v>
      </c>
      <c r="M135" s="107" t="str">
        <f>IF($C$25&gt;=3,"1列目 BD内径（めっき含・概算）","-")</f>
        <v>1列目 BD内径（めっき含・概算）</v>
      </c>
      <c r="N135" s="96">
        <f ca="1">IF($C$25&gt;=3,($N$54*$N$120+$N$62*$N$112)/($N$46-$N$38)+$C$31*2,"-")</f>
        <v>154.57380000000001</v>
      </c>
    </row>
    <row r="136" spans="11:14" x14ac:dyDescent="0.4">
      <c r="K136" s="55">
        <f t="shared" si="2"/>
        <v>136</v>
      </c>
      <c r="L136" s="97" t="s">
        <v>434</v>
      </c>
      <c r="M136" s="107" t="str">
        <f>IF($C$25&gt;=4,"2列目 BD内径（めっき含・概算）","-")</f>
        <v>2列目 BD内径（めっき含・概算）</v>
      </c>
      <c r="N136" s="96">
        <f ca="1">IF($C$25&gt;=4,($N$55*$N$121+$N$63*$N$113)/($N$47-$N$39)+$C$31*2,"-")</f>
        <v>154.4838</v>
      </c>
    </row>
    <row r="137" spans="11:14" x14ac:dyDescent="0.4">
      <c r="K137" s="55">
        <f t="shared" si="2"/>
        <v>137</v>
      </c>
      <c r="L137" s="97" t="s">
        <v>435</v>
      </c>
      <c r="M137" s="107" t="str">
        <f>IF($C$25&gt;=5,"3列目 BD内径（めっき含・概算）","-")</f>
        <v>3列目 BD内径（めっき含・概算）</v>
      </c>
      <c r="N137" s="96">
        <f ca="1">IF($C$25&gt;=5,($N$56*$N$122+$N$64*$N$114)/($N$48-$N$40)+$C$31*2,"-")</f>
        <v>154.39359999999999</v>
      </c>
    </row>
    <row r="138" spans="11:14" x14ac:dyDescent="0.4">
      <c r="K138" s="55">
        <f t="shared" si="2"/>
        <v>138</v>
      </c>
      <c r="L138" s="97" t="s">
        <v>436</v>
      </c>
      <c r="M138" s="107" t="str">
        <f>IF($C$25&gt;=6,"4列目 BD内径（めっき含・概算）","-")</f>
        <v>4列目 BD内径（めっき含・概算）</v>
      </c>
      <c r="N138" s="96">
        <f ca="1">IF($C$25&gt;=6,($N$57*$N$123+$N$65*$N$115)/($N$49-$N$41)+$C$31*2,"-")</f>
        <v>154.30399999999997</v>
      </c>
    </row>
    <row r="139" spans="11:14" x14ac:dyDescent="0.4">
      <c r="K139" s="55">
        <f t="shared" si="2"/>
        <v>139</v>
      </c>
      <c r="L139" s="97" t="s">
        <v>437</v>
      </c>
      <c r="M139" s="107" t="str">
        <f>IF($C$25&gt;=7,"5列目 BD内径（めっき含・概算）","-")</f>
        <v>-</v>
      </c>
      <c r="N139" s="96" t="str">
        <f>IF($C$25&gt;=7,($N$58*$N$124+$N$66*$N$116)/($N$50-$N$42)+$C$31*2,"-")</f>
        <v>-</v>
      </c>
    </row>
    <row r="140" spans="11:14" x14ac:dyDescent="0.4">
      <c r="K140" s="55">
        <f t="shared" si="2"/>
        <v>140</v>
      </c>
      <c r="L140" s="97" t="s">
        <v>438</v>
      </c>
      <c r="M140" s="107" t="str">
        <f>IF($C$25&gt;=8,"6列目 BD内径（めっき含・概算）","-")</f>
        <v>-</v>
      </c>
      <c r="N140" s="96" t="str">
        <f>IF($C$25&gt;=8,($N$59*$N$125+$N$67*$N$117)/($N$51-$N$43)+$C$31*2,"-")</f>
        <v>-</v>
      </c>
    </row>
    <row r="141" spans="11:14" x14ac:dyDescent="0.4">
      <c r="K141" s="55">
        <f t="shared" si="2"/>
        <v>141</v>
      </c>
      <c r="L141" s="97" t="s">
        <v>439</v>
      </c>
      <c r="M141" s="107" t="s">
        <v>433</v>
      </c>
      <c r="N141" s="54">
        <f ca="1">($N$60*$N$126+$N$68*$N$118)/($N$52-$N$44)+$C$31*2</f>
        <v>154.22319999999999</v>
      </c>
    </row>
    <row r="142" spans="11:14" x14ac:dyDescent="0.4">
      <c r="K142" s="55">
        <f t="shared" si="2"/>
        <v>142</v>
      </c>
    </row>
    <row r="143" spans="11:14" x14ac:dyDescent="0.4">
      <c r="K143" s="55">
        <f t="shared" si="2"/>
        <v>143</v>
      </c>
    </row>
    <row r="144" spans="11:14" x14ac:dyDescent="0.4">
      <c r="K144" s="55">
        <f t="shared" si="2"/>
        <v>144</v>
      </c>
    </row>
    <row r="145" spans="11:14" x14ac:dyDescent="0.4">
      <c r="K145" s="55">
        <f t="shared" si="2"/>
        <v>145</v>
      </c>
      <c r="L145" s="97" t="s">
        <v>269</v>
      </c>
      <c r="N145" s="54">
        <f>C6^2+(2*N9)^2</f>
        <v>384450.50566139817</v>
      </c>
    </row>
    <row r="146" spans="11:14" x14ac:dyDescent="0.4">
      <c r="K146" s="55">
        <f t="shared" si="2"/>
        <v>146</v>
      </c>
      <c r="L146" s="97" t="s">
        <v>270</v>
      </c>
      <c r="M146" s="106" t="s">
        <v>109</v>
      </c>
      <c r="N146" s="54">
        <f>SQRT(N145)</f>
        <v>620.04072903430961</v>
      </c>
    </row>
    <row r="147" spans="11:14" x14ac:dyDescent="0.4">
      <c r="K147" s="55">
        <f t="shared" si="2"/>
        <v>147</v>
      </c>
      <c r="L147" s="97" t="s">
        <v>144</v>
      </c>
      <c r="M147" s="106" t="s">
        <v>110</v>
      </c>
      <c r="N147" s="54">
        <f>2*N9/N146</f>
        <v>0.99993431232433228</v>
      </c>
    </row>
    <row r="148" spans="11:14" x14ac:dyDescent="0.4">
      <c r="K148" s="55">
        <f t="shared" si="2"/>
        <v>148</v>
      </c>
      <c r="L148" s="97" t="s">
        <v>145</v>
      </c>
      <c r="M148" s="106" t="s">
        <v>111</v>
      </c>
      <c r="N148" s="54">
        <f>C6/N146</f>
        <v>1.1461720484501746E-2</v>
      </c>
    </row>
    <row r="149" spans="11:14" x14ac:dyDescent="0.4">
      <c r="K149" s="55">
        <f t="shared" si="2"/>
        <v>149</v>
      </c>
      <c r="L149" s="97" t="s">
        <v>271</v>
      </c>
      <c r="N149" s="54">
        <f>SQRT(N8^2-(N9-N12)^2)</f>
        <v>8727.6739192066525</v>
      </c>
    </row>
    <row r="150" spans="11:14" x14ac:dyDescent="0.4">
      <c r="K150" s="55">
        <f t="shared" si="2"/>
        <v>150</v>
      </c>
      <c r="L150" s="97" t="s">
        <v>272</v>
      </c>
      <c r="N150" s="54">
        <f>SQRT(N8^2-(N9+N12)^2)</f>
        <v>8720.5671856823628</v>
      </c>
    </row>
    <row r="151" spans="11:14" x14ac:dyDescent="0.4">
      <c r="K151" s="55">
        <f t="shared" si="2"/>
        <v>151</v>
      </c>
      <c r="L151" s="97" t="s">
        <v>273</v>
      </c>
      <c r="N151" s="54">
        <f>N12*N9</f>
        <v>31000</v>
      </c>
    </row>
    <row r="152" spans="11:14" x14ac:dyDescent="0.4">
      <c r="K152" s="55">
        <f t="shared" si="2"/>
        <v>152</v>
      </c>
      <c r="L152" s="97" t="s">
        <v>274</v>
      </c>
      <c r="N152" s="54">
        <f>SQRT(N8^2-N145/4)</f>
        <v>8724.693657291622</v>
      </c>
    </row>
    <row r="153" spans="11:14" x14ac:dyDescent="0.4">
      <c r="K153" s="55">
        <f t="shared" si="2"/>
        <v>153</v>
      </c>
      <c r="L153" s="97" t="s">
        <v>155</v>
      </c>
      <c r="N153" s="54">
        <f>N152*N147</f>
        <v>8724.1205524443612</v>
      </c>
    </row>
    <row r="154" spans="11:14" x14ac:dyDescent="0.4">
      <c r="K154" s="55">
        <f t="shared" si="2"/>
        <v>154</v>
      </c>
      <c r="L154" s="97" t="s">
        <v>156</v>
      </c>
      <c r="M154" s="106" t="s">
        <v>107</v>
      </c>
      <c r="N154" s="54">
        <f>N152*N148</f>
        <v>100.00000001278184</v>
      </c>
    </row>
    <row r="155" spans="11:14" x14ac:dyDescent="0.4">
      <c r="K155" s="55">
        <f t="shared" ref="K155" si="4">ROW(K155)</f>
        <v>155</v>
      </c>
      <c r="L155" s="97" t="s">
        <v>122</v>
      </c>
      <c r="M155" s="106" t="s">
        <v>106</v>
      </c>
      <c r="N155" s="54">
        <f>C6/2+N7-N153</f>
        <v>4.12719521204599</v>
      </c>
    </row>
    <row r="170" spans="12:14" x14ac:dyDescent="0.4">
      <c r="L170" s="106"/>
      <c r="M170" s="107"/>
      <c r="N170" s="53"/>
    </row>
  </sheetData>
  <phoneticPr fontId="1"/>
  <conditionalFormatting sqref="C3">
    <cfRule type="expression" dxfId="0" priority="123">
      <formula>$C$3&gt;2*N151</formula>
    </cfRule>
  </conditionalFormatting>
  <conditionalFormatting sqref="C4">
    <cfRule type="expression" dxfId="37" priority="43">
      <formula>C4&lt;0</formula>
    </cfRule>
  </conditionalFormatting>
  <conditionalFormatting sqref="C6">
    <cfRule type="expression" dxfId="36" priority="19">
      <formula>$C$6&lt;0</formula>
    </cfRule>
  </conditionalFormatting>
  <conditionalFormatting sqref="C9">
    <cfRule type="expression" dxfId="35" priority="47">
      <formula>$C$9&lt;=0</formula>
    </cfRule>
  </conditionalFormatting>
  <conditionalFormatting sqref="C10:C11">
    <cfRule type="expression" dxfId="34" priority="20">
      <formula>$C$10&lt;0</formula>
    </cfRule>
  </conditionalFormatting>
  <conditionalFormatting sqref="C15">
    <cfRule type="expression" dxfId="33" priority="98">
      <formula>OR(C15&lt;=0, C15&gt;Q2)</formula>
    </cfRule>
  </conditionalFormatting>
  <conditionalFormatting sqref="C35">
    <cfRule type="expression" dxfId="32" priority="42">
      <formula>C35&lt;0</formula>
    </cfRule>
  </conditionalFormatting>
  <conditionalFormatting sqref="C36">
    <cfRule type="expression" dxfId="31" priority="57">
      <formula>OR($C$36&lt;0, $C$36&gt;=$C$9)</formula>
    </cfRule>
  </conditionalFormatting>
  <conditionalFormatting sqref="C37">
    <cfRule type="expression" dxfId="30" priority="16">
      <formula>OR($C$37&lt;0, $C$37&gt;=$C$10)</formula>
    </cfRule>
  </conditionalFormatting>
  <conditionalFormatting sqref="C38">
    <cfRule type="expression" dxfId="29" priority="120">
      <formula>OR(C38&lt;0, C38&gt;=C9)</formula>
    </cfRule>
  </conditionalFormatting>
  <conditionalFormatting sqref="C39">
    <cfRule type="expression" dxfId="28" priority="127">
      <formula>OR(C39&lt;0, C39&gt;=C4)</formula>
    </cfRule>
  </conditionalFormatting>
  <conditionalFormatting sqref="C42">
    <cfRule type="expression" dxfId="27" priority="128">
      <formula>OR(C42&lt;0, C42&gt;=C4)</formula>
    </cfRule>
  </conditionalFormatting>
  <conditionalFormatting sqref="C59">
    <cfRule type="expression" dxfId="26" priority="51">
      <formula>AND(C59&lt;&gt;330, C59&lt;&gt;270, C59&lt;&gt;250)</formula>
    </cfRule>
  </conditionalFormatting>
  <conditionalFormatting sqref="C60">
    <cfRule type="expression" dxfId="25" priority="50">
      <formula>C60&lt;&gt;40</formula>
    </cfRule>
  </conditionalFormatting>
  <conditionalFormatting sqref="C63">
    <cfRule type="expression" dxfId="24" priority="27">
      <formula>OR(C63&gt;0, ABS(ABS(C63)-740)&gt;=1)</formula>
    </cfRule>
  </conditionalFormatting>
  <conditionalFormatting sqref="C64">
    <cfRule type="expression" dxfId="23" priority="40">
      <formula>OR(C64&gt;0, ABS(ABS(C64)-550)&gt;=1)</formula>
    </cfRule>
  </conditionalFormatting>
  <conditionalFormatting sqref="C65">
    <cfRule type="expression" dxfId="22" priority="33">
      <formula>OR(C65&gt;0, ABS(ABS(C65)-1150)&gt;=1)</formula>
    </cfRule>
  </conditionalFormatting>
  <conditionalFormatting sqref="C66">
    <cfRule type="expression" dxfId="21" priority="39">
      <formula>OR(ABS(C66)&gt;=0.2)</formula>
    </cfRule>
  </conditionalFormatting>
  <conditionalFormatting sqref="H48">
    <cfRule type="expression" dxfId="20" priority="23">
      <formula>OR($H$48&lt;=1, INT($H$48)&lt;&gt;$H$48)</formula>
    </cfRule>
  </conditionalFormatting>
  <conditionalFormatting sqref="H52">
    <cfRule type="expression" dxfId="19" priority="15">
      <formula>ISERROR(INDIRECT($H$52&amp;"!$G$45"))</formula>
    </cfRule>
  </conditionalFormatting>
  <conditionalFormatting sqref="C25">
    <cfRule type="expression" dxfId="18" priority="236">
      <formula>OR(C25-QUOTIENT(C25,1)&lt;&gt;0, C25&lt;0, C25&gt;$C$67)</formula>
    </cfRule>
  </conditionalFormatting>
  <conditionalFormatting sqref="H50">
    <cfRule type="expression" dxfId="17" priority="11">
      <formula>$H$50&lt;0</formula>
    </cfRule>
  </conditionalFormatting>
  <conditionalFormatting sqref="H78 H51:H52 H54:H72">
    <cfRule type="expression" dxfId="16" priority="10">
      <formula>$H$51&lt;0</formula>
    </cfRule>
  </conditionalFormatting>
  <conditionalFormatting sqref="C23">
    <cfRule type="expression" dxfId="15" priority="254">
      <formula>OR($C$23&lt;=0, MOD($C$23,$C$22)&lt;&gt;0, $C$23&gt;=#REF!)</formula>
    </cfRule>
  </conditionalFormatting>
  <conditionalFormatting sqref="C26">
    <cfRule type="expression" dxfId="14" priority="262">
      <formula>OR($C$26&lt;=0, $C$26&gt;=MIN($C$23, $C$24))</formula>
    </cfRule>
  </conditionalFormatting>
  <conditionalFormatting sqref="N128:N133">
    <cfRule type="expression" dxfId="13" priority="9">
      <formula>$H$51&lt;0</formula>
    </cfRule>
  </conditionalFormatting>
  <conditionalFormatting sqref="N134:N141">
    <cfRule type="expression" dxfId="12" priority="8">
      <formula>$H$51&lt;0</formula>
    </cfRule>
  </conditionalFormatting>
  <conditionalFormatting sqref="C16">
    <cfRule type="expression" dxfId="11" priority="274">
      <formula>OR(C16&lt;=0, C16+C15&gt;Q2)</formula>
    </cfRule>
  </conditionalFormatting>
  <conditionalFormatting sqref="G1:G1048576">
    <cfRule type="expression" dxfId="10" priority="3">
      <formula>G1="X"</formula>
    </cfRule>
    <cfRule type="expression" dxfId="9" priority="4">
      <formula>G1="Y"</formula>
    </cfRule>
    <cfRule type="expression" dxfId="8" priority="5">
      <formula>G1="Z"</formula>
    </cfRule>
    <cfRule type="expression" dxfId="7" priority="6">
      <formula>G1="B"</formula>
    </cfRule>
  </conditionalFormatting>
  <conditionalFormatting sqref="H80:H95">
    <cfRule type="expression" dxfId="6" priority="2">
      <formula>$H$51&lt;0</formula>
    </cfRule>
  </conditionalFormatting>
  <conditionalFormatting sqref="C13">
    <cfRule type="expression" dxfId="5" priority="276">
      <formula>OR($C$13&gt;=$C$9, $C$13&gt;=$C$40)</formula>
    </cfRule>
  </conditionalFormatting>
  <conditionalFormatting sqref="C14">
    <cfRule type="expression" dxfId="4" priority="277">
      <formula>OR($C$14&gt;=$C$10, $C$14&gt;=$C$40)</formula>
    </cfRule>
  </conditionalFormatting>
  <conditionalFormatting sqref="C17">
    <cfRule type="expression" dxfId="3" priority="278">
      <formula>OR($C$17&lt;=0, $C$17&gt;=($C$9-#REF!)/2, $C$17&gt;=($C$36-#REF!)/2)</formula>
    </cfRule>
  </conditionalFormatting>
  <conditionalFormatting sqref="H77">
    <cfRule type="expression" dxfId="2" priority="279">
      <formula>$H$77&lt;=$C$27/2+$C$28</formula>
    </cfRule>
  </conditionalFormatting>
  <conditionalFormatting sqref="C27">
    <cfRule type="expression" dxfId="1" priority="1">
      <formula>OR($C$27&lt;=0, $C$27&gt;$C$26)</formula>
    </cfRule>
  </conditionalFormatting>
  <dataValidations count="1">
    <dataValidation imeMode="disabled" allowBlank="1" showInputMessage="1" showErrorMessage="1" sqref="C58:C67 H78 N128:N141 C47:C50 C53:C56 H54:H72 H80:H95 G1:G1048576 C3:C32" xr:uid="{5A8FA8E9-E7FC-48D2-B40E-E90D3C7D1F03}"/>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0976C-0F09-4552-BA6B-234A6F953E2B}">
  <sheetPr codeName="Sheet17"/>
  <dimension ref="A1:O42"/>
  <sheetViews>
    <sheetView workbookViewId="0">
      <selection activeCell="B5" sqref="B5"/>
    </sheetView>
  </sheetViews>
  <sheetFormatPr defaultRowHeight="15" x14ac:dyDescent="0.4"/>
  <cols>
    <col min="1" max="1" width="5" style="92" bestFit="1" customWidth="1"/>
    <col min="2" max="3" width="7.75" style="93" bestFit="1" customWidth="1"/>
    <col min="4" max="4" width="6" style="92" bestFit="1" customWidth="1"/>
    <col min="5" max="5" width="6.875" style="94" bestFit="1" customWidth="1"/>
    <col min="6" max="6" width="7" style="94" bestFit="1" customWidth="1"/>
    <col min="7" max="7" width="7.625" style="94" bestFit="1" customWidth="1"/>
    <col min="8" max="8" width="6" style="92" bestFit="1" customWidth="1"/>
    <col min="9" max="10" width="5.875" style="92" bestFit="1" customWidth="1"/>
    <col min="11" max="11" width="5.625" style="92" bestFit="1" customWidth="1"/>
    <col min="12" max="13" width="8" style="92" bestFit="1" customWidth="1"/>
    <col min="14" max="14" width="6" style="92" bestFit="1" customWidth="1"/>
    <col min="15" max="15" width="8.625" style="93" customWidth="1"/>
    <col min="16" max="16384" width="9" style="92"/>
  </cols>
  <sheetData>
    <row r="1" spans="1:14" x14ac:dyDescent="0.4">
      <c r="A1" s="92" t="s">
        <v>284</v>
      </c>
      <c r="B1" s="93" t="s">
        <v>285</v>
      </c>
      <c r="C1" s="93" t="s">
        <v>286</v>
      </c>
      <c r="D1" s="92" t="s">
        <v>287</v>
      </c>
      <c r="E1" s="94" t="s">
        <v>288</v>
      </c>
      <c r="F1" s="94" t="s">
        <v>289</v>
      </c>
      <c r="G1" s="94" t="s">
        <v>290</v>
      </c>
      <c r="H1" s="92" t="s">
        <v>291</v>
      </c>
      <c r="I1" s="92" t="s">
        <v>292</v>
      </c>
      <c r="J1" s="92" t="s">
        <v>293</v>
      </c>
      <c r="K1" s="92" t="s">
        <v>294</v>
      </c>
      <c r="L1" s="92" t="s">
        <v>295</v>
      </c>
      <c r="M1" s="92" t="s">
        <v>295</v>
      </c>
      <c r="N1" s="92" t="s">
        <v>296</v>
      </c>
    </row>
    <row r="2" spans="1:14" x14ac:dyDescent="0.4">
      <c r="A2" s="92">
        <v>0</v>
      </c>
      <c r="B2" s="93">
        <v>156.863</v>
      </c>
      <c r="C2" s="93">
        <v>154.839</v>
      </c>
      <c r="D2" s="93">
        <f>4.5-$A2/$A$42</f>
        <v>4.5</v>
      </c>
      <c r="E2" s="94" t="s">
        <v>197</v>
      </c>
      <c r="F2" s="94" t="s">
        <v>197</v>
      </c>
      <c r="G2" s="94" t="s">
        <v>197</v>
      </c>
      <c r="H2" s="95">
        <v>7.0000000000000007E-2</v>
      </c>
      <c r="I2" s="92" t="str">
        <f>IF($A2="","","a"&amp;$A2)</f>
        <v>a0</v>
      </c>
      <c r="J2" s="92" t="str">
        <f>IF($A2="","","b"&amp;$A2)</f>
        <v>b0</v>
      </c>
      <c r="K2" s="92" t="str">
        <f>IF($A2="","","r"&amp;$A2)</f>
        <v>r0</v>
      </c>
      <c r="L2" s="93">
        <f t="shared" ref="L2:M42" si="0">IF($A2="","",B2+$H$2*2)</f>
        <v>157.00299999999999</v>
      </c>
      <c r="M2" s="93">
        <f t="shared" si="0"/>
        <v>154.97899999999998</v>
      </c>
      <c r="N2" s="93">
        <f t="shared" ref="N2:N42" si="1">IF($A2="","",D2+$H$2)</f>
        <v>4.57</v>
      </c>
    </row>
    <row r="3" spans="1:14" x14ac:dyDescent="0.4">
      <c r="A3" s="92">
        <v>25</v>
      </c>
      <c r="B3" s="93">
        <v>156.749</v>
      </c>
      <c r="C3" s="93">
        <v>154.726</v>
      </c>
      <c r="D3" s="93">
        <f>4.5-$A3/$A$42</f>
        <v>4.4749999999999996</v>
      </c>
      <c r="E3" s="94">
        <f t="shared" ref="E3:F18" si="2">IF($A3="","",(B2-B3)*1000/(B2*($A3-$A2))*100)</f>
        <v>2.9069952761327866</v>
      </c>
      <c r="F3" s="94">
        <f t="shared" si="2"/>
        <v>2.9191611932394177</v>
      </c>
      <c r="G3" s="94">
        <f>AVERAGE(E3,F3)</f>
        <v>2.9130782346861022</v>
      </c>
      <c r="I3" s="92" t="str">
        <f t="shared" ref="I3:I42" si="3">IF($A3="","","a"&amp;$A3)</f>
        <v>a25</v>
      </c>
      <c r="J3" s="92" t="str">
        <f t="shared" ref="J3:J42" si="4">IF($A3="","","b"&amp;$A3)</f>
        <v>b25</v>
      </c>
      <c r="K3" s="92" t="str">
        <f t="shared" ref="K3:K42" si="5">IF($A3="","","r"&amp;$A3)</f>
        <v>r25</v>
      </c>
      <c r="L3" s="93">
        <f t="shared" si="0"/>
        <v>156.88899999999998</v>
      </c>
      <c r="M3" s="93">
        <f t="shared" si="0"/>
        <v>154.86599999999999</v>
      </c>
      <c r="N3" s="93">
        <f t="shared" si="1"/>
        <v>4.5449999999999999</v>
      </c>
    </row>
    <row r="4" spans="1:14" x14ac:dyDescent="0.4">
      <c r="A4" s="92">
        <v>50</v>
      </c>
      <c r="B4" s="93">
        <v>156.63499999999999</v>
      </c>
      <c r="C4" s="93">
        <v>154.614</v>
      </c>
      <c r="D4" s="93">
        <f t="shared" ref="D4:D42" si="6">4.5-$A4/$A$42</f>
        <v>4.45</v>
      </c>
      <c r="E4" s="94">
        <f t="shared" si="2"/>
        <v>2.9091094680030958</v>
      </c>
      <c r="F4" s="94">
        <f t="shared" si="2"/>
        <v>2.8954409730748489</v>
      </c>
      <c r="G4" s="94">
        <f t="shared" ref="G4:G42" si="7">AVERAGE(E4,F4)</f>
        <v>2.9022752205389724</v>
      </c>
      <c r="I4" s="92" t="str">
        <f t="shared" si="3"/>
        <v>a50</v>
      </c>
      <c r="J4" s="92" t="str">
        <f t="shared" si="4"/>
        <v>b50</v>
      </c>
      <c r="K4" s="92" t="str">
        <f t="shared" si="5"/>
        <v>r50</v>
      </c>
      <c r="L4" s="93">
        <f t="shared" si="0"/>
        <v>156.77499999999998</v>
      </c>
      <c r="M4" s="93">
        <f t="shared" si="0"/>
        <v>154.75399999999999</v>
      </c>
      <c r="N4" s="93">
        <f t="shared" si="1"/>
        <v>4.5200000000000005</v>
      </c>
    </row>
    <row r="5" spans="1:14" x14ac:dyDescent="0.4">
      <c r="A5" s="92">
        <v>75</v>
      </c>
      <c r="B5" s="93">
        <v>156.52099999999999</v>
      </c>
      <c r="C5" s="93">
        <v>154.501</v>
      </c>
      <c r="D5" s="93">
        <f t="shared" si="6"/>
        <v>4.4249999999999998</v>
      </c>
      <c r="E5" s="94">
        <f t="shared" si="2"/>
        <v>2.9112267373193559</v>
      </c>
      <c r="F5" s="94">
        <f t="shared" si="2"/>
        <v>2.9234092643615597</v>
      </c>
      <c r="G5" s="94">
        <f t="shared" si="7"/>
        <v>2.9173180008404578</v>
      </c>
      <c r="I5" s="92" t="str">
        <f t="shared" si="3"/>
        <v>a75</v>
      </c>
      <c r="J5" s="92" t="str">
        <f t="shared" si="4"/>
        <v>b75</v>
      </c>
      <c r="K5" s="92" t="str">
        <f t="shared" si="5"/>
        <v>r75</v>
      </c>
      <c r="L5" s="93">
        <f t="shared" si="0"/>
        <v>156.66099999999997</v>
      </c>
      <c r="M5" s="93">
        <f t="shared" si="0"/>
        <v>154.64099999999999</v>
      </c>
      <c r="N5" s="93">
        <f t="shared" si="1"/>
        <v>4.4950000000000001</v>
      </c>
    </row>
    <row r="6" spans="1:14" x14ac:dyDescent="0.4">
      <c r="A6" s="92">
        <v>100</v>
      </c>
      <c r="B6" s="93">
        <v>156.40700000000001</v>
      </c>
      <c r="C6" s="93">
        <v>154.38900000000001</v>
      </c>
      <c r="D6" s="93">
        <f t="shared" si="6"/>
        <v>4.4000000000000004</v>
      </c>
      <c r="E6" s="94">
        <f t="shared" si="2"/>
        <v>2.9133470908050909</v>
      </c>
      <c r="F6" s="94">
        <f t="shared" si="2"/>
        <v>2.8996576073939915</v>
      </c>
      <c r="G6" s="94">
        <f t="shared" si="7"/>
        <v>2.906502349099541</v>
      </c>
      <c r="I6" s="92" t="str">
        <f t="shared" si="3"/>
        <v>a100</v>
      </c>
      <c r="J6" s="92" t="str">
        <f t="shared" si="4"/>
        <v>b100</v>
      </c>
      <c r="K6" s="92" t="str">
        <f t="shared" si="5"/>
        <v>r100</v>
      </c>
      <c r="L6" s="93">
        <f t="shared" si="0"/>
        <v>156.547</v>
      </c>
      <c r="M6" s="93">
        <f t="shared" si="0"/>
        <v>154.529</v>
      </c>
      <c r="N6" s="93">
        <f t="shared" si="1"/>
        <v>4.4700000000000006</v>
      </c>
    </row>
    <row r="7" spans="1:14" x14ac:dyDescent="0.4">
      <c r="A7" s="92">
        <v>125</v>
      </c>
      <c r="B7" s="93">
        <v>156.29300000000001</v>
      </c>
      <c r="C7" s="93">
        <v>154.27600000000001</v>
      </c>
      <c r="D7" s="93">
        <f t="shared" si="6"/>
        <v>4.375</v>
      </c>
      <c r="E7" s="94">
        <f t="shared" si="2"/>
        <v>2.9154705352063348</v>
      </c>
      <c r="F7" s="94">
        <f t="shared" si="2"/>
        <v>2.9276697174021344</v>
      </c>
      <c r="G7" s="94">
        <f t="shared" si="7"/>
        <v>2.9215701263042346</v>
      </c>
      <c r="I7" s="92" t="str">
        <f t="shared" si="3"/>
        <v>a125</v>
      </c>
      <c r="J7" s="92" t="str">
        <f t="shared" si="4"/>
        <v>b125</v>
      </c>
      <c r="K7" s="92" t="str">
        <f t="shared" si="5"/>
        <v>r125</v>
      </c>
      <c r="L7" s="93">
        <f t="shared" si="0"/>
        <v>156.43299999999999</v>
      </c>
      <c r="M7" s="93">
        <f t="shared" si="0"/>
        <v>154.416</v>
      </c>
      <c r="N7" s="93">
        <f t="shared" si="1"/>
        <v>4.4450000000000003</v>
      </c>
    </row>
    <row r="8" spans="1:14" x14ac:dyDescent="0.4">
      <c r="A8" s="92">
        <v>150</v>
      </c>
      <c r="B8" s="93">
        <v>156.179</v>
      </c>
      <c r="C8" s="93">
        <v>154.16399999999999</v>
      </c>
      <c r="D8" s="93">
        <f t="shared" si="6"/>
        <v>4.3499999999999996</v>
      </c>
      <c r="E8" s="94">
        <f t="shared" si="2"/>
        <v>2.9175970772844417</v>
      </c>
      <c r="F8" s="94">
        <f t="shared" si="2"/>
        <v>2.903886541005035</v>
      </c>
      <c r="G8" s="94">
        <f t="shared" si="7"/>
        <v>2.9107418091447386</v>
      </c>
      <c r="I8" s="92" t="str">
        <f t="shared" si="3"/>
        <v>a150</v>
      </c>
      <c r="J8" s="92" t="str">
        <f t="shared" si="4"/>
        <v>b150</v>
      </c>
      <c r="K8" s="92" t="str">
        <f t="shared" si="5"/>
        <v>r150</v>
      </c>
      <c r="L8" s="93">
        <f t="shared" si="0"/>
        <v>156.31899999999999</v>
      </c>
      <c r="M8" s="93">
        <f t="shared" si="0"/>
        <v>154.30399999999997</v>
      </c>
      <c r="N8" s="93">
        <f t="shared" si="1"/>
        <v>4.42</v>
      </c>
    </row>
    <row r="9" spans="1:14" x14ac:dyDescent="0.4">
      <c r="A9" s="92">
        <v>175</v>
      </c>
      <c r="B9" s="93">
        <v>156.077</v>
      </c>
      <c r="C9" s="93">
        <v>154.06299999999999</v>
      </c>
      <c r="D9" s="93">
        <f t="shared" si="6"/>
        <v>4.3250000000000002</v>
      </c>
      <c r="E9" s="94">
        <f t="shared" si="2"/>
        <v>2.6123870686841091</v>
      </c>
      <c r="F9" s="94">
        <f t="shared" si="2"/>
        <v>2.620585869593397</v>
      </c>
      <c r="G9" s="94">
        <f t="shared" si="7"/>
        <v>2.6164864691387528</v>
      </c>
      <c r="I9" s="92" t="str">
        <f t="shared" si="3"/>
        <v>a175</v>
      </c>
      <c r="J9" s="92" t="str">
        <f t="shared" si="4"/>
        <v>b175</v>
      </c>
      <c r="K9" s="92" t="str">
        <f t="shared" si="5"/>
        <v>r175</v>
      </c>
      <c r="L9" s="93">
        <f t="shared" si="0"/>
        <v>156.21699999999998</v>
      </c>
      <c r="M9" s="93">
        <f t="shared" si="0"/>
        <v>154.20299999999997</v>
      </c>
      <c r="N9" s="93">
        <f t="shared" si="1"/>
        <v>4.3950000000000005</v>
      </c>
    </row>
    <row r="10" spans="1:14" x14ac:dyDescent="0.4">
      <c r="A10" s="92">
        <v>200</v>
      </c>
      <c r="B10" s="93">
        <v>155.98400000000001</v>
      </c>
      <c r="C10" s="93">
        <v>153.97200000000001</v>
      </c>
      <c r="D10" s="93">
        <f t="shared" si="6"/>
        <v>4.3</v>
      </c>
      <c r="E10" s="94">
        <f t="shared" si="2"/>
        <v>2.3834389435980778</v>
      </c>
      <c r="F10" s="94">
        <f t="shared" si="2"/>
        <v>2.3626698168925637</v>
      </c>
      <c r="G10" s="94">
        <f t="shared" si="7"/>
        <v>2.3730543802453208</v>
      </c>
      <c r="I10" s="92" t="str">
        <f t="shared" si="3"/>
        <v>a200</v>
      </c>
      <c r="J10" s="92" t="str">
        <f t="shared" si="4"/>
        <v>b200</v>
      </c>
      <c r="K10" s="92" t="str">
        <f t="shared" si="5"/>
        <v>r200</v>
      </c>
      <c r="L10" s="93">
        <f t="shared" si="0"/>
        <v>156.124</v>
      </c>
      <c r="M10" s="93">
        <f t="shared" si="0"/>
        <v>154.11199999999999</v>
      </c>
      <c r="N10" s="93">
        <f t="shared" si="1"/>
        <v>4.37</v>
      </c>
    </row>
    <row r="11" spans="1:14" x14ac:dyDescent="0.4">
      <c r="A11" s="92">
        <v>225</v>
      </c>
      <c r="B11" s="93">
        <v>155.90199999999999</v>
      </c>
      <c r="C11" s="93">
        <v>153.88999999999999</v>
      </c>
      <c r="D11" s="93">
        <f t="shared" si="6"/>
        <v>4.2750000000000004</v>
      </c>
      <c r="E11" s="94">
        <f t="shared" si="2"/>
        <v>2.1027797722849022</v>
      </c>
      <c r="F11" s="94">
        <f t="shared" si="2"/>
        <v>2.1302574494069586</v>
      </c>
      <c r="G11" s="94">
        <f t="shared" si="7"/>
        <v>2.1165186108459304</v>
      </c>
      <c r="I11" s="92" t="str">
        <f t="shared" si="3"/>
        <v>a225</v>
      </c>
      <c r="J11" s="92" t="str">
        <f t="shared" si="4"/>
        <v>b225</v>
      </c>
      <c r="K11" s="92" t="str">
        <f t="shared" si="5"/>
        <v>r225</v>
      </c>
      <c r="L11" s="93">
        <f t="shared" si="0"/>
        <v>156.04199999999997</v>
      </c>
      <c r="M11" s="93">
        <f t="shared" si="0"/>
        <v>154.02999999999997</v>
      </c>
      <c r="N11" s="93">
        <f t="shared" si="1"/>
        <v>4.3450000000000006</v>
      </c>
    </row>
    <row r="12" spans="1:14" x14ac:dyDescent="0.4">
      <c r="A12" s="92">
        <v>250</v>
      </c>
      <c r="B12" s="93">
        <v>155.827</v>
      </c>
      <c r="C12" s="93">
        <v>153.81700000000001</v>
      </c>
      <c r="D12" s="93">
        <f t="shared" si="6"/>
        <v>4.25</v>
      </c>
      <c r="E12" s="94">
        <f t="shared" si="2"/>
        <v>1.9242857692650162</v>
      </c>
      <c r="F12" s="94">
        <f t="shared" si="2"/>
        <v>1.8974592241205821</v>
      </c>
      <c r="G12" s="94">
        <f t="shared" si="7"/>
        <v>1.9108724966927992</v>
      </c>
      <c r="I12" s="92" t="str">
        <f t="shared" si="3"/>
        <v>a250</v>
      </c>
      <c r="J12" s="92" t="str">
        <f t="shared" si="4"/>
        <v>b250</v>
      </c>
      <c r="K12" s="92" t="str">
        <f t="shared" si="5"/>
        <v>r250</v>
      </c>
      <c r="L12" s="93">
        <f t="shared" si="0"/>
        <v>155.96699999999998</v>
      </c>
      <c r="M12" s="93">
        <f t="shared" si="0"/>
        <v>153.95699999999999</v>
      </c>
      <c r="N12" s="93">
        <f t="shared" si="1"/>
        <v>4.32</v>
      </c>
    </row>
    <row r="13" spans="1:14" x14ac:dyDescent="0.4">
      <c r="A13" s="92">
        <v>275</v>
      </c>
      <c r="B13" s="93">
        <v>155.761</v>
      </c>
      <c r="C13" s="93">
        <v>153.751</v>
      </c>
      <c r="D13" s="93">
        <f t="shared" si="6"/>
        <v>4.2249999999999996</v>
      </c>
      <c r="E13" s="94">
        <f t="shared" si="2"/>
        <v>1.6941865016974593</v>
      </c>
      <c r="F13" s="94">
        <f t="shared" si="2"/>
        <v>1.7163252436337335</v>
      </c>
      <c r="G13" s="94">
        <f t="shared" si="7"/>
        <v>1.7052558726655964</v>
      </c>
      <c r="I13" s="92" t="str">
        <f t="shared" si="3"/>
        <v>a275</v>
      </c>
      <c r="J13" s="92" t="str">
        <f t="shared" si="4"/>
        <v>b275</v>
      </c>
      <c r="K13" s="92" t="str">
        <f t="shared" si="5"/>
        <v>r275</v>
      </c>
      <c r="L13" s="93">
        <f t="shared" si="0"/>
        <v>155.90099999999998</v>
      </c>
      <c r="M13" s="93">
        <f t="shared" si="0"/>
        <v>153.89099999999999</v>
      </c>
      <c r="N13" s="93">
        <f t="shared" si="1"/>
        <v>4.2949999999999999</v>
      </c>
    </row>
    <row r="14" spans="1:14" x14ac:dyDescent="0.4">
      <c r="A14" s="92">
        <v>300</v>
      </c>
      <c r="B14" s="93">
        <v>155.70099999999999</v>
      </c>
      <c r="C14" s="93">
        <v>153.69200000000001</v>
      </c>
      <c r="D14" s="93">
        <f t="shared" si="6"/>
        <v>4.2</v>
      </c>
      <c r="E14" s="94">
        <f t="shared" si="2"/>
        <v>1.5408221570226763</v>
      </c>
      <c r="F14" s="94">
        <f t="shared" si="2"/>
        <v>1.534949366182919</v>
      </c>
      <c r="G14" s="94">
        <f t="shared" si="7"/>
        <v>1.5378857616027977</v>
      </c>
      <c r="I14" s="92" t="str">
        <f t="shared" si="3"/>
        <v>a300</v>
      </c>
      <c r="J14" s="92" t="str">
        <f t="shared" si="4"/>
        <v>b300</v>
      </c>
      <c r="K14" s="92" t="str">
        <f t="shared" si="5"/>
        <v>r300</v>
      </c>
      <c r="L14" s="93">
        <f t="shared" si="0"/>
        <v>155.84099999999998</v>
      </c>
      <c r="M14" s="93">
        <f t="shared" si="0"/>
        <v>153.83199999999999</v>
      </c>
      <c r="N14" s="93">
        <f t="shared" si="1"/>
        <v>4.2700000000000005</v>
      </c>
    </row>
    <row r="15" spans="1:14" x14ac:dyDescent="0.4">
      <c r="A15" s="92">
        <v>325</v>
      </c>
      <c r="B15" s="93">
        <v>155.64699999999999</v>
      </c>
      <c r="C15" s="93">
        <v>153.63900000000001</v>
      </c>
      <c r="D15" s="93">
        <f t="shared" si="6"/>
        <v>4.1749999999999998</v>
      </c>
      <c r="E15" s="94">
        <f t="shared" si="2"/>
        <v>1.3872743270756656</v>
      </c>
      <c r="F15" s="94">
        <f t="shared" si="2"/>
        <v>1.3793821409051159</v>
      </c>
      <c r="G15" s="94">
        <f t="shared" si="7"/>
        <v>1.3833282339903907</v>
      </c>
      <c r="I15" s="92" t="str">
        <f t="shared" si="3"/>
        <v>a325</v>
      </c>
      <c r="J15" s="92" t="str">
        <f t="shared" si="4"/>
        <v>b325</v>
      </c>
      <c r="K15" s="92" t="str">
        <f t="shared" si="5"/>
        <v>r325</v>
      </c>
      <c r="L15" s="93">
        <f t="shared" si="0"/>
        <v>155.78699999999998</v>
      </c>
      <c r="M15" s="93">
        <f t="shared" si="0"/>
        <v>153.779</v>
      </c>
      <c r="N15" s="93">
        <f t="shared" si="1"/>
        <v>4.2450000000000001</v>
      </c>
    </row>
    <row r="16" spans="1:14" x14ac:dyDescent="0.4">
      <c r="A16" s="92">
        <v>350</v>
      </c>
      <c r="B16" s="93">
        <v>155.6</v>
      </c>
      <c r="C16" s="93">
        <v>153.59200000000001</v>
      </c>
      <c r="D16" s="93">
        <f t="shared" si="6"/>
        <v>4.1500000000000004</v>
      </c>
      <c r="E16" s="94">
        <f t="shared" si="2"/>
        <v>1.2078613786323422</v>
      </c>
      <c r="F16" s="94">
        <f t="shared" si="2"/>
        <v>1.2236476415492692</v>
      </c>
      <c r="G16" s="94">
        <f t="shared" si="7"/>
        <v>1.2157545100908056</v>
      </c>
      <c r="I16" s="92" t="str">
        <f t="shared" si="3"/>
        <v>a350</v>
      </c>
      <c r="J16" s="92" t="str">
        <f t="shared" si="4"/>
        <v>b350</v>
      </c>
      <c r="K16" s="92" t="str">
        <f t="shared" si="5"/>
        <v>r350</v>
      </c>
      <c r="L16" s="93">
        <f t="shared" si="0"/>
        <v>155.73999999999998</v>
      </c>
      <c r="M16" s="93">
        <f t="shared" si="0"/>
        <v>153.732</v>
      </c>
      <c r="N16" s="93">
        <f t="shared" si="1"/>
        <v>4.2200000000000006</v>
      </c>
    </row>
    <row r="17" spans="1:14" x14ac:dyDescent="0.4">
      <c r="A17" s="92">
        <v>375</v>
      </c>
      <c r="B17" s="93">
        <v>155.55600000000001</v>
      </c>
      <c r="C17" s="93">
        <v>153.54900000000001</v>
      </c>
      <c r="D17" s="93">
        <f t="shared" si="6"/>
        <v>4.125</v>
      </c>
      <c r="E17" s="94">
        <f t="shared" si="2"/>
        <v>1.1311053984571393</v>
      </c>
      <c r="F17" s="94">
        <f t="shared" si="2"/>
        <v>1.1198499921872587</v>
      </c>
      <c r="G17" s="94">
        <f t="shared" si="7"/>
        <v>1.125477695322199</v>
      </c>
      <c r="I17" s="92" t="str">
        <f t="shared" si="3"/>
        <v>a375</v>
      </c>
      <c r="J17" s="92" t="str">
        <f t="shared" si="4"/>
        <v>b375</v>
      </c>
      <c r="K17" s="92" t="str">
        <f t="shared" si="5"/>
        <v>r375</v>
      </c>
      <c r="L17" s="93">
        <f t="shared" si="0"/>
        <v>155.696</v>
      </c>
      <c r="M17" s="93">
        <f t="shared" si="0"/>
        <v>153.68899999999999</v>
      </c>
      <c r="N17" s="93">
        <f t="shared" si="1"/>
        <v>4.1950000000000003</v>
      </c>
    </row>
    <row r="18" spans="1:14" x14ac:dyDescent="0.4">
      <c r="A18" s="92">
        <v>400</v>
      </c>
      <c r="B18" s="93">
        <v>155.51599999999999</v>
      </c>
      <c r="C18" s="93">
        <v>153.51</v>
      </c>
      <c r="D18" s="93">
        <f t="shared" si="6"/>
        <v>4.0999999999999996</v>
      </c>
      <c r="E18" s="94">
        <f t="shared" si="2"/>
        <v>1.0285684898048411</v>
      </c>
      <c r="F18" s="94">
        <f t="shared" si="2"/>
        <v>1.015962331243204</v>
      </c>
      <c r="G18" s="94">
        <f t="shared" si="7"/>
        <v>1.0222654105240225</v>
      </c>
      <c r="I18" s="92" t="str">
        <f t="shared" si="3"/>
        <v>a400</v>
      </c>
      <c r="J18" s="92" t="str">
        <f t="shared" si="4"/>
        <v>b400</v>
      </c>
      <c r="K18" s="92" t="str">
        <f t="shared" si="5"/>
        <v>r400</v>
      </c>
      <c r="L18" s="93">
        <f t="shared" si="0"/>
        <v>155.65599999999998</v>
      </c>
      <c r="M18" s="93">
        <f t="shared" si="0"/>
        <v>153.64999999999998</v>
      </c>
      <c r="N18" s="93">
        <f t="shared" si="1"/>
        <v>4.17</v>
      </c>
    </row>
    <row r="19" spans="1:14" x14ac:dyDescent="0.4">
      <c r="A19" s="92">
        <v>425</v>
      </c>
      <c r="B19" s="93">
        <v>155.47999999999999</v>
      </c>
      <c r="C19" s="93">
        <v>153.47399999999999</v>
      </c>
      <c r="D19" s="93">
        <f t="shared" si="6"/>
        <v>4.0750000000000002</v>
      </c>
      <c r="E19" s="94">
        <f t="shared" ref="E19:F34" si="8">IF($A19="","",(B18-B19)*1000/(B18*($A19-$A18))*100)</f>
        <v>0.92594974150573239</v>
      </c>
      <c r="F19" s="94">
        <f t="shared" si="8"/>
        <v>0.93804963846007072</v>
      </c>
      <c r="G19" s="94">
        <f t="shared" si="7"/>
        <v>0.9319996899829015</v>
      </c>
      <c r="I19" s="92" t="str">
        <f t="shared" si="3"/>
        <v>a425</v>
      </c>
      <c r="J19" s="92" t="str">
        <f t="shared" si="4"/>
        <v>b425</v>
      </c>
      <c r="K19" s="92" t="str">
        <f t="shared" si="5"/>
        <v>r425</v>
      </c>
      <c r="L19" s="93">
        <f t="shared" si="0"/>
        <v>155.61999999999998</v>
      </c>
      <c r="M19" s="93">
        <f t="shared" si="0"/>
        <v>153.61399999999998</v>
      </c>
      <c r="N19" s="93">
        <f t="shared" si="1"/>
        <v>4.1450000000000005</v>
      </c>
    </row>
    <row r="20" spans="1:14" x14ac:dyDescent="0.4">
      <c r="A20" s="92">
        <v>450</v>
      </c>
      <c r="B20" s="93">
        <v>155.447</v>
      </c>
      <c r="C20" s="93">
        <v>153.441</v>
      </c>
      <c r="D20" s="93">
        <f t="shared" si="6"/>
        <v>4.05</v>
      </c>
      <c r="E20" s="94">
        <f t="shared" si="8"/>
        <v>0.84898379212727149</v>
      </c>
      <c r="F20" s="94">
        <f t="shared" si="8"/>
        <v>0.86008053481337665</v>
      </c>
      <c r="G20" s="94">
        <f t="shared" si="7"/>
        <v>0.85453216347032401</v>
      </c>
      <c r="I20" s="92" t="str">
        <f t="shared" si="3"/>
        <v>a450</v>
      </c>
      <c r="J20" s="92" t="str">
        <f t="shared" si="4"/>
        <v>b450</v>
      </c>
      <c r="K20" s="92" t="str">
        <f t="shared" si="5"/>
        <v>r450</v>
      </c>
      <c r="L20" s="93">
        <f t="shared" si="0"/>
        <v>155.58699999999999</v>
      </c>
      <c r="M20" s="93">
        <f t="shared" si="0"/>
        <v>153.58099999999999</v>
      </c>
      <c r="N20" s="93">
        <f t="shared" si="1"/>
        <v>4.12</v>
      </c>
    </row>
    <row r="21" spans="1:14" x14ac:dyDescent="0.4">
      <c r="A21" s="92">
        <v>475</v>
      </c>
      <c r="B21" s="93">
        <v>155.416</v>
      </c>
      <c r="C21" s="93">
        <v>153.411</v>
      </c>
      <c r="D21" s="93">
        <f t="shared" si="6"/>
        <v>4.0250000000000004</v>
      </c>
      <c r="E21" s="94">
        <f t="shared" si="8"/>
        <v>0.79769953746308164</v>
      </c>
      <c r="F21" s="94">
        <f t="shared" si="8"/>
        <v>0.7820595538350541</v>
      </c>
      <c r="G21" s="94">
        <f t="shared" si="7"/>
        <v>0.78987954564906793</v>
      </c>
      <c r="I21" s="92" t="str">
        <f t="shared" si="3"/>
        <v>a475</v>
      </c>
      <c r="J21" s="92" t="str">
        <f t="shared" si="4"/>
        <v>b475</v>
      </c>
      <c r="K21" s="92" t="str">
        <f t="shared" si="5"/>
        <v>r475</v>
      </c>
      <c r="L21" s="93">
        <f t="shared" si="0"/>
        <v>155.55599999999998</v>
      </c>
      <c r="M21" s="93">
        <f t="shared" si="0"/>
        <v>153.55099999999999</v>
      </c>
      <c r="N21" s="93">
        <f t="shared" si="1"/>
        <v>4.0950000000000006</v>
      </c>
    </row>
    <row r="22" spans="1:14" x14ac:dyDescent="0.4">
      <c r="A22" s="92">
        <v>500</v>
      </c>
      <c r="B22" s="93">
        <v>155.38800000000001</v>
      </c>
      <c r="C22" s="93">
        <v>153.38300000000001</v>
      </c>
      <c r="D22" s="93">
        <f t="shared" si="6"/>
        <v>4</v>
      </c>
      <c r="E22" s="94">
        <f t="shared" si="8"/>
        <v>0.7206465228803105</v>
      </c>
      <c r="F22" s="94">
        <f t="shared" si="8"/>
        <v>0.73006498882066051</v>
      </c>
      <c r="G22" s="94">
        <f t="shared" si="7"/>
        <v>0.72535575585048551</v>
      </c>
      <c r="I22" s="92" t="str">
        <f t="shared" si="3"/>
        <v>a500</v>
      </c>
      <c r="J22" s="92" t="str">
        <f t="shared" si="4"/>
        <v>b500</v>
      </c>
      <c r="K22" s="92" t="str">
        <f t="shared" si="5"/>
        <v>r500</v>
      </c>
      <c r="L22" s="93">
        <f t="shared" si="0"/>
        <v>155.52799999999999</v>
      </c>
      <c r="M22" s="93">
        <f t="shared" si="0"/>
        <v>153.523</v>
      </c>
      <c r="N22" s="93">
        <f t="shared" si="1"/>
        <v>4.07</v>
      </c>
    </row>
    <row r="23" spans="1:14" x14ac:dyDescent="0.4">
      <c r="A23" s="92">
        <v>525</v>
      </c>
      <c r="B23" s="93">
        <v>155.36099999999999</v>
      </c>
      <c r="C23" s="93">
        <v>153.357</v>
      </c>
      <c r="D23" s="93">
        <f t="shared" si="6"/>
        <v>3.9750000000000001</v>
      </c>
      <c r="E23" s="94">
        <f t="shared" si="8"/>
        <v>0.69503436558846832</v>
      </c>
      <c r="F23" s="94">
        <f t="shared" si="8"/>
        <v>0.67804124316281356</v>
      </c>
      <c r="G23" s="94">
        <f t="shared" si="7"/>
        <v>0.68653780437564094</v>
      </c>
      <c r="I23" s="92" t="str">
        <f t="shared" si="3"/>
        <v>a525</v>
      </c>
      <c r="J23" s="92" t="str">
        <f t="shared" si="4"/>
        <v>b525</v>
      </c>
      <c r="K23" s="92" t="str">
        <f t="shared" si="5"/>
        <v>r525</v>
      </c>
      <c r="L23" s="93">
        <f t="shared" si="0"/>
        <v>155.50099999999998</v>
      </c>
      <c r="M23" s="93">
        <f t="shared" si="0"/>
        <v>153.49699999999999</v>
      </c>
      <c r="N23" s="93">
        <f t="shared" si="1"/>
        <v>4.0449999999999999</v>
      </c>
    </row>
    <row r="24" spans="1:14" x14ac:dyDescent="0.4">
      <c r="A24" s="92">
        <v>550</v>
      </c>
      <c r="B24" s="93">
        <v>155.33600000000001</v>
      </c>
      <c r="C24" s="93">
        <v>153.33199999999999</v>
      </c>
      <c r="D24" s="93">
        <f t="shared" si="6"/>
        <v>3.95</v>
      </c>
      <c r="E24" s="94">
        <f t="shared" si="8"/>
        <v>0.64366218034068434</v>
      </c>
      <c r="F24" s="94">
        <f t="shared" si="8"/>
        <v>0.65207326695242296</v>
      </c>
      <c r="G24" s="94">
        <f t="shared" si="7"/>
        <v>0.64786772364655365</v>
      </c>
      <c r="I24" s="92" t="str">
        <f t="shared" si="3"/>
        <v>a550</v>
      </c>
      <c r="J24" s="92" t="str">
        <f t="shared" si="4"/>
        <v>b550</v>
      </c>
      <c r="K24" s="92" t="str">
        <f t="shared" si="5"/>
        <v>r550</v>
      </c>
      <c r="L24" s="93">
        <f t="shared" si="0"/>
        <v>155.476</v>
      </c>
      <c r="M24" s="93">
        <f t="shared" si="0"/>
        <v>153.47199999999998</v>
      </c>
      <c r="N24" s="93">
        <f t="shared" si="1"/>
        <v>4.0200000000000005</v>
      </c>
    </row>
    <row r="25" spans="1:14" x14ac:dyDescent="0.4">
      <c r="A25" s="92">
        <v>575</v>
      </c>
      <c r="B25" s="93">
        <v>155.31200000000001</v>
      </c>
      <c r="C25" s="93">
        <v>153.30799999999999</v>
      </c>
      <c r="D25" s="93">
        <f t="shared" si="6"/>
        <v>3.9249999999999998</v>
      </c>
      <c r="E25" s="94">
        <f t="shared" si="8"/>
        <v>0.6180151413709869</v>
      </c>
      <c r="F25" s="94">
        <f t="shared" si="8"/>
        <v>0.62609240080350903</v>
      </c>
      <c r="G25" s="94">
        <f t="shared" si="7"/>
        <v>0.62205377108724802</v>
      </c>
      <c r="I25" s="92" t="str">
        <f t="shared" si="3"/>
        <v>a575</v>
      </c>
      <c r="J25" s="92" t="str">
        <f t="shared" si="4"/>
        <v>b575</v>
      </c>
      <c r="K25" s="92" t="str">
        <f t="shared" si="5"/>
        <v>r575</v>
      </c>
      <c r="L25" s="93">
        <f t="shared" si="0"/>
        <v>155.452</v>
      </c>
      <c r="M25" s="93">
        <f t="shared" si="0"/>
        <v>153.44799999999998</v>
      </c>
      <c r="N25" s="93">
        <f t="shared" si="1"/>
        <v>3.9949999999999997</v>
      </c>
    </row>
    <row r="26" spans="1:14" x14ac:dyDescent="0.4">
      <c r="A26" s="92">
        <v>600</v>
      </c>
      <c r="B26" s="93">
        <v>155.28899999999999</v>
      </c>
      <c r="C26" s="93">
        <v>153.285</v>
      </c>
      <c r="D26" s="93">
        <f t="shared" si="6"/>
        <v>3.9</v>
      </c>
      <c r="E26" s="94">
        <f t="shared" si="8"/>
        <v>0.59235603173031204</v>
      </c>
      <c r="F26" s="94">
        <f t="shared" si="8"/>
        <v>0.60009914681545995</v>
      </c>
      <c r="G26" s="94">
        <f t="shared" si="7"/>
        <v>0.59622758927288599</v>
      </c>
      <c r="I26" s="92" t="str">
        <f t="shared" si="3"/>
        <v>a600</v>
      </c>
      <c r="J26" s="92" t="str">
        <f t="shared" si="4"/>
        <v>b600</v>
      </c>
      <c r="K26" s="92" t="str">
        <f t="shared" si="5"/>
        <v>r600</v>
      </c>
      <c r="L26" s="93">
        <f t="shared" si="0"/>
        <v>155.42899999999997</v>
      </c>
      <c r="M26" s="93">
        <f t="shared" si="0"/>
        <v>153.42499999999998</v>
      </c>
      <c r="N26" s="93">
        <f t="shared" si="1"/>
        <v>3.9699999999999998</v>
      </c>
    </row>
    <row r="27" spans="1:14" x14ac:dyDescent="0.4">
      <c r="A27" s="92">
        <v>625</v>
      </c>
      <c r="B27" s="93">
        <v>155.26599999999999</v>
      </c>
      <c r="C27" s="93">
        <v>153.26300000000001</v>
      </c>
      <c r="D27" s="93">
        <f t="shared" si="6"/>
        <v>3.875</v>
      </c>
      <c r="E27" s="94">
        <f t="shared" si="8"/>
        <v>0.5924437661391635</v>
      </c>
      <c r="F27" s="94">
        <f t="shared" si="8"/>
        <v>0.57409400789356713</v>
      </c>
      <c r="G27" s="94">
        <f t="shared" si="7"/>
        <v>0.58326888701636537</v>
      </c>
      <c r="I27" s="92" t="str">
        <f t="shared" si="3"/>
        <v>a625</v>
      </c>
      <c r="J27" s="92" t="str">
        <f t="shared" si="4"/>
        <v>b625</v>
      </c>
      <c r="K27" s="92" t="str">
        <f t="shared" si="5"/>
        <v>r625</v>
      </c>
      <c r="L27" s="93">
        <f t="shared" si="0"/>
        <v>155.40599999999998</v>
      </c>
      <c r="M27" s="93">
        <f t="shared" si="0"/>
        <v>153.40299999999999</v>
      </c>
      <c r="N27" s="93">
        <f t="shared" si="1"/>
        <v>3.9449999999999998</v>
      </c>
    </row>
    <row r="28" spans="1:14" x14ac:dyDescent="0.4">
      <c r="A28" s="92">
        <v>650</v>
      </c>
      <c r="B28" s="93">
        <v>155.244</v>
      </c>
      <c r="C28" s="93">
        <v>153.24100000000001</v>
      </c>
      <c r="D28" s="93">
        <f t="shared" si="6"/>
        <v>3.85</v>
      </c>
      <c r="E28" s="94">
        <f t="shared" si="8"/>
        <v>0.56676928625691037</v>
      </c>
      <c r="F28" s="94">
        <f t="shared" si="8"/>
        <v>0.57417641570349942</v>
      </c>
      <c r="G28" s="94">
        <f t="shared" si="7"/>
        <v>0.57047285098020484</v>
      </c>
      <c r="I28" s="92" t="str">
        <f t="shared" si="3"/>
        <v>a650</v>
      </c>
      <c r="J28" s="92" t="str">
        <f t="shared" si="4"/>
        <v>b650</v>
      </c>
      <c r="K28" s="92" t="str">
        <f t="shared" si="5"/>
        <v>r650</v>
      </c>
      <c r="L28" s="93">
        <f t="shared" si="0"/>
        <v>155.38399999999999</v>
      </c>
      <c r="M28" s="93">
        <f t="shared" si="0"/>
        <v>153.381</v>
      </c>
      <c r="N28" s="93">
        <f t="shared" si="1"/>
        <v>3.92</v>
      </c>
    </row>
    <row r="29" spans="1:14" x14ac:dyDescent="0.4">
      <c r="A29" s="92">
        <v>675</v>
      </c>
      <c r="B29" s="93">
        <v>155.22200000000001</v>
      </c>
      <c r="C29" s="93">
        <v>153.21899999999999</v>
      </c>
      <c r="D29" s="93">
        <f t="shared" si="6"/>
        <v>3.8250000000000002</v>
      </c>
      <c r="E29" s="94">
        <f t="shared" si="8"/>
        <v>0.56684960449334876</v>
      </c>
      <c r="F29" s="94">
        <f t="shared" si="8"/>
        <v>0.57425884717588049</v>
      </c>
      <c r="G29" s="94">
        <f t="shared" si="7"/>
        <v>0.57055422583461457</v>
      </c>
      <c r="I29" s="92" t="str">
        <f t="shared" si="3"/>
        <v>a675</v>
      </c>
      <c r="J29" s="92" t="str">
        <f t="shared" si="4"/>
        <v>b675</v>
      </c>
      <c r="K29" s="92" t="str">
        <f t="shared" si="5"/>
        <v>r675</v>
      </c>
      <c r="L29" s="93">
        <f t="shared" si="0"/>
        <v>155.36199999999999</v>
      </c>
      <c r="M29" s="93">
        <f t="shared" si="0"/>
        <v>153.35899999999998</v>
      </c>
      <c r="N29" s="93">
        <f t="shared" si="1"/>
        <v>3.895</v>
      </c>
    </row>
    <row r="30" spans="1:14" x14ac:dyDescent="0.4">
      <c r="A30" s="92">
        <v>700</v>
      </c>
      <c r="B30" s="93">
        <v>155.19999999999999</v>
      </c>
      <c r="C30" s="93">
        <v>153.197</v>
      </c>
      <c r="D30" s="93">
        <f t="shared" si="6"/>
        <v>3.8</v>
      </c>
      <c r="E30" s="94">
        <f t="shared" si="8"/>
        <v>0.5669299454979263</v>
      </c>
      <c r="F30" s="94">
        <f t="shared" si="8"/>
        <v>0.57434130231867742</v>
      </c>
      <c r="G30" s="94">
        <f t="shared" si="7"/>
        <v>0.57063562390830191</v>
      </c>
      <c r="I30" s="92" t="str">
        <f t="shared" si="3"/>
        <v>a700</v>
      </c>
      <c r="J30" s="92" t="str">
        <f t="shared" si="4"/>
        <v>b700</v>
      </c>
      <c r="K30" s="92" t="str">
        <f t="shared" si="5"/>
        <v>r700</v>
      </c>
      <c r="L30" s="93">
        <f t="shared" si="0"/>
        <v>155.33999999999997</v>
      </c>
      <c r="M30" s="93">
        <f t="shared" si="0"/>
        <v>153.33699999999999</v>
      </c>
      <c r="N30" s="93">
        <f t="shared" si="1"/>
        <v>3.8699999999999997</v>
      </c>
    </row>
    <row r="31" spans="1:14" x14ac:dyDescent="0.4">
      <c r="A31" s="92">
        <v>725</v>
      </c>
      <c r="B31" s="93">
        <v>155.179</v>
      </c>
      <c r="C31" s="93">
        <v>153.17599999999999</v>
      </c>
      <c r="D31" s="93">
        <f t="shared" si="6"/>
        <v>3.7749999999999999</v>
      </c>
      <c r="E31" s="94">
        <f t="shared" si="8"/>
        <v>0.54123711340171621</v>
      </c>
      <c r="F31" s="94">
        <f t="shared" si="8"/>
        <v>0.54831360927472483</v>
      </c>
      <c r="G31" s="94">
        <f t="shared" si="7"/>
        <v>0.54477536133822047</v>
      </c>
      <c r="I31" s="92" t="str">
        <f t="shared" si="3"/>
        <v>a725</v>
      </c>
      <c r="J31" s="92" t="str">
        <f t="shared" si="4"/>
        <v>b725</v>
      </c>
      <c r="K31" s="92" t="str">
        <f t="shared" si="5"/>
        <v>r725</v>
      </c>
      <c r="L31" s="93">
        <f t="shared" si="0"/>
        <v>155.31899999999999</v>
      </c>
      <c r="M31" s="93">
        <f t="shared" si="0"/>
        <v>153.31599999999997</v>
      </c>
      <c r="N31" s="93">
        <f t="shared" si="1"/>
        <v>3.8449999999999998</v>
      </c>
    </row>
    <row r="32" spans="1:14" x14ac:dyDescent="0.4">
      <c r="A32" s="92">
        <v>750</v>
      </c>
      <c r="B32" s="93">
        <v>155.15700000000001</v>
      </c>
      <c r="C32" s="93">
        <v>153.155</v>
      </c>
      <c r="D32" s="93">
        <f t="shared" si="6"/>
        <v>3.75</v>
      </c>
      <c r="E32" s="94">
        <f t="shared" si="8"/>
        <v>0.56708704141646382</v>
      </c>
      <c r="F32" s="94">
        <f t="shared" si="8"/>
        <v>0.54838878153200465</v>
      </c>
      <c r="G32" s="94">
        <f t="shared" si="7"/>
        <v>0.55773791147423424</v>
      </c>
      <c r="I32" s="92" t="str">
        <f>IF($A32="","","a"&amp;$A32)</f>
        <v>a750</v>
      </c>
      <c r="J32" s="92" t="str">
        <f>IF($A32="","","b"&amp;$A32)</f>
        <v>b750</v>
      </c>
      <c r="K32" s="92" t="str">
        <f>IF($A32="","","r"&amp;$A32)</f>
        <v>r750</v>
      </c>
      <c r="L32" s="93">
        <f t="shared" si="0"/>
        <v>155.297</v>
      </c>
      <c r="M32" s="93">
        <f t="shared" si="0"/>
        <v>153.29499999999999</v>
      </c>
      <c r="N32" s="93">
        <f t="shared" si="1"/>
        <v>3.82</v>
      </c>
    </row>
    <row r="33" spans="1:14" x14ac:dyDescent="0.4">
      <c r="A33" s="92">
        <v>775</v>
      </c>
      <c r="B33" s="93">
        <v>155.137</v>
      </c>
      <c r="C33" s="93">
        <v>153.13499999999999</v>
      </c>
      <c r="D33" s="93">
        <f t="shared" si="6"/>
        <v>3.7250000000000001</v>
      </c>
      <c r="E33" s="94">
        <f t="shared" si="8"/>
        <v>0.51560677249522047</v>
      </c>
      <c r="F33" s="94">
        <f t="shared" si="8"/>
        <v>0.52234664229075722</v>
      </c>
      <c r="G33" s="94">
        <f t="shared" si="7"/>
        <v>0.51897670739298885</v>
      </c>
      <c r="I33" s="92" t="str">
        <f>IF($A33="","","a"&amp;$A33)</f>
        <v>a775</v>
      </c>
      <c r="J33" s="92" t="str">
        <f>IF($A33="","","b"&amp;$A33)</f>
        <v>b775</v>
      </c>
      <c r="K33" s="92" t="str">
        <f>IF($A33="","","r"&amp;$A33)</f>
        <v>r775</v>
      </c>
      <c r="L33" s="93">
        <f t="shared" si="0"/>
        <v>155.27699999999999</v>
      </c>
      <c r="M33" s="93">
        <f t="shared" si="0"/>
        <v>153.27499999999998</v>
      </c>
      <c r="N33" s="93">
        <f t="shared" si="1"/>
        <v>3.7949999999999999</v>
      </c>
    </row>
    <row r="34" spans="1:14" x14ac:dyDescent="0.4">
      <c r="A34" s="92">
        <v>800</v>
      </c>
      <c r="B34" s="93">
        <v>155.11600000000001</v>
      </c>
      <c r="C34" s="93">
        <v>153.11500000000001</v>
      </c>
      <c r="D34" s="93">
        <f t="shared" si="6"/>
        <v>3.7</v>
      </c>
      <c r="E34" s="94">
        <f t="shared" si="8"/>
        <v>0.54145690583127382</v>
      </c>
      <c r="F34" s="94">
        <f t="shared" si="8"/>
        <v>0.52241486270236881</v>
      </c>
      <c r="G34" s="94">
        <f t="shared" si="7"/>
        <v>0.53193588426682137</v>
      </c>
      <c r="I34" s="92" t="str">
        <f>IF($A34="","","a"&amp;$A34)</f>
        <v>a800</v>
      </c>
      <c r="J34" s="92" t="str">
        <f>IF($A34="","","b"&amp;$A34)</f>
        <v>b800</v>
      </c>
      <c r="K34" s="92" t="str">
        <f>IF($A34="","","r"&amp;$A34)</f>
        <v>r800</v>
      </c>
      <c r="L34" s="93">
        <f t="shared" si="0"/>
        <v>155.256</v>
      </c>
      <c r="M34" s="93">
        <f t="shared" si="0"/>
        <v>153.255</v>
      </c>
      <c r="N34" s="93">
        <f t="shared" si="1"/>
        <v>3.77</v>
      </c>
    </row>
    <row r="35" spans="1:14" x14ac:dyDescent="0.4">
      <c r="A35" s="92">
        <v>825</v>
      </c>
      <c r="B35" s="93">
        <v>155.09700000000001</v>
      </c>
      <c r="C35" s="93">
        <v>153.095</v>
      </c>
      <c r="D35" s="93">
        <f t="shared" si="6"/>
        <v>3.6749999999999998</v>
      </c>
      <c r="E35" s="94">
        <f t="shared" ref="E35:F42" si="9">IF($A35="","",(B34-B35)*1000/(B34*($A35-$A34))*100)</f>
        <v>0.48995590396878352</v>
      </c>
      <c r="F35" s="94">
        <f t="shared" si="9"/>
        <v>0.52248310093747141</v>
      </c>
      <c r="G35" s="94">
        <f t="shared" si="7"/>
        <v>0.50621950245312752</v>
      </c>
      <c r="I35" s="92" t="str">
        <f>IF($A35="","","a"&amp;$A35)</f>
        <v>a825</v>
      </c>
      <c r="J35" s="92" t="str">
        <f>IF($A35="","","b"&amp;$A35)</f>
        <v>b825</v>
      </c>
      <c r="K35" s="92" t="str">
        <f>IF($A35="","","r"&amp;$A35)</f>
        <v>r825</v>
      </c>
      <c r="L35" s="93">
        <f t="shared" si="0"/>
        <v>155.23699999999999</v>
      </c>
      <c r="M35" s="93">
        <f t="shared" si="0"/>
        <v>153.23499999999999</v>
      </c>
      <c r="N35" s="93">
        <f t="shared" si="1"/>
        <v>3.7449999999999997</v>
      </c>
    </row>
    <row r="36" spans="1:14" x14ac:dyDescent="0.4">
      <c r="A36" s="92">
        <v>850</v>
      </c>
      <c r="B36" s="93">
        <v>155.078</v>
      </c>
      <c r="C36" s="93">
        <v>153.077</v>
      </c>
      <c r="D36" s="93">
        <f t="shared" si="6"/>
        <v>3.65</v>
      </c>
      <c r="E36" s="94">
        <f t="shared" si="9"/>
        <v>0.49001592551772</v>
      </c>
      <c r="F36" s="94">
        <f t="shared" si="9"/>
        <v>0.47029622130051751</v>
      </c>
      <c r="G36" s="94">
        <f t="shared" si="7"/>
        <v>0.48015607340911876</v>
      </c>
      <c r="I36" s="92" t="str">
        <f t="shared" si="3"/>
        <v>a850</v>
      </c>
      <c r="J36" s="92" t="str">
        <f t="shared" si="4"/>
        <v>b850</v>
      </c>
      <c r="K36" s="92" t="str">
        <f t="shared" si="5"/>
        <v>r850</v>
      </c>
      <c r="L36" s="93">
        <f t="shared" si="0"/>
        <v>155.21799999999999</v>
      </c>
      <c r="M36" s="93">
        <f t="shared" si="0"/>
        <v>153.21699999999998</v>
      </c>
      <c r="N36" s="93">
        <f t="shared" si="1"/>
        <v>3.7199999999999998</v>
      </c>
    </row>
    <row r="37" spans="1:14" x14ac:dyDescent="0.4">
      <c r="A37" s="92">
        <v>875</v>
      </c>
      <c r="B37" s="93">
        <v>155.06100000000001</v>
      </c>
      <c r="C37" s="93">
        <v>153.06</v>
      </c>
      <c r="D37" s="93">
        <f t="shared" si="6"/>
        <v>3.625</v>
      </c>
      <c r="E37" s="94">
        <f t="shared" si="9"/>
        <v>0.43848901842932991</v>
      </c>
      <c r="F37" s="94">
        <f t="shared" si="9"/>
        <v>0.44422088230095724</v>
      </c>
      <c r="G37" s="94">
        <f t="shared" si="7"/>
        <v>0.44135495036514361</v>
      </c>
      <c r="I37" s="92" t="str">
        <f t="shared" si="3"/>
        <v>a875</v>
      </c>
      <c r="J37" s="92" t="str">
        <f t="shared" si="4"/>
        <v>b875</v>
      </c>
      <c r="K37" s="92" t="str">
        <f t="shared" si="5"/>
        <v>r875</v>
      </c>
      <c r="L37" s="93">
        <f t="shared" si="0"/>
        <v>155.20099999999999</v>
      </c>
      <c r="M37" s="93">
        <f t="shared" si="0"/>
        <v>153.19999999999999</v>
      </c>
      <c r="N37" s="93">
        <f t="shared" si="1"/>
        <v>3.6949999999999998</v>
      </c>
    </row>
    <row r="38" spans="1:14" x14ac:dyDescent="0.4">
      <c r="A38" s="92">
        <v>900</v>
      </c>
      <c r="B38" s="93">
        <v>155.04400000000001</v>
      </c>
      <c r="C38" s="93">
        <v>153.04400000000001</v>
      </c>
      <c r="D38" s="93">
        <f t="shared" si="6"/>
        <v>3.6</v>
      </c>
      <c r="E38" s="94">
        <f t="shared" si="9"/>
        <v>0.43853709185406797</v>
      </c>
      <c r="F38" s="94">
        <f t="shared" si="9"/>
        <v>0.41813667842652902</v>
      </c>
      <c r="G38" s="94">
        <f t="shared" si="7"/>
        <v>0.4283368851402985</v>
      </c>
      <c r="I38" s="92" t="str">
        <f t="shared" si="3"/>
        <v>a900</v>
      </c>
      <c r="J38" s="92" t="str">
        <f t="shared" si="4"/>
        <v>b900</v>
      </c>
      <c r="K38" s="92" t="str">
        <f t="shared" si="5"/>
        <v>r900</v>
      </c>
      <c r="L38" s="93">
        <f t="shared" si="0"/>
        <v>155.184</v>
      </c>
      <c r="M38" s="93">
        <f t="shared" si="0"/>
        <v>153.184</v>
      </c>
      <c r="N38" s="93">
        <f t="shared" si="1"/>
        <v>3.67</v>
      </c>
    </row>
    <row r="39" spans="1:14" x14ac:dyDescent="0.4">
      <c r="A39" s="92">
        <v>925</v>
      </c>
      <c r="B39" s="93">
        <v>155.03</v>
      </c>
      <c r="C39" s="93">
        <v>153.029</v>
      </c>
      <c r="D39" s="93">
        <f t="shared" si="6"/>
        <v>3.5750000000000002</v>
      </c>
      <c r="E39" s="94">
        <f t="shared" si="9"/>
        <v>0.36118779185289346</v>
      </c>
      <c r="F39" s="94">
        <f t="shared" si="9"/>
        <v>0.392044118031802</v>
      </c>
      <c r="G39" s="94">
        <f t="shared" si="7"/>
        <v>0.37661595494234773</v>
      </c>
      <c r="I39" s="92" t="str">
        <f t="shared" si="3"/>
        <v>a925</v>
      </c>
      <c r="J39" s="92" t="str">
        <f t="shared" si="4"/>
        <v>b925</v>
      </c>
      <c r="K39" s="92" t="str">
        <f t="shared" si="5"/>
        <v>r925</v>
      </c>
      <c r="L39" s="93">
        <f t="shared" si="0"/>
        <v>155.16999999999999</v>
      </c>
      <c r="M39" s="93">
        <f t="shared" si="0"/>
        <v>153.16899999999998</v>
      </c>
      <c r="N39" s="93">
        <f t="shared" si="1"/>
        <v>3.645</v>
      </c>
    </row>
    <row r="40" spans="1:14" x14ac:dyDescent="0.4">
      <c r="A40" s="92">
        <v>950</v>
      </c>
      <c r="B40" s="93">
        <v>155.017</v>
      </c>
      <c r="C40" s="93">
        <v>153.017</v>
      </c>
      <c r="D40" s="93">
        <f t="shared" si="6"/>
        <v>3.55</v>
      </c>
      <c r="E40" s="94">
        <f t="shared" si="9"/>
        <v>0.33541895117087611</v>
      </c>
      <c r="F40" s="94">
        <f t="shared" si="9"/>
        <v>0.31366603715636787</v>
      </c>
      <c r="G40" s="94">
        <f t="shared" si="7"/>
        <v>0.32454249416362202</v>
      </c>
      <c r="I40" s="92" t="str">
        <f t="shared" si="3"/>
        <v>a950</v>
      </c>
      <c r="J40" s="92" t="str">
        <f t="shared" si="4"/>
        <v>b950</v>
      </c>
      <c r="K40" s="92" t="str">
        <f t="shared" si="5"/>
        <v>r950</v>
      </c>
      <c r="L40" s="93">
        <f t="shared" si="0"/>
        <v>155.15699999999998</v>
      </c>
      <c r="M40" s="93">
        <f t="shared" si="0"/>
        <v>153.15699999999998</v>
      </c>
      <c r="N40" s="93">
        <f t="shared" si="1"/>
        <v>3.6199999999999997</v>
      </c>
    </row>
    <row r="41" spans="1:14" x14ac:dyDescent="0.4">
      <c r="A41" s="92">
        <v>975</v>
      </c>
      <c r="B41" s="93">
        <v>155.00700000000001</v>
      </c>
      <c r="C41" s="93">
        <v>153.00700000000001</v>
      </c>
      <c r="D41" s="93">
        <f t="shared" si="6"/>
        <v>3.5249999999999999</v>
      </c>
      <c r="E41" s="94">
        <f t="shared" si="9"/>
        <v>0.2580362153825943</v>
      </c>
      <c r="F41" s="94">
        <f t="shared" si="9"/>
        <v>0.26140886306726457</v>
      </c>
      <c r="G41" s="94">
        <f t="shared" si="7"/>
        <v>0.25972253922492944</v>
      </c>
      <c r="I41" s="92" t="str">
        <f t="shared" si="3"/>
        <v>a975</v>
      </c>
      <c r="J41" s="92" t="str">
        <f t="shared" si="4"/>
        <v>b975</v>
      </c>
      <c r="K41" s="92" t="str">
        <f t="shared" si="5"/>
        <v>r975</v>
      </c>
      <c r="L41" s="93">
        <f t="shared" si="0"/>
        <v>155.14699999999999</v>
      </c>
      <c r="M41" s="93">
        <f t="shared" si="0"/>
        <v>153.14699999999999</v>
      </c>
      <c r="N41" s="93">
        <f t="shared" si="1"/>
        <v>3.5949999999999998</v>
      </c>
    </row>
    <row r="42" spans="1:14" x14ac:dyDescent="0.4">
      <c r="A42" s="92">
        <v>1000</v>
      </c>
      <c r="B42" s="93">
        <v>155</v>
      </c>
      <c r="C42" s="93">
        <v>153</v>
      </c>
      <c r="D42" s="93">
        <f t="shared" si="6"/>
        <v>3.5</v>
      </c>
      <c r="E42" s="94">
        <f t="shared" si="9"/>
        <v>0.18063700349029405</v>
      </c>
      <c r="F42" s="94">
        <f t="shared" si="9"/>
        <v>0.18299816348284725</v>
      </c>
      <c r="G42" s="94">
        <f t="shared" si="7"/>
        <v>0.18181758348657065</v>
      </c>
      <c r="I42" s="92" t="str">
        <f t="shared" si="3"/>
        <v>a1000</v>
      </c>
      <c r="J42" s="92" t="str">
        <f t="shared" si="4"/>
        <v>b1000</v>
      </c>
      <c r="K42" s="92" t="str">
        <f t="shared" si="5"/>
        <v>r1000</v>
      </c>
      <c r="L42" s="93">
        <f t="shared" si="0"/>
        <v>155.13999999999999</v>
      </c>
      <c r="M42" s="93">
        <f t="shared" si="0"/>
        <v>153.13999999999999</v>
      </c>
      <c r="N42" s="93">
        <f t="shared" si="1"/>
        <v>3.57</v>
      </c>
    </row>
  </sheetData>
  <phoneticPr fontId="1"/>
  <conditionalFormatting sqref="B2:D42">
    <cfRule type="expression" dxfId="39" priority="2">
      <formula>$A2&lt;&gt;""</formula>
    </cfRule>
  </conditionalFormatting>
  <conditionalFormatting sqref="I2:N42">
    <cfRule type="expression" dxfId="38" priority="1">
      <formula>$A2&lt;&gt;""</formula>
    </cfRule>
  </conditionalFormatting>
  <dataValidations count="1">
    <dataValidation imeMode="disabled" allowBlank="1" showInputMessage="1" showErrorMessage="1" sqref="I1:O1048576 A1:D1048576" xr:uid="{70387CA0-3AE1-4C17-86DC-E7259AE3215B}"/>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master</vt:lpstr>
      <vt:lpstr>wankyoku</vt:lpstr>
      <vt:lpstr>huriwake</vt:lpstr>
      <vt:lpstr>spacer</vt:lpstr>
      <vt:lpstr>gaikei</vt:lpstr>
      <vt:lpstr>naikei</vt:lpstr>
      <vt:lpstr>keyMizo</vt:lpstr>
      <vt:lpstr>bGaisaku</vt:lpstr>
      <vt:lpstr>tGaisaku</vt:lpstr>
      <vt:lpstr>bChanfer</vt:lpstr>
      <vt:lpstr>tChanfer</vt:lpstr>
      <vt:lpstr>zaguri</vt:lpstr>
      <vt:lpstr>palette</vt:lpstr>
      <vt:lpstr>cycleTime</vt:lpstr>
      <vt:lpstr>spacer calculator</vt:lpstr>
      <vt:lpstr>position</vt:lpstr>
      <vt:lpstr>e00937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nobuaki kurahashi</cp:lastModifiedBy>
  <dcterms:created xsi:type="dcterms:W3CDTF">2023-08-17T04:42:45Z</dcterms:created>
  <dcterms:modified xsi:type="dcterms:W3CDTF">2023-11-06T09:16:48Z</dcterms:modified>
</cp:coreProperties>
</file>