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21435" windowHeight="9795" activeTab="1"/>
  </bookViews>
  <sheets>
    <sheet name="销售台账" sheetId="4" r:id="rId1"/>
    <sheet name="HP业务应收、应付账款" sheetId="1" r:id="rId2"/>
  </sheets>
  <definedNames>
    <definedName name="_xlnm._FilterDatabase" localSheetId="1" hidden="1">HP业务应收、应付账款!$C$3:$W$3</definedName>
    <definedName name="_xlnm._FilterDatabase" localSheetId="0" hidden="1">销售台账!$A$2:$T$16</definedName>
  </definedNames>
  <calcPr calcId="124519"/>
</workbook>
</file>

<file path=xl/calcChain.xml><?xml version="1.0" encoding="utf-8"?>
<calcChain xmlns="http://schemas.openxmlformats.org/spreadsheetml/2006/main">
  <c r="I21" i="4"/>
  <c r="R15" i="1"/>
  <c r="S15"/>
  <c r="T15"/>
  <c r="Q15"/>
  <c r="F15"/>
  <c r="G15"/>
  <c r="H15"/>
  <c r="E15"/>
  <c r="X14"/>
  <c r="S14"/>
  <c r="T14"/>
  <c r="U14"/>
  <c r="G14"/>
  <c r="H14"/>
  <c r="I14"/>
  <c r="L14"/>
  <c r="M20" i="4"/>
  <c r="M19"/>
  <c r="M18"/>
  <c r="M17"/>
  <c r="L17"/>
  <c r="L18"/>
  <c r="L19"/>
  <c r="L20"/>
  <c r="I20"/>
  <c r="I19"/>
  <c r="I18"/>
  <c r="I17"/>
  <c r="J17" s="1"/>
  <c r="T13" i="1"/>
  <c r="S13"/>
  <c r="X13" s="1"/>
  <c r="H13"/>
  <c r="G13"/>
  <c r="L13" s="1"/>
  <c r="L16" i="4"/>
  <c r="L15"/>
  <c r="I16"/>
  <c r="M16" s="1"/>
  <c r="I15"/>
  <c r="P14"/>
  <c r="I13" i="1" l="1"/>
  <c r="U13"/>
  <c r="W13" s="1"/>
  <c r="M15" i="4"/>
  <c r="J15"/>
  <c r="I14"/>
  <c r="R13" l="1"/>
  <c r="K4" l="1"/>
  <c r="L4" s="1"/>
  <c r="L3"/>
  <c r="F5" i="1" l="1"/>
  <c r="R8" l="1"/>
  <c r="F8"/>
  <c r="F11"/>
  <c r="H5" l="1"/>
  <c r="H8"/>
  <c r="L5"/>
  <c r="K5" s="1"/>
  <c r="X5" l="1"/>
  <c r="W5" s="1"/>
  <c r="X8"/>
  <c r="W8" s="1"/>
  <c r="X9"/>
  <c r="W9" s="1"/>
  <c r="X10"/>
  <c r="W10" s="1"/>
  <c r="X11"/>
  <c r="W11" s="1"/>
  <c r="L9"/>
  <c r="K9" s="1"/>
  <c r="L10"/>
  <c r="K10" s="1"/>
  <c r="L8"/>
  <c r="L11" l="1"/>
  <c r="K11" s="1"/>
  <c r="T8" l="1"/>
  <c r="U5"/>
  <c r="E4"/>
  <c r="E5"/>
  <c r="I5" s="1"/>
  <c r="E11"/>
  <c r="E8"/>
  <c r="U6" l="1"/>
  <c r="X6"/>
  <c r="W6" s="1"/>
  <c r="X12"/>
  <c r="W12" s="1"/>
  <c r="I10"/>
  <c r="I8"/>
  <c r="I9"/>
  <c r="H11"/>
  <c r="L12"/>
  <c r="K12" s="1"/>
  <c r="T11"/>
  <c r="I12"/>
  <c r="I11"/>
  <c r="S7"/>
  <c r="G4"/>
  <c r="L13" i="4"/>
  <c r="I13"/>
  <c r="L12"/>
  <c r="Q11" i="1" s="1"/>
  <c r="U12" s="1"/>
  <c r="I12" i="4"/>
  <c r="M12" s="1"/>
  <c r="L11"/>
  <c r="I11"/>
  <c r="L10"/>
  <c r="I10"/>
  <c r="R9"/>
  <c r="L9"/>
  <c r="I9"/>
  <c r="L8"/>
  <c r="Q8" i="1" s="1"/>
  <c r="I8" i="4"/>
  <c r="K7"/>
  <c r="L7" s="1"/>
  <c r="I7"/>
  <c r="K6"/>
  <c r="L6" s="1"/>
  <c r="M6" s="1"/>
  <c r="I6"/>
  <c r="L5"/>
  <c r="Q4" i="1" s="1"/>
  <c r="I5" i="4"/>
  <c r="P4"/>
  <c r="I4"/>
  <c r="M4" s="1"/>
  <c r="I3"/>
  <c r="M3" s="1"/>
  <c r="M10" l="1"/>
  <c r="M11"/>
  <c r="U9" i="1"/>
  <c r="U10"/>
  <c r="U11"/>
  <c r="U8"/>
  <c r="S4"/>
  <c r="U4" s="1"/>
  <c r="U7"/>
  <c r="X7"/>
  <c r="W7" s="1"/>
  <c r="T7"/>
  <c r="L4"/>
  <c r="K4" s="1"/>
  <c r="L6"/>
  <c r="K6" s="1"/>
  <c r="I6"/>
  <c r="I4"/>
  <c r="H4"/>
  <c r="M13" i="4"/>
  <c r="M5"/>
  <c r="M8"/>
  <c r="M9"/>
  <c r="M7"/>
  <c r="T4" i="1" l="1"/>
  <c r="X4"/>
  <c r="W4" s="1"/>
</calcChain>
</file>

<file path=xl/comments1.xml><?xml version="1.0" encoding="utf-8"?>
<comments xmlns="http://schemas.openxmlformats.org/spreadsheetml/2006/main">
  <authors>
    <author>Edwin</author>
    <author>dbc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240000是系统的钱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Edwin:服务费8%含在内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80万是硬件价格 其余是软件价格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Edwin:亮钻发票：05541406 金额11200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10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1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44666.1进账日期是5.19</t>
        </r>
      </text>
    </comment>
    <comment ref="Q14" authorId="1">
      <text>
        <r>
          <rPr>
            <b/>
            <sz val="9"/>
            <color indexed="81"/>
            <rFont val="宋体"/>
            <family val="3"/>
            <charset val="134"/>
          </rPr>
          <t>回款时间不确定</t>
        </r>
      </text>
    </comment>
  </commentList>
</comments>
</file>

<file path=xl/comments2.xml><?xml version="1.0" encoding="utf-8"?>
<comments xmlns="http://schemas.openxmlformats.org/spreadsheetml/2006/main">
  <authors>
    <author>Edwin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</commentList>
</comments>
</file>

<file path=xl/sharedStrings.xml><?xml version="1.0" encoding="utf-8"?>
<sst xmlns="http://schemas.openxmlformats.org/spreadsheetml/2006/main" count="197" uniqueCount="119">
  <si>
    <t>序号</t>
  </si>
  <si>
    <t>单位</t>
  </si>
  <si>
    <t>上海东吉数码科技有限公司</t>
  </si>
  <si>
    <t>上海友硕电子科技有限公司</t>
  </si>
  <si>
    <t>上海微宜信息技术有限公司</t>
  </si>
  <si>
    <t>合计：</t>
    <phoneticPr fontId="1" type="noConversion"/>
  </si>
  <si>
    <t>上海汇笠贸易有限公司</t>
    <phoneticPr fontId="1" type="noConversion"/>
  </si>
  <si>
    <t>上海亮钻电子科技有限公司</t>
    <phoneticPr fontId="1" type="noConversion"/>
  </si>
  <si>
    <t>供应商</t>
    <phoneticPr fontId="1" type="noConversion"/>
  </si>
  <si>
    <t>上海汇笠贸易有限公司</t>
    <phoneticPr fontId="1" type="noConversion"/>
  </si>
  <si>
    <t>订货日期</t>
    <phoneticPr fontId="1" type="noConversion"/>
  </si>
  <si>
    <t>订货单位</t>
    <phoneticPr fontId="1" type="noConversion"/>
  </si>
  <si>
    <t>产品名称</t>
    <phoneticPr fontId="1" type="noConversion"/>
  </si>
  <si>
    <t>产品规格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</si>
  <si>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</si>
  <si>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</si>
  <si>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</si>
  <si>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</si>
  <si>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合同价</t>
    <phoneticPr fontId="1" type="noConversion"/>
  </si>
  <si>
    <t>成本单价</t>
    <phoneticPr fontId="1" type="noConversion"/>
  </si>
  <si>
    <t>成本合计</t>
    <phoneticPr fontId="1" type="noConversion"/>
  </si>
  <si>
    <t>毛利</t>
    <phoneticPr fontId="1" type="noConversion"/>
  </si>
  <si>
    <t>供应商名称</t>
    <phoneticPr fontId="1" type="noConversion"/>
  </si>
  <si>
    <t>开票日期</t>
    <phoneticPr fontId="1" type="noConversion"/>
  </si>
  <si>
    <t>发票号码</t>
    <phoneticPr fontId="1" type="noConversion"/>
  </si>
  <si>
    <t>发票金额</t>
    <phoneticPr fontId="1" type="noConversion"/>
  </si>
  <si>
    <t>付款日期</t>
    <phoneticPr fontId="1" type="noConversion"/>
  </si>
  <si>
    <t>付款金额</t>
    <phoneticPr fontId="1" type="noConversion"/>
  </si>
  <si>
    <t>备注</t>
    <phoneticPr fontId="1" type="noConversion"/>
  </si>
  <si>
    <t>上海华讯网络系统有限公司</t>
    <phoneticPr fontId="1" type="noConversion"/>
  </si>
  <si>
    <t>神威网络隔离器</t>
    <phoneticPr fontId="1" type="noConversion"/>
  </si>
  <si>
    <t>千兆 SAW-004</t>
    <phoneticPr fontId="1" type="noConversion"/>
  </si>
  <si>
    <t>台</t>
    <phoneticPr fontId="1" type="noConversion"/>
  </si>
  <si>
    <t>56所</t>
    <phoneticPr fontId="1" type="noConversion"/>
  </si>
  <si>
    <t>上海期货交易所</t>
    <phoneticPr fontId="1" type="noConversion"/>
  </si>
  <si>
    <t>百兆</t>
    <phoneticPr fontId="1" type="noConversion"/>
  </si>
  <si>
    <t>北京千瑞/汇笠贸易</t>
    <phoneticPr fontId="1" type="noConversion"/>
  </si>
  <si>
    <t>2011-1-12/2011-4-6</t>
    <phoneticPr fontId="1" type="noConversion"/>
  </si>
  <si>
    <t>/06294350,16775201-49,16783351-3400,4.6开1140000</t>
    <phoneticPr fontId="1" type="noConversion"/>
  </si>
  <si>
    <t>上海东吉数码科技有限公司</t>
    <phoneticPr fontId="1" type="noConversion"/>
  </si>
  <si>
    <t>HP刀片服务器</t>
    <phoneticPr fontId="1" type="noConversion"/>
  </si>
  <si>
    <t>32A HV</t>
    <phoneticPr fontId="1" type="noConversion"/>
  </si>
  <si>
    <t>套</t>
    <phoneticPr fontId="1" type="noConversion"/>
  </si>
  <si>
    <t>上海汇笠贸易有限公司</t>
    <phoneticPr fontId="1" type="noConversion"/>
  </si>
  <si>
    <t>/01126252,53/32678094-100</t>
    <phoneticPr fontId="1" type="noConversion"/>
  </si>
  <si>
    <t>货到30天内付款</t>
    <phoneticPr fontId="1" type="noConversion"/>
  </si>
  <si>
    <t>上海友硕电子科技有限公司</t>
    <phoneticPr fontId="1" type="noConversion"/>
  </si>
  <si>
    <t>HP刀片服务器</t>
    <phoneticPr fontId="1" type="noConversion"/>
  </si>
  <si>
    <t>DL580R07</t>
    <phoneticPr fontId="1" type="noConversion"/>
  </si>
  <si>
    <t>套</t>
    <phoneticPr fontId="1" type="noConversion"/>
  </si>
  <si>
    <t>上海汇笠贸易有限公司/亮钻</t>
    <phoneticPr fontId="1" type="noConversion"/>
  </si>
  <si>
    <t>预付30%，剩余货到后开25天期票</t>
    <phoneticPr fontId="1" type="noConversion"/>
  </si>
  <si>
    <t>上海友硕电子科技有限公司</t>
    <phoneticPr fontId="1" type="noConversion"/>
  </si>
  <si>
    <t>DL380G7</t>
    <phoneticPr fontId="1" type="noConversion"/>
  </si>
  <si>
    <t>上海汇笠贸易有限公司/亮钻</t>
    <phoneticPr fontId="1" type="noConversion"/>
  </si>
  <si>
    <t>上海微宜信息技术有限公司</t>
    <phoneticPr fontId="1" type="noConversion"/>
  </si>
  <si>
    <t>HP刀片服务器</t>
    <phoneticPr fontId="1" type="noConversion"/>
  </si>
  <si>
    <t>X1800</t>
    <phoneticPr fontId="1" type="noConversion"/>
  </si>
  <si>
    <t>套</t>
    <phoneticPr fontId="1" type="noConversion"/>
  </si>
  <si>
    <t>预付30%，剩余货到后开25天期票</t>
    <phoneticPr fontId="1" type="noConversion"/>
  </si>
  <si>
    <t>BLB50C12</t>
    <phoneticPr fontId="1" type="noConversion"/>
  </si>
  <si>
    <t>上海微宜信息技术有限公司</t>
    <phoneticPr fontId="1" type="noConversion"/>
  </si>
  <si>
    <t>BLB60C12</t>
    <phoneticPr fontId="1" type="noConversion"/>
  </si>
  <si>
    <t>2011.4.7</t>
    <phoneticPr fontId="1" type="noConversion"/>
  </si>
  <si>
    <t>刀片机箱</t>
    <phoneticPr fontId="1" type="noConversion"/>
  </si>
  <si>
    <t>上海迪远电子科技有限公司</t>
    <phoneticPr fontId="1" type="noConversion"/>
  </si>
  <si>
    <t>DL360G7/E5506/2G*2/146G*2/460W</t>
    <phoneticPr fontId="1" type="noConversion"/>
  </si>
  <si>
    <t>预付30%，剩余货到后开25天期票</t>
    <phoneticPr fontId="1" type="noConversion"/>
  </si>
  <si>
    <t>DL360G7/E5506/2G*2/146G/460W</t>
    <phoneticPr fontId="1" type="noConversion"/>
  </si>
  <si>
    <t>HP刀片服务器机箱</t>
    <phoneticPr fontId="1" type="noConversion"/>
  </si>
  <si>
    <t>尚欠款</t>
    <phoneticPr fontId="1" type="noConversion"/>
  </si>
  <si>
    <t>已回款</t>
    <phoneticPr fontId="1" type="noConversion"/>
  </si>
  <si>
    <t>销售款</t>
    <phoneticPr fontId="1" type="noConversion"/>
  </si>
  <si>
    <t>采购款</t>
    <phoneticPr fontId="1" type="noConversion"/>
  </si>
  <si>
    <t>已付款</t>
    <phoneticPr fontId="1" type="noConversion"/>
  </si>
  <si>
    <t>应收账款</t>
    <phoneticPr fontId="1" type="noConversion"/>
  </si>
  <si>
    <t>应付账款</t>
    <phoneticPr fontId="1" type="noConversion"/>
  </si>
  <si>
    <t>产品类型</t>
    <phoneticPr fontId="1" type="noConversion"/>
  </si>
  <si>
    <t>主营业务</t>
    <phoneticPr fontId="1" type="noConversion"/>
  </si>
  <si>
    <t>HP业务</t>
    <phoneticPr fontId="1" type="noConversion"/>
  </si>
  <si>
    <t>上海迪远电子科技有限公司</t>
    <phoneticPr fontId="1" type="noConversion"/>
  </si>
  <si>
    <t>合计欠款</t>
    <phoneticPr fontId="1" type="noConversion"/>
  </si>
  <si>
    <t>订货日期</t>
    <phoneticPr fontId="1" type="noConversion"/>
  </si>
  <si>
    <t>应付款日期</t>
    <phoneticPr fontId="1" type="noConversion"/>
  </si>
  <si>
    <t>应收款日期</t>
    <phoneticPr fontId="1" type="noConversion"/>
  </si>
  <si>
    <t>延期天数</t>
    <phoneticPr fontId="1" type="noConversion"/>
  </si>
  <si>
    <t>备注</t>
    <phoneticPr fontId="1" type="noConversion"/>
  </si>
  <si>
    <t>合计欠款</t>
    <phoneticPr fontId="1" type="noConversion"/>
  </si>
  <si>
    <t>延期天数</t>
    <phoneticPr fontId="1" type="noConversion"/>
  </si>
  <si>
    <t>是否结束</t>
    <phoneticPr fontId="1" type="noConversion"/>
  </si>
  <si>
    <t>欠款比例</t>
    <phoneticPr fontId="1" type="noConversion"/>
  </si>
  <si>
    <t>欠款比例</t>
    <phoneticPr fontId="1" type="noConversion"/>
  </si>
  <si>
    <t>/01126268-70</t>
    <phoneticPr fontId="1" type="noConversion"/>
  </si>
  <si>
    <t>结束</t>
    <phoneticPr fontId="1" type="noConversion"/>
  </si>
  <si>
    <t>结束</t>
    <phoneticPr fontId="1" type="noConversion"/>
  </si>
  <si>
    <t>/01126271</t>
    <phoneticPr fontId="1" type="noConversion"/>
  </si>
  <si>
    <t>2011.4.22</t>
    <phoneticPr fontId="1" type="noConversion"/>
  </si>
  <si>
    <t>2011.4.22</t>
    <phoneticPr fontId="1" type="noConversion"/>
  </si>
  <si>
    <t>2011.4.28</t>
    <phoneticPr fontId="1" type="noConversion"/>
  </si>
  <si>
    <t>2011.4.21</t>
    <phoneticPr fontId="1" type="noConversion"/>
  </si>
  <si>
    <t>2011.3.20</t>
    <phoneticPr fontId="1" type="noConversion"/>
  </si>
  <si>
    <t>结束</t>
    <phoneticPr fontId="1" type="noConversion"/>
  </si>
  <si>
    <t>2011.5.9/5.19</t>
    <phoneticPr fontId="1" type="noConversion"/>
  </si>
  <si>
    <t>CA身份认证系统</t>
    <phoneticPr fontId="1" type="noConversion"/>
  </si>
  <si>
    <t>套</t>
    <phoneticPr fontId="1" type="noConversion"/>
  </si>
  <si>
    <t>56所/双鹿/海泰</t>
    <phoneticPr fontId="1" type="noConversion"/>
  </si>
  <si>
    <t>2011/6.7</t>
    <phoneticPr fontId="1" type="noConversion"/>
  </si>
  <si>
    <t>2011.6.20</t>
    <phoneticPr fontId="1" type="noConversion"/>
  </si>
  <si>
    <t>套</t>
    <phoneticPr fontId="1" type="noConversion"/>
  </si>
  <si>
    <t>上海睿都信息科技有限公司</t>
    <phoneticPr fontId="1" type="noConversion"/>
  </si>
  <si>
    <t>HP Proliant DL380G7</t>
    <phoneticPr fontId="1" type="noConversion"/>
  </si>
  <si>
    <t>HP Proliant DL388G7</t>
    <phoneticPr fontId="1" type="noConversion"/>
  </si>
  <si>
    <t>HP存储</t>
    <phoneticPr fontId="1" type="noConversion"/>
  </si>
  <si>
    <t>HP带库</t>
    <phoneticPr fontId="1" type="noConversion"/>
  </si>
  <si>
    <t>2010年-2011年7月销售台帐</t>
    <phoneticPr fontId="1" type="noConversion"/>
  </si>
  <si>
    <t>2011年7月HP业务应收应付账款</t>
    <phoneticPr fontId="1" type="noConversion"/>
  </si>
  <si>
    <t>预付40%，硬件设备交付后再付30%，剩余验收后付清</t>
    <phoneticPr fontId="1" type="noConversion"/>
  </si>
  <si>
    <t>欧唯特信息系统（上海）有限公司</t>
    <phoneticPr fontId="1" type="noConversion"/>
  </si>
  <si>
    <t>到货20天内付全款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</si>
</sst>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.00;[Red]#,##0.00"/>
    <numFmt numFmtId="177" formatCode="0.0%"/>
    <numFmt numFmtId="178" formatCode="#,##0;[Red]#,##0"/>
    <numFmt numFmtId="179" formatCode="0_);[Red]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??"/>
      <family val="2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 style="thin">
        <color indexed="64"/>
      </right>
      <top style="thin">
        <color indexed="64"/>
      </top>
      <bottom/>
      <diagonal/>
    </border>
    <border>
      <left style="dashDot">
        <color auto="1"/>
      </left>
      <right style="thin">
        <color indexed="64"/>
      </right>
      <top/>
      <bottom/>
      <diagonal/>
    </border>
    <border>
      <left style="dashDot">
        <color auto="1"/>
      </left>
      <right style="thin">
        <color indexed="64"/>
      </right>
      <top/>
      <bottom style="thin">
        <color indexed="64"/>
      </bottom>
      <diagonal/>
    </border>
    <border>
      <left style="dashDot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wrapText="1"/>
    </xf>
    <xf numFmtId="14" fontId="3" fillId="0" borderId="7" xfId="0" applyNumberFormat="1" applyFont="1" applyBorder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3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3" fillId="0" borderId="1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11" xfId="0" applyFont="1" applyBorder="1">
      <alignment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9" fontId="0" fillId="0" borderId="1" xfId="0" applyNumberFormat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11" xfId="0" applyNumberFormat="1" applyBorder="1">
      <alignment vertical="center"/>
    </xf>
    <xf numFmtId="178" fontId="0" fillId="0" borderId="17" xfId="0" applyNumberFormat="1" applyBorder="1" applyAlignment="1">
      <alignment vertical="center"/>
    </xf>
    <xf numFmtId="178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8" fontId="0" fillId="0" borderId="17" xfId="0" applyNumberFormat="1" applyBorder="1">
      <alignment vertical="center"/>
    </xf>
    <xf numFmtId="176" fontId="3" fillId="0" borderId="17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178" fontId="8" fillId="0" borderId="16" xfId="0" applyNumberFormat="1" applyFont="1" applyBorder="1" applyAlignment="1">
      <alignment horizontal="left" vertical="center" wrapText="1"/>
    </xf>
    <xf numFmtId="176" fontId="3" fillId="0" borderId="16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78" fontId="8" fillId="0" borderId="20" xfId="0" applyNumberFormat="1" applyFont="1" applyBorder="1" applyAlignment="1">
      <alignment horizontal="left" vertical="center" wrapText="1"/>
    </xf>
    <xf numFmtId="178" fontId="8" fillId="0" borderId="22" xfId="0" applyNumberFormat="1" applyFont="1" applyBorder="1" applyAlignment="1">
      <alignment horizontal="left" vertical="center" wrapText="1"/>
    </xf>
    <xf numFmtId="178" fontId="8" fillId="0" borderId="21" xfId="0" applyNumberFormat="1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D20" sqref="D20"/>
    </sheetView>
  </sheetViews>
  <sheetFormatPr defaultRowHeight="13.5"/>
  <cols>
    <col min="1" max="1" width="11" customWidth="1"/>
    <col min="2" max="2" width="23.375" style="71" customWidth="1"/>
    <col min="3" max="3" width="9.25" style="1" customWidth="1"/>
    <col min="4" max="4" width="15.375" customWidth="1"/>
    <col min="5" max="5" width="13.25" style="71" customWidth="1"/>
    <col min="6" max="6" width="5.75" customWidth="1"/>
    <col min="7" max="7" width="5.375" customWidth="1"/>
    <col min="8" max="8" width="9.125" customWidth="1"/>
    <col min="9" max="9" width="10.625" customWidth="1"/>
    <col min="10" max="10" width="11.875" customWidth="1"/>
    <col min="13" max="13" width="8" customWidth="1"/>
    <col min="14" max="14" width="11.875" customWidth="1"/>
    <col min="15" max="15" width="10.875" customWidth="1"/>
    <col min="19" max="19" width="25.125" style="1" customWidth="1"/>
    <col min="20" max="20" width="13.625" customWidth="1"/>
  </cols>
  <sheetData>
    <row r="1" spans="1:20" s="26" customFormat="1" ht="35.25" customHeight="1">
      <c r="A1" s="80" t="s">
        <v>114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s="1" customFormat="1" ht="24.75" customHeight="1">
      <c r="A2" s="9" t="s">
        <v>10</v>
      </c>
      <c r="B2" s="68" t="s">
        <v>11</v>
      </c>
      <c r="C2" s="9" t="s">
        <v>77</v>
      </c>
      <c r="D2" s="9" t="s">
        <v>12</v>
      </c>
      <c r="E2" s="68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22</v>
      </c>
      <c r="T2" s="9" t="s">
        <v>28</v>
      </c>
    </row>
    <row r="3" spans="1:20" s="1" customFormat="1" ht="24.75" customHeight="1">
      <c r="A3" s="10">
        <v>40534</v>
      </c>
      <c r="B3" s="69" t="s">
        <v>29</v>
      </c>
      <c r="C3" s="2" t="s">
        <v>78</v>
      </c>
      <c r="D3" s="2" t="s">
        <v>30</v>
      </c>
      <c r="E3" s="69" t="s">
        <v>31</v>
      </c>
      <c r="F3" s="2" t="s">
        <v>32</v>
      </c>
      <c r="G3" s="2">
        <v>2</v>
      </c>
      <c r="H3" s="2">
        <v>300000</v>
      </c>
      <c r="I3" s="2">
        <f>H3*G3</f>
        <v>600000</v>
      </c>
      <c r="J3" s="2">
        <v>600000</v>
      </c>
      <c r="K3" s="2">
        <v>240000</v>
      </c>
      <c r="L3" s="2">
        <f>K3*G3</f>
        <v>480000</v>
      </c>
      <c r="M3" s="2">
        <f>I3-L3</f>
        <v>120000</v>
      </c>
      <c r="N3" s="2"/>
      <c r="O3" s="2"/>
      <c r="P3" s="2"/>
      <c r="Q3" s="2"/>
      <c r="R3" s="2"/>
      <c r="S3" s="2" t="s">
        <v>33</v>
      </c>
      <c r="T3" s="2"/>
    </row>
    <row r="4" spans="1:20" s="1" customFormat="1" ht="24.75" customHeight="1">
      <c r="A4" s="10">
        <v>40534</v>
      </c>
      <c r="B4" s="69" t="s">
        <v>34</v>
      </c>
      <c r="C4" s="2" t="s">
        <v>78</v>
      </c>
      <c r="D4" s="2" t="s">
        <v>30</v>
      </c>
      <c r="E4" s="69" t="s">
        <v>35</v>
      </c>
      <c r="F4" s="2" t="s">
        <v>32</v>
      </c>
      <c r="G4" s="2">
        <v>16</v>
      </c>
      <c r="H4" s="2">
        <v>264480</v>
      </c>
      <c r="I4" s="2">
        <f t="shared" ref="I4:I20" si="0">H4*G4</f>
        <v>4231680</v>
      </c>
      <c r="J4" s="2">
        <v>4231680</v>
      </c>
      <c r="K4" s="55">
        <f>800000+1404000+585000</f>
        <v>2789000</v>
      </c>
      <c r="L4" s="55">
        <f>K4</f>
        <v>2789000</v>
      </c>
      <c r="M4" s="55">
        <f>I4-L4</f>
        <v>1442680</v>
      </c>
      <c r="N4" s="10" t="s">
        <v>37</v>
      </c>
      <c r="O4" s="11" t="s">
        <v>38</v>
      </c>
      <c r="P4" s="2">
        <f>1140000*2</f>
        <v>2280000</v>
      </c>
      <c r="Q4" s="2"/>
      <c r="R4" s="2"/>
      <c r="S4" s="2" t="s">
        <v>36</v>
      </c>
      <c r="T4" s="2"/>
    </row>
    <row r="5" spans="1:20" s="1" customFormat="1" ht="24.75" customHeight="1">
      <c r="A5" s="10">
        <v>40595</v>
      </c>
      <c r="B5" s="69" t="s">
        <v>39</v>
      </c>
      <c r="C5" s="2" t="s">
        <v>79</v>
      </c>
      <c r="D5" s="2" t="s">
        <v>40</v>
      </c>
      <c r="E5" s="69" t="s">
        <v>41</v>
      </c>
      <c r="F5" s="2" t="s">
        <v>42</v>
      </c>
      <c r="G5" s="2">
        <v>1</v>
      </c>
      <c r="H5" s="2">
        <v>110404</v>
      </c>
      <c r="I5" s="2">
        <f t="shared" si="0"/>
        <v>110404</v>
      </c>
      <c r="J5" s="2">
        <v>110404</v>
      </c>
      <c r="K5" s="2">
        <v>110404</v>
      </c>
      <c r="L5" s="2">
        <f t="shared" ref="L5:L20" si="1">K5*G5</f>
        <v>110404</v>
      </c>
      <c r="M5" s="2">
        <f t="shared" ref="M5:M20" si="2">I5-L5</f>
        <v>0</v>
      </c>
      <c r="N5" s="10">
        <v>40627</v>
      </c>
      <c r="O5" s="11" t="s">
        <v>44</v>
      </c>
      <c r="P5" s="2">
        <v>110404</v>
      </c>
      <c r="Q5" s="2" t="s">
        <v>99</v>
      </c>
      <c r="R5" s="2">
        <v>110404</v>
      </c>
      <c r="S5" s="2" t="s">
        <v>43</v>
      </c>
      <c r="T5" s="2" t="s">
        <v>45</v>
      </c>
    </row>
    <row r="6" spans="1:20" s="1" customFormat="1" ht="24.75" customHeight="1">
      <c r="A6" s="10">
        <v>40617</v>
      </c>
      <c r="B6" s="69" t="s">
        <v>46</v>
      </c>
      <c r="C6" s="2" t="s">
        <v>79</v>
      </c>
      <c r="D6" s="2" t="s">
        <v>47</v>
      </c>
      <c r="E6" s="69" t="s">
        <v>48</v>
      </c>
      <c r="F6" s="2" t="s">
        <v>49</v>
      </c>
      <c r="G6" s="2">
        <v>2</v>
      </c>
      <c r="H6" s="2">
        <v>60308</v>
      </c>
      <c r="I6" s="2">
        <f t="shared" si="0"/>
        <v>120616</v>
      </c>
      <c r="J6" s="76">
        <v>167134</v>
      </c>
      <c r="K6" s="2">
        <f>57008+2800</f>
        <v>59808</v>
      </c>
      <c r="L6" s="2">
        <f t="shared" si="1"/>
        <v>119616</v>
      </c>
      <c r="M6" s="2">
        <f t="shared" si="2"/>
        <v>1000</v>
      </c>
      <c r="N6" s="10">
        <v>40660</v>
      </c>
      <c r="O6" s="2"/>
      <c r="P6" s="2">
        <v>167134</v>
      </c>
      <c r="Q6" s="2" t="s">
        <v>100</v>
      </c>
      <c r="R6" s="2">
        <v>50140</v>
      </c>
      <c r="S6" s="2" t="s">
        <v>50</v>
      </c>
      <c r="T6" s="78" t="s">
        <v>51</v>
      </c>
    </row>
    <row r="7" spans="1:20" s="1" customFormat="1" ht="24.75" customHeight="1">
      <c r="A7" s="10">
        <v>40617</v>
      </c>
      <c r="B7" s="69" t="s">
        <v>52</v>
      </c>
      <c r="C7" s="2" t="s">
        <v>79</v>
      </c>
      <c r="D7" s="2" t="s">
        <v>40</v>
      </c>
      <c r="E7" s="69" t="s">
        <v>53</v>
      </c>
      <c r="F7" s="2" t="s">
        <v>42</v>
      </c>
      <c r="G7" s="2">
        <v>2</v>
      </c>
      <c r="H7" s="2">
        <v>23259</v>
      </c>
      <c r="I7" s="2">
        <f t="shared" si="0"/>
        <v>46518</v>
      </c>
      <c r="J7" s="77"/>
      <c r="K7" s="2">
        <f>19959+2800</f>
        <v>22759</v>
      </c>
      <c r="L7" s="2">
        <f t="shared" si="1"/>
        <v>45518</v>
      </c>
      <c r="M7" s="2">
        <f t="shared" si="2"/>
        <v>1000</v>
      </c>
      <c r="N7" s="10">
        <v>40660</v>
      </c>
      <c r="O7" s="2"/>
      <c r="P7" s="2">
        <v>0</v>
      </c>
      <c r="Q7" s="2" t="s">
        <v>98</v>
      </c>
      <c r="R7" s="2">
        <v>116994</v>
      </c>
      <c r="S7" s="2" t="s">
        <v>54</v>
      </c>
      <c r="T7" s="79"/>
    </row>
    <row r="8" spans="1:20" s="1" customFormat="1" ht="24.75" customHeight="1">
      <c r="A8" s="10">
        <v>40618</v>
      </c>
      <c r="B8" s="69" t="s">
        <v>55</v>
      </c>
      <c r="C8" s="2" t="s">
        <v>79</v>
      </c>
      <c r="D8" s="2" t="s">
        <v>56</v>
      </c>
      <c r="E8" s="12" t="s">
        <v>57</v>
      </c>
      <c r="F8" s="2" t="s">
        <v>58</v>
      </c>
      <c r="G8" s="2">
        <v>1</v>
      </c>
      <c r="H8" s="12">
        <v>33167</v>
      </c>
      <c r="I8" s="2">
        <f t="shared" si="0"/>
        <v>33167</v>
      </c>
      <c r="J8" s="76">
        <v>373066</v>
      </c>
      <c r="K8" s="12">
        <v>33167</v>
      </c>
      <c r="L8" s="2">
        <f t="shared" si="1"/>
        <v>33167</v>
      </c>
      <c r="M8" s="2">
        <f t="shared" si="2"/>
        <v>0</v>
      </c>
      <c r="N8" s="10">
        <v>40654</v>
      </c>
      <c r="O8" s="2" t="s">
        <v>95</v>
      </c>
      <c r="P8" s="2">
        <v>33167</v>
      </c>
      <c r="Q8" s="2" t="s">
        <v>97</v>
      </c>
      <c r="R8" s="2">
        <v>33167</v>
      </c>
      <c r="S8" s="2" t="s">
        <v>6</v>
      </c>
      <c r="T8" s="78" t="s">
        <v>59</v>
      </c>
    </row>
    <row r="9" spans="1:20" s="1" customFormat="1" ht="24.75" customHeight="1">
      <c r="A9" s="10">
        <v>40618</v>
      </c>
      <c r="B9" s="69" t="s">
        <v>55</v>
      </c>
      <c r="C9" s="2" t="s">
        <v>79</v>
      </c>
      <c r="D9" s="2" t="s">
        <v>56</v>
      </c>
      <c r="E9" s="12" t="s">
        <v>60</v>
      </c>
      <c r="F9" s="2" t="s">
        <v>58</v>
      </c>
      <c r="G9" s="2">
        <v>1</v>
      </c>
      <c r="H9" s="12">
        <v>147950</v>
      </c>
      <c r="I9" s="2">
        <f t="shared" si="0"/>
        <v>147950</v>
      </c>
      <c r="J9" s="81"/>
      <c r="K9" s="12">
        <v>147950</v>
      </c>
      <c r="L9" s="2">
        <f t="shared" si="1"/>
        <v>147950</v>
      </c>
      <c r="M9" s="2">
        <f t="shared" si="2"/>
        <v>0</v>
      </c>
      <c r="N9" s="10">
        <v>40640</v>
      </c>
      <c r="O9" s="2"/>
      <c r="P9" s="2">
        <v>339899</v>
      </c>
      <c r="Q9" s="2">
        <v>2011.3</v>
      </c>
      <c r="R9" s="2">
        <f>373066*0.3</f>
        <v>111919.8</v>
      </c>
      <c r="S9" s="2" t="s">
        <v>43</v>
      </c>
      <c r="T9" s="82"/>
    </row>
    <row r="10" spans="1:20" s="1" customFormat="1" ht="24.75" customHeight="1">
      <c r="A10" s="10">
        <v>40618</v>
      </c>
      <c r="B10" s="69" t="s">
        <v>61</v>
      </c>
      <c r="C10" s="2" t="s">
        <v>79</v>
      </c>
      <c r="D10" s="2" t="s">
        <v>47</v>
      </c>
      <c r="E10" s="12" t="s">
        <v>62</v>
      </c>
      <c r="F10" s="2" t="s">
        <v>49</v>
      </c>
      <c r="G10" s="2">
        <v>1</v>
      </c>
      <c r="H10" s="12">
        <v>93657</v>
      </c>
      <c r="I10" s="2">
        <f t="shared" si="0"/>
        <v>93657</v>
      </c>
      <c r="J10" s="81"/>
      <c r="K10" s="12">
        <v>93657</v>
      </c>
      <c r="L10" s="2">
        <f t="shared" si="1"/>
        <v>93657</v>
      </c>
      <c r="M10" s="2">
        <f t="shared" si="2"/>
        <v>0</v>
      </c>
      <c r="N10" s="10">
        <v>40640</v>
      </c>
      <c r="O10" s="2"/>
      <c r="P10" s="2">
        <v>0</v>
      </c>
      <c r="Q10" s="2" t="s">
        <v>63</v>
      </c>
      <c r="R10" s="2">
        <v>227979.2</v>
      </c>
      <c r="S10" s="2" t="s">
        <v>43</v>
      </c>
      <c r="T10" s="82"/>
    </row>
    <row r="11" spans="1:20" s="1" customFormat="1" ht="24.75" customHeight="1">
      <c r="A11" s="10">
        <v>40618</v>
      </c>
      <c r="B11" s="69" t="s">
        <v>61</v>
      </c>
      <c r="C11" s="2" t="s">
        <v>79</v>
      </c>
      <c r="D11" s="2" t="s">
        <v>69</v>
      </c>
      <c r="E11" s="12" t="s">
        <v>64</v>
      </c>
      <c r="F11" s="2" t="s">
        <v>49</v>
      </c>
      <c r="G11" s="2">
        <v>1</v>
      </c>
      <c r="H11" s="12">
        <v>98292</v>
      </c>
      <c r="I11" s="2">
        <f t="shared" si="0"/>
        <v>98292</v>
      </c>
      <c r="J11" s="77"/>
      <c r="K11" s="12">
        <v>98292</v>
      </c>
      <c r="L11" s="2">
        <f t="shared" si="1"/>
        <v>98292</v>
      </c>
      <c r="M11" s="2">
        <f t="shared" si="2"/>
        <v>0</v>
      </c>
      <c r="N11" s="10">
        <v>40640</v>
      </c>
      <c r="O11" s="2"/>
      <c r="P11" s="2">
        <v>0</v>
      </c>
      <c r="Q11" s="2" t="s">
        <v>63</v>
      </c>
      <c r="R11" s="2">
        <v>0</v>
      </c>
      <c r="S11" s="2" t="s">
        <v>43</v>
      </c>
      <c r="T11" s="79"/>
    </row>
    <row r="12" spans="1:20" s="1" customFormat="1" ht="24.75" customHeight="1">
      <c r="A12" s="10">
        <v>40618</v>
      </c>
      <c r="B12" s="69" t="s">
        <v>65</v>
      </c>
      <c r="C12" s="2" t="s">
        <v>79</v>
      </c>
      <c r="D12" s="2" t="s">
        <v>47</v>
      </c>
      <c r="E12" s="12" t="s">
        <v>66</v>
      </c>
      <c r="F12" s="2" t="s">
        <v>49</v>
      </c>
      <c r="G12" s="2">
        <v>10</v>
      </c>
      <c r="H12" s="12">
        <v>15407.71</v>
      </c>
      <c r="I12" s="2">
        <f t="shared" si="0"/>
        <v>154077.09999999998</v>
      </c>
      <c r="J12" s="76">
        <v>291748.59999999998</v>
      </c>
      <c r="K12" s="12">
        <v>15407.71</v>
      </c>
      <c r="L12" s="2">
        <f t="shared" si="1"/>
        <v>154077.09999999998</v>
      </c>
      <c r="M12" s="2">
        <f t="shared" si="2"/>
        <v>0</v>
      </c>
      <c r="N12" s="10">
        <v>40653</v>
      </c>
      <c r="O12" s="11" t="s">
        <v>92</v>
      </c>
      <c r="P12" s="2">
        <v>291748.59999999998</v>
      </c>
      <c r="Q12" s="2" t="s">
        <v>96</v>
      </c>
      <c r="R12" s="2">
        <v>47082.5</v>
      </c>
      <c r="S12" s="2" t="s">
        <v>43</v>
      </c>
      <c r="T12" s="78" t="s">
        <v>67</v>
      </c>
    </row>
    <row r="13" spans="1:20" s="1" customFormat="1" ht="24.75" customHeight="1">
      <c r="A13" s="10">
        <v>40618</v>
      </c>
      <c r="B13" s="69" t="s">
        <v>65</v>
      </c>
      <c r="C13" s="2" t="s">
        <v>79</v>
      </c>
      <c r="D13" s="2" t="s">
        <v>47</v>
      </c>
      <c r="E13" s="12" t="s">
        <v>68</v>
      </c>
      <c r="F13" s="2" t="s">
        <v>49</v>
      </c>
      <c r="G13" s="2">
        <v>10</v>
      </c>
      <c r="H13" s="12">
        <v>13767.15</v>
      </c>
      <c r="I13" s="2">
        <f t="shared" si="0"/>
        <v>137671.5</v>
      </c>
      <c r="J13" s="77"/>
      <c r="K13" s="12">
        <v>13767.15</v>
      </c>
      <c r="L13" s="2">
        <f t="shared" si="1"/>
        <v>137671.5</v>
      </c>
      <c r="M13" s="2">
        <f t="shared" si="2"/>
        <v>0</v>
      </c>
      <c r="N13" s="10">
        <v>40653</v>
      </c>
      <c r="O13" s="11" t="s">
        <v>92</v>
      </c>
      <c r="P13" s="2">
        <v>0</v>
      </c>
      <c r="Q13" s="2" t="s">
        <v>102</v>
      </c>
      <c r="R13" s="54">
        <f>200000+44666.1</f>
        <v>244666.1</v>
      </c>
      <c r="S13" s="2" t="s">
        <v>43</v>
      </c>
      <c r="T13" s="79"/>
    </row>
    <row r="14" spans="1:20" s="1" customFormat="1" ht="27" customHeight="1">
      <c r="A14" s="10">
        <v>40675</v>
      </c>
      <c r="B14" s="69" t="s">
        <v>34</v>
      </c>
      <c r="C14" s="2" t="s">
        <v>78</v>
      </c>
      <c r="D14" s="2" t="s">
        <v>103</v>
      </c>
      <c r="E14" s="12"/>
      <c r="F14" s="2" t="s">
        <v>104</v>
      </c>
      <c r="G14" s="2">
        <v>1</v>
      </c>
      <c r="H14" s="12">
        <v>8091360</v>
      </c>
      <c r="I14" s="2">
        <f t="shared" si="0"/>
        <v>8091360</v>
      </c>
      <c r="J14" s="54">
        <v>8091360</v>
      </c>
      <c r="K14" s="12"/>
      <c r="L14" s="2"/>
      <c r="M14" s="2"/>
      <c r="N14" s="10" t="s">
        <v>106</v>
      </c>
      <c r="O14" s="2"/>
      <c r="P14" s="2">
        <f>+J14*0.4</f>
        <v>3236544</v>
      </c>
      <c r="Q14" s="2" t="s">
        <v>107</v>
      </c>
      <c r="R14" s="2">
        <v>3236544</v>
      </c>
      <c r="S14" s="2" t="s">
        <v>105</v>
      </c>
      <c r="T14" s="11" t="s">
        <v>116</v>
      </c>
    </row>
    <row r="15" spans="1:20" ht="27" customHeight="1">
      <c r="A15" s="10">
        <v>40739</v>
      </c>
      <c r="B15" s="70" t="s">
        <v>117</v>
      </c>
      <c r="C15" s="2" t="s">
        <v>79</v>
      </c>
      <c r="D15" s="2" t="s">
        <v>40</v>
      </c>
      <c r="E15" s="56"/>
      <c r="F15" s="61" t="s">
        <v>108</v>
      </c>
      <c r="G15" s="61">
        <v>3</v>
      </c>
      <c r="H15" s="62">
        <v>35230</v>
      </c>
      <c r="I15" s="61">
        <f t="shared" si="0"/>
        <v>105690</v>
      </c>
      <c r="J15" s="74">
        <f>I15+I16</f>
        <v>213950</v>
      </c>
      <c r="K15" s="62">
        <v>35230</v>
      </c>
      <c r="L15" s="2">
        <f t="shared" si="1"/>
        <v>105690</v>
      </c>
      <c r="M15" s="2">
        <f t="shared" si="2"/>
        <v>0</v>
      </c>
      <c r="N15" s="54"/>
      <c r="O15" s="54"/>
      <c r="P15" s="54"/>
      <c r="Q15" s="54"/>
      <c r="R15" s="54"/>
      <c r="S15" s="54"/>
      <c r="T15" s="74" t="s">
        <v>118</v>
      </c>
    </row>
    <row r="16" spans="1:20" ht="27" customHeight="1">
      <c r="A16" s="10">
        <v>40739</v>
      </c>
      <c r="B16" s="70" t="s">
        <v>117</v>
      </c>
      <c r="C16" s="2" t="s">
        <v>79</v>
      </c>
      <c r="D16" s="2" t="s">
        <v>40</v>
      </c>
      <c r="E16" s="56"/>
      <c r="F16" s="61" t="s">
        <v>108</v>
      </c>
      <c r="G16" s="61">
        <v>2</v>
      </c>
      <c r="H16" s="62">
        <v>54130</v>
      </c>
      <c r="I16" s="61">
        <f t="shared" si="0"/>
        <v>108260</v>
      </c>
      <c r="J16" s="75"/>
      <c r="K16" s="62">
        <v>54130</v>
      </c>
      <c r="L16" s="2">
        <f t="shared" si="1"/>
        <v>108260</v>
      </c>
      <c r="M16" s="2">
        <f t="shared" si="2"/>
        <v>0</v>
      </c>
      <c r="N16" s="54"/>
      <c r="O16" s="54"/>
      <c r="P16" s="54"/>
      <c r="Q16" s="54"/>
      <c r="R16" s="54"/>
      <c r="S16" s="54"/>
      <c r="T16" s="75"/>
    </row>
    <row r="17" spans="1:20" s="1" customFormat="1" ht="27" customHeight="1">
      <c r="A17" s="10">
        <v>40750</v>
      </c>
      <c r="B17" s="70" t="s">
        <v>117</v>
      </c>
      <c r="C17" s="2" t="s">
        <v>79</v>
      </c>
      <c r="D17" s="2" t="s">
        <v>40</v>
      </c>
      <c r="E17" s="56" t="s">
        <v>110</v>
      </c>
      <c r="F17" s="61" t="s">
        <v>42</v>
      </c>
      <c r="G17" s="61">
        <v>2</v>
      </c>
      <c r="H17" s="62">
        <v>116600</v>
      </c>
      <c r="I17" s="61">
        <f t="shared" si="0"/>
        <v>233200</v>
      </c>
      <c r="J17" s="73">
        <f>SUM(I17:I20)</f>
        <v>707450</v>
      </c>
      <c r="K17" s="62">
        <v>116600</v>
      </c>
      <c r="L17" s="2">
        <f t="shared" si="1"/>
        <v>233200</v>
      </c>
      <c r="M17" s="2">
        <f t="shared" si="2"/>
        <v>0</v>
      </c>
      <c r="N17" s="54"/>
      <c r="O17" s="54"/>
      <c r="P17" s="54"/>
      <c r="Q17" s="54"/>
      <c r="R17" s="54"/>
      <c r="S17" s="54"/>
      <c r="T17" s="74" t="s">
        <v>118</v>
      </c>
    </row>
    <row r="18" spans="1:20" s="1" customFormat="1" ht="27" customHeight="1">
      <c r="A18" s="10">
        <v>40750</v>
      </c>
      <c r="B18" s="70" t="s">
        <v>117</v>
      </c>
      <c r="C18" s="2" t="s">
        <v>79</v>
      </c>
      <c r="D18" s="2" t="s">
        <v>40</v>
      </c>
      <c r="E18" s="56" t="s">
        <v>111</v>
      </c>
      <c r="F18" s="61" t="s">
        <v>42</v>
      </c>
      <c r="G18" s="61">
        <v>2</v>
      </c>
      <c r="H18" s="62">
        <v>38450</v>
      </c>
      <c r="I18" s="61">
        <f t="shared" si="0"/>
        <v>76900</v>
      </c>
      <c r="J18" s="73"/>
      <c r="K18" s="62">
        <v>38450</v>
      </c>
      <c r="L18" s="2">
        <f t="shared" si="1"/>
        <v>76900</v>
      </c>
      <c r="M18" s="2">
        <f t="shared" si="2"/>
        <v>0</v>
      </c>
      <c r="N18" s="54"/>
      <c r="O18" s="54"/>
      <c r="P18" s="54"/>
      <c r="Q18" s="54"/>
      <c r="R18" s="54"/>
      <c r="S18" s="54"/>
      <c r="T18" s="91"/>
    </row>
    <row r="19" spans="1:20" s="1" customFormat="1" ht="27" customHeight="1">
      <c r="A19" s="10">
        <v>40750</v>
      </c>
      <c r="B19" s="70" t="s">
        <v>117</v>
      </c>
      <c r="C19" s="2" t="s">
        <v>79</v>
      </c>
      <c r="D19" s="2" t="s">
        <v>112</v>
      </c>
      <c r="E19" s="56"/>
      <c r="F19" s="61" t="s">
        <v>42</v>
      </c>
      <c r="G19" s="61">
        <v>1</v>
      </c>
      <c r="H19" s="62">
        <v>331900</v>
      </c>
      <c r="I19" s="61">
        <f t="shared" si="0"/>
        <v>331900</v>
      </c>
      <c r="J19" s="73"/>
      <c r="K19" s="62">
        <v>331900</v>
      </c>
      <c r="L19" s="2">
        <f t="shared" si="1"/>
        <v>331900</v>
      </c>
      <c r="M19" s="2">
        <f t="shared" si="2"/>
        <v>0</v>
      </c>
      <c r="N19" s="54"/>
      <c r="O19" s="54"/>
      <c r="P19" s="54"/>
      <c r="Q19" s="54"/>
      <c r="R19" s="54"/>
      <c r="S19" s="54"/>
      <c r="T19" s="91"/>
    </row>
    <row r="20" spans="1:20" s="1" customFormat="1" ht="27" customHeight="1">
      <c r="A20" s="10">
        <v>40750</v>
      </c>
      <c r="B20" s="70" t="s">
        <v>117</v>
      </c>
      <c r="C20" s="2" t="s">
        <v>79</v>
      </c>
      <c r="D20" s="2" t="s">
        <v>113</v>
      </c>
      <c r="E20" s="56"/>
      <c r="F20" s="61" t="s">
        <v>42</v>
      </c>
      <c r="G20" s="61">
        <v>1</v>
      </c>
      <c r="H20" s="62">
        <v>65450</v>
      </c>
      <c r="I20" s="61">
        <f t="shared" si="0"/>
        <v>65450</v>
      </c>
      <c r="J20" s="73"/>
      <c r="K20" s="62">
        <v>65450</v>
      </c>
      <c r="L20" s="2">
        <f t="shared" si="1"/>
        <v>65450</v>
      </c>
      <c r="M20" s="2">
        <f t="shared" si="2"/>
        <v>0</v>
      </c>
      <c r="N20" s="54"/>
      <c r="O20" s="54"/>
      <c r="P20" s="54"/>
      <c r="Q20" s="54"/>
      <c r="R20" s="54"/>
      <c r="S20" s="54"/>
      <c r="T20" s="75"/>
    </row>
    <row r="21" spans="1:20" ht="26.25" customHeight="1">
      <c r="I21" s="72">
        <f>SUM(I3:I20)</f>
        <v>14786792.6</v>
      </c>
    </row>
  </sheetData>
  <autoFilter ref="A2:T16"/>
  <mergeCells count="11">
    <mergeCell ref="A1:T1"/>
    <mergeCell ref="J6:J7"/>
    <mergeCell ref="T6:T7"/>
    <mergeCell ref="J8:J11"/>
    <mergeCell ref="T8:T11"/>
    <mergeCell ref="J17:J20"/>
    <mergeCell ref="J15:J16"/>
    <mergeCell ref="T15:T16"/>
    <mergeCell ref="J12:J13"/>
    <mergeCell ref="T12:T13"/>
    <mergeCell ref="T17:T20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"/>
  <sheetViews>
    <sheetView tabSelected="1" workbookViewId="0">
      <selection activeCell="G21" sqref="G21"/>
    </sheetView>
  </sheetViews>
  <sheetFormatPr defaultRowHeight="13.5"/>
  <cols>
    <col min="1" max="1" width="3.75" style="1" customWidth="1"/>
    <col min="2" max="2" width="5.375" customWidth="1"/>
    <col min="3" max="3" width="23" customWidth="1"/>
    <col min="4" max="4" width="10.125" style="1" customWidth="1"/>
    <col min="5" max="5" width="10.5" style="24" customWidth="1"/>
    <col min="6" max="6" width="10.875" style="24" customWidth="1"/>
    <col min="7" max="8" width="10.375" style="24" customWidth="1"/>
    <col min="9" max="9" width="7.25" customWidth="1"/>
    <col min="10" max="10" width="10.125" style="1" customWidth="1"/>
    <col min="11" max="11" width="5.62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1.625" style="24" customWidth="1"/>
    <col min="18" max="18" width="10.125" style="24" customWidth="1"/>
    <col min="19" max="19" width="10.375" style="24" customWidth="1"/>
    <col min="20" max="20" width="10.5" style="24" customWidth="1"/>
    <col min="21" max="21" width="7.625" style="1" customWidth="1"/>
    <col min="22" max="22" width="10.25" style="1" customWidth="1"/>
    <col min="23" max="23" width="6.25" style="18" hidden="1" customWidth="1"/>
    <col min="24" max="24" width="5.875" style="18" customWidth="1"/>
    <col min="25" max="25" width="9.75" customWidth="1"/>
  </cols>
  <sheetData>
    <row r="1" spans="2:25" s="1" customFormat="1" ht="36" customHeight="1">
      <c r="B1" s="106" t="s">
        <v>115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29"/>
    </row>
    <row r="2" spans="2:25" s="1" customFormat="1" ht="31.5" customHeight="1">
      <c r="B2" s="21"/>
      <c r="C2" s="104" t="s">
        <v>75</v>
      </c>
      <c r="D2" s="99"/>
      <c r="E2" s="99"/>
      <c r="F2" s="99"/>
      <c r="G2" s="99"/>
      <c r="H2" s="99"/>
      <c r="I2" s="99"/>
      <c r="J2" s="99"/>
      <c r="K2" s="99"/>
      <c r="L2" s="99"/>
      <c r="M2" s="105"/>
      <c r="N2" s="19"/>
      <c r="O2" s="98" t="s">
        <v>76</v>
      </c>
      <c r="P2" s="99"/>
      <c r="Q2" s="99"/>
      <c r="R2" s="99"/>
      <c r="S2" s="99"/>
      <c r="T2" s="99"/>
      <c r="U2" s="99"/>
      <c r="V2" s="99"/>
      <c r="W2" s="99"/>
      <c r="X2" s="99"/>
      <c r="Y2" s="100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72</v>
      </c>
      <c r="F3" s="23" t="s">
        <v>71</v>
      </c>
      <c r="G3" s="23" t="s">
        <v>70</v>
      </c>
      <c r="H3" s="23" t="s">
        <v>81</v>
      </c>
      <c r="I3" s="32" t="s">
        <v>90</v>
      </c>
      <c r="J3" s="15" t="s">
        <v>84</v>
      </c>
      <c r="K3" s="32" t="s">
        <v>85</v>
      </c>
      <c r="L3" s="32" t="s">
        <v>89</v>
      </c>
      <c r="M3" s="50" t="s">
        <v>28</v>
      </c>
      <c r="N3" s="27"/>
      <c r="O3" s="7" t="s">
        <v>8</v>
      </c>
      <c r="P3" s="22" t="s">
        <v>82</v>
      </c>
      <c r="Q3" s="25" t="s">
        <v>73</v>
      </c>
      <c r="R3" s="25" t="s">
        <v>74</v>
      </c>
      <c r="S3" s="23" t="s">
        <v>70</v>
      </c>
      <c r="T3" s="23" t="s">
        <v>87</v>
      </c>
      <c r="U3" s="32" t="s">
        <v>91</v>
      </c>
      <c r="V3" s="22" t="s">
        <v>83</v>
      </c>
      <c r="W3" s="32" t="s">
        <v>88</v>
      </c>
      <c r="X3" s="32" t="s">
        <v>89</v>
      </c>
      <c r="Y3" s="22" t="s">
        <v>86</v>
      </c>
    </row>
    <row r="4" spans="2:25" ht="33" customHeight="1">
      <c r="B4" s="6">
        <v>1</v>
      </c>
      <c r="C4" s="2" t="s">
        <v>2</v>
      </c>
      <c r="D4" s="35">
        <v>40595</v>
      </c>
      <c r="E4" s="36">
        <f>销售台账!J5</f>
        <v>110404</v>
      </c>
      <c r="F4" s="36">
        <v>110404</v>
      </c>
      <c r="G4" s="36">
        <f>E4-F4</f>
        <v>0</v>
      </c>
      <c r="H4" s="36">
        <f>G4</f>
        <v>0</v>
      </c>
      <c r="I4" s="37">
        <f>G4/E4</f>
        <v>0</v>
      </c>
      <c r="J4" s="35"/>
      <c r="K4" s="53" t="str">
        <f ca="1">IF(L4="√","",NOW()-J4)</f>
        <v/>
      </c>
      <c r="L4" s="31" t="str">
        <f>IF(G4&lt;=0,"√","否")</f>
        <v>√</v>
      </c>
      <c r="M4" s="51" t="s">
        <v>93</v>
      </c>
      <c r="N4" s="44"/>
      <c r="O4" s="28" t="s">
        <v>6</v>
      </c>
      <c r="P4" s="39">
        <v>40595</v>
      </c>
      <c r="Q4" s="36">
        <f>销售台账!L5</f>
        <v>110404</v>
      </c>
      <c r="R4" s="36">
        <v>110404</v>
      </c>
      <c r="S4" s="36">
        <f>Q4-R4</f>
        <v>0</v>
      </c>
      <c r="T4" s="36">
        <f>S4</f>
        <v>0</v>
      </c>
      <c r="U4" s="37">
        <f>S4/Q4</f>
        <v>0</v>
      </c>
      <c r="V4" s="35"/>
      <c r="W4" s="53" t="str">
        <f t="shared" ref="W4:W12" ca="1" si="0">IF(X4="√","",NOW()-V4)</f>
        <v/>
      </c>
      <c r="X4" s="31" t="str">
        <f>IF(S4&lt;=0,"√","否")</f>
        <v>√</v>
      </c>
      <c r="Y4" s="34" t="s">
        <v>94</v>
      </c>
    </row>
    <row r="5" spans="2:25" ht="30.75" customHeight="1">
      <c r="B5" s="73">
        <v>2</v>
      </c>
      <c r="C5" s="107" t="s">
        <v>3</v>
      </c>
      <c r="D5" s="109">
        <v>40617</v>
      </c>
      <c r="E5" s="93">
        <f>销售台账!J6</f>
        <v>167134</v>
      </c>
      <c r="F5" s="93">
        <f>50140+116994</f>
        <v>167134</v>
      </c>
      <c r="G5" s="38">
        <v>0</v>
      </c>
      <c r="H5" s="93">
        <f>+G5+G6</f>
        <v>0</v>
      </c>
      <c r="I5" s="37">
        <f>G5/E5</f>
        <v>0</v>
      </c>
      <c r="J5" s="39"/>
      <c r="K5" s="53" t="str">
        <f ca="1">IF(L5="√","",NOW()-J5)</f>
        <v/>
      </c>
      <c r="L5" s="31" t="str">
        <f>IF(G5&lt;=0,"√","否")</f>
        <v>√</v>
      </c>
      <c r="M5" s="83" t="s">
        <v>101</v>
      </c>
      <c r="N5" s="45"/>
      <c r="O5" s="101" t="s">
        <v>9</v>
      </c>
      <c r="P5" s="109">
        <v>40617</v>
      </c>
      <c r="Q5" s="93">
        <v>153934</v>
      </c>
      <c r="R5" s="93">
        <v>153934</v>
      </c>
      <c r="S5" s="36">
        <v>0</v>
      </c>
      <c r="T5" s="93">
        <v>0</v>
      </c>
      <c r="U5" s="37">
        <f>S5/Q5</f>
        <v>0</v>
      </c>
      <c r="V5" s="42"/>
      <c r="W5" s="53" t="str">
        <f t="shared" ca="1" si="0"/>
        <v/>
      </c>
      <c r="X5" s="31" t="str">
        <f t="shared" ref="X5:X12" si="1">IF(S5&lt;=0,"√","否")</f>
        <v>√</v>
      </c>
      <c r="Y5" s="34" t="s">
        <v>93</v>
      </c>
    </row>
    <row r="6" spans="2:25" s="1" customFormat="1" ht="30.75" customHeight="1">
      <c r="B6" s="73"/>
      <c r="C6" s="107"/>
      <c r="D6" s="110"/>
      <c r="E6" s="94"/>
      <c r="F6" s="94"/>
      <c r="G6" s="93">
        <v>0</v>
      </c>
      <c r="H6" s="94"/>
      <c r="I6" s="112">
        <f>G6/E5</f>
        <v>0</v>
      </c>
      <c r="J6" s="114"/>
      <c r="K6" s="115" t="str">
        <f ca="1">IF(L6="√"," ",NOW()-J6)</f>
        <v xml:space="preserve"> </v>
      </c>
      <c r="L6" s="96" t="str">
        <f>IF(G6&lt;=0,"√","否")</f>
        <v>√</v>
      </c>
      <c r="M6" s="84"/>
      <c r="N6" s="46"/>
      <c r="O6" s="103"/>
      <c r="P6" s="111"/>
      <c r="Q6" s="95"/>
      <c r="R6" s="95"/>
      <c r="S6" s="36">
        <v>0</v>
      </c>
      <c r="T6" s="95"/>
      <c r="U6" s="37">
        <f>S6/Q5</f>
        <v>0</v>
      </c>
      <c r="V6" s="39"/>
      <c r="W6" s="53" t="str">
        <f t="shared" ca="1" si="0"/>
        <v/>
      </c>
      <c r="X6" s="31" t="str">
        <f t="shared" si="1"/>
        <v>√</v>
      </c>
      <c r="Y6" s="34" t="s">
        <v>93</v>
      </c>
    </row>
    <row r="7" spans="2:25" s="1" customFormat="1" ht="32.25" customHeight="1">
      <c r="B7" s="73"/>
      <c r="C7" s="108"/>
      <c r="D7" s="111"/>
      <c r="E7" s="95"/>
      <c r="F7" s="95"/>
      <c r="G7" s="95"/>
      <c r="H7" s="95"/>
      <c r="I7" s="113"/>
      <c r="J7" s="114"/>
      <c r="K7" s="115"/>
      <c r="L7" s="97"/>
      <c r="M7" s="85"/>
      <c r="N7" s="47"/>
      <c r="O7" s="28" t="s">
        <v>7</v>
      </c>
      <c r="P7" s="39">
        <v>40624</v>
      </c>
      <c r="Q7" s="36">
        <v>11200</v>
      </c>
      <c r="R7" s="36">
        <v>11200</v>
      </c>
      <c r="S7" s="36">
        <f t="shared" ref="S7" si="2">Q7-R7</f>
        <v>0</v>
      </c>
      <c r="T7" s="36">
        <f>S7</f>
        <v>0</v>
      </c>
      <c r="U7" s="37">
        <f>S7/Q7</f>
        <v>0</v>
      </c>
      <c r="V7" s="39"/>
      <c r="W7" s="53" t="str">
        <f t="shared" ca="1" si="0"/>
        <v/>
      </c>
      <c r="X7" s="31" t="str">
        <f t="shared" si="1"/>
        <v>√</v>
      </c>
      <c r="Y7" s="34" t="s">
        <v>93</v>
      </c>
    </row>
    <row r="8" spans="2:25" ht="33" customHeight="1">
      <c r="B8" s="74">
        <v>3</v>
      </c>
      <c r="C8" s="74" t="s">
        <v>4</v>
      </c>
      <c r="D8" s="86">
        <v>40618</v>
      </c>
      <c r="E8" s="93">
        <f>销售台账!J8</f>
        <v>373066</v>
      </c>
      <c r="F8" s="93">
        <f>111919.8+227979.2+33167</f>
        <v>373066</v>
      </c>
      <c r="G8" s="36">
        <v>0</v>
      </c>
      <c r="H8" s="88">
        <f>+G8+G9+G10</f>
        <v>0</v>
      </c>
      <c r="I8" s="37">
        <f>G8/E8</f>
        <v>0</v>
      </c>
      <c r="J8" s="30"/>
      <c r="K8" s="30"/>
      <c r="L8" s="33" t="str">
        <f>IF(G8&lt;=0,"√","否")</f>
        <v>√</v>
      </c>
      <c r="M8" s="51" t="s">
        <v>93</v>
      </c>
      <c r="N8" s="44"/>
      <c r="O8" s="101" t="s">
        <v>6</v>
      </c>
      <c r="P8" s="86">
        <v>40618</v>
      </c>
      <c r="Q8" s="93">
        <f>销售台账!L8+销售台账!L9+销售台账!L10+销售台账!L11</f>
        <v>373066</v>
      </c>
      <c r="R8" s="93">
        <f>227979.2+111919.8+33167</f>
        <v>373066</v>
      </c>
      <c r="S8" s="36">
        <v>0</v>
      </c>
      <c r="T8" s="93">
        <f>S8+S9+S10</f>
        <v>0</v>
      </c>
      <c r="U8" s="37">
        <f>S8/Q8</f>
        <v>0</v>
      </c>
      <c r="V8" s="39"/>
      <c r="W8" s="53" t="str">
        <f t="shared" ca="1" si="0"/>
        <v/>
      </c>
      <c r="X8" s="31" t="str">
        <f t="shared" si="1"/>
        <v>√</v>
      </c>
      <c r="Y8" s="34" t="s">
        <v>93</v>
      </c>
    </row>
    <row r="9" spans="2:25" s="1" customFormat="1" ht="33" customHeight="1">
      <c r="B9" s="91"/>
      <c r="C9" s="91"/>
      <c r="D9" s="92"/>
      <c r="E9" s="94"/>
      <c r="F9" s="94"/>
      <c r="G9" s="40">
        <v>0</v>
      </c>
      <c r="H9" s="90"/>
      <c r="I9" s="37">
        <f>G9/E8</f>
        <v>0</v>
      </c>
      <c r="J9" s="39"/>
      <c r="K9" s="53" t="str">
        <f t="shared" ref="K9:K12" ca="1" si="3">IF(L9="√","",NOW()-J9)</f>
        <v/>
      </c>
      <c r="L9" s="33" t="str">
        <f t="shared" ref="L9:L10" si="4">IF(G9&lt;=0,"√","否")</f>
        <v>√</v>
      </c>
      <c r="M9" s="51" t="s">
        <v>93</v>
      </c>
      <c r="N9" s="44"/>
      <c r="O9" s="102"/>
      <c r="P9" s="92"/>
      <c r="Q9" s="94"/>
      <c r="R9" s="94"/>
      <c r="S9" s="36">
        <v>0</v>
      </c>
      <c r="T9" s="94"/>
      <c r="U9" s="37">
        <f>S9/Q8</f>
        <v>0</v>
      </c>
      <c r="V9" s="35"/>
      <c r="W9" s="53" t="str">
        <f t="shared" ca="1" si="0"/>
        <v/>
      </c>
      <c r="X9" s="31" t="str">
        <f t="shared" si="1"/>
        <v>√</v>
      </c>
      <c r="Y9" s="34" t="s">
        <v>93</v>
      </c>
    </row>
    <row r="10" spans="2:25" s="1" customFormat="1" ht="33" customHeight="1">
      <c r="B10" s="91"/>
      <c r="C10" s="91"/>
      <c r="D10" s="92"/>
      <c r="E10" s="94"/>
      <c r="F10" s="95"/>
      <c r="G10" s="40">
        <v>0</v>
      </c>
      <c r="H10" s="89"/>
      <c r="I10" s="37">
        <f>G10/E8</f>
        <v>0</v>
      </c>
      <c r="J10" s="39"/>
      <c r="K10" s="53" t="str">
        <f t="shared" ca="1" si="3"/>
        <v/>
      </c>
      <c r="L10" s="33" t="str">
        <f t="shared" si="4"/>
        <v>√</v>
      </c>
      <c r="M10" s="51" t="s">
        <v>93</v>
      </c>
      <c r="N10" s="44"/>
      <c r="O10" s="103"/>
      <c r="P10" s="87"/>
      <c r="Q10" s="95"/>
      <c r="R10" s="95"/>
      <c r="S10" s="36">
        <v>0</v>
      </c>
      <c r="T10" s="95"/>
      <c r="U10" s="37">
        <f>S10/Q8</f>
        <v>0</v>
      </c>
      <c r="V10" s="39"/>
      <c r="W10" s="53" t="str">
        <f t="shared" ca="1" si="0"/>
        <v/>
      </c>
      <c r="X10" s="31" t="str">
        <f t="shared" si="1"/>
        <v>√</v>
      </c>
      <c r="Y10" s="34" t="s">
        <v>93</v>
      </c>
    </row>
    <row r="11" spans="2:25" ht="33" customHeight="1">
      <c r="B11" s="74">
        <v>4</v>
      </c>
      <c r="C11" s="74" t="s">
        <v>80</v>
      </c>
      <c r="D11" s="86">
        <v>40618</v>
      </c>
      <c r="E11" s="93">
        <f>销售台账!J12</f>
        <v>291748.59999999998</v>
      </c>
      <c r="F11" s="93">
        <f>47082.5+244666.1</f>
        <v>291748.59999999998</v>
      </c>
      <c r="G11" s="41">
        <v>0</v>
      </c>
      <c r="H11" s="88">
        <f>+G11+G12</f>
        <v>0</v>
      </c>
      <c r="I11" s="37">
        <f>G11/E11</f>
        <v>0</v>
      </c>
      <c r="J11" s="39"/>
      <c r="K11" s="53" t="str">
        <f t="shared" ca="1" si="3"/>
        <v/>
      </c>
      <c r="L11" s="33" t="str">
        <f t="shared" ref="L11:L12" si="5">IF(G11&lt;=0,"√","否")</f>
        <v>√</v>
      </c>
      <c r="M11" s="51" t="s">
        <v>93</v>
      </c>
      <c r="N11" s="44"/>
      <c r="O11" s="101" t="s">
        <v>6</v>
      </c>
      <c r="P11" s="86">
        <v>40618</v>
      </c>
      <c r="Q11" s="93">
        <f>+销售台账!L12+销售台账!L13</f>
        <v>291748.59999999998</v>
      </c>
      <c r="R11" s="93">
        <v>291748.59999999998</v>
      </c>
      <c r="S11" s="43">
        <v>0</v>
      </c>
      <c r="T11" s="93">
        <f>S11+S12</f>
        <v>0</v>
      </c>
      <c r="U11" s="37">
        <f>S11/Q11</f>
        <v>0</v>
      </c>
      <c r="V11" s="42"/>
      <c r="W11" s="53" t="str">
        <f t="shared" ca="1" si="0"/>
        <v/>
      </c>
      <c r="X11" s="31" t="str">
        <f t="shared" si="1"/>
        <v>√</v>
      </c>
      <c r="Y11" s="34" t="s">
        <v>93</v>
      </c>
    </row>
    <row r="12" spans="2:25" s="1" customFormat="1" ht="33" customHeight="1">
      <c r="B12" s="75"/>
      <c r="C12" s="75"/>
      <c r="D12" s="87"/>
      <c r="E12" s="95"/>
      <c r="F12" s="95"/>
      <c r="G12" s="40">
        <v>0</v>
      </c>
      <c r="H12" s="89"/>
      <c r="I12" s="37">
        <f>+G12/E11</f>
        <v>0</v>
      </c>
      <c r="J12" s="39"/>
      <c r="K12" s="53" t="str">
        <f t="shared" ca="1" si="3"/>
        <v/>
      </c>
      <c r="L12" s="33" t="str">
        <f t="shared" si="5"/>
        <v>√</v>
      </c>
      <c r="M12" s="51" t="s">
        <v>93</v>
      </c>
      <c r="N12" s="48"/>
      <c r="O12" s="103"/>
      <c r="P12" s="87"/>
      <c r="Q12" s="95"/>
      <c r="R12" s="95"/>
      <c r="S12" s="36">
        <v>0</v>
      </c>
      <c r="T12" s="95"/>
      <c r="U12" s="37">
        <f>S12/Q11</f>
        <v>0</v>
      </c>
      <c r="V12" s="35"/>
      <c r="W12" s="53" t="str">
        <f t="shared" ca="1" si="0"/>
        <v/>
      </c>
      <c r="X12" s="31" t="str">
        <f t="shared" si="1"/>
        <v>√</v>
      </c>
      <c r="Y12" s="34" t="s">
        <v>93</v>
      </c>
    </row>
    <row r="13" spans="2:25" s="1" customFormat="1" ht="33" customHeight="1">
      <c r="B13" s="74">
        <v>5</v>
      </c>
      <c r="C13" s="116" t="s">
        <v>117</v>
      </c>
      <c r="D13" s="74">
        <v>40739</v>
      </c>
      <c r="E13" s="59">
        <v>213950</v>
      </c>
      <c r="F13" s="59"/>
      <c r="G13" s="40">
        <f>E13-F13</f>
        <v>213950</v>
      </c>
      <c r="H13" s="58">
        <f>E13-F13</f>
        <v>213950</v>
      </c>
      <c r="I13" s="37">
        <f>G13/E13</f>
        <v>1</v>
      </c>
      <c r="J13" s="35">
        <v>40760</v>
      </c>
      <c r="K13" s="31"/>
      <c r="L13" s="60" t="str">
        <f t="shared" ref="L13" si="6">IF(G13&lt;=0,"√","否")</f>
        <v>否</v>
      </c>
      <c r="M13" s="51"/>
      <c r="N13" s="48"/>
      <c r="O13" s="63" t="s">
        <v>109</v>
      </c>
      <c r="P13" s="57">
        <v>40744</v>
      </c>
      <c r="Q13" s="59">
        <v>213950</v>
      </c>
      <c r="R13" s="59"/>
      <c r="S13" s="36">
        <f>Q13-R13</f>
        <v>213950</v>
      </c>
      <c r="T13" s="59">
        <f>Q13-R13</f>
        <v>213950</v>
      </c>
      <c r="U13" s="37">
        <f t="shared" ref="U13:W13" si="7">S13/Q13</f>
        <v>1</v>
      </c>
      <c r="V13" s="57">
        <v>40765</v>
      </c>
      <c r="W13" s="37">
        <f t="shared" si="7"/>
        <v>4.6739892498247254E-6</v>
      </c>
      <c r="X13" s="31" t="str">
        <f>IF(S13&lt;=0,"√","否")</f>
        <v>否</v>
      </c>
      <c r="Y13" s="34"/>
    </row>
    <row r="14" spans="2:25" s="1" customFormat="1" ht="33" customHeight="1">
      <c r="B14" s="75"/>
      <c r="C14" s="117"/>
      <c r="D14" s="75"/>
      <c r="E14" s="66">
        <v>707450</v>
      </c>
      <c r="F14" s="66"/>
      <c r="G14" s="40">
        <f>E14-F14</f>
        <v>707450</v>
      </c>
      <c r="H14" s="65">
        <f>E14-F14</f>
        <v>707450</v>
      </c>
      <c r="I14" s="37">
        <f>G14/E14</f>
        <v>1</v>
      </c>
      <c r="J14" s="35">
        <v>40783</v>
      </c>
      <c r="K14" s="31"/>
      <c r="L14" s="67" t="str">
        <f t="shared" ref="L14" si="8">IF(G14&lt;=0,"√","否")</f>
        <v>否</v>
      </c>
      <c r="M14" s="51"/>
      <c r="N14" s="48"/>
      <c r="O14" s="63" t="s">
        <v>109</v>
      </c>
      <c r="P14" s="64">
        <v>40750</v>
      </c>
      <c r="Q14" s="66">
        <v>707450</v>
      </c>
      <c r="R14" s="66"/>
      <c r="S14" s="36">
        <f>Q14-R14</f>
        <v>707450</v>
      </c>
      <c r="T14" s="66">
        <f>Q14-R14</f>
        <v>707450</v>
      </c>
      <c r="U14" s="37">
        <f t="shared" ref="U14" si="9">S14/Q14</f>
        <v>1</v>
      </c>
      <c r="V14" s="64">
        <v>40785</v>
      </c>
      <c r="W14" s="37"/>
      <c r="X14" s="31" t="str">
        <f>IF(S14&lt;=0,"√","否")</f>
        <v>否</v>
      </c>
      <c r="Y14" s="34"/>
    </row>
    <row r="15" spans="2:25" ht="33" customHeight="1">
      <c r="B15" s="3"/>
      <c r="C15" s="4" t="s">
        <v>5</v>
      </c>
      <c r="D15" s="13"/>
      <c r="E15" s="23">
        <f>SUM(E4:E14)</f>
        <v>1863752.6</v>
      </c>
      <c r="F15" s="23">
        <f t="shared" ref="F15:H15" si="10">SUM(F4:F14)</f>
        <v>942352.6</v>
      </c>
      <c r="G15" s="23">
        <f t="shared" si="10"/>
        <v>921400</v>
      </c>
      <c r="H15" s="23">
        <f t="shared" si="10"/>
        <v>921400</v>
      </c>
      <c r="I15" s="5"/>
      <c r="J15" s="13"/>
      <c r="K15" s="13"/>
      <c r="L15" s="13"/>
      <c r="M15" s="52"/>
      <c r="N15" s="49"/>
      <c r="O15" s="8" t="s">
        <v>5</v>
      </c>
      <c r="P15" s="5"/>
      <c r="Q15" s="23">
        <f>SUM(Q4:Q14)</f>
        <v>1861752.6</v>
      </c>
      <c r="R15" s="23">
        <f t="shared" ref="R15:T15" si="11">SUM(R4:R14)</f>
        <v>940352.6</v>
      </c>
      <c r="S15" s="23">
        <f t="shared" si="11"/>
        <v>921400</v>
      </c>
      <c r="T15" s="23">
        <f t="shared" si="11"/>
        <v>921400</v>
      </c>
      <c r="U15" s="5"/>
      <c r="V15" s="5"/>
      <c r="W15" s="17"/>
      <c r="X15" s="17"/>
      <c r="Y15" s="34"/>
    </row>
    <row r="16" spans="2:25">
      <c r="D16" s="14"/>
      <c r="J16" s="14"/>
      <c r="K16" s="14"/>
      <c r="L16" s="14"/>
    </row>
  </sheetData>
  <autoFilter ref="C3:W3"/>
  <mergeCells count="45">
    <mergeCell ref="F8:F10"/>
    <mergeCell ref="C2:M2"/>
    <mergeCell ref="B1:W1"/>
    <mergeCell ref="C5:C7"/>
    <mergeCell ref="B5:B7"/>
    <mergeCell ref="D5:D7"/>
    <mergeCell ref="E5:E7"/>
    <mergeCell ref="F5:F7"/>
    <mergeCell ref="O5:O6"/>
    <mergeCell ref="P5:P6"/>
    <mergeCell ref="Q5:Q6"/>
    <mergeCell ref="H5:H7"/>
    <mergeCell ref="G6:G7"/>
    <mergeCell ref="I6:I7"/>
    <mergeCell ref="J6:J7"/>
    <mergeCell ref="K6:K7"/>
    <mergeCell ref="L6:L7"/>
    <mergeCell ref="Q11:Q12"/>
    <mergeCell ref="O2:Y2"/>
    <mergeCell ref="T5:T6"/>
    <mergeCell ref="T8:T10"/>
    <mergeCell ref="T11:T12"/>
    <mergeCell ref="O8:O10"/>
    <mergeCell ref="P8:P10"/>
    <mergeCell ref="Q8:Q10"/>
    <mergeCell ref="O11:O12"/>
    <mergeCell ref="R8:R10"/>
    <mergeCell ref="R5:R6"/>
    <mergeCell ref="R11:R12"/>
    <mergeCell ref="B13:B14"/>
    <mergeCell ref="C13:C14"/>
    <mergeCell ref="D13:D14"/>
    <mergeCell ref="M5:M7"/>
    <mergeCell ref="P11:P12"/>
    <mergeCell ref="H11:H12"/>
    <mergeCell ref="H8:H10"/>
    <mergeCell ref="B8:B10"/>
    <mergeCell ref="C8:C10"/>
    <mergeCell ref="D8:D10"/>
    <mergeCell ref="E8:E10"/>
    <mergeCell ref="F11:F12"/>
    <mergeCell ref="B11:B12"/>
    <mergeCell ref="C11:C12"/>
    <mergeCell ref="D11:D12"/>
    <mergeCell ref="E11:E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销售台账</vt:lpstr>
      <vt:lpstr>HP业务应收、应付账款</vt:lpstr>
    </vt:vector>
  </TitlesOfParts>
  <Company>jztec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a</cp:lastModifiedBy>
  <cp:lastPrinted>2011-04-12T07:29:05Z</cp:lastPrinted>
  <dcterms:created xsi:type="dcterms:W3CDTF">2011-03-28T08:52:02Z</dcterms:created>
  <dcterms:modified xsi:type="dcterms:W3CDTF">2011-07-29T07:10:11Z</dcterms:modified>
</cp:coreProperties>
</file>