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21435" windowHeight="9795"/>
  </bookViews>
  <sheets>
    <sheet name="销售台账" sheetId="4" r:id="rId1"/>
    <sheet name="HP业务应收、应付账款" sheetId="1" r:id="rId2"/>
    <sheet name="主营业务应付款" sheetId="5" r:id="rId3"/>
  </sheets>
  <definedNames>
    <definedName name="_xlnm._FilterDatabase" localSheetId="1" hidden="1">HP业务应收、应付账款!$C$3:$W$3</definedName>
    <definedName name="_xlnm._FilterDatabase" localSheetId="0" hidden="1">销售台账!$A$2:$T$46</definedName>
    <definedName name="_xlnm._FilterDatabase" localSheetId="2" hidden="1">主营业务应付款!$C$3:$W$3</definedName>
  </definedNames>
  <calcPr calcId="124519"/>
</workbook>
</file>

<file path=xl/calcChain.xml><?xml version="1.0" encoding="utf-8"?>
<calcChain xmlns="http://schemas.openxmlformats.org/spreadsheetml/2006/main">
  <c r="T6" i="5"/>
  <c r="T5"/>
  <c r="T7" s="1"/>
  <c r="R7"/>
  <c r="S7"/>
  <c r="Q7"/>
  <c r="E7"/>
  <c r="F4"/>
  <c r="E4"/>
  <c r="R6"/>
  <c r="S6" s="1"/>
  <c r="X6" s="1"/>
  <c r="R5"/>
  <c r="S5" s="1"/>
  <c r="L43" i="4"/>
  <c r="P4"/>
  <c r="L28"/>
  <c r="L29"/>
  <c r="L27"/>
  <c r="L30"/>
  <c r="L31"/>
  <c r="F7" i="5"/>
  <c r="R18" i="1"/>
  <c r="F18"/>
  <c r="X17"/>
  <c r="L17"/>
  <c r="S17"/>
  <c r="T17"/>
  <c r="U17"/>
  <c r="G17"/>
  <c r="I17"/>
  <c r="H17"/>
  <c r="L45" i="4"/>
  <c r="J45"/>
  <c r="I45"/>
  <c r="X16" i="1"/>
  <c r="S16"/>
  <c r="T16"/>
  <c r="U16"/>
  <c r="L16"/>
  <c r="H16"/>
  <c r="G16"/>
  <c r="I16" s="1"/>
  <c r="J44" i="4"/>
  <c r="I44"/>
  <c r="K4"/>
  <c r="I43"/>
  <c r="I15"/>
  <c r="I16"/>
  <c r="I17"/>
  <c r="I18"/>
  <c r="I19"/>
  <c r="I20"/>
  <c r="I21"/>
  <c r="I22"/>
  <c r="I23"/>
  <c r="I24"/>
  <c r="I25"/>
  <c r="I26"/>
  <c r="I27"/>
  <c r="M27" s="1"/>
  <c r="I28"/>
  <c r="M28" s="1"/>
  <c r="I29"/>
  <c r="M29" s="1"/>
  <c r="I30"/>
  <c r="I31"/>
  <c r="M31" s="1"/>
  <c r="I14"/>
  <c r="U15" i="1"/>
  <c r="S15"/>
  <c r="X15" s="1"/>
  <c r="T15"/>
  <c r="L15"/>
  <c r="H15"/>
  <c r="G15"/>
  <c r="I15" s="1"/>
  <c r="I42" i="4"/>
  <c r="H32" l="1"/>
  <c r="I32" s="1"/>
  <c r="M43"/>
  <c r="M45"/>
  <c r="X5" i="5"/>
  <c r="U5"/>
  <c r="U6"/>
  <c r="M30" i="4"/>
  <c r="G4" i="5"/>
  <c r="L44" i="4"/>
  <c r="M44" s="1"/>
  <c r="J14"/>
  <c r="P35"/>
  <c r="L39"/>
  <c r="L40"/>
  <c r="L41"/>
  <c r="I41"/>
  <c r="I40"/>
  <c r="I39"/>
  <c r="P33"/>
  <c r="S14" i="1"/>
  <c r="X14" s="1"/>
  <c r="T14"/>
  <c r="G14"/>
  <c r="H14"/>
  <c r="I14"/>
  <c r="L14"/>
  <c r="L35" i="4"/>
  <c r="L36"/>
  <c r="L37"/>
  <c r="L38"/>
  <c r="I38"/>
  <c r="I37"/>
  <c r="I36"/>
  <c r="I35"/>
  <c r="T13" i="1"/>
  <c r="S13"/>
  <c r="X13" s="1"/>
  <c r="H13"/>
  <c r="G13"/>
  <c r="L13" s="1"/>
  <c r="L34" i="4"/>
  <c r="L33"/>
  <c r="I34"/>
  <c r="M34" s="1"/>
  <c r="I33"/>
  <c r="M40" l="1"/>
  <c r="G7" i="5"/>
  <c r="L4"/>
  <c r="K4" s="1"/>
  <c r="I4"/>
  <c r="H4"/>
  <c r="H7" s="1"/>
  <c r="M36" i="4"/>
  <c r="M38"/>
  <c r="M39"/>
  <c r="M41"/>
  <c r="U14" i="1"/>
  <c r="J35" i="4"/>
  <c r="M37"/>
  <c r="M35"/>
  <c r="J39"/>
  <c r="I13" i="1"/>
  <c r="U13"/>
  <c r="W13" s="1"/>
  <c r="M33" i="4"/>
  <c r="J33"/>
  <c r="J46" l="1"/>
  <c r="R13"/>
  <c r="L4" l="1"/>
  <c r="L3"/>
  <c r="F5" i="1" l="1"/>
  <c r="R8" l="1"/>
  <c r="F8"/>
  <c r="F11"/>
  <c r="H5" l="1"/>
  <c r="H8"/>
  <c r="L5"/>
  <c r="K5" s="1"/>
  <c r="X5" l="1"/>
  <c r="W5" s="1"/>
  <c r="X8"/>
  <c r="W8" s="1"/>
  <c r="X9"/>
  <c r="W9" s="1"/>
  <c r="X10"/>
  <c r="W10" s="1"/>
  <c r="X11"/>
  <c r="W11" s="1"/>
  <c r="L9"/>
  <c r="K9" s="1"/>
  <c r="L10"/>
  <c r="K10" s="1"/>
  <c r="L8"/>
  <c r="L11" l="1"/>
  <c r="K11" s="1"/>
  <c r="T8" l="1"/>
  <c r="U5"/>
  <c r="E4"/>
  <c r="E5"/>
  <c r="I5" s="1"/>
  <c r="E11"/>
  <c r="E8"/>
  <c r="E18" l="1"/>
  <c r="U6"/>
  <c r="X6"/>
  <c r="W6" s="1"/>
  <c r="X12"/>
  <c r="W12" s="1"/>
  <c r="I10"/>
  <c r="I8"/>
  <c r="I9"/>
  <c r="H11"/>
  <c r="L12"/>
  <c r="K12" s="1"/>
  <c r="T11"/>
  <c r="I12"/>
  <c r="I11"/>
  <c r="S7"/>
  <c r="G4"/>
  <c r="G18" s="1"/>
  <c r="L13" i="4"/>
  <c r="I13"/>
  <c r="L12"/>
  <c r="I12"/>
  <c r="L11"/>
  <c r="I11"/>
  <c r="L10"/>
  <c r="I10"/>
  <c r="R9"/>
  <c r="L9"/>
  <c r="I9"/>
  <c r="L8"/>
  <c r="I8"/>
  <c r="K7"/>
  <c r="L7" s="1"/>
  <c r="I7"/>
  <c r="K6"/>
  <c r="L6" s="1"/>
  <c r="I6"/>
  <c r="L5"/>
  <c r="I5"/>
  <c r="I4"/>
  <c r="M4" s="1"/>
  <c r="I3"/>
  <c r="Q4" i="1" l="1"/>
  <c r="Q11"/>
  <c r="U12" s="1"/>
  <c r="I46" i="4"/>
  <c r="M6"/>
  <c r="M12"/>
  <c r="M3"/>
  <c r="Q8" i="1"/>
  <c r="M10" i="4"/>
  <c r="M11"/>
  <c r="S4" i="1"/>
  <c r="S18" s="1"/>
  <c r="U7"/>
  <c r="X7"/>
  <c r="W7" s="1"/>
  <c r="T7"/>
  <c r="L4"/>
  <c r="K4" s="1"/>
  <c r="L6"/>
  <c r="K6" s="1"/>
  <c r="I6"/>
  <c r="I4"/>
  <c r="H4"/>
  <c r="H18" s="1"/>
  <c r="M13" i="4"/>
  <c r="M5"/>
  <c r="M8"/>
  <c r="M9"/>
  <c r="M7"/>
  <c r="Q18" i="1" l="1"/>
  <c r="U11"/>
  <c r="U8"/>
  <c r="U10"/>
  <c r="U9"/>
  <c r="U4"/>
  <c r="T4"/>
  <c r="T18" s="1"/>
  <c r="X4"/>
  <c r="W4" s="1"/>
  <c r="W4" i="5" l="1"/>
</calcChain>
</file>

<file path=xl/comments1.xml><?xml version="1.0" encoding="utf-8"?>
<comments xmlns="http://schemas.openxmlformats.org/spreadsheetml/2006/main">
  <authors>
    <author>Edwin</author>
    <author>dbc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240000是系统的钱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Edwin:服务费8%含在内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80万是硬件价格 其余是软件价格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2800是软件成本，软件在亮钻采购</t>
        </r>
      </text>
    </comment>
    <comment ref="S6" authorId="0">
      <text>
        <r>
          <rPr>
            <b/>
            <sz val="9"/>
            <color indexed="81"/>
            <rFont val="宋体"/>
            <family val="3"/>
            <charset val="134"/>
          </rPr>
          <t>Edwin:亮钻发票：05541406 金额11200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2800是软件成本，软件在亮钻采购</t>
        </r>
      </text>
    </comment>
    <comment ref="Q8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25天期票</t>
        </r>
      </text>
    </comment>
    <comment ref="R10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25天期票</t>
        </r>
      </text>
    </comment>
    <comment ref="R1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44666.1进账日期是5.19</t>
        </r>
      </text>
    </comment>
    <comment ref="Q14" authorId="1">
      <text>
        <r>
          <rPr>
            <b/>
            <sz val="9"/>
            <color indexed="81"/>
            <rFont val="宋体"/>
            <family val="3"/>
            <charset val="134"/>
          </rPr>
          <t>回款时间不确定</t>
        </r>
      </text>
    </comment>
  </commentList>
</comments>
</file>

<file path=xl/comments2.xml><?xml version="1.0" encoding="utf-8"?>
<comments xmlns="http://schemas.openxmlformats.org/spreadsheetml/2006/main">
  <authors>
    <author>Edwin</author>
    <author>a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HP业务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Q13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</t>
        </r>
        <r>
          <rPr>
            <sz val="9"/>
            <color indexed="81"/>
            <rFont val="宋体"/>
            <family val="3"/>
            <charset val="134"/>
          </rPr>
          <t>年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日，</t>
        </r>
        <r>
          <rPr>
            <sz val="9"/>
            <color indexed="81"/>
            <rFont val="Tahoma"/>
            <family val="2"/>
          </rPr>
          <t>/18091696-7,10292500+104700</t>
        </r>
      </text>
    </comment>
    <comment ref="Q14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2011-8-9</t>
        </r>
        <r>
          <rPr>
            <sz val="9"/>
            <color indexed="81"/>
            <rFont val="宋体"/>
            <family val="3"/>
            <charset val="134"/>
          </rPr>
          <t>发票</t>
        </r>
        <r>
          <rPr>
            <sz val="9"/>
            <color indexed="81"/>
            <rFont val="Tahoma"/>
            <family val="2"/>
          </rPr>
          <t>/01881661-67,114400+109350+115100+113550+109700+100450+44900</t>
        </r>
      </text>
    </comment>
    <comment ref="Q15" authorId="1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2011-9-7</t>
        </r>
        <r>
          <rPr>
            <sz val="9"/>
            <color indexed="81"/>
            <rFont val="宋体"/>
            <family val="3"/>
            <charset val="134"/>
          </rPr>
          <t>开票</t>
        </r>
        <r>
          <rPr>
            <sz val="9"/>
            <color indexed="81"/>
            <rFont val="Tahoma"/>
            <family val="2"/>
          </rPr>
          <t xml:space="preserve"> /14456435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114750+112800+110600</t>
        </r>
      </text>
    </comment>
  </commentList>
</comments>
</file>

<file path=xl/comments3.xml><?xml version="1.0" encoding="utf-8"?>
<comments xmlns="http://schemas.openxmlformats.org/spreadsheetml/2006/main">
  <authors>
    <author>Edwin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HP业务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  <comment ref="W3" authorId="0">
      <text>
        <r>
          <rPr>
            <b/>
            <sz val="9"/>
            <color indexed="81"/>
            <rFont val="宋体"/>
            <family val="3"/>
            <charset val="134"/>
          </rPr>
          <t>Edwin:</t>
        </r>
        <r>
          <rPr>
            <sz val="9"/>
            <color indexed="81"/>
            <rFont val="宋体"/>
            <family val="3"/>
            <charset val="134"/>
          </rPr>
          <t xml:space="preserve">
截止今天</t>
        </r>
      </text>
    </comment>
  </commentList>
</comments>
</file>

<file path=xl/sharedStrings.xml><?xml version="1.0" encoding="utf-8"?>
<sst xmlns="http://schemas.openxmlformats.org/spreadsheetml/2006/main" count="402" uniqueCount="178">
  <si>
    <t>序号</t>
  </si>
  <si>
    <t>单位</t>
  </si>
  <si>
    <t>上海东吉数码科技有限公司</t>
  </si>
  <si>
    <t>上海友硕电子科技有限公司</t>
  </si>
  <si>
    <t>上海微宜信息技术有限公司</t>
  </si>
  <si>
    <t>合计：</t>
    <phoneticPr fontId="1" type="noConversion"/>
  </si>
  <si>
    <t>上海汇笠贸易有限公司</t>
    <phoneticPr fontId="1" type="noConversion"/>
  </si>
  <si>
    <t>上海亮钻电子科技有限公司</t>
    <phoneticPr fontId="1" type="noConversion"/>
  </si>
  <si>
    <t>供应商</t>
    <phoneticPr fontId="1" type="noConversion"/>
  </si>
  <si>
    <t>上海汇笠贸易有限公司</t>
    <phoneticPr fontId="1" type="noConversion"/>
  </si>
  <si>
    <t>订货日期</t>
    <phoneticPr fontId="1" type="noConversion"/>
  </si>
  <si>
    <t>订货单位</t>
    <phoneticPr fontId="1" type="noConversion"/>
  </si>
  <si>
    <t>产品名称</t>
    <phoneticPr fontId="1" type="noConversion"/>
  </si>
  <si>
    <t>产品规格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</si>
  <si>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</si>
  <si>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</si>
  <si>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</si>
  <si>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合计</t>
    <phoneticPr fontId="1" type="noConversion"/>
  </si>
  <si>
    <t>合同价</t>
    <phoneticPr fontId="1" type="noConversion"/>
  </si>
  <si>
    <t>成本单价</t>
    <phoneticPr fontId="1" type="noConversion"/>
  </si>
  <si>
    <t>成本合计</t>
    <phoneticPr fontId="1" type="noConversion"/>
  </si>
  <si>
    <t>毛利</t>
    <phoneticPr fontId="1" type="noConversion"/>
  </si>
  <si>
    <t>供应商名称</t>
    <phoneticPr fontId="1" type="noConversion"/>
  </si>
  <si>
    <t>开票日期</t>
    <phoneticPr fontId="1" type="noConversion"/>
  </si>
  <si>
    <t>发票号码</t>
    <phoneticPr fontId="1" type="noConversion"/>
  </si>
  <si>
    <t>发票金额</t>
    <phoneticPr fontId="1" type="noConversion"/>
  </si>
  <si>
    <t>付款日期</t>
    <phoneticPr fontId="1" type="noConversion"/>
  </si>
  <si>
    <t>付款金额</t>
    <phoneticPr fontId="1" type="noConversion"/>
  </si>
  <si>
    <t>备注</t>
    <phoneticPr fontId="1" type="noConversion"/>
  </si>
  <si>
    <t>上海华讯网络系统有限公司</t>
    <phoneticPr fontId="1" type="noConversion"/>
  </si>
  <si>
    <t>神威网络隔离器</t>
    <phoneticPr fontId="1" type="noConversion"/>
  </si>
  <si>
    <t>千兆 SAW-004</t>
    <phoneticPr fontId="1" type="noConversion"/>
  </si>
  <si>
    <t>台</t>
    <phoneticPr fontId="1" type="noConversion"/>
  </si>
  <si>
    <t>56所</t>
    <phoneticPr fontId="1" type="noConversion"/>
  </si>
  <si>
    <t>上海期货交易所</t>
    <phoneticPr fontId="1" type="noConversion"/>
  </si>
  <si>
    <t>百兆</t>
    <phoneticPr fontId="1" type="noConversion"/>
  </si>
  <si>
    <t>北京千瑞/汇笠贸易</t>
    <phoneticPr fontId="1" type="noConversion"/>
  </si>
  <si>
    <t>上海东吉数码科技有限公司</t>
    <phoneticPr fontId="1" type="noConversion"/>
  </si>
  <si>
    <t>HP刀片服务器</t>
    <phoneticPr fontId="1" type="noConversion"/>
  </si>
  <si>
    <t>32A HV</t>
    <phoneticPr fontId="1" type="noConversion"/>
  </si>
  <si>
    <t>套</t>
    <phoneticPr fontId="1" type="noConversion"/>
  </si>
  <si>
    <t>上海汇笠贸易有限公司</t>
    <phoneticPr fontId="1" type="noConversion"/>
  </si>
  <si>
    <t>/01126252,53/32678094-100</t>
    <phoneticPr fontId="1" type="noConversion"/>
  </si>
  <si>
    <t>货到30天内付款</t>
    <phoneticPr fontId="1" type="noConversion"/>
  </si>
  <si>
    <t>上海友硕电子科技有限公司</t>
    <phoneticPr fontId="1" type="noConversion"/>
  </si>
  <si>
    <t>HP刀片服务器</t>
    <phoneticPr fontId="1" type="noConversion"/>
  </si>
  <si>
    <t>DL580R07</t>
    <phoneticPr fontId="1" type="noConversion"/>
  </si>
  <si>
    <t>套</t>
    <phoneticPr fontId="1" type="noConversion"/>
  </si>
  <si>
    <t>上海汇笠贸易有限公司/亮钻</t>
    <phoneticPr fontId="1" type="noConversion"/>
  </si>
  <si>
    <t>预付30%，剩余货到后开25天期票</t>
    <phoneticPr fontId="1" type="noConversion"/>
  </si>
  <si>
    <t>上海友硕电子科技有限公司</t>
    <phoneticPr fontId="1" type="noConversion"/>
  </si>
  <si>
    <t>DL380G7</t>
    <phoneticPr fontId="1" type="noConversion"/>
  </si>
  <si>
    <t>上海汇笠贸易有限公司/亮钻</t>
    <phoneticPr fontId="1" type="noConversion"/>
  </si>
  <si>
    <t>上海微宜信息技术有限公司</t>
    <phoneticPr fontId="1" type="noConversion"/>
  </si>
  <si>
    <t>HP刀片服务器</t>
    <phoneticPr fontId="1" type="noConversion"/>
  </si>
  <si>
    <t>X1800</t>
    <phoneticPr fontId="1" type="noConversion"/>
  </si>
  <si>
    <t>套</t>
    <phoneticPr fontId="1" type="noConversion"/>
  </si>
  <si>
    <t>预付30%，剩余货到后开25天期票</t>
    <phoneticPr fontId="1" type="noConversion"/>
  </si>
  <si>
    <t>BLB50C12</t>
    <phoneticPr fontId="1" type="noConversion"/>
  </si>
  <si>
    <t>上海微宜信息技术有限公司</t>
    <phoneticPr fontId="1" type="noConversion"/>
  </si>
  <si>
    <t>BLB60C12</t>
    <phoneticPr fontId="1" type="noConversion"/>
  </si>
  <si>
    <t>2011.4.7</t>
    <phoneticPr fontId="1" type="noConversion"/>
  </si>
  <si>
    <t>刀片机箱</t>
    <phoneticPr fontId="1" type="noConversion"/>
  </si>
  <si>
    <t>上海迪远电子科技有限公司</t>
    <phoneticPr fontId="1" type="noConversion"/>
  </si>
  <si>
    <t>DL360G7/E5506/2G*2/146G*2/460W</t>
    <phoneticPr fontId="1" type="noConversion"/>
  </si>
  <si>
    <t>预付30%，剩余货到后开25天期票</t>
    <phoneticPr fontId="1" type="noConversion"/>
  </si>
  <si>
    <t>DL360G7/E5506/2G*2/146G/460W</t>
    <phoneticPr fontId="1" type="noConversion"/>
  </si>
  <si>
    <t>HP刀片服务器机箱</t>
    <phoneticPr fontId="1" type="noConversion"/>
  </si>
  <si>
    <t>尚欠款</t>
    <phoneticPr fontId="1" type="noConversion"/>
  </si>
  <si>
    <t>已回款</t>
    <phoneticPr fontId="1" type="noConversion"/>
  </si>
  <si>
    <t>销售款</t>
    <phoneticPr fontId="1" type="noConversion"/>
  </si>
  <si>
    <t>采购款</t>
    <phoneticPr fontId="1" type="noConversion"/>
  </si>
  <si>
    <t>已付款</t>
    <phoneticPr fontId="1" type="noConversion"/>
  </si>
  <si>
    <t>应收账款</t>
    <phoneticPr fontId="1" type="noConversion"/>
  </si>
  <si>
    <t>应付账款</t>
    <phoneticPr fontId="1" type="noConversion"/>
  </si>
  <si>
    <t>产品类型</t>
    <phoneticPr fontId="1" type="noConversion"/>
  </si>
  <si>
    <t>主营业务</t>
    <phoneticPr fontId="1" type="noConversion"/>
  </si>
  <si>
    <t>HP业务</t>
    <phoneticPr fontId="1" type="noConversion"/>
  </si>
  <si>
    <t>上海迪远电子科技有限公司</t>
    <phoneticPr fontId="1" type="noConversion"/>
  </si>
  <si>
    <t>合计欠款</t>
    <phoneticPr fontId="1" type="noConversion"/>
  </si>
  <si>
    <t>订货日期</t>
    <phoneticPr fontId="1" type="noConversion"/>
  </si>
  <si>
    <t>应付款日期</t>
    <phoneticPr fontId="1" type="noConversion"/>
  </si>
  <si>
    <t>应收款日期</t>
    <phoneticPr fontId="1" type="noConversion"/>
  </si>
  <si>
    <t>延期天数</t>
    <phoneticPr fontId="1" type="noConversion"/>
  </si>
  <si>
    <t>备注</t>
    <phoneticPr fontId="1" type="noConversion"/>
  </si>
  <si>
    <t>合计欠款</t>
    <phoneticPr fontId="1" type="noConversion"/>
  </si>
  <si>
    <t>延期天数</t>
    <phoneticPr fontId="1" type="noConversion"/>
  </si>
  <si>
    <t>是否结束</t>
    <phoneticPr fontId="1" type="noConversion"/>
  </si>
  <si>
    <t>欠款比例</t>
    <phoneticPr fontId="1" type="noConversion"/>
  </si>
  <si>
    <t>欠款比例</t>
    <phoneticPr fontId="1" type="noConversion"/>
  </si>
  <si>
    <t>/01126268-70</t>
    <phoneticPr fontId="1" type="noConversion"/>
  </si>
  <si>
    <t>结束</t>
    <phoneticPr fontId="1" type="noConversion"/>
  </si>
  <si>
    <t>结束</t>
    <phoneticPr fontId="1" type="noConversion"/>
  </si>
  <si>
    <t>/01126271</t>
    <phoneticPr fontId="1" type="noConversion"/>
  </si>
  <si>
    <t>2011.4.22</t>
    <phoneticPr fontId="1" type="noConversion"/>
  </si>
  <si>
    <t>2011.4.22</t>
    <phoneticPr fontId="1" type="noConversion"/>
  </si>
  <si>
    <t>2011.4.28</t>
    <phoneticPr fontId="1" type="noConversion"/>
  </si>
  <si>
    <t>2011.4.21</t>
    <phoneticPr fontId="1" type="noConversion"/>
  </si>
  <si>
    <t>2011.3.20</t>
    <phoneticPr fontId="1" type="noConversion"/>
  </si>
  <si>
    <t>结束</t>
    <phoneticPr fontId="1" type="noConversion"/>
  </si>
  <si>
    <t>2011.5.9/5.19</t>
    <phoneticPr fontId="1" type="noConversion"/>
  </si>
  <si>
    <t>2011.6.20</t>
    <phoneticPr fontId="1" type="noConversion"/>
  </si>
  <si>
    <t>套</t>
    <phoneticPr fontId="1" type="noConversion"/>
  </si>
  <si>
    <t>上海睿都信息科技有限公司</t>
    <phoneticPr fontId="1" type="noConversion"/>
  </si>
  <si>
    <t>HP Proliant DL380G7</t>
    <phoneticPr fontId="1" type="noConversion"/>
  </si>
  <si>
    <t>HP Proliant DL388G7</t>
    <phoneticPr fontId="1" type="noConversion"/>
  </si>
  <si>
    <t>HP存储</t>
    <phoneticPr fontId="1" type="noConversion"/>
  </si>
  <si>
    <t>HP带库</t>
    <phoneticPr fontId="1" type="noConversion"/>
  </si>
  <si>
    <t>预付40%，硬件设备交付后再付30%，剩余验收后付清</t>
    <phoneticPr fontId="1" type="noConversion"/>
  </si>
  <si>
    <t>欧唯特信息系统（上海）有限公司</t>
    <phoneticPr fontId="1" type="noConversion"/>
  </si>
  <si>
    <t>到货20天内付全款</t>
    <phoneticPr fontId="1" type="noConversion"/>
  </si>
  <si>
    <t>/01126306-7</t>
    <phoneticPr fontId="1" type="noConversion"/>
  </si>
  <si>
    <t xml:space="preserve">HP Proliant DL388G7 </t>
    <phoneticPr fontId="1" type="noConversion"/>
  </si>
  <si>
    <t>HP服务器</t>
    <phoneticPr fontId="1" type="noConversion"/>
  </si>
  <si>
    <t>到货20天内付全款</t>
    <phoneticPr fontId="1" type="noConversion"/>
  </si>
  <si>
    <t>到货20天内付全款</t>
    <phoneticPr fontId="1" type="noConversion"/>
  </si>
  <si>
    <t>/01126308-10，12-15</t>
    <phoneticPr fontId="1" type="noConversion"/>
  </si>
  <si>
    <t xml:space="preserve">HP StorageWorks P2000 LFF </t>
    <phoneticPr fontId="1" type="noConversion"/>
  </si>
  <si>
    <t>HP MSL2024/4048</t>
    <phoneticPr fontId="1" type="noConversion"/>
  </si>
  <si>
    <t>SYT1003</t>
  </si>
  <si>
    <t>SZT1003</t>
  </si>
  <si>
    <t>SJY42-C</t>
  </si>
  <si>
    <t>SJW08</t>
  </si>
  <si>
    <t>SJK1110</t>
  </si>
  <si>
    <t>数据库服务器</t>
    <phoneticPr fontId="1" type="noConversion"/>
  </si>
  <si>
    <t>证书发布服务器</t>
    <phoneticPr fontId="1" type="noConversion"/>
  </si>
  <si>
    <t xml:space="preserve">磁盘阵列 </t>
    <phoneticPr fontId="1" type="noConversion"/>
  </si>
  <si>
    <t>DELL R710</t>
    <phoneticPr fontId="13" type="noConversion"/>
  </si>
  <si>
    <t>DELL PowerVault MD3200i</t>
    <phoneticPr fontId="13" type="noConversion"/>
  </si>
  <si>
    <t>保密机柜</t>
    <phoneticPr fontId="1" type="noConversion"/>
  </si>
  <si>
    <t xml:space="preserve">SPL-A型 </t>
    <phoneticPr fontId="13" type="noConversion"/>
  </si>
  <si>
    <t>KM系统软件</t>
    <phoneticPr fontId="1" type="noConversion"/>
  </si>
  <si>
    <t>运营CA中心软件</t>
    <phoneticPr fontId="1" type="noConversion"/>
  </si>
  <si>
    <t>管理审计子系统软件</t>
    <phoneticPr fontId="1" type="noConversion"/>
  </si>
  <si>
    <t>证书发布系统</t>
    <phoneticPr fontId="1" type="noConversion"/>
  </si>
  <si>
    <t>证书License</t>
    <phoneticPr fontId="1" type="noConversion"/>
  </si>
  <si>
    <t>个</t>
    <phoneticPr fontId="1" type="noConversion"/>
  </si>
  <si>
    <t>RA软件</t>
    <phoneticPr fontId="1" type="noConversion"/>
  </si>
  <si>
    <t>系统热备开发</t>
    <phoneticPr fontId="1" type="noConversion"/>
  </si>
  <si>
    <t>证书认证系统改造开发</t>
    <phoneticPr fontId="1" type="noConversion"/>
  </si>
  <si>
    <t>次</t>
    <phoneticPr fontId="1" type="noConversion"/>
  </si>
  <si>
    <t>USB接口管理</t>
    <phoneticPr fontId="1" type="noConversion"/>
  </si>
  <si>
    <t>证书服务器密码机</t>
    <phoneticPr fontId="1" type="noConversion"/>
  </si>
  <si>
    <t>网络密码机</t>
    <phoneticPr fontId="1" type="noConversion"/>
  </si>
  <si>
    <t>管理员智能密码钥匙</t>
    <phoneticPr fontId="1" type="noConversion"/>
  </si>
  <si>
    <t>用户智能密码钥匙</t>
    <phoneticPr fontId="1" type="noConversion"/>
  </si>
  <si>
    <t>CA管理服务器</t>
    <phoneticPr fontId="1" type="noConversion"/>
  </si>
  <si>
    <t>系统集成费</t>
    <phoneticPr fontId="1" type="noConversion"/>
  </si>
  <si>
    <t>批</t>
    <phoneticPr fontId="1" type="noConversion"/>
  </si>
  <si>
    <t>56所</t>
    <phoneticPr fontId="1" type="noConversion"/>
  </si>
  <si>
    <t>DELL</t>
    <phoneticPr fontId="1" type="noConversion"/>
  </si>
  <si>
    <t>无锡双鹿</t>
    <phoneticPr fontId="1" type="noConversion"/>
  </si>
  <si>
    <t>密钥管理服务器</t>
    <phoneticPr fontId="1" type="noConversion"/>
  </si>
  <si>
    <t>SJY42-C</t>
    <phoneticPr fontId="1" type="noConversion"/>
  </si>
  <si>
    <t>R710</t>
    <phoneticPr fontId="1" type="noConversion"/>
  </si>
  <si>
    <t>预付40%，硬件设备交付后再付30%，剩余验收后付清</t>
    <phoneticPr fontId="1" type="noConversion"/>
  </si>
  <si>
    <t>上海睿都</t>
    <phoneticPr fontId="1" type="noConversion"/>
  </si>
  <si>
    <t>56所</t>
    <phoneticPr fontId="1" type="noConversion"/>
  </si>
  <si>
    <t>DELL</t>
    <phoneticPr fontId="1" type="noConversion"/>
  </si>
  <si>
    <t>2010年-2011年9月销售台帐</t>
    <phoneticPr fontId="1" type="noConversion"/>
  </si>
  <si>
    <t>上海睦盛计算机科技有限公司</t>
    <phoneticPr fontId="1" type="noConversion"/>
  </si>
  <si>
    <t xml:space="preserve">HP DL380G7 SFF CTO Chassis </t>
    <phoneticPr fontId="1" type="noConversion"/>
  </si>
  <si>
    <t>上海瑞玑</t>
    <phoneticPr fontId="1" type="noConversion"/>
  </si>
  <si>
    <t>预付50%，到货后开23天期票</t>
    <phoneticPr fontId="1" type="noConversion"/>
  </si>
  <si>
    <t>2011年9月HP业务应收应付账款</t>
    <phoneticPr fontId="1" type="noConversion"/>
  </si>
  <si>
    <t>上海瑞玑计算机科技有限公司</t>
    <phoneticPr fontId="1" type="noConversion"/>
  </si>
  <si>
    <t>上海浪腾科技有限公司</t>
  </si>
  <si>
    <t>HP业务</t>
    <phoneticPr fontId="1" type="noConversion"/>
  </si>
  <si>
    <t>HP 云计算中心</t>
    <phoneticPr fontId="1" type="noConversion"/>
  </si>
  <si>
    <t>套</t>
    <phoneticPr fontId="1" type="noConversion"/>
  </si>
  <si>
    <t>票已开40%</t>
    <phoneticPr fontId="1" type="noConversion"/>
  </si>
  <si>
    <t>/01126322-24</t>
    <phoneticPr fontId="1" type="noConversion"/>
  </si>
  <si>
    <t>先票后款</t>
    <phoneticPr fontId="1" type="noConversion"/>
  </si>
  <si>
    <t>上海浪腾科技有限公司</t>
    <phoneticPr fontId="1" type="noConversion"/>
  </si>
  <si>
    <t>2011-1-12/2011-4-6/2011-8-19</t>
    <phoneticPr fontId="1" type="noConversion"/>
  </si>
  <si>
    <t>/06294350,16775201-49,16783351-3400,4.6开1140000，8月19日开228000</t>
    <phoneticPr fontId="1" type="noConversion"/>
  </si>
  <si>
    <t>2011年主营业务应收应付账款</t>
    <phoneticPr fontId="1" type="noConversion"/>
  </si>
  <si>
    <t>无锡市双鹿电器机械有限公司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</si>
</sst>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.00;[Red]#,##0.00"/>
    <numFmt numFmtId="177" formatCode="0.0%"/>
    <numFmt numFmtId="178" formatCode="#,##0;[Red]#,##0"/>
    <numFmt numFmtId="179" formatCode="0_);[Red]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??"/>
      <family val="2"/>
    </font>
    <font>
      <sz val="11"/>
      <color rgb="FFFF0000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 style="thin">
        <color indexed="64"/>
      </bottom>
      <diagonal/>
    </border>
    <border>
      <left/>
      <right style="dashDot">
        <color auto="1"/>
      </right>
      <top style="thin">
        <color indexed="64"/>
      </top>
      <bottom style="thin">
        <color indexed="64"/>
      </bottom>
      <diagonal/>
    </border>
    <border>
      <left style="dashDot">
        <color auto="1"/>
      </left>
      <right style="thin">
        <color indexed="64"/>
      </right>
      <top style="thin">
        <color indexed="64"/>
      </top>
      <bottom/>
      <diagonal/>
    </border>
    <border>
      <left style="dashDot">
        <color auto="1"/>
      </left>
      <right style="thin">
        <color indexed="64"/>
      </right>
      <top/>
      <bottom/>
      <diagonal/>
    </border>
    <border>
      <left style="dashDot">
        <color auto="1"/>
      </left>
      <right style="thin">
        <color indexed="64"/>
      </right>
      <top/>
      <bottom style="thin">
        <color indexed="64"/>
      </bottom>
      <diagonal/>
    </border>
    <border>
      <left style="dashDot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">
        <color auto="1"/>
      </right>
      <top style="thin">
        <color indexed="64"/>
      </top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/>
      <bottom style="thin">
        <color indexed="64"/>
      </bottom>
      <diagonal/>
    </border>
    <border>
      <left style="thin">
        <color indexed="64"/>
      </left>
      <right style="dashDotDot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176" fontId="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wrapText="1"/>
    </xf>
    <xf numFmtId="14" fontId="3" fillId="0" borderId="7" xfId="0" applyNumberFormat="1" applyFont="1" applyBorder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3" fillId="0" borderId="1" xfId="0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3" fillId="0" borderId="1" xfId="0" applyNumberFormat="1" applyFont="1" applyBorder="1" applyAlignment="1">
      <alignment vertical="center"/>
    </xf>
    <xf numFmtId="0" fontId="7" fillId="0" borderId="0" xfId="0" applyFont="1">
      <alignment vertical="center"/>
    </xf>
    <xf numFmtId="0" fontId="3" fillId="0" borderId="11" xfId="0" applyFont="1" applyBorder="1">
      <alignment vertic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9" fontId="0" fillId="0" borderId="1" xfId="0" applyNumberFormat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0" fillId="0" borderId="11" xfId="0" applyNumberFormat="1" applyBorder="1">
      <alignment vertical="center"/>
    </xf>
    <xf numFmtId="178" fontId="0" fillId="0" borderId="17" xfId="0" applyNumberFormat="1" applyBorder="1" applyAlignment="1">
      <alignment vertical="center"/>
    </xf>
    <xf numFmtId="178" fontId="0" fillId="0" borderId="18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178" fontId="0" fillId="0" borderId="17" xfId="0" applyNumberFormat="1" applyBorder="1">
      <alignment vertical="center"/>
    </xf>
    <xf numFmtId="176" fontId="3" fillId="0" borderId="17" xfId="0" applyNumberFormat="1" applyFont="1" applyBorder="1">
      <alignment vertical="center"/>
    </xf>
    <xf numFmtId="0" fontId="3" fillId="0" borderId="16" xfId="0" applyFont="1" applyBorder="1" applyAlignment="1">
      <alignment horizontal="center" vertical="center"/>
    </xf>
    <xf numFmtId="178" fontId="8" fillId="0" borderId="16" xfId="0" applyNumberFormat="1" applyFont="1" applyBorder="1" applyAlignment="1">
      <alignment horizontal="left" vertical="center" wrapText="1"/>
    </xf>
    <xf numFmtId="176" fontId="3" fillId="0" borderId="16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14" fontId="0" fillId="0" borderId="2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 shrinkToFit="1"/>
    </xf>
    <xf numFmtId="0" fontId="0" fillId="0" borderId="24" xfId="0" applyBorder="1" applyAlignment="1">
      <alignment horizontal="center" vertical="center" wrapText="1" shrinkToFit="1"/>
    </xf>
    <xf numFmtId="0" fontId="0" fillId="0" borderId="23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8" fontId="8" fillId="0" borderId="20" xfId="0" applyNumberFormat="1" applyFont="1" applyBorder="1" applyAlignment="1">
      <alignment horizontal="left" vertical="center" wrapText="1"/>
    </xf>
    <xf numFmtId="178" fontId="8" fillId="0" borderId="22" xfId="0" applyNumberFormat="1" applyFont="1" applyBorder="1" applyAlignment="1">
      <alignment horizontal="left" vertical="center" wrapText="1"/>
    </xf>
    <xf numFmtId="178" fontId="8" fillId="0" borderId="21" xfId="0" applyNumberFormat="1" applyFont="1" applyBorder="1" applyAlignment="1">
      <alignment horizontal="left"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T46"/>
  <sheetViews>
    <sheetView tabSelected="1" workbookViewId="0">
      <selection activeCell="F40" sqref="F40"/>
    </sheetView>
  </sheetViews>
  <sheetFormatPr defaultRowHeight="13.5"/>
  <cols>
    <col min="1" max="1" width="11" customWidth="1"/>
    <col min="2" max="2" width="23.375" style="70" customWidth="1"/>
    <col min="3" max="3" width="9.25" style="1" customWidth="1"/>
    <col min="4" max="4" width="15.375" customWidth="1"/>
    <col min="5" max="5" width="13.25" style="70" customWidth="1"/>
    <col min="6" max="6" width="5.75" customWidth="1"/>
    <col min="7" max="7" width="6.125" customWidth="1"/>
    <col min="8" max="8" width="9.125" customWidth="1"/>
    <col min="9" max="9" width="10.625" customWidth="1"/>
    <col min="10" max="10" width="11.875" customWidth="1"/>
    <col min="11" max="11" width="10.25" bestFit="1" customWidth="1"/>
    <col min="13" max="13" width="8" customWidth="1"/>
    <col min="14" max="14" width="11.875" customWidth="1"/>
    <col min="15" max="15" width="10.875" customWidth="1"/>
    <col min="17" max="17" width="10.75" customWidth="1"/>
    <col min="19" max="19" width="25.125" style="1" customWidth="1"/>
    <col min="20" max="20" width="13.625" customWidth="1"/>
  </cols>
  <sheetData>
    <row r="1" spans="1:20" s="26" customFormat="1" ht="35.25" customHeight="1">
      <c r="A1" s="104" t="s">
        <v>159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s="1" customFormat="1" ht="24.75" customHeight="1">
      <c r="A2" s="9" t="s">
        <v>10</v>
      </c>
      <c r="B2" s="67" t="s">
        <v>11</v>
      </c>
      <c r="C2" s="9" t="s">
        <v>75</v>
      </c>
      <c r="D2" s="9" t="s">
        <v>12</v>
      </c>
      <c r="E2" s="67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  <c r="L2" s="9" t="s">
        <v>20</v>
      </c>
      <c r="M2" s="9" t="s">
        <v>21</v>
      </c>
      <c r="N2" s="9" t="s">
        <v>23</v>
      </c>
      <c r="O2" s="9" t="s">
        <v>24</v>
      </c>
      <c r="P2" s="9" t="s">
        <v>25</v>
      </c>
      <c r="Q2" s="9" t="s">
        <v>26</v>
      </c>
      <c r="R2" s="9" t="s">
        <v>27</v>
      </c>
      <c r="S2" s="9" t="s">
        <v>22</v>
      </c>
      <c r="T2" s="9" t="s">
        <v>28</v>
      </c>
    </row>
    <row r="3" spans="1:20" s="1" customFormat="1" ht="24.75" hidden="1" customHeight="1">
      <c r="A3" s="10">
        <v>40534</v>
      </c>
      <c r="B3" s="68" t="s">
        <v>29</v>
      </c>
      <c r="C3" s="2" t="s">
        <v>76</v>
      </c>
      <c r="D3" s="2" t="s">
        <v>30</v>
      </c>
      <c r="E3" s="68" t="s">
        <v>31</v>
      </c>
      <c r="F3" s="2" t="s">
        <v>32</v>
      </c>
      <c r="G3" s="2">
        <v>2</v>
      </c>
      <c r="H3" s="2">
        <v>300000</v>
      </c>
      <c r="I3" s="2">
        <f>H3*G3</f>
        <v>600000</v>
      </c>
      <c r="J3" s="2">
        <v>600000</v>
      </c>
      <c r="K3" s="2">
        <v>240000</v>
      </c>
      <c r="L3" s="2">
        <f>K3*G3</f>
        <v>480000</v>
      </c>
      <c r="M3" s="2">
        <f>I3-L3</f>
        <v>120000</v>
      </c>
      <c r="N3" s="2"/>
      <c r="O3" s="2"/>
      <c r="P3" s="2"/>
      <c r="Q3" s="2"/>
      <c r="R3" s="2">
        <v>600000</v>
      </c>
      <c r="S3" s="2" t="s">
        <v>33</v>
      </c>
      <c r="T3" s="2"/>
    </row>
    <row r="4" spans="1:20" s="1" customFormat="1" ht="24.75" hidden="1" customHeight="1">
      <c r="A4" s="10">
        <v>40534</v>
      </c>
      <c r="B4" s="68" t="s">
        <v>34</v>
      </c>
      <c r="C4" s="2" t="s">
        <v>76</v>
      </c>
      <c r="D4" s="2" t="s">
        <v>30</v>
      </c>
      <c r="E4" s="68" t="s">
        <v>35</v>
      </c>
      <c r="F4" s="2" t="s">
        <v>32</v>
      </c>
      <c r="G4" s="2">
        <v>16</v>
      </c>
      <c r="H4" s="2">
        <v>264480</v>
      </c>
      <c r="I4" s="2">
        <f t="shared" ref="I4:I45" si="0">H4*G4</f>
        <v>4231680</v>
      </c>
      <c r="J4" s="2">
        <v>4231680</v>
      </c>
      <c r="K4" s="55">
        <f>800000+1404000+468000</f>
        <v>2672000</v>
      </c>
      <c r="L4" s="55">
        <f>K4</f>
        <v>2672000</v>
      </c>
      <c r="M4" s="55">
        <f>I4-L4</f>
        <v>1559680</v>
      </c>
      <c r="N4" s="10" t="s">
        <v>174</v>
      </c>
      <c r="O4" s="11" t="s">
        <v>175</v>
      </c>
      <c r="P4" s="2">
        <f>1140000*3+228000</f>
        <v>3648000</v>
      </c>
      <c r="Q4" s="2"/>
      <c r="R4" s="2">
        <v>3648000</v>
      </c>
      <c r="S4" s="2" t="s">
        <v>36</v>
      </c>
      <c r="T4" s="2"/>
    </row>
    <row r="5" spans="1:20" s="1" customFormat="1" ht="24.75" customHeight="1">
      <c r="A5" s="10">
        <v>40595</v>
      </c>
      <c r="B5" s="68" t="s">
        <v>37</v>
      </c>
      <c r="C5" s="2" t="s">
        <v>77</v>
      </c>
      <c r="D5" s="2" t="s">
        <v>38</v>
      </c>
      <c r="E5" s="68" t="s">
        <v>39</v>
      </c>
      <c r="F5" s="2" t="s">
        <v>40</v>
      </c>
      <c r="G5" s="2">
        <v>1</v>
      </c>
      <c r="H5" s="2">
        <v>110404</v>
      </c>
      <c r="I5" s="2">
        <f t="shared" si="0"/>
        <v>110404</v>
      </c>
      <c r="J5" s="2">
        <v>110404</v>
      </c>
      <c r="K5" s="2">
        <v>110404</v>
      </c>
      <c r="L5" s="2">
        <f t="shared" ref="L5:L38" si="1">K5*G5</f>
        <v>110404</v>
      </c>
      <c r="M5" s="2">
        <f t="shared" ref="M5:M38" si="2">I5-L5</f>
        <v>0</v>
      </c>
      <c r="N5" s="10">
        <v>40627</v>
      </c>
      <c r="O5" s="11" t="s">
        <v>42</v>
      </c>
      <c r="P5" s="2">
        <v>110404</v>
      </c>
      <c r="Q5" s="2" t="s">
        <v>97</v>
      </c>
      <c r="R5" s="2">
        <v>110404</v>
      </c>
      <c r="S5" s="2" t="s">
        <v>41</v>
      </c>
      <c r="T5" s="2" t="s">
        <v>43</v>
      </c>
    </row>
    <row r="6" spans="1:20" s="1" customFormat="1" ht="24.75" customHeight="1">
      <c r="A6" s="10">
        <v>40617</v>
      </c>
      <c r="B6" s="68" t="s">
        <v>44</v>
      </c>
      <c r="C6" s="2" t="s">
        <v>77</v>
      </c>
      <c r="D6" s="2" t="s">
        <v>45</v>
      </c>
      <c r="E6" s="68" t="s">
        <v>46</v>
      </c>
      <c r="F6" s="2" t="s">
        <v>47</v>
      </c>
      <c r="G6" s="2">
        <v>2</v>
      </c>
      <c r="H6" s="2">
        <v>60308</v>
      </c>
      <c r="I6" s="2">
        <f t="shared" si="0"/>
        <v>120616</v>
      </c>
      <c r="J6" s="97">
        <v>167134</v>
      </c>
      <c r="K6" s="2">
        <f>57008+2800</f>
        <v>59808</v>
      </c>
      <c r="L6" s="2">
        <f t="shared" si="1"/>
        <v>119616</v>
      </c>
      <c r="M6" s="2">
        <f t="shared" si="2"/>
        <v>1000</v>
      </c>
      <c r="N6" s="10">
        <v>40660</v>
      </c>
      <c r="O6" s="2"/>
      <c r="P6" s="2">
        <v>167134</v>
      </c>
      <c r="Q6" s="2" t="s">
        <v>98</v>
      </c>
      <c r="R6" s="2">
        <v>50140</v>
      </c>
      <c r="S6" s="2" t="s">
        <v>48</v>
      </c>
      <c r="T6" s="99" t="s">
        <v>49</v>
      </c>
    </row>
    <row r="7" spans="1:20" s="1" customFormat="1" ht="24.75" customHeight="1">
      <c r="A7" s="10">
        <v>40617</v>
      </c>
      <c r="B7" s="68" t="s">
        <v>50</v>
      </c>
      <c r="C7" s="2" t="s">
        <v>77</v>
      </c>
      <c r="D7" s="2" t="s">
        <v>38</v>
      </c>
      <c r="E7" s="68" t="s">
        <v>51</v>
      </c>
      <c r="F7" s="2" t="s">
        <v>40</v>
      </c>
      <c r="G7" s="2">
        <v>2</v>
      </c>
      <c r="H7" s="2">
        <v>23259</v>
      </c>
      <c r="I7" s="2">
        <f t="shared" si="0"/>
        <v>46518</v>
      </c>
      <c r="J7" s="98"/>
      <c r="K7" s="2">
        <f>19959+2800</f>
        <v>22759</v>
      </c>
      <c r="L7" s="2">
        <f t="shared" si="1"/>
        <v>45518</v>
      </c>
      <c r="M7" s="2">
        <f t="shared" si="2"/>
        <v>1000</v>
      </c>
      <c r="N7" s="10">
        <v>40660</v>
      </c>
      <c r="O7" s="2"/>
      <c r="P7" s="2">
        <v>0</v>
      </c>
      <c r="Q7" s="2" t="s">
        <v>96</v>
      </c>
      <c r="R7" s="2">
        <v>116994</v>
      </c>
      <c r="S7" s="2" t="s">
        <v>52</v>
      </c>
      <c r="T7" s="100"/>
    </row>
    <row r="8" spans="1:20" s="1" customFormat="1" ht="24.75" customHeight="1">
      <c r="A8" s="10">
        <v>40618</v>
      </c>
      <c r="B8" s="68" t="s">
        <v>53</v>
      </c>
      <c r="C8" s="2" t="s">
        <v>77</v>
      </c>
      <c r="D8" s="2" t="s">
        <v>54</v>
      </c>
      <c r="E8" s="12" t="s">
        <v>55</v>
      </c>
      <c r="F8" s="2" t="s">
        <v>56</v>
      </c>
      <c r="G8" s="2">
        <v>1</v>
      </c>
      <c r="H8" s="12">
        <v>33167</v>
      </c>
      <c r="I8" s="2">
        <f t="shared" si="0"/>
        <v>33167</v>
      </c>
      <c r="J8" s="97">
        <v>373066</v>
      </c>
      <c r="K8" s="12">
        <v>33167</v>
      </c>
      <c r="L8" s="2">
        <f t="shared" si="1"/>
        <v>33167</v>
      </c>
      <c r="M8" s="2">
        <f t="shared" si="2"/>
        <v>0</v>
      </c>
      <c r="N8" s="10">
        <v>40654</v>
      </c>
      <c r="O8" s="2" t="s">
        <v>93</v>
      </c>
      <c r="P8" s="2">
        <v>33167</v>
      </c>
      <c r="Q8" s="2" t="s">
        <v>95</v>
      </c>
      <c r="R8" s="2">
        <v>33167</v>
      </c>
      <c r="S8" s="2" t="s">
        <v>6</v>
      </c>
      <c r="T8" s="99" t="s">
        <v>57</v>
      </c>
    </row>
    <row r="9" spans="1:20" s="1" customFormat="1" ht="24.75" customHeight="1">
      <c r="A9" s="10">
        <v>40618</v>
      </c>
      <c r="B9" s="68" t="s">
        <v>53</v>
      </c>
      <c r="C9" s="2" t="s">
        <v>77</v>
      </c>
      <c r="D9" s="2" t="s">
        <v>54</v>
      </c>
      <c r="E9" s="12" t="s">
        <v>58</v>
      </c>
      <c r="F9" s="2" t="s">
        <v>56</v>
      </c>
      <c r="G9" s="2">
        <v>1</v>
      </c>
      <c r="H9" s="12">
        <v>147950</v>
      </c>
      <c r="I9" s="2">
        <f t="shared" si="0"/>
        <v>147950</v>
      </c>
      <c r="J9" s="105"/>
      <c r="K9" s="12">
        <v>147950</v>
      </c>
      <c r="L9" s="2">
        <f t="shared" si="1"/>
        <v>147950</v>
      </c>
      <c r="M9" s="2">
        <f t="shared" si="2"/>
        <v>0</v>
      </c>
      <c r="N9" s="10">
        <v>40640</v>
      </c>
      <c r="O9" s="2"/>
      <c r="P9" s="2">
        <v>339899</v>
      </c>
      <c r="Q9" s="2">
        <v>2011.3</v>
      </c>
      <c r="R9" s="2">
        <f>373066*0.3</f>
        <v>111919.8</v>
      </c>
      <c r="S9" s="2" t="s">
        <v>41</v>
      </c>
      <c r="T9" s="106"/>
    </row>
    <row r="10" spans="1:20" s="1" customFormat="1" ht="24.75" customHeight="1">
      <c r="A10" s="10">
        <v>40618</v>
      </c>
      <c r="B10" s="68" t="s">
        <v>59</v>
      </c>
      <c r="C10" s="2" t="s">
        <v>77</v>
      </c>
      <c r="D10" s="2" t="s">
        <v>45</v>
      </c>
      <c r="E10" s="12" t="s">
        <v>60</v>
      </c>
      <c r="F10" s="2" t="s">
        <v>47</v>
      </c>
      <c r="G10" s="2">
        <v>1</v>
      </c>
      <c r="H10" s="12">
        <v>93657</v>
      </c>
      <c r="I10" s="2">
        <f t="shared" si="0"/>
        <v>93657</v>
      </c>
      <c r="J10" s="105"/>
      <c r="K10" s="12">
        <v>93657</v>
      </c>
      <c r="L10" s="2">
        <f t="shared" si="1"/>
        <v>93657</v>
      </c>
      <c r="M10" s="2">
        <f t="shared" si="2"/>
        <v>0</v>
      </c>
      <c r="N10" s="10">
        <v>40640</v>
      </c>
      <c r="O10" s="2"/>
      <c r="P10" s="2">
        <v>0</v>
      </c>
      <c r="Q10" s="2" t="s">
        <v>61</v>
      </c>
      <c r="R10" s="2">
        <v>227979.2</v>
      </c>
      <c r="S10" s="2" t="s">
        <v>41</v>
      </c>
      <c r="T10" s="106"/>
    </row>
    <row r="11" spans="1:20" s="1" customFormat="1" ht="24.75" customHeight="1">
      <c r="A11" s="10">
        <v>40618</v>
      </c>
      <c r="B11" s="68" t="s">
        <v>59</v>
      </c>
      <c r="C11" s="2" t="s">
        <v>77</v>
      </c>
      <c r="D11" s="2" t="s">
        <v>67</v>
      </c>
      <c r="E11" s="12" t="s">
        <v>62</v>
      </c>
      <c r="F11" s="2" t="s">
        <v>47</v>
      </c>
      <c r="G11" s="2">
        <v>1</v>
      </c>
      <c r="H11" s="12">
        <v>98292</v>
      </c>
      <c r="I11" s="2">
        <f t="shared" si="0"/>
        <v>98292</v>
      </c>
      <c r="J11" s="98"/>
      <c r="K11" s="12">
        <v>98292</v>
      </c>
      <c r="L11" s="2">
        <f t="shared" si="1"/>
        <v>98292</v>
      </c>
      <c r="M11" s="2">
        <f t="shared" si="2"/>
        <v>0</v>
      </c>
      <c r="N11" s="10">
        <v>40640</v>
      </c>
      <c r="O11" s="2"/>
      <c r="P11" s="2">
        <v>0</v>
      </c>
      <c r="Q11" s="2" t="s">
        <v>61</v>
      </c>
      <c r="R11" s="2">
        <v>0</v>
      </c>
      <c r="S11" s="2" t="s">
        <v>41</v>
      </c>
      <c r="T11" s="100"/>
    </row>
    <row r="12" spans="1:20" s="1" customFormat="1" ht="24.75" customHeight="1">
      <c r="A12" s="10">
        <v>40618</v>
      </c>
      <c r="B12" s="68" t="s">
        <v>63</v>
      </c>
      <c r="C12" s="2" t="s">
        <v>77</v>
      </c>
      <c r="D12" s="2" t="s">
        <v>45</v>
      </c>
      <c r="E12" s="12" t="s">
        <v>64</v>
      </c>
      <c r="F12" s="2" t="s">
        <v>47</v>
      </c>
      <c r="G12" s="2">
        <v>10</v>
      </c>
      <c r="H12" s="12">
        <v>15407.71</v>
      </c>
      <c r="I12" s="2">
        <f t="shared" si="0"/>
        <v>154077.09999999998</v>
      </c>
      <c r="J12" s="97">
        <v>291748.59999999998</v>
      </c>
      <c r="K12" s="12">
        <v>15407.71</v>
      </c>
      <c r="L12" s="2">
        <f t="shared" si="1"/>
        <v>154077.09999999998</v>
      </c>
      <c r="M12" s="2">
        <f t="shared" si="2"/>
        <v>0</v>
      </c>
      <c r="N12" s="10">
        <v>40653</v>
      </c>
      <c r="O12" s="11" t="s">
        <v>90</v>
      </c>
      <c r="P12" s="2">
        <v>291748.59999999998</v>
      </c>
      <c r="Q12" s="2" t="s">
        <v>94</v>
      </c>
      <c r="R12" s="2">
        <v>47082.5</v>
      </c>
      <c r="S12" s="2" t="s">
        <v>41</v>
      </c>
      <c r="T12" s="99" t="s">
        <v>65</v>
      </c>
    </row>
    <row r="13" spans="1:20" s="1" customFormat="1" ht="24.75" customHeight="1">
      <c r="A13" s="10">
        <v>40618</v>
      </c>
      <c r="B13" s="68" t="s">
        <v>63</v>
      </c>
      <c r="C13" s="2" t="s">
        <v>77</v>
      </c>
      <c r="D13" s="2" t="s">
        <v>45</v>
      </c>
      <c r="E13" s="12" t="s">
        <v>66</v>
      </c>
      <c r="F13" s="2" t="s">
        <v>47</v>
      </c>
      <c r="G13" s="2">
        <v>10</v>
      </c>
      <c r="H13" s="12">
        <v>13767.15</v>
      </c>
      <c r="I13" s="2">
        <f t="shared" si="0"/>
        <v>137671.5</v>
      </c>
      <c r="J13" s="98"/>
      <c r="K13" s="12">
        <v>13767.15</v>
      </c>
      <c r="L13" s="2">
        <f t="shared" si="1"/>
        <v>137671.5</v>
      </c>
      <c r="M13" s="2">
        <f t="shared" si="2"/>
        <v>0</v>
      </c>
      <c r="N13" s="10">
        <v>40653</v>
      </c>
      <c r="O13" s="11" t="s">
        <v>90</v>
      </c>
      <c r="P13" s="2">
        <v>0</v>
      </c>
      <c r="Q13" s="2" t="s">
        <v>100</v>
      </c>
      <c r="R13" s="54">
        <f>200000+44666.1</f>
        <v>244666.1</v>
      </c>
      <c r="S13" s="2" t="s">
        <v>41</v>
      </c>
      <c r="T13" s="100"/>
    </row>
    <row r="14" spans="1:20" s="1" customFormat="1" ht="27" hidden="1" customHeight="1">
      <c r="A14" s="10">
        <v>40675</v>
      </c>
      <c r="B14" s="69" t="s">
        <v>34</v>
      </c>
      <c r="C14" s="2" t="s">
        <v>76</v>
      </c>
      <c r="D14" s="68" t="s">
        <v>131</v>
      </c>
      <c r="E14" s="56" t="s">
        <v>119</v>
      </c>
      <c r="F14" s="61" t="s">
        <v>56</v>
      </c>
      <c r="G14" s="61">
        <v>3</v>
      </c>
      <c r="H14" s="62">
        <v>110000</v>
      </c>
      <c r="I14" s="61">
        <f>H14*G14</f>
        <v>330000</v>
      </c>
      <c r="J14" s="94">
        <f>SUM(I14:I32)</f>
        <v>8091360</v>
      </c>
      <c r="K14" s="62"/>
      <c r="L14" s="2"/>
      <c r="M14" s="2"/>
      <c r="N14" s="10">
        <v>40701</v>
      </c>
      <c r="O14" s="2"/>
      <c r="P14" s="2">
        <v>3236544</v>
      </c>
      <c r="Q14" s="2" t="s">
        <v>101</v>
      </c>
      <c r="R14" s="2">
        <v>3236544</v>
      </c>
      <c r="S14" s="2" t="s">
        <v>149</v>
      </c>
      <c r="T14" s="107" t="s">
        <v>108</v>
      </c>
    </row>
    <row r="15" spans="1:20" s="1" customFormat="1" ht="27" hidden="1" customHeight="1">
      <c r="A15" s="10">
        <v>40675</v>
      </c>
      <c r="B15" s="69" t="s">
        <v>34</v>
      </c>
      <c r="C15" s="2" t="s">
        <v>76</v>
      </c>
      <c r="D15" s="68" t="s">
        <v>132</v>
      </c>
      <c r="E15" s="56" t="s">
        <v>120</v>
      </c>
      <c r="F15" s="61" t="s">
        <v>56</v>
      </c>
      <c r="G15" s="61">
        <v>3</v>
      </c>
      <c r="H15" s="62">
        <v>120000</v>
      </c>
      <c r="I15" s="61">
        <f t="shared" ref="I15:I31" si="3">H15*G15</f>
        <v>360000</v>
      </c>
      <c r="J15" s="110"/>
      <c r="K15" s="62"/>
      <c r="L15" s="2"/>
      <c r="M15" s="2"/>
      <c r="N15" s="54"/>
      <c r="O15" s="54"/>
      <c r="P15" s="54"/>
      <c r="Q15" s="54"/>
      <c r="R15" s="54"/>
      <c r="S15" s="2" t="s">
        <v>149</v>
      </c>
      <c r="T15" s="108"/>
    </row>
    <row r="16" spans="1:20" s="1" customFormat="1" ht="27" hidden="1" customHeight="1">
      <c r="A16" s="10">
        <v>40675</v>
      </c>
      <c r="B16" s="69" t="s">
        <v>34</v>
      </c>
      <c r="C16" s="2" t="s">
        <v>76</v>
      </c>
      <c r="D16" s="68" t="s">
        <v>133</v>
      </c>
      <c r="E16" s="56" t="s">
        <v>120</v>
      </c>
      <c r="F16" s="61" t="s">
        <v>56</v>
      </c>
      <c r="G16" s="61">
        <v>3</v>
      </c>
      <c r="H16" s="62">
        <v>100000</v>
      </c>
      <c r="I16" s="61">
        <f t="shared" si="3"/>
        <v>300000</v>
      </c>
      <c r="J16" s="110"/>
      <c r="K16" s="62"/>
      <c r="L16" s="2"/>
      <c r="M16" s="2"/>
      <c r="N16" s="54"/>
      <c r="O16" s="54"/>
      <c r="P16" s="54"/>
      <c r="Q16" s="54"/>
      <c r="R16" s="54"/>
      <c r="S16" s="2" t="s">
        <v>149</v>
      </c>
      <c r="T16" s="108"/>
    </row>
    <row r="17" spans="1:20" s="1" customFormat="1" ht="27" hidden="1" customHeight="1">
      <c r="A17" s="10">
        <v>40675</v>
      </c>
      <c r="B17" s="69" t="s">
        <v>34</v>
      </c>
      <c r="C17" s="2" t="s">
        <v>76</v>
      </c>
      <c r="D17" s="68" t="s">
        <v>134</v>
      </c>
      <c r="E17" s="56" t="s">
        <v>120</v>
      </c>
      <c r="F17" s="61" t="s">
        <v>56</v>
      </c>
      <c r="G17" s="61">
        <v>3</v>
      </c>
      <c r="H17" s="62">
        <v>120000</v>
      </c>
      <c r="I17" s="61">
        <f t="shared" si="3"/>
        <v>360000</v>
      </c>
      <c r="J17" s="110"/>
      <c r="K17" s="62"/>
      <c r="L17" s="2"/>
      <c r="M17" s="2"/>
      <c r="N17" s="54"/>
      <c r="O17" s="54"/>
      <c r="P17" s="54"/>
      <c r="Q17" s="54"/>
      <c r="R17" s="54"/>
      <c r="S17" s="2" t="s">
        <v>149</v>
      </c>
      <c r="T17" s="108"/>
    </row>
    <row r="18" spans="1:20" s="1" customFormat="1" ht="27" hidden="1" customHeight="1">
      <c r="A18" s="10">
        <v>40675</v>
      </c>
      <c r="B18" s="69" t="s">
        <v>34</v>
      </c>
      <c r="C18" s="2" t="s">
        <v>76</v>
      </c>
      <c r="D18" s="68" t="s">
        <v>135</v>
      </c>
      <c r="E18" s="56" t="s">
        <v>120</v>
      </c>
      <c r="F18" s="61" t="s">
        <v>136</v>
      </c>
      <c r="G18" s="61">
        <v>3</v>
      </c>
      <c r="H18" s="62">
        <v>100000</v>
      </c>
      <c r="I18" s="61">
        <f t="shared" si="3"/>
        <v>300000</v>
      </c>
      <c r="J18" s="110"/>
      <c r="K18" s="62"/>
      <c r="L18" s="2"/>
      <c r="M18" s="2"/>
      <c r="N18" s="54"/>
      <c r="O18" s="54"/>
      <c r="P18" s="54"/>
      <c r="Q18" s="54"/>
      <c r="R18" s="54"/>
      <c r="S18" s="2" t="s">
        <v>149</v>
      </c>
      <c r="T18" s="108"/>
    </row>
    <row r="19" spans="1:20" s="1" customFormat="1" ht="27" hidden="1" customHeight="1">
      <c r="A19" s="10">
        <v>40675</v>
      </c>
      <c r="B19" s="69" t="s">
        <v>34</v>
      </c>
      <c r="C19" s="2" t="s">
        <v>76</v>
      </c>
      <c r="D19" s="68" t="s">
        <v>137</v>
      </c>
      <c r="E19" s="56" t="s">
        <v>120</v>
      </c>
      <c r="F19" s="61" t="s">
        <v>56</v>
      </c>
      <c r="G19" s="61">
        <v>3</v>
      </c>
      <c r="H19" s="62">
        <v>150000</v>
      </c>
      <c r="I19" s="61">
        <f t="shared" si="3"/>
        <v>450000</v>
      </c>
      <c r="J19" s="110"/>
      <c r="K19" s="62"/>
      <c r="L19" s="2"/>
      <c r="M19" s="2"/>
      <c r="N19" s="54"/>
      <c r="O19" s="54"/>
      <c r="P19" s="54"/>
      <c r="Q19" s="54"/>
      <c r="R19" s="54"/>
      <c r="S19" s="2" t="s">
        <v>149</v>
      </c>
      <c r="T19" s="108"/>
    </row>
    <row r="20" spans="1:20" s="1" customFormat="1" ht="27" hidden="1" customHeight="1">
      <c r="A20" s="10">
        <v>40675</v>
      </c>
      <c r="B20" s="69" t="s">
        <v>34</v>
      </c>
      <c r="C20" s="2" t="s">
        <v>76</v>
      </c>
      <c r="D20" s="68" t="s">
        <v>138</v>
      </c>
      <c r="E20" s="56"/>
      <c r="F20" s="61" t="s">
        <v>56</v>
      </c>
      <c r="G20" s="61">
        <v>3</v>
      </c>
      <c r="H20" s="62">
        <v>160000</v>
      </c>
      <c r="I20" s="61">
        <f t="shared" si="3"/>
        <v>480000</v>
      </c>
      <c r="J20" s="110"/>
      <c r="K20" s="62"/>
      <c r="L20" s="2"/>
      <c r="M20" s="2"/>
      <c r="N20" s="54"/>
      <c r="O20" s="54"/>
      <c r="P20" s="54"/>
      <c r="Q20" s="54"/>
      <c r="R20" s="54"/>
      <c r="S20" s="2" t="s">
        <v>149</v>
      </c>
      <c r="T20" s="108"/>
    </row>
    <row r="21" spans="1:20" s="1" customFormat="1" ht="27" hidden="1" customHeight="1">
      <c r="A21" s="10">
        <v>40675</v>
      </c>
      <c r="B21" s="69" t="s">
        <v>34</v>
      </c>
      <c r="C21" s="2" t="s">
        <v>76</v>
      </c>
      <c r="D21" s="68" t="s">
        <v>139</v>
      </c>
      <c r="E21" s="56"/>
      <c r="F21" s="61" t="s">
        <v>140</v>
      </c>
      <c r="G21" s="61">
        <v>1</v>
      </c>
      <c r="H21" s="62">
        <v>200000</v>
      </c>
      <c r="I21" s="61">
        <f t="shared" si="3"/>
        <v>200000</v>
      </c>
      <c r="J21" s="110"/>
      <c r="K21" s="62"/>
      <c r="L21" s="2"/>
      <c r="M21" s="2"/>
      <c r="N21" s="54"/>
      <c r="O21" s="54"/>
      <c r="P21" s="54"/>
      <c r="Q21" s="54"/>
      <c r="R21" s="54"/>
      <c r="S21" s="2" t="s">
        <v>149</v>
      </c>
      <c r="T21" s="108"/>
    </row>
    <row r="22" spans="1:20" s="1" customFormat="1" ht="27" hidden="1" customHeight="1">
      <c r="A22" s="10">
        <v>40675</v>
      </c>
      <c r="B22" s="69" t="s">
        <v>34</v>
      </c>
      <c r="C22" s="2" t="s">
        <v>76</v>
      </c>
      <c r="D22" s="68" t="s">
        <v>141</v>
      </c>
      <c r="E22" s="56"/>
      <c r="F22" s="61" t="s">
        <v>56</v>
      </c>
      <c r="G22" s="61">
        <v>1000</v>
      </c>
      <c r="H22" s="62">
        <v>500</v>
      </c>
      <c r="I22" s="61">
        <f t="shared" si="3"/>
        <v>500000</v>
      </c>
      <c r="J22" s="110"/>
      <c r="K22" s="62"/>
      <c r="L22" s="2"/>
      <c r="M22" s="2"/>
      <c r="N22" s="54"/>
      <c r="O22" s="54"/>
      <c r="P22" s="54"/>
      <c r="Q22" s="54"/>
      <c r="R22" s="54"/>
      <c r="S22" s="2" t="s">
        <v>149</v>
      </c>
      <c r="T22" s="108"/>
    </row>
    <row r="23" spans="1:20" s="1" customFormat="1" ht="27" hidden="1" customHeight="1">
      <c r="A23" s="10">
        <v>40675</v>
      </c>
      <c r="B23" s="69" t="s">
        <v>34</v>
      </c>
      <c r="C23" s="2" t="s">
        <v>76</v>
      </c>
      <c r="D23" s="68" t="s">
        <v>142</v>
      </c>
      <c r="E23" s="56" t="s">
        <v>121</v>
      </c>
      <c r="F23" s="61" t="s">
        <v>32</v>
      </c>
      <c r="G23" s="61">
        <v>6</v>
      </c>
      <c r="H23" s="62">
        <v>150000</v>
      </c>
      <c r="I23" s="61">
        <f t="shared" si="3"/>
        <v>900000</v>
      </c>
      <c r="J23" s="110"/>
      <c r="K23" s="62"/>
      <c r="L23" s="2"/>
      <c r="M23" s="2"/>
      <c r="N23" s="54"/>
      <c r="O23" s="54"/>
      <c r="P23" s="54"/>
      <c r="Q23" s="54"/>
      <c r="R23" s="54"/>
      <c r="S23" s="2" t="s">
        <v>149</v>
      </c>
      <c r="T23" s="108"/>
    </row>
    <row r="24" spans="1:20" s="1" customFormat="1" ht="27" hidden="1" customHeight="1">
      <c r="A24" s="10">
        <v>40675</v>
      </c>
      <c r="B24" s="69" t="s">
        <v>34</v>
      </c>
      <c r="C24" s="2" t="s">
        <v>76</v>
      </c>
      <c r="D24" s="68" t="s">
        <v>143</v>
      </c>
      <c r="E24" s="56" t="s">
        <v>122</v>
      </c>
      <c r="F24" s="61" t="s">
        <v>32</v>
      </c>
      <c r="G24" s="61">
        <v>3</v>
      </c>
      <c r="H24" s="62">
        <v>200000</v>
      </c>
      <c r="I24" s="61">
        <f t="shared" si="3"/>
        <v>600000</v>
      </c>
      <c r="J24" s="110"/>
      <c r="K24" s="62"/>
      <c r="L24" s="2"/>
      <c r="M24" s="2"/>
      <c r="N24" s="54"/>
      <c r="O24" s="54"/>
      <c r="P24" s="54"/>
      <c r="Q24" s="54"/>
      <c r="R24" s="54"/>
      <c r="S24" s="2" t="s">
        <v>149</v>
      </c>
      <c r="T24" s="108"/>
    </row>
    <row r="25" spans="1:20" s="1" customFormat="1" ht="27" hidden="1" customHeight="1">
      <c r="A25" s="10">
        <v>40675</v>
      </c>
      <c r="B25" s="69" t="s">
        <v>34</v>
      </c>
      <c r="C25" s="2" t="s">
        <v>76</v>
      </c>
      <c r="D25" s="68" t="s">
        <v>144</v>
      </c>
      <c r="E25" s="56" t="s">
        <v>123</v>
      </c>
      <c r="F25" s="61" t="s">
        <v>136</v>
      </c>
      <c r="G25" s="61">
        <v>100</v>
      </c>
      <c r="H25" s="62">
        <v>100</v>
      </c>
      <c r="I25" s="61">
        <f t="shared" si="3"/>
        <v>10000</v>
      </c>
      <c r="J25" s="110"/>
      <c r="K25" s="62"/>
      <c r="L25" s="2"/>
      <c r="M25" s="2"/>
      <c r="N25" s="54"/>
      <c r="O25" s="54"/>
      <c r="P25" s="54"/>
      <c r="Q25" s="54"/>
      <c r="R25" s="54"/>
      <c r="S25" s="2" t="s">
        <v>149</v>
      </c>
      <c r="T25" s="108"/>
    </row>
    <row r="26" spans="1:20" s="1" customFormat="1" ht="27" hidden="1" customHeight="1">
      <c r="A26" s="10">
        <v>40675</v>
      </c>
      <c r="B26" s="69" t="s">
        <v>34</v>
      </c>
      <c r="C26" s="2" t="s">
        <v>76</v>
      </c>
      <c r="D26" s="68" t="s">
        <v>145</v>
      </c>
      <c r="E26" s="56" t="s">
        <v>123</v>
      </c>
      <c r="F26" s="61" t="s">
        <v>136</v>
      </c>
      <c r="G26" s="61">
        <v>20000</v>
      </c>
      <c r="H26" s="62">
        <v>100</v>
      </c>
      <c r="I26" s="61">
        <f t="shared" si="3"/>
        <v>2000000</v>
      </c>
      <c r="J26" s="110"/>
      <c r="K26" s="62"/>
      <c r="L26" s="2"/>
      <c r="M26" s="2"/>
      <c r="N26" s="54"/>
      <c r="O26" s="54"/>
      <c r="P26" s="54"/>
      <c r="Q26" s="54"/>
      <c r="R26" s="54"/>
      <c r="S26" s="2" t="s">
        <v>149</v>
      </c>
      <c r="T26" s="108"/>
    </row>
    <row r="27" spans="1:20" s="1" customFormat="1" ht="27" hidden="1" customHeight="1">
      <c r="A27" s="10">
        <v>40675</v>
      </c>
      <c r="B27" s="69" t="s">
        <v>34</v>
      </c>
      <c r="C27" s="2" t="s">
        <v>76</v>
      </c>
      <c r="D27" s="68" t="s">
        <v>146</v>
      </c>
      <c r="E27" s="56" t="s">
        <v>127</v>
      </c>
      <c r="F27" s="61" t="s">
        <v>32</v>
      </c>
      <c r="G27" s="61">
        <v>3</v>
      </c>
      <c r="H27" s="62">
        <v>31000</v>
      </c>
      <c r="I27" s="61">
        <f t="shared" si="3"/>
        <v>93000</v>
      </c>
      <c r="J27" s="110"/>
      <c r="K27" s="61">
        <v>28500</v>
      </c>
      <c r="L27" s="2">
        <f>K27*G27</f>
        <v>85500</v>
      </c>
      <c r="M27" s="2">
        <f>I27-L27</f>
        <v>7500</v>
      </c>
      <c r="N27" s="54"/>
      <c r="O27" s="54"/>
      <c r="P27" s="54"/>
      <c r="Q27" s="54"/>
      <c r="R27" s="54"/>
      <c r="S27" s="54" t="s">
        <v>150</v>
      </c>
      <c r="T27" s="108"/>
    </row>
    <row r="28" spans="1:20" s="1" customFormat="1" ht="27" hidden="1" customHeight="1">
      <c r="A28" s="10">
        <v>40675</v>
      </c>
      <c r="B28" s="69" t="s">
        <v>34</v>
      </c>
      <c r="C28" s="2" t="s">
        <v>76</v>
      </c>
      <c r="D28" s="68" t="s">
        <v>124</v>
      </c>
      <c r="E28" s="56" t="s">
        <v>127</v>
      </c>
      <c r="F28" s="61" t="s">
        <v>32</v>
      </c>
      <c r="G28" s="61">
        <v>3</v>
      </c>
      <c r="H28" s="62">
        <v>31000</v>
      </c>
      <c r="I28" s="61">
        <f t="shared" si="3"/>
        <v>93000</v>
      </c>
      <c r="J28" s="110"/>
      <c r="K28" s="61">
        <v>28500</v>
      </c>
      <c r="L28" s="2">
        <f t="shared" ref="L28:L29" si="4">K28*G28</f>
        <v>85500</v>
      </c>
      <c r="M28" s="2">
        <f t="shared" ref="M28:M31" si="5">I28-L28</f>
        <v>7500</v>
      </c>
      <c r="N28" s="54"/>
      <c r="O28" s="54"/>
      <c r="P28" s="54"/>
      <c r="Q28" s="54"/>
      <c r="R28" s="54"/>
      <c r="S28" s="54" t="s">
        <v>150</v>
      </c>
      <c r="T28" s="108"/>
    </row>
    <row r="29" spans="1:20" s="1" customFormat="1" ht="27" hidden="1" customHeight="1">
      <c r="A29" s="10">
        <v>40675</v>
      </c>
      <c r="B29" s="69" t="s">
        <v>34</v>
      </c>
      <c r="C29" s="2" t="s">
        <v>76</v>
      </c>
      <c r="D29" s="68" t="s">
        <v>125</v>
      </c>
      <c r="E29" s="56" t="s">
        <v>127</v>
      </c>
      <c r="F29" s="61" t="s">
        <v>32</v>
      </c>
      <c r="G29" s="61">
        <v>6</v>
      </c>
      <c r="H29" s="62">
        <v>31000</v>
      </c>
      <c r="I29" s="61">
        <f t="shared" si="3"/>
        <v>186000</v>
      </c>
      <c r="J29" s="110"/>
      <c r="K29" s="61">
        <v>28500</v>
      </c>
      <c r="L29" s="2">
        <f t="shared" si="4"/>
        <v>171000</v>
      </c>
      <c r="M29" s="2">
        <f t="shared" si="5"/>
        <v>15000</v>
      </c>
      <c r="N29" s="54"/>
      <c r="O29" s="54"/>
      <c r="P29" s="54"/>
      <c r="Q29" s="54"/>
      <c r="R29" s="54"/>
      <c r="S29" s="54" t="s">
        <v>150</v>
      </c>
      <c r="T29" s="108"/>
    </row>
    <row r="30" spans="1:20" s="1" customFormat="1" ht="27" hidden="1" customHeight="1">
      <c r="A30" s="10">
        <v>40675</v>
      </c>
      <c r="B30" s="69" t="s">
        <v>34</v>
      </c>
      <c r="C30" s="2" t="s">
        <v>76</v>
      </c>
      <c r="D30" s="68" t="s">
        <v>126</v>
      </c>
      <c r="E30" s="56" t="s">
        <v>128</v>
      </c>
      <c r="F30" s="61" t="s">
        <v>32</v>
      </c>
      <c r="G30" s="61">
        <v>3</v>
      </c>
      <c r="H30" s="62">
        <v>54000</v>
      </c>
      <c r="I30" s="61">
        <f t="shared" si="3"/>
        <v>162000</v>
      </c>
      <c r="J30" s="110"/>
      <c r="K30" s="61">
        <v>47500</v>
      </c>
      <c r="L30" s="2">
        <f>K30*G30</f>
        <v>142500</v>
      </c>
      <c r="M30" s="2">
        <f t="shared" si="5"/>
        <v>19500</v>
      </c>
      <c r="N30" s="54"/>
      <c r="O30" s="54"/>
      <c r="P30" s="54"/>
      <c r="Q30" s="54"/>
      <c r="R30" s="54"/>
      <c r="S30" s="54" t="s">
        <v>150</v>
      </c>
      <c r="T30" s="108"/>
    </row>
    <row r="31" spans="1:20" s="1" customFormat="1" ht="27" hidden="1" customHeight="1">
      <c r="A31" s="10">
        <v>40675</v>
      </c>
      <c r="B31" s="69" t="s">
        <v>34</v>
      </c>
      <c r="C31" s="2" t="s">
        <v>76</v>
      </c>
      <c r="D31" s="68" t="s">
        <v>129</v>
      </c>
      <c r="E31" s="56" t="s">
        <v>130</v>
      </c>
      <c r="F31" s="61" t="s">
        <v>32</v>
      </c>
      <c r="G31" s="61">
        <v>6</v>
      </c>
      <c r="H31" s="62">
        <v>28000</v>
      </c>
      <c r="I31" s="61">
        <f t="shared" si="3"/>
        <v>168000</v>
      </c>
      <c r="J31" s="110"/>
      <c r="K31" s="61">
        <v>9500</v>
      </c>
      <c r="L31" s="2">
        <f>K31*G31</f>
        <v>57000</v>
      </c>
      <c r="M31" s="2">
        <f t="shared" si="5"/>
        <v>111000</v>
      </c>
      <c r="N31" s="54"/>
      <c r="O31" s="54"/>
      <c r="P31" s="54"/>
      <c r="Q31" s="54"/>
      <c r="R31" s="54"/>
      <c r="S31" s="54" t="s">
        <v>151</v>
      </c>
      <c r="T31" s="108"/>
    </row>
    <row r="32" spans="1:20" s="1" customFormat="1" ht="27" hidden="1" customHeight="1">
      <c r="A32" s="10">
        <v>40675</v>
      </c>
      <c r="B32" s="69" t="s">
        <v>34</v>
      </c>
      <c r="C32" s="2" t="s">
        <v>76</v>
      </c>
      <c r="D32" s="68" t="s">
        <v>147</v>
      </c>
      <c r="E32" s="56"/>
      <c r="F32" s="61" t="s">
        <v>148</v>
      </c>
      <c r="G32" s="61">
        <v>1</v>
      </c>
      <c r="H32" s="62">
        <f>SUM(I14:I31)*0.08</f>
        <v>599360</v>
      </c>
      <c r="I32" s="61">
        <f>H32*G32</f>
        <v>599360</v>
      </c>
      <c r="J32" s="95"/>
      <c r="K32" s="61"/>
      <c r="L32" s="2"/>
      <c r="M32" s="2"/>
      <c r="N32" s="54"/>
      <c r="O32" s="54"/>
      <c r="P32" s="54"/>
      <c r="Q32" s="54"/>
      <c r="R32" s="54"/>
      <c r="S32" s="54"/>
      <c r="T32" s="109"/>
    </row>
    <row r="33" spans="1:20" ht="27" customHeight="1">
      <c r="A33" s="10">
        <v>40739</v>
      </c>
      <c r="B33" s="69" t="s">
        <v>109</v>
      </c>
      <c r="C33" s="2" t="s">
        <v>77</v>
      </c>
      <c r="D33" s="2" t="s">
        <v>38</v>
      </c>
      <c r="E33" s="56"/>
      <c r="F33" s="61" t="s">
        <v>102</v>
      </c>
      <c r="G33" s="61">
        <v>3</v>
      </c>
      <c r="H33" s="62">
        <v>35230</v>
      </c>
      <c r="I33" s="61">
        <f t="shared" si="0"/>
        <v>105690</v>
      </c>
      <c r="J33" s="94">
        <f>I33+I34</f>
        <v>213950</v>
      </c>
      <c r="K33" s="61">
        <v>35230</v>
      </c>
      <c r="L33" s="2">
        <f t="shared" si="1"/>
        <v>105690</v>
      </c>
      <c r="M33" s="2">
        <f t="shared" si="2"/>
        <v>0</v>
      </c>
      <c r="N33" s="10">
        <v>40764</v>
      </c>
      <c r="O33" s="11" t="s">
        <v>111</v>
      </c>
      <c r="P33" s="54">
        <f>115150+98800</f>
        <v>213950</v>
      </c>
      <c r="Q33" s="84">
        <v>40793</v>
      </c>
      <c r="R33" s="54">
        <v>213950</v>
      </c>
      <c r="S33" s="54" t="s">
        <v>156</v>
      </c>
      <c r="T33" s="94" t="s">
        <v>110</v>
      </c>
    </row>
    <row r="34" spans="1:20" ht="27" customHeight="1">
      <c r="A34" s="10">
        <v>40739</v>
      </c>
      <c r="B34" s="69" t="s">
        <v>109</v>
      </c>
      <c r="C34" s="2" t="s">
        <v>77</v>
      </c>
      <c r="D34" s="2" t="s">
        <v>38</v>
      </c>
      <c r="E34" s="56"/>
      <c r="F34" s="61" t="s">
        <v>102</v>
      </c>
      <c r="G34" s="61">
        <v>2</v>
      </c>
      <c r="H34" s="62">
        <v>54130</v>
      </c>
      <c r="I34" s="61">
        <f t="shared" si="0"/>
        <v>108260</v>
      </c>
      <c r="J34" s="95"/>
      <c r="K34" s="61">
        <v>54130</v>
      </c>
      <c r="L34" s="2">
        <f t="shared" si="1"/>
        <v>108260</v>
      </c>
      <c r="M34" s="2">
        <f t="shared" si="2"/>
        <v>0</v>
      </c>
      <c r="N34" s="10">
        <v>40764</v>
      </c>
      <c r="O34" s="11" t="s">
        <v>111</v>
      </c>
      <c r="P34" s="71">
        <v>0</v>
      </c>
      <c r="Q34" s="84">
        <v>40793</v>
      </c>
      <c r="R34" s="54">
        <v>0</v>
      </c>
      <c r="S34" s="54" t="s">
        <v>156</v>
      </c>
      <c r="T34" s="95"/>
    </row>
    <row r="35" spans="1:20" s="1" customFormat="1" ht="27" customHeight="1">
      <c r="A35" s="10">
        <v>40750</v>
      </c>
      <c r="B35" s="69" t="s">
        <v>109</v>
      </c>
      <c r="C35" s="2" t="s">
        <v>77</v>
      </c>
      <c r="D35" s="2" t="s">
        <v>38</v>
      </c>
      <c r="E35" s="56" t="s">
        <v>104</v>
      </c>
      <c r="F35" s="61" t="s">
        <v>40</v>
      </c>
      <c r="G35" s="61">
        <v>2</v>
      </c>
      <c r="H35" s="62">
        <v>116600</v>
      </c>
      <c r="I35" s="61">
        <f t="shared" si="0"/>
        <v>233200</v>
      </c>
      <c r="J35" s="96">
        <f>SUM(I35:I38)</f>
        <v>707450</v>
      </c>
      <c r="K35" s="61">
        <v>116600</v>
      </c>
      <c r="L35" s="2">
        <f t="shared" si="1"/>
        <v>233200</v>
      </c>
      <c r="M35" s="2">
        <f t="shared" si="2"/>
        <v>0</v>
      </c>
      <c r="N35" s="10">
        <v>40767</v>
      </c>
      <c r="O35" s="11" t="s">
        <v>116</v>
      </c>
      <c r="P35" s="54">
        <f>112850+108800+97600+115200+104450+52500+116050</f>
        <v>707450</v>
      </c>
      <c r="Q35" s="84">
        <v>40793</v>
      </c>
      <c r="R35" s="54">
        <v>707450</v>
      </c>
      <c r="S35" s="54" t="s">
        <v>156</v>
      </c>
      <c r="T35" s="101" t="s">
        <v>114</v>
      </c>
    </row>
    <row r="36" spans="1:20" s="1" customFormat="1" ht="27" customHeight="1">
      <c r="A36" s="10">
        <v>40750</v>
      </c>
      <c r="B36" s="69" t="s">
        <v>109</v>
      </c>
      <c r="C36" s="2" t="s">
        <v>77</v>
      </c>
      <c r="D36" s="2" t="s">
        <v>38</v>
      </c>
      <c r="E36" s="56" t="s">
        <v>105</v>
      </c>
      <c r="F36" s="61" t="s">
        <v>40</v>
      </c>
      <c r="G36" s="61">
        <v>2</v>
      </c>
      <c r="H36" s="62">
        <v>38450</v>
      </c>
      <c r="I36" s="61">
        <f t="shared" si="0"/>
        <v>76900</v>
      </c>
      <c r="J36" s="96"/>
      <c r="K36" s="61">
        <v>38450</v>
      </c>
      <c r="L36" s="2">
        <f t="shared" si="1"/>
        <v>76900</v>
      </c>
      <c r="M36" s="2">
        <f t="shared" si="2"/>
        <v>0</v>
      </c>
      <c r="N36" s="10">
        <v>40767</v>
      </c>
      <c r="O36" s="11" t="s">
        <v>116</v>
      </c>
      <c r="P36" s="54">
        <v>0</v>
      </c>
      <c r="Q36" s="84">
        <v>40793</v>
      </c>
      <c r="R36" s="54">
        <v>0</v>
      </c>
      <c r="S36" s="54" t="s">
        <v>156</v>
      </c>
      <c r="T36" s="102"/>
    </row>
    <row r="37" spans="1:20" s="1" customFormat="1" ht="27" customHeight="1">
      <c r="A37" s="10">
        <v>40750</v>
      </c>
      <c r="B37" s="69" t="s">
        <v>109</v>
      </c>
      <c r="C37" s="2" t="s">
        <v>77</v>
      </c>
      <c r="D37" s="2" t="s">
        <v>106</v>
      </c>
      <c r="E37" s="56"/>
      <c r="F37" s="61" t="s">
        <v>40</v>
      </c>
      <c r="G37" s="61">
        <v>1</v>
      </c>
      <c r="H37" s="62">
        <v>331900</v>
      </c>
      <c r="I37" s="61">
        <f t="shared" si="0"/>
        <v>331900</v>
      </c>
      <c r="J37" s="96"/>
      <c r="K37" s="61">
        <v>331900</v>
      </c>
      <c r="L37" s="2">
        <f t="shared" si="1"/>
        <v>331900</v>
      </c>
      <c r="M37" s="2">
        <f t="shared" si="2"/>
        <v>0</v>
      </c>
      <c r="N37" s="10">
        <v>40767</v>
      </c>
      <c r="O37" s="11" t="s">
        <v>116</v>
      </c>
      <c r="P37" s="54">
        <v>0</v>
      </c>
      <c r="Q37" s="84">
        <v>40793</v>
      </c>
      <c r="R37" s="54">
        <v>0</v>
      </c>
      <c r="S37" s="54" t="s">
        <v>156</v>
      </c>
      <c r="T37" s="102"/>
    </row>
    <row r="38" spans="1:20" s="1" customFormat="1" ht="27" customHeight="1">
      <c r="A38" s="10">
        <v>40750</v>
      </c>
      <c r="B38" s="69" t="s">
        <v>109</v>
      </c>
      <c r="C38" s="2" t="s">
        <v>77</v>
      </c>
      <c r="D38" s="2" t="s">
        <v>107</v>
      </c>
      <c r="E38" s="56"/>
      <c r="F38" s="61" t="s">
        <v>40</v>
      </c>
      <c r="G38" s="61">
        <v>1</v>
      </c>
      <c r="H38" s="62">
        <v>65450</v>
      </c>
      <c r="I38" s="61">
        <f t="shared" si="0"/>
        <v>65450</v>
      </c>
      <c r="J38" s="96"/>
      <c r="K38" s="61">
        <v>65450</v>
      </c>
      <c r="L38" s="2">
        <f t="shared" si="1"/>
        <v>65450</v>
      </c>
      <c r="M38" s="2">
        <f t="shared" si="2"/>
        <v>0</v>
      </c>
      <c r="N38" s="10">
        <v>40767</v>
      </c>
      <c r="O38" s="11" t="s">
        <v>116</v>
      </c>
      <c r="P38" s="54">
        <v>0</v>
      </c>
      <c r="Q38" s="84">
        <v>40793</v>
      </c>
      <c r="R38" s="54">
        <v>0</v>
      </c>
      <c r="S38" s="54" t="s">
        <v>156</v>
      </c>
      <c r="T38" s="103"/>
    </row>
    <row r="39" spans="1:20" s="1" customFormat="1" ht="27" customHeight="1">
      <c r="A39" s="10">
        <v>40764</v>
      </c>
      <c r="B39" s="69" t="s">
        <v>109</v>
      </c>
      <c r="C39" s="2" t="s">
        <v>77</v>
      </c>
      <c r="D39" s="2" t="s">
        <v>113</v>
      </c>
      <c r="E39" s="56" t="s">
        <v>112</v>
      </c>
      <c r="F39" s="61" t="s">
        <v>40</v>
      </c>
      <c r="G39" s="61">
        <v>1</v>
      </c>
      <c r="H39" s="62">
        <v>38450</v>
      </c>
      <c r="I39" s="61">
        <f t="shared" si="0"/>
        <v>38450</v>
      </c>
      <c r="J39" s="96">
        <f>I39+I40+I41</f>
        <v>338150</v>
      </c>
      <c r="K39" s="61">
        <v>38450</v>
      </c>
      <c r="L39" s="2">
        <f t="shared" ref="L39:L41" si="6">K39*G39</f>
        <v>38450</v>
      </c>
      <c r="M39" s="2">
        <f t="shared" ref="M39:M41" si="7">I39-L39</f>
        <v>0</v>
      </c>
      <c r="N39" s="10">
        <v>40795</v>
      </c>
      <c r="O39" s="11" t="s">
        <v>171</v>
      </c>
      <c r="P39" s="54">
        <v>338150</v>
      </c>
      <c r="Q39" s="84">
        <v>40814</v>
      </c>
      <c r="R39" s="54">
        <v>338150</v>
      </c>
      <c r="S39" s="54" t="s">
        <v>156</v>
      </c>
      <c r="T39" s="93" t="s">
        <v>115</v>
      </c>
    </row>
    <row r="40" spans="1:20" s="1" customFormat="1" ht="27" customHeight="1">
      <c r="A40" s="10">
        <v>40764</v>
      </c>
      <c r="B40" s="69" t="s">
        <v>109</v>
      </c>
      <c r="C40" s="2" t="s">
        <v>77</v>
      </c>
      <c r="D40" s="2" t="s">
        <v>106</v>
      </c>
      <c r="E40" s="76" t="s">
        <v>117</v>
      </c>
      <c r="F40" s="61" t="s">
        <v>40</v>
      </c>
      <c r="G40" s="61">
        <v>1</v>
      </c>
      <c r="H40" s="62">
        <v>260200</v>
      </c>
      <c r="I40" s="61">
        <f t="shared" si="0"/>
        <v>260200</v>
      </c>
      <c r="J40" s="96"/>
      <c r="K40" s="61">
        <v>260200</v>
      </c>
      <c r="L40" s="2">
        <f t="shared" si="6"/>
        <v>260200</v>
      </c>
      <c r="M40" s="2">
        <f t="shared" si="7"/>
        <v>0</v>
      </c>
      <c r="N40" s="10">
        <v>40795</v>
      </c>
      <c r="O40" s="11" t="s">
        <v>171</v>
      </c>
      <c r="P40" s="54">
        <v>0</v>
      </c>
      <c r="Q40" s="84">
        <v>40814</v>
      </c>
      <c r="R40" s="54">
        <v>0</v>
      </c>
      <c r="S40" s="54" t="s">
        <v>156</v>
      </c>
      <c r="T40" s="93"/>
    </row>
    <row r="41" spans="1:20" s="1" customFormat="1" ht="27" customHeight="1">
      <c r="A41" s="10">
        <v>40764</v>
      </c>
      <c r="B41" s="69" t="s">
        <v>109</v>
      </c>
      <c r="C41" s="2" t="s">
        <v>77</v>
      </c>
      <c r="D41" s="2" t="s">
        <v>107</v>
      </c>
      <c r="E41" s="56" t="s">
        <v>118</v>
      </c>
      <c r="F41" s="61" t="s">
        <v>40</v>
      </c>
      <c r="G41" s="61">
        <v>1</v>
      </c>
      <c r="H41" s="62">
        <v>39500</v>
      </c>
      <c r="I41" s="61">
        <f t="shared" si="0"/>
        <v>39500</v>
      </c>
      <c r="J41" s="96"/>
      <c r="K41" s="61">
        <v>39500</v>
      </c>
      <c r="L41" s="2">
        <f t="shared" si="6"/>
        <v>39500</v>
      </c>
      <c r="M41" s="2">
        <f t="shared" si="7"/>
        <v>0</v>
      </c>
      <c r="N41" s="10">
        <v>40795</v>
      </c>
      <c r="O41" s="11" t="s">
        <v>171</v>
      </c>
      <c r="P41" s="54">
        <v>0</v>
      </c>
      <c r="Q41" s="84">
        <v>40814</v>
      </c>
      <c r="R41" s="54">
        <v>0</v>
      </c>
      <c r="S41" s="54" t="s">
        <v>156</v>
      </c>
      <c r="T41" s="93"/>
    </row>
    <row r="42" spans="1:20" s="1" customFormat="1" ht="27" hidden="1" customHeight="1">
      <c r="A42" s="10">
        <v>40770</v>
      </c>
      <c r="B42" s="69" t="s">
        <v>34</v>
      </c>
      <c r="C42" s="2" t="s">
        <v>76</v>
      </c>
      <c r="D42" s="2" t="s">
        <v>142</v>
      </c>
      <c r="E42" s="56" t="s">
        <v>153</v>
      </c>
      <c r="F42" s="61" t="s">
        <v>32</v>
      </c>
      <c r="G42" s="61">
        <v>6</v>
      </c>
      <c r="H42" s="62">
        <v>150000</v>
      </c>
      <c r="I42" s="61">
        <f t="shared" si="0"/>
        <v>900000</v>
      </c>
      <c r="J42" s="94">
        <v>1086000</v>
      </c>
      <c r="K42" s="61"/>
      <c r="L42" s="2"/>
      <c r="M42" s="2"/>
      <c r="N42" s="84">
        <v>40787</v>
      </c>
      <c r="O42" s="54" t="s">
        <v>170</v>
      </c>
      <c r="P42" s="54">
        <v>434400</v>
      </c>
      <c r="Q42" s="84">
        <v>40806</v>
      </c>
      <c r="R42" s="54">
        <v>434400</v>
      </c>
      <c r="S42" s="54" t="s">
        <v>157</v>
      </c>
      <c r="T42" s="93" t="s">
        <v>155</v>
      </c>
    </row>
    <row r="43" spans="1:20" s="1" customFormat="1" ht="27" hidden="1" customHeight="1">
      <c r="A43" s="10">
        <v>40770</v>
      </c>
      <c r="B43" s="69" t="s">
        <v>34</v>
      </c>
      <c r="C43" s="2" t="s">
        <v>76</v>
      </c>
      <c r="D43" s="2" t="s">
        <v>152</v>
      </c>
      <c r="E43" s="56" t="s">
        <v>154</v>
      </c>
      <c r="F43" s="61" t="s">
        <v>32</v>
      </c>
      <c r="G43" s="61">
        <v>6</v>
      </c>
      <c r="H43" s="62">
        <v>31000</v>
      </c>
      <c r="I43" s="61">
        <f t="shared" si="0"/>
        <v>186000</v>
      </c>
      <c r="J43" s="95"/>
      <c r="K43" s="61">
        <v>28500</v>
      </c>
      <c r="L43" s="2">
        <f>K43*G43</f>
        <v>171000</v>
      </c>
      <c r="M43" s="2">
        <f t="shared" ref="M43" si="8">I43-L43</f>
        <v>15000</v>
      </c>
      <c r="N43" s="84"/>
      <c r="O43" s="54"/>
      <c r="P43" s="54"/>
      <c r="Q43" s="54"/>
      <c r="R43" s="54"/>
      <c r="S43" s="54" t="s">
        <v>158</v>
      </c>
      <c r="T43" s="93"/>
    </row>
    <row r="44" spans="1:20" s="1" customFormat="1" ht="27" customHeight="1">
      <c r="A44" s="10">
        <v>40792</v>
      </c>
      <c r="B44" s="69" t="s">
        <v>160</v>
      </c>
      <c r="C44" s="2" t="s">
        <v>77</v>
      </c>
      <c r="D44" s="2" t="s">
        <v>38</v>
      </c>
      <c r="E44" s="56" t="s">
        <v>161</v>
      </c>
      <c r="F44" s="61" t="s">
        <v>148</v>
      </c>
      <c r="G44" s="61">
        <v>1</v>
      </c>
      <c r="H44" s="62">
        <v>7205083</v>
      </c>
      <c r="I44" s="61">
        <f t="shared" si="0"/>
        <v>7205083</v>
      </c>
      <c r="J44" s="78">
        <f>H44*G44</f>
        <v>7205083</v>
      </c>
      <c r="K44" s="62">
        <v>6833032</v>
      </c>
      <c r="L44" s="2">
        <f>K44*G44</f>
        <v>6833032</v>
      </c>
      <c r="M44" s="2">
        <f>J44-L44</f>
        <v>372051</v>
      </c>
      <c r="N44" s="54"/>
      <c r="O44" s="54"/>
      <c r="P44" s="54"/>
      <c r="Q44" s="84">
        <v>40806</v>
      </c>
      <c r="R44" s="54">
        <v>2160000</v>
      </c>
      <c r="S44" s="54" t="s">
        <v>162</v>
      </c>
      <c r="T44" s="79" t="s">
        <v>163</v>
      </c>
    </row>
    <row r="45" spans="1:20" s="1" customFormat="1" ht="27" customHeight="1">
      <c r="A45" s="10">
        <v>40814</v>
      </c>
      <c r="B45" s="69" t="s">
        <v>173</v>
      </c>
      <c r="C45" s="2" t="s">
        <v>167</v>
      </c>
      <c r="D45" s="2" t="s">
        <v>168</v>
      </c>
      <c r="E45" s="56"/>
      <c r="F45" s="61" t="s">
        <v>169</v>
      </c>
      <c r="G45" s="61">
        <v>1</v>
      </c>
      <c r="H45" s="62">
        <v>2620000</v>
      </c>
      <c r="I45" s="61">
        <f t="shared" si="0"/>
        <v>2620000</v>
      </c>
      <c r="J45" s="85">
        <f>H45*G45</f>
        <v>2620000</v>
      </c>
      <c r="K45" s="62">
        <v>2420000</v>
      </c>
      <c r="L45" s="2">
        <f>K45*G45</f>
        <v>2420000</v>
      </c>
      <c r="M45" s="2">
        <f>J45-L45</f>
        <v>200000</v>
      </c>
      <c r="N45" s="54"/>
      <c r="O45" s="54"/>
      <c r="P45" s="54"/>
      <c r="Q45" s="54"/>
      <c r="R45" s="54"/>
      <c r="S45" s="54" t="s">
        <v>162</v>
      </c>
      <c r="T45" s="86" t="s">
        <v>172</v>
      </c>
    </row>
    <row r="46" spans="1:20" ht="26.25" hidden="1" customHeight="1">
      <c r="I46" s="61">
        <f>SUM(I3:I45)</f>
        <v>26036025.600000001</v>
      </c>
      <c r="J46" s="61">
        <f>SUM(J3:J45)</f>
        <v>26036025.600000001</v>
      </c>
    </row>
  </sheetData>
  <autoFilter ref="A2:T46">
    <filterColumn colId="2">
      <filters>
        <filter val="HP业务"/>
      </filters>
    </filterColumn>
  </autoFilter>
  <mergeCells count="17">
    <mergeCell ref="J12:J13"/>
    <mergeCell ref="T12:T13"/>
    <mergeCell ref="T35:T38"/>
    <mergeCell ref="T39:T41"/>
    <mergeCell ref="A1:T1"/>
    <mergeCell ref="J6:J7"/>
    <mergeCell ref="T6:T7"/>
    <mergeCell ref="J8:J11"/>
    <mergeCell ref="T8:T11"/>
    <mergeCell ref="T14:T32"/>
    <mergeCell ref="J14:J32"/>
    <mergeCell ref="T42:T43"/>
    <mergeCell ref="J42:J43"/>
    <mergeCell ref="J39:J41"/>
    <mergeCell ref="J35:J38"/>
    <mergeCell ref="J33:J34"/>
    <mergeCell ref="T33:T34"/>
  </mergeCells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9"/>
  <sheetViews>
    <sheetView topLeftCell="A7" workbookViewId="0">
      <selection activeCell="R21" sqref="R21"/>
    </sheetView>
  </sheetViews>
  <sheetFormatPr defaultRowHeight="13.5"/>
  <cols>
    <col min="1" max="1" width="3.75" style="1" customWidth="1"/>
    <col min="2" max="2" width="5.375" customWidth="1"/>
    <col min="3" max="3" width="23" customWidth="1"/>
    <col min="4" max="4" width="10.125" style="1" customWidth="1"/>
    <col min="5" max="5" width="13.5" style="24" customWidth="1"/>
    <col min="6" max="6" width="12.25" style="24" customWidth="1"/>
    <col min="7" max="8" width="11.125" style="24" customWidth="1"/>
    <col min="9" max="9" width="7.25" customWidth="1"/>
    <col min="10" max="10" width="11" style="1" customWidth="1"/>
    <col min="11" max="11" width="5.625" style="1" hidden="1" customWidth="1"/>
    <col min="12" max="12" width="6" style="1" customWidth="1"/>
    <col min="13" max="13" width="10.625" style="16" customWidth="1"/>
    <col min="14" max="14" width="0.375" style="20" customWidth="1"/>
    <col min="15" max="15" width="22.75" style="1" customWidth="1"/>
    <col min="16" max="16" width="10.625" style="1" customWidth="1"/>
    <col min="17" max="17" width="13.125" style="24" customWidth="1"/>
    <col min="18" max="18" width="12" style="24" customWidth="1"/>
    <col min="19" max="19" width="10.375" style="24" customWidth="1"/>
    <col min="20" max="20" width="10.5" style="24" customWidth="1"/>
    <col min="21" max="21" width="7.625" style="1" customWidth="1"/>
    <col min="22" max="22" width="11.125" style="1" customWidth="1"/>
    <col min="23" max="23" width="6.25" style="18" hidden="1" customWidth="1"/>
    <col min="24" max="24" width="5.875" style="18" customWidth="1"/>
    <col min="25" max="25" width="9.75" customWidth="1"/>
  </cols>
  <sheetData>
    <row r="1" spans="2:25" s="1" customFormat="1" ht="36" customHeight="1">
      <c r="B1" s="136" t="s">
        <v>164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29"/>
    </row>
    <row r="2" spans="2:25" s="1" customFormat="1" ht="31.5" customHeight="1">
      <c r="B2" s="21"/>
      <c r="C2" s="134" t="s">
        <v>73</v>
      </c>
      <c r="D2" s="129"/>
      <c r="E2" s="129"/>
      <c r="F2" s="129"/>
      <c r="G2" s="129"/>
      <c r="H2" s="129"/>
      <c r="I2" s="129"/>
      <c r="J2" s="129"/>
      <c r="K2" s="129"/>
      <c r="L2" s="129"/>
      <c r="M2" s="135"/>
      <c r="N2" s="19"/>
      <c r="O2" s="128" t="s">
        <v>74</v>
      </c>
      <c r="P2" s="129"/>
      <c r="Q2" s="129"/>
      <c r="R2" s="129"/>
      <c r="S2" s="129"/>
      <c r="T2" s="129"/>
      <c r="U2" s="129"/>
      <c r="V2" s="129"/>
      <c r="W2" s="129"/>
      <c r="X2" s="129"/>
      <c r="Y2" s="130"/>
    </row>
    <row r="3" spans="2:25" ht="29.25" customHeight="1">
      <c r="B3" s="3" t="s">
        <v>0</v>
      </c>
      <c r="C3" s="3" t="s">
        <v>1</v>
      </c>
      <c r="D3" s="22" t="s">
        <v>10</v>
      </c>
      <c r="E3" s="23" t="s">
        <v>70</v>
      </c>
      <c r="F3" s="23" t="s">
        <v>69</v>
      </c>
      <c r="G3" s="23" t="s">
        <v>68</v>
      </c>
      <c r="H3" s="23" t="s">
        <v>79</v>
      </c>
      <c r="I3" s="32" t="s">
        <v>88</v>
      </c>
      <c r="J3" s="15" t="s">
        <v>82</v>
      </c>
      <c r="K3" s="32" t="s">
        <v>83</v>
      </c>
      <c r="L3" s="32" t="s">
        <v>87</v>
      </c>
      <c r="M3" s="50" t="s">
        <v>28</v>
      </c>
      <c r="N3" s="27"/>
      <c r="O3" s="7" t="s">
        <v>8</v>
      </c>
      <c r="P3" s="22" t="s">
        <v>80</v>
      </c>
      <c r="Q3" s="25" t="s">
        <v>71</v>
      </c>
      <c r="R3" s="25" t="s">
        <v>72</v>
      </c>
      <c r="S3" s="23" t="s">
        <v>68</v>
      </c>
      <c r="T3" s="23" t="s">
        <v>85</v>
      </c>
      <c r="U3" s="32" t="s">
        <v>89</v>
      </c>
      <c r="V3" s="22" t="s">
        <v>81</v>
      </c>
      <c r="W3" s="32" t="s">
        <v>86</v>
      </c>
      <c r="X3" s="32" t="s">
        <v>87</v>
      </c>
      <c r="Y3" s="22" t="s">
        <v>84</v>
      </c>
    </row>
    <row r="4" spans="2:25" ht="33" customHeight="1">
      <c r="B4" s="6">
        <v>1</v>
      </c>
      <c r="C4" s="2" t="s">
        <v>2</v>
      </c>
      <c r="D4" s="35">
        <v>40595</v>
      </c>
      <c r="E4" s="36">
        <f>销售台账!J5</f>
        <v>110404</v>
      </c>
      <c r="F4" s="36">
        <v>110404</v>
      </c>
      <c r="G4" s="36">
        <f>E4-F4</f>
        <v>0</v>
      </c>
      <c r="H4" s="36">
        <f>G4</f>
        <v>0</v>
      </c>
      <c r="I4" s="37">
        <f>G4/E4</f>
        <v>0</v>
      </c>
      <c r="J4" s="35"/>
      <c r="K4" s="53" t="str">
        <f ca="1">IF(L4="√","",NOW()-J4)</f>
        <v/>
      </c>
      <c r="L4" s="31" t="str">
        <f>IF(G4&lt;=0,"√","否")</f>
        <v>√</v>
      </c>
      <c r="M4" s="51" t="s">
        <v>91</v>
      </c>
      <c r="N4" s="44"/>
      <c r="O4" s="28" t="s">
        <v>6</v>
      </c>
      <c r="P4" s="39">
        <v>40595</v>
      </c>
      <c r="Q4" s="36">
        <f>销售台账!L5</f>
        <v>110404</v>
      </c>
      <c r="R4" s="36">
        <v>110404</v>
      </c>
      <c r="S4" s="36">
        <f>Q4-R4</f>
        <v>0</v>
      </c>
      <c r="T4" s="36">
        <f>S4</f>
        <v>0</v>
      </c>
      <c r="U4" s="37">
        <f>S4/Q4</f>
        <v>0</v>
      </c>
      <c r="V4" s="35"/>
      <c r="W4" s="53" t="str">
        <f t="shared" ref="W4:W12" ca="1" si="0">IF(X4="√","",NOW()-V4)</f>
        <v/>
      </c>
      <c r="X4" s="31" t="str">
        <f>IF(S4&lt;=0,"√","否")</f>
        <v>√</v>
      </c>
      <c r="Y4" s="34" t="s">
        <v>92</v>
      </c>
    </row>
    <row r="5" spans="2:25" ht="30.75" customHeight="1">
      <c r="B5" s="96">
        <v>2</v>
      </c>
      <c r="C5" s="137" t="s">
        <v>3</v>
      </c>
      <c r="D5" s="139">
        <v>40617</v>
      </c>
      <c r="E5" s="123">
        <f>销售台账!J6</f>
        <v>167134</v>
      </c>
      <c r="F5" s="123">
        <f>50140+116994</f>
        <v>167134</v>
      </c>
      <c r="G5" s="38">
        <v>0</v>
      </c>
      <c r="H5" s="123">
        <f>+G5+G6</f>
        <v>0</v>
      </c>
      <c r="I5" s="37">
        <f>G5/E5</f>
        <v>0</v>
      </c>
      <c r="J5" s="39"/>
      <c r="K5" s="53" t="str">
        <f ca="1">IF(L5="√","",NOW()-J5)</f>
        <v/>
      </c>
      <c r="L5" s="31" t="str">
        <f>IF(G5&lt;=0,"√","否")</f>
        <v>√</v>
      </c>
      <c r="M5" s="114" t="s">
        <v>99</v>
      </c>
      <c r="N5" s="45"/>
      <c r="O5" s="131" t="s">
        <v>9</v>
      </c>
      <c r="P5" s="139">
        <v>40617</v>
      </c>
      <c r="Q5" s="123">
        <v>153934</v>
      </c>
      <c r="R5" s="123">
        <v>153934</v>
      </c>
      <c r="S5" s="36">
        <v>0</v>
      </c>
      <c r="T5" s="123">
        <v>0</v>
      </c>
      <c r="U5" s="37">
        <f>S5/Q5</f>
        <v>0</v>
      </c>
      <c r="V5" s="42"/>
      <c r="W5" s="53" t="str">
        <f t="shared" ca="1" si="0"/>
        <v/>
      </c>
      <c r="X5" s="31" t="str">
        <f t="shared" ref="X5:X12" si="1">IF(S5&lt;=0,"√","否")</f>
        <v>√</v>
      </c>
      <c r="Y5" s="34" t="s">
        <v>91</v>
      </c>
    </row>
    <row r="6" spans="2:25" s="1" customFormat="1" ht="30.75" customHeight="1">
      <c r="B6" s="96"/>
      <c r="C6" s="137"/>
      <c r="D6" s="140"/>
      <c r="E6" s="124"/>
      <c r="F6" s="124"/>
      <c r="G6" s="123">
        <v>0</v>
      </c>
      <c r="H6" s="124"/>
      <c r="I6" s="142">
        <f>G6/E5</f>
        <v>0</v>
      </c>
      <c r="J6" s="144"/>
      <c r="K6" s="145" t="str">
        <f ca="1">IF(L6="√"," ",NOW()-J6)</f>
        <v xml:space="preserve"> </v>
      </c>
      <c r="L6" s="126" t="str">
        <f>IF(G6&lt;=0,"√","否")</f>
        <v>√</v>
      </c>
      <c r="M6" s="115"/>
      <c r="N6" s="46"/>
      <c r="O6" s="133"/>
      <c r="P6" s="141"/>
      <c r="Q6" s="125"/>
      <c r="R6" s="125"/>
      <c r="S6" s="36">
        <v>0</v>
      </c>
      <c r="T6" s="125"/>
      <c r="U6" s="37">
        <f>S6/Q5</f>
        <v>0</v>
      </c>
      <c r="V6" s="39"/>
      <c r="W6" s="53" t="str">
        <f t="shared" ca="1" si="0"/>
        <v/>
      </c>
      <c r="X6" s="31" t="str">
        <f t="shared" si="1"/>
        <v>√</v>
      </c>
      <c r="Y6" s="34" t="s">
        <v>91</v>
      </c>
    </row>
    <row r="7" spans="2:25" s="1" customFormat="1" ht="32.25" customHeight="1">
      <c r="B7" s="96"/>
      <c r="C7" s="138"/>
      <c r="D7" s="141"/>
      <c r="E7" s="125"/>
      <c r="F7" s="125"/>
      <c r="G7" s="125"/>
      <c r="H7" s="125"/>
      <c r="I7" s="143"/>
      <c r="J7" s="144"/>
      <c r="K7" s="145"/>
      <c r="L7" s="127"/>
      <c r="M7" s="116"/>
      <c r="N7" s="47"/>
      <c r="O7" s="28" t="s">
        <v>7</v>
      </c>
      <c r="P7" s="39">
        <v>40624</v>
      </c>
      <c r="Q7" s="36">
        <v>11200</v>
      </c>
      <c r="R7" s="36">
        <v>11200</v>
      </c>
      <c r="S7" s="36">
        <f t="shared" ref="S7" si="2">Q7-R7</f>
        <v>0</v>
      </c>
      <c r="T7" s="36">
        <f>S7</f>
        <v>0</v>
      </c>
      <c r="U7" s="37">
        <f>S7/Q7</f>
        <v>0</v>
      </c>
      <c r="V7" s="39"/>
      <c r="W7" s="53" t="str">
        <f t="shared" ca="1" si="0"/>
        <v/>
      </c>
      <c r="X7" s="31" t="str">
        <f t="shared" si="1"/>
        <v>√</v>
      </c>
      <c r="Y7" s="34" t="s">
        <v>91</v>
      </c>
    </row>
    <row r="8" spans="2:25" ht="33" customHeight="1">
      <c r="B8" s="94">
        <v>3</v>
      </c>
      <c r="C8" s="94" t="s">
        <v>4</v>
      </c>
      <c r="D8" s="117">
        <v>40618</v>
      </c>
      <c r="E8" s="123">
        <f>销售台账!J8</f>
        <v>373066</v>
      </c>
      <c r="F8" s="123">
        <f>111919.8+227979.2+33167</f>
        <v>373066</v>
      </c>
      <c r="G8" s="36">
        <v>0</v>
      </c>
      <c r="H8" s="119">
        <f>+G8+G9+G10</f>
        <v>0</v>
      </c>
      <c r="I8" s="37">
        <f>G8/E8</f>
        <v>0</v>
      </c>
      <c r="J8" s="30"/>
      <c r="K8" s="30"/>
      <c r="L8" s="33" t="str">
        <f>IF(G8&lt;=0,"√","否")</f>
        <v>√</v>
      </c>
      <c r="M8" s="51" t="s">
        <v>91</v>
      </c>
      <c r="N8" s="44"/>
      <c r="O8" s="131" t="s">
        <v>6</v>
      </c>
      <c r="P8" s="117">
        <v>40618</v>
      </c>
      <c r="Q8" s="123">
        <f>销售台账!L8+销售台账!L9+销售台账!L10+销售台账!L11</f>
        <v>373066</v>
      </c>
      <c r="R8" s="123">
        <f>227979.2+111919.8+33167</f>
        <v>373066</v>
      </c>
      <c r="S8" s="36">
        <v>0</v>
      </c>
      <c r="T8" s="123">
        <f>S8+S9+S10</f>
        <v>0</v>
      </c>
      <c r="U8" s="37">
        <f>S8/Q8</f>
        <v>0</v>
      </c>
      <c r="V8" s="39"/>
      <c r="W8" s="53" t="str">
        <f t="shared" ca="1" si="0"/>
        <v/>
      </c>
      <c r="X8" s="31" t="str">
        <f t="shared" si="1"/>
        <v>√</v>
      </c>
      <c r="Y8" s="34" t="s">
        <v>91</v>
      </c>
    </row>
    <row r="9" spans="2:25" s="1" customFormat="1" ht="33" customHeight="1">
      <c r="B9" s="110"/>
      <c r="C9" s="110"/>
      <c r="D9" s="122"/>
      <c r="E9" s="124"/>
      <c r="F9" s="124"/>
      <c r="G9" s="40">
        <v>0</v>
      </c>
      <c r="H9" s="121"/>
      <c r="I9" s="37">
        <f>G9/E8</f>
        <v>0</v>
      </c>
      <c r="J9" s="39"/>
      <c r="K9" s="53" t="str">
        <f t="shared" ref="K9:K12" ca="1" si="3">IF(L9="√","",NOW()-J9)</f>
        <v/>
      </c>
      <c r="L9" s="33" t="str">
        <f t="shared" ref="L9:L10" si="4">IF(G9&lt;=0,"√","否")</f>
        <v>√</v>
      </c>
      <c r="M9" s="51" t="s">
        <v>91</v>
      </c>
      <c r="N9" s="44"/>
      <c r="O9" s="132"/>
      <c r="P9" s="122"/>
      <c r="Q9" s="124"/>
      <c r="R9" s="124"/>
      <c r="S9" s="36">
        <v>0</v>
      </c>
      <c r="T9" s="124"/>
      <c r="U9" s="37">
        <f>S9/Q8</f>
        <v>0</v>
      </c>
      <c r="V9" s="35"/>
      <c r="W9" s="53" t="str">
        <f t="shared" ca="1" si="0"/>
        <v/>
      </c>
      <c r="X9" s="31" t="str">
        <f t="shared" si="1"/>
        <v>√</v>
      </c>
      <c r="Y9" s="34" t="s">
        <v>91</v>
      </c>
    </row>
    <row r="10" spans="2:25" s="1" customFormat="1" ht="33" customHeight="1">
      <c r="B10" s="110"/>
      <c r="C10" s="110"/>
      <c r="D10" s="122"/>
      <c r="E10" s="124"/>
      <c r="F10" s="125"/>
      <c r="G10" s="40">
        <v>0</v>
      </c>
      <c r="H10" s="120"/>
      <c r="I10" s="37">
        <f>G10/E8</f>
        <v>0</v>
      </c>
      <c r="J10" s="39"/>
      <c r="K10" s="53" t="str">
        <f t="shared" ca="1" si="3"/>
        <v/>
      </c>
      <c r="L10" s="33" t="str">
        <f t="shared" si="4"/>
        <v>√</v>
      </c>
      <c r="M10" s="51" t="s">
        <v>91</v>
      </c>
      <c r="N10" s="44"/>
      <c r="O10" s="133"/>
      <c r="P10" s="118"/>
      <c r="Q10" s="125"/>
      <c r="R10" s="125"/>
      <c r="S10" s="36">
        <v>0</v>
      </c>
      <c r="T10" s="125"/>
      <c r="U10" s="37">
        <f>S10/Q8</f>
        <v>0</v>
      </c>
      <c r="V10" s="39"/>
      <c r="W10" s="53" t="str">
        <f t="shared" ca="1" si="0"/>
        <v/>
      </c>
      <c r="X10" s="31" t="str">
        <f t="shared" si="1"/>
        <v>√</v>
      </c>
      <c r="Y10" s="34" t="s">
        <v>91</v>
      </c>
    </row>
    <row r="11" spans="2:25" ht="33" customHeight="1">
      <c r="B11" s="94">
        <v>4</v>
      </c>
      <c r="C11" s="94" t="s">
        <v>78</v>
      </c>
      <c r="D11" s="117">
        <v>40618</v>
      </c>
      <c r="E11" s="123">
        <f>销售台账!J12</f>
        <v>291748.59999999998</v>
      </c>
      <c r="F11" s="123">
        <f>47082.5+244666.1</f>
        <v>291748.59999999998</v>
      </c>
      <c r="G11" s="41">
        <v>0</v>
      </c>
      <c r="H11" s="119">
        <f>+G11+G12</f>
        <v>0</v>
      </c>
      <c r="I11" s="37">
        <f>G11/E11</f>
        <v>0</v>
      </c>
      <c r="J11" s="39"/>
      <c r="K11" s="53" t="str">
        <f t="shared" ca="1" si="3"/>
        <v/>
      </c>
      <c r="L11" s="33" t="str">
        <f t="shared" ref="L11:L12" si="5">IF(G11&lt;=0,"√","否")</f>
        <v>√</v>
      </c>
      <c r="M11" s="51" t="s">
        <v>91</v>
      </c>
      <c r="N11" s="44"/>
      <c r="O11" s="131" t="s">
        <v>6</v>
      </c>
      <c r="P11" s="117">
        <v>40618</v>
      </c>
      <c r="Q11" s="123">
        <f>+销售台账!L12+销售台账!L13</f>
        <v>291748.59999999998</v>
      </c>
      <c r="R11" s="123">
        <v>291748.59999999998</v>
      </c>
      <c r="S11" s="43">
        <v>0</v>
      </c>
      <c r="T11" s="123">
        <f>S11+S12</f>
        <v>0</v>
      </c>
      <c r="U11" s="37">
        <f>S11/Q11</f>
        <v>0</v>
      </c>
      <c r="V11" s="42"/>
      <c r="W11" s="53" t="str">
        <f t="shared" ca="1" si="0"/>
        <v/>
      </c>
      <c r="X11" s="31" t="str">
        <f t="shared" si="1"/>
        <v>√</v>
      </c>
      <c r="Y11" s="34" t="s">
        <v>91</v>
      </c>
    </row>
    <row r="12" spans="2:25" s="1" customFormat="1" ht="33" customHeight="1">
      <c r="B12" s="95"/>
      <c r="C12" s="95"/>
      <c r="D12" s="118"/>
      <c r="E12" s="125"/>
      <c r="F12" s="125"/>
      <c r="G12" s="40">
        <v>0</v>
      </c>
      <c r="H12" s="120"/>
      <c r="I12" s="37">
        <f>+G12/E11</f>
        <v>0</v>
      </c>
      <c r="J12" s="39"/>
      <c r="K12" s="53" t="str">
        <f t="shared" ca="1" si="3"/>
        <v/>
      </c>
      <c r="L12" s="33" t="str">
        <f t="shared" si="5"/>
        <v>√</v>
      </c>
      <c r="M12" s="51" t="s">
        <v>91</v>
      </c>
      <c r="N12" s="48"/>
      <c r="O12" s="133"/>
      <c r="P12" s="118"/>
      <c r="Q12" s="125"/>
      <c r="R12" s="125"/>
      <c r="S12" s="36">
        <v>0</v>
      </c>
      <c r="T12" s="125"/>
      <c r="U12" s="37">
        <f>S12/Q11</f>
        <v>0</v>
      </c>
      <c r="V12" s="35"/>
      <c r="W12" s="53" t="str">
        <f t="shared" ca="1" si="0"/>
        <v/>
      </c>
      <c r="X12" s="31" t="str">
        <f t="shared" si="1"/>
        <v>√</v>
      </c>
      <c r="Y12" s="34" t="s">
        <v>91</v>
      </c>
    </row>
    <row r="13" spans="2:25" s="1" customFormat="1" ht="33" customHeight="1">
      <c r="B13" s="94">
        <v>5</v>
      </c>
      <c r="C13" s="101" t="s">
        <v>109</v>
      </c>
      <c r="D13" s="10">
        <v>40739</v>
      </c>
      <c r="E13" s="59">
        <v>213950</v>
      </c>
      <c r="F13" s="59">
        <v>213950</v>
      </c>
      <c r="G13" s="40">
        <f>E13-F13</f>
        <v>0</v>
      </c>
      <c r="H13" s="58">
        <f>E13-F13</f>
        <v>0</v>
      </c>
      <c r="I13" s="37">
        <f>G13/E13</f>
        <v>0</v>
      </c>
      <c r="J13" s="35">
        <v>40760</v>
      </c>
      <c r="K13" s="31"/>
      <c r="L13" s="60" t="str">
        <f t="shared" ref="L13" si="6">IF(G13&lt;=0,"√","否")</f>
        <v>√</v>
      </c>
      <c r="M13" s="51" t="s">
        <v>91</v>
      </c>
      <c r="N13" s="48"/>
      <c r="O13" s="111" t="s">
        <v>103</v>
      </c>
      <c r="P13" s="57">
        <v>40744</v>
      </c>
      <c r="Q13" s="59">
        <v>213950</v>
      </c>
      <c r="R13" s="59">
        <v>213950</v>
      </c>
      <c r="S13" s="36">
        <f>Q13-R13</f>
        <v>0</v>
      </c>
      <c r="T13" s="59">
        <f>Q13-R13</f>
        <v>0</v>
      </c>
      <c r="U13" s="37">
        <f t="shared" ref="U13:W13" si="7">S13/Q13</f>
        <v>0</v>
      </c>
      <c r="V13" s="57">
        <v>40765</v>
      </c>
      <c r="W13" s="37" t="e">
        <f t="shared" si="7"/>
        <v>#DIV/0!</v>
      </c>
      <c r="X13" s="31" t="str">
        <f>IF(S13&lt;=0,"√","否")</f>
        <v>√</v>
      </c>
      <c r="Y13" s="34" t="s">
        <v>91</v>
      </c>
    </row>
    <row r="14" spans="2:25" s="1" customFormat="1" ht="33" customHeight="1">
      <c r="B14" s="110"/>
      <c r="C14" s="102"/>
      <c r="D14" s="10">
        <v>40750</v>
      </c>
      <c r="E14" s="65">
        <v>707450</v>
      </c>
      <c r="F14" s="65">
        <v>707450</v>
      </c>
      <c r="G14" s="40">
        <f>E14-F14</f>
        <v>0</v>
      </c>
      <c r="H14" s="64">
        <f>E14-F14</f>
        <v>0</v>
      </c>
      <c r="I14" s="37">
        <f>G14/E14</f>
        <v>0</v>
      </c>
      <c r="J14" s="35">
        <v>40783</v>
      </c>
      <c r="K14" s="31"/>
      <c r="L14" s="66" t="str">
        <f t="shared" ref="L14:L16" si="8">IF(G14&lt;=0,"√","否")</f>
        <v>√</v>
      </c>
      <c r="M14" s="51" t="s">
        <v>91</v>
      </c>
      <c r="N14" s="48"/>
      <c r="O14" s="112"/>
      <c r="P14" s="63">
        <v>40750</v>
      </c>
      <c r="Q14" s="65">
        <v>707450</v>
      </c>
      <c r="R14" s="65">
        <v>707450</v>
      </c>
      <c r="S14" s="36">
        <f>Q14-R14</f>
        <v>0</v>
      </c>
      <c r="T14" s="65">
        <f>Q14-R14</f>
        <v>0</v>
      </c>
      <c r="U14" s="37">
        <f t="shared" ref="U14:U15" si="9">S14/Q14</f>
        <v>0</v>
      </c>
      <c r="V14" s="63">
        <v>40785</v>
      </c>
      <c r="W14" s="37"/>
      <c r="X14" s="31" t="str">
        <f>IF(S14&lt;=0,"√","否")</f>
        <v>√</v>
      </c>
      <c r="Y14" s="34" t="s">
        <v>91</v>
      </c>
    </row>
    <row r="15" spans="2:25" s="1" customFormat="1" ht="33" customHeight="1">
      <c r="B15" s="95"/>
      <c r="C15" s="103"/>
      <c r="D15" s="77">
        <v>40764</v>
      </c>
      <c r="E15" s="74">
        <v>338150</v>
      </c>
      <c r="F15" s="74">
        <v>338150</v>
      </c>
      <c r="G15" s="40">
        <f>E15-F15</f>
        <v>0</v>
      </c>
      <c r="H15" s="73">
        <f>E15-F15</f>
        <v>0</v>
      </c>
      <c r="I15" s="37">
        <f>G15/E15</f>
        <v>0</v>
      </c>
      <c r="J15" s="35">
        <v>40799</v>
      </c>
      <c r="K15" s="31"/>
      <c r="L15" s="75" t="str">
        <f t="shared" si="8"/>
        <v>√</v>
      </c>
      <c r="M15" s="51" t="s">
        <v>91</v>
      </c>
      <c r="N15" s="48"/>
      <c r="O15" s="113"/>
      <c r="P15" s="77">
        <v>40764</v>
      </c>
      <c r="Q15" s="74">
        <v>338150</v>
      </c>
      <c r="R15" s="74">
        <v>338150</v>
      </c>
      <c r="S15" s="36">
        <f>Q15-R15</f>
        <v>0</v>
      </c>
      <c r="T15" s="74">
        <f>Q15-R15</f>
        <v>0</v>
      </c>
      <c r="U15" s="37">
        <f t="shared" si="9"/>
        <v>0</v>
      </c>
      <c r="V15" s="72">
        <v>40801</v>
      </c>
      <c r="W15" s="37"/>
      <c r="X15" s="31" t="str">
        <f>IF(S15&lt;=0,"√","否")</f>
        <v>√</v>
      </c>
      <c r="Y15" s="34" t="s">
        <v>91</v>
      </c>
    </row>
    <row r="16" spans="2:25" s="1" customFormat="1" ht="33" customHeight="1">
      <c r="B16" s="78">
        <v>6</v>
      </c>
      <c r="C16" s="69" t="s">
        <v>160</v>
      </c>
      <c r="D16" s="10">
        <v>40792</v>
      </c>
      <c r="E16" s="80">
        <v>7205083</v>
      </c>
      <c r="F16" s="80">
        <v>2160000</v>
      </c>
      <c r="G16" s="40">
        <f>E16-F16</f>
        <v>5045083</v>
      </c>
      <c r="H16" s="83">
        <f>E16-F16</f>
        <v>5045083</v>
      </c>
      <c r="I16" s="37">
        <f>G16/E16</f>
        <v>0.70021164225311494</v>
      </c>
      <c r="J16" s="35">
        <v>40811</v>
      </c>
      <c r="K16" s="31"/>
      <c r="L16" s="81" t="str">
        <f t="shared" si="8"/>
        <v>否</v>
      </c>
      <c r="M16" s="51"/>
      <c r="N16" s="48"/>
      <c r="O16" s="69" t="s">
        <v>165</v>
      </c>
      <c r="P16" s="10">
        <v>40792</v>
      </c>
      <c r="Q16" s="80">
        <v>6833032</v>
      </c>
      <c r="R16" s="80">
        <v>2160000</v>
      </c>
      <c r="S16" s="36">
        <f>Q16-R16</f>
        <v>4673032</v>
      </c>
      <c r="T16" s="80">
        <f>Q16-R16</f>
        <v>4673032</v>
      </c>
      <c r="U16" s="37">
        <f t="shared" ref="U16" si="10">S16/Q16</f>
        <v>0.68388849927821205</v>
      </c>
      <c r="V16" s="82">
        <v>40811</v>
      </c>
      <c r="W16" s="37"/>
      <c r="X16" s="31" t="str">
        <f>IF(S16&lt;=0,"√","否")</f>
        <v>否</v>
      </c>
      <c r="Y16" s="34"/>
    </row>
    <row r="17" spans="2:25" s="1" customFormat="1" ht="33" customHeight="1">
      <c r="B17" s="85">
        <v>7</v>
      </c>
      <c r="C17" s="69" t="s">
        <v>166</v>
      </c>
      <c r="D17" s="92">
        <v>40814</v>
      </c>
      <c r="E17" s="87">
        <v>2620000</v>
      </c>
      <c r="F17" s="87"/>
      <c r="G17" s="40">
        <f>E17-F17</f>
        <v>2620000</v>
      </c>
      <c r="H17" s="88">
        <f>E17-F17</f>
        <v>2620000</v>
      </c>
      <c r="I17" s="37">
        <f>G17/E17</f>
        <v>1</v>
      </c>
      <c r="J17" s="35">
        <v>40831</v>
      </c>
      <c r="K17" s="31"/>
      <c r="L17" s="31" t="str">
        <f>IF(G17&lt;=0,"√","否")</f>
        <v>否</v>
      </c>
      <c r="M17" s="51"/>
      <c r="N17" s="48"/>
      <c r="O17" s="69" t="s">
        <v>165</v>
      </c>
      <c r="P17" s="92">
        <v>40814</v>
      </c>
      <c r="Q17" s="87">
        <v>2420000</v>
      </c>
      <c r="R17" s="87"/>
      <c r="S17" s="36">
        <f>Q17-R17</f>
        <v>2420000</v>
      </c>
      <c r="T17" s="87">
        <f>Q17-R17</f>
        <v>2420000</v>
      </c>
      <c r="U17" s="37">
        <f t="shared" ref="U17" si="11">S17/Q17</f>
        <v>1</v>
      </c>
      <c r="V17" s="35">
        <v>40831</v>
      </c>
      <c r="W17" s="37"/>
      <c r="X17" s="31" t="str">
        <f>IF(S17&lt;=0,"√","否")</f>
        <v>否</v>
      </c>
      <c r="Y17" s="34"/>
    </row>
    <row r="18" spans="2:25" ht="33" customHeight="1">
      <c r="B18" s="3"/>
      <c r="C18" s="4" t="s">
        <v>5</v>
      </c>
      <c r="D18" s="13"/>
      <c r="E18" s="23">
        <f>SUM(E4:E17)</f>
        <v>12026985.6</v>
      </c>
      <c r="F18" s="23">
        <f t="shared" ref="F18:H18" si="12">SUM(F4:F17)</f>
        <v>4361902.5999999996</v>
      </c>
      <c r="G18" s="23">
        <f t="shared" si="12"/>
        <v>7665083</v>
      </c>
      <c r="H18" s="23">
        <f t="shared" si="12"/>
        <v>7665083</v>
      </c>
      <c r="I18" s="5"/>
      <c r="J18" s="13"/>
      <c r="K18" s="13"/>
      <c r="L18" s="13"/>
      <c r="M18" s="52"/>
      <c r="N18" s="49"/>
      <c r="O18" s="8" t="s">
        <v>5</v>
      </c>
      <c r="P18" s="5"/>
      <c r="Q18" s="23">
        <f>SUM(Q4:Q17)</f>
        <v>11452934.6</v>
      </c>
      <c r="R18" s="23">
        <f t="shared" ref="R18:T18" si="13">SUM(R4:R17)</f>
        <v>4359902.5999999996</v>
      </c>
      <c r="S18" s="23">
        <f t="shared" si="13"/>
        <v>7093032</v>
      </c>
      <c r="T18" s="23">
        <f t="shared" si="13"/>
        <v>7093032</v>
      </c>
      <c r="U18" s="5"/>
      <c r="V18" s="5"/>
      <c r="W18" s="17"/>
      <c r="X18" s="17"/>
      <c r="Y18" s="34"/>
    </row>
    <row r="19" spans="2:25">
      <c r="D19" s="14"/>
      <c r="J19" s="14"/>
      <c r="K19" s="14"/>
      <c r="L19" s="14"/>
    </row>
  </sheetData>
  <autoFilter ref="C3:W3"/>
  <mergeCells count="45">
    <mergeCell ref="F8:F10"/>
    <mergeCell ref="C2:M2"/>
    <mergeCell ref="B1:W1"/>
    <mergeCell ref="C5:C7"/>
    <mergeCell ref="B5:B7"/>
    <mergeCell ref="D5:D7"/>
    <mergeCell ref="E5:E7"/>
    <mergeCell ref="F5:F7"/>
    <mergeCell ref="O5:O6"/>
    <mergeCell ref="P5:P6"/>
    <mergeCell ref="Q5:Q6"/>
    <mergeCell ref="H5:H7"/>
    <mergeCell ref="G6:G7"/>
    <mergeCell ref="I6:I7"/>
    <mergeCell ref="J6:J7"/>
    <mergeCell ref="K6:K7"/>
    <mergeCell ref="L6:L7"/>
    <mergeCell ref="Q11:Q12"/>
    <mergeCell ref="O2:Y2"/>
    <mergeCell ref="T5:T6"/>
    <mergeCell ref="T8:T10"/>
    <mergeCell ref="T11:T12"/>
    <mergeCell ref="O8:O10"/>
    <mergeCell ref="P8:P10"/>
    <mergeCell ref="Q8:Q10"/>
    <mergeCell ref="O11:O12"/>
    <mergeCell ref="R8:R10"/>
    <mergeCell ref="R5:R6"/>
    <mergeCell ref="R11:R12"/>
    <mergeCell ref="B13:B15"/>
    <mergeCell ref="C13:C15"/>
    <mergeCell ref="O13:O15"/>
    <mergeCell ref="M5:M7"/>
    <mergeCell ref="P11:P12"/>
    <mergeCell ref="H11:H12"/>
    <mergeCell ref="H8:H10"/>
    <mergeCell ref="B8:B10"/>
    <mergeCell ref="C8:C10"/>
    <mergeCell ref="D8:D10"/>
    <mergeCell ref="E8:E10"/>
    <mergeCell ref="F11:F12"/>
    <mergeCell ref="B11:B12"/>
    <mergeCell ref="C11:C12"/>
    <mergeCell ref="D11:D12"/>
    <mergeCell ref="E11:E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Y8"/>
  <sheetViews>
    <sheetView workbookViewId="0">
      <selection activeCell="T6" sqref="T6"/>
    </sheetView>
  </sheetViews>
  <sheetFormatPr defaultRowHeight="13.5"/>
  <cols>
    <col min="1" max="1" width="3.75" style="1" customWidth="1"/>
    <col min="2" max="2" width="5.375" style="1" customWidth="1"/>
    <col min="3" max="3" width="23" style="1" customWidth="1"/>
    <col min="4" max="4" width="10.125" style="1" customWidth="1"/>
    <col min="5" max="5" width="13.5" style="24" customWidth="1"/>
    <col min="6" max="6" width="12.25" style="24" customWidth="1"/>
    <col min="7" max="8" width="11.125" style="24" customWidth="1"/>
    <col min="9" max="9" width="7.25" style="1" customWidth="1"/>
    <col min="10" max="10" width="11" style="1" customWidth="1"/>
    <col min="11" max="11" width="5.625" style="1" hidden="1" customWidth="1"/>
    <col min="12" max="12" width="6" style="1" customWidth="1"/>
    <col min="13" max="13" width="10.625" style="16" customWidth="1"/>
    <col min="14" max="14" width="0.375" style="20" customWidth="1"/>
    <col min="15" max="15" width="22.75" style="1" customWidth="1"/>
    <col min="16" max="16" width="10.625" style="1" customWidth="1"/>
    <col min="17" max="17" width="13.125" style="24" customWidth="1"/>
    <col min="18" max="18" width="12" style="24" customWidth="1"/>
    <col min="19" max="19" width="10.375" style="24" customWidth="1"/>
    <col min="20" max="20" width="10.5" style="24" customWidth="1"/>
    <col min="21" max="21" width="7.625" style="1" customWidth="1"/>
    <col min="22" max="22" width="11.125" style="1" customWidth="1"/>
    <col min="23" max="23" width="6.25" style="18" hidden="1" customWidth="1"/>
    <col min="24" max="24" width="5.875" style="18" customWidth="1"/>
    <col min="25" max="25" width="9.75" style="1" customWidth="1"/>
    <col min="26" max="16384" width="9" style="1"/>
  </cols>
  <sheetData>
    <row r="1" spans="2:25" ht="36" customHeight="1">
      <c r="B1" s="136" t="s">
        <v>176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89"/>
    </row>
    <row r="2" spans="2:25" ht="31.5" customHeight="1">
      <c r="B2" s="21"/>
      <c r="C2" s="134" t="s">
        <v>73</v>
      </c>
      <c r="D2" s="129"/>
      <c r="E2" s="129"/>
      <c r="F2" s="129"/>
      <c r="G2" s="129"/>
      <c r="H2" s="129"/>
      <c r="I2" s="129"/>
      <c r="J2" s="129"/>
      <c r="K2" s="129"/>
      <c r="L2" s="129"/>
      <c r="M2" s="135"/>
      <c r="N2" s="19"/>
      <c r="O2" s="128" t="s">
        <v>74</v>
      </c>
      <c r="P2" s="129"/>
      <c r="Q2" s="129"/>
      <c r="R2" s="129"/>
      <c r="S2" s="129"/>
      <c r="T2" s="129"/>
      <c r="U2" s="129"/>
      <c r="V2" s="129"/>
      <c r="W2" s="129"/>
      <c r="X2" s="129"/>
      <c r="Y2" s="130"/>
    </row>
    <row r="3" spans="2:25" ht="29.25" customHeight="1">
      <c r="B3" s="3" t="s">
        <v>0</v>
      </c>
      <c r="C3" s="3" t="s">
        <v>1</v>
      </c>
      <c r="D3" s="22" t="s">
        <v>10</v>
      </c>
      <c r="E3" s="23" t="s">
        <v>70</v>
      </c>
      <c r="F3" s="23" t="s">
        <v>69</v>
      </c>
      <c r="G3" s="23" t="s">
        <v>68</v>
      </c>
      <c r="H3" s="23" t="s">
        <v>79</v>
      </c>
      <c r="I3" s="32" t="s">
        <v>88</v>
      </c>
      <c r="J3" s="15" t="s">
        <v>82</v>
      </c>
      <c r="K3" s="32" t="s">
        <v>83</v>
      </c>
      <c r="L3" s="32" t="s">
        <v>87</v>
      </c>
      <c r="M3" s="50" t="s">
        <v>28</v>
      </c>
      <c r="N3" s="27"/>
      <c r="O3" s="7" t="s">
        <v>8</v>
      </c>
      <c r="P3" s="22" t="s">
        <v>10</v>
      </c>
      <c r="Q3" s="25" t="s">
        <v>71</v>
      </c>
      <c r="R3" s="25" t="s">
        <v>72</v>
      </c>
      <c r="S3" s="23" t="s">
        <v>68</v>
      </c>
      <c r="T3" s="23" t="s">
        <v>79</v>
      </c>
      <c r="U3" s="32" t="s">
        <v>88</v>
      </c>
      <c r="V3" s="22" t="s">
        <v>81</v>
      </c>
      <c r="W3" s="32" t="s">
        <v>83</v>
      </c>
      <c r="X3" s="32" t="s">
        <v>87</v>
      </c>
      <c r="Y3" s="22" t="s">
        <v>28</v>
      </c>
    </row>
    <row r="4" spans="2:25" ht="33" customHeight="1">
      <c r="B4" s="94">
        <v>1</v>
      </c>
      <c r="C4" s="97" t="s">
        <v>34</v>
      </c>
      <c r="D4" s="147">
        <v>40675</v>
      </c>
      <c r="E4" s="97">
        <f>8091360+1086000</f>
        <v>9177360</v>
      </c>
      <c r="F4" s="97">
        <f>3236544+1086000*0.4</f>
        <v>3670944</v>
      </c>
      <c r="G4" s="97">
        <f>E4-F4</f>
        <v>5506416</v>
      </c>
      <c r="H4" s="97">
        <f>G4</f>
        <v>5506416</v>
      </c>
      <c r="I4" s="146">
        <f>G4/E4</f>
        <v>0.6</v>
      </c>
      <c r="J4" s="97"/>
      <c r="K4" s="97">
        <f ca="1">IF(L4="√","",NOW()-J4)</f>
        <v>40816.394258449072</v>
      </c>
      <c r="L4" s="97" t="str">
        <f>IF(G4&lt;=0,"√","否")</f>
        <v>否</v>
      </c>
      <c r="M4" s="97"/>
      <c r="N4" s="44"/>
      <c r="O4" s="28" t="s">
        <v>33</v>
      </c>
      <c r="P4" s="90"/>
      <c r="Q4" s="36"/>
      <c r="R4" s="36"/>
      <c r="S4" s="36"/>
      <c r="T4" s="36"/>
      <c r="U4" s="37"/>
      <c r="V4" s="35"/>
      <c r="W4" s="91">
        <f t="shared" ref="W4" ca="1" si="0">IF(X4="√","",NOW()-V4)</f>
        <v>40816.394258449072</v>
      </c>
      <c r="X4" s="31"/>
      <c r="Y4" s="34"/>
    </row>
    <row r="5" spans="2:25" ht="33" customHeight="1">
      <c r="B5" s="110"/>
      <c r="C5" s="105"/>
      <c r="D5" s="148"/>
      <c r="E5" s="105"/>
      <c r="F5" s="105"/>
      <c r="G5" s="105"/>
      <c r="H5" s="105"/>
      <c r="I5" s="142"/>
      <c r="J5" s="105"/>
      <c r="K5" s="105"/>
      <c r="L5" s="105"/>
      <c r="M5" s="105"/>
      <c r="N5" s="48"/>
      <c r="O5" s="28" t="s">
        <v>165</v>
      </c>
      <c r="P5" s="90">
        <v>40796</v>
      </c>
      <c r="Q5" s="36">
        <v>655500</v>
      </c>
      <c r="R5" s="36">
        <f>+Q5*0.5</f>
        <v>327750</v>
      </c>
      <c r="S5" s="36">
        <f>Q5-R5</f>
        <v>327750</v>
      </c>
      <c r="T5" s="36">
        <f>S5</f>
        <v>327750</v>
      </c>
      <c r="U5" s="37">
        <f>S5/Q5</f>
        <v>0.5</v>
      </c>
      <c r="V5" s="35">
        <v>40834</v>
      </c>
      <c r="W5" s="91"/>
      <c r="X5" s="31" t="str">
        <f>IF(S5&lt;=0,"√","否")</f>
        <v>否</v>
      </c>
      <c r="Y5" s="34"/>
    </row>
    <row r="6" spans="2:25" ht="33" customHeight="1">
      <c r="B6" s="95"/>
      <c r="C6" s="98"/>
      <c r="D6" s="149"/>
      <c r="E6" s="98"/>
      <c r="F6" s="98"/>
      <c r="G6" s="98"/>
      <c r="H6" s="98"/>
      <c r="I6" s="143"/>
      <c r="J6" s="98"/>
      <c r="K6" s="98"/>
      <c r="L6" s="98"/>
      <c r="M6" s="98"/>
      <c r="N6" s="48"/>
      <c r="O6" s="28" t="s">
        <v>177</v>
      </c>
      <c r="P6" s="90">
        <v>40806</v>
      </c>
      <c r="Q6" s="36">
        <v>57000</v>
      </c>
      <c r="R6" s="36">
        <f>17100+15030</f>
        <v>32130</v>
      </c>
      <c r="S6" s="36">
        <f>Q6-R6</f>
        <v>24870</v>
      </c>
      <c r="T6" s="36">
        <f>S6</f>
        <v>24870</v>
      </c>
      <c r="U6" s="37">
        <f>S6/Q6</f>
        <v>0.43631578947368421</v>
      </c>
      <c r="V6" s="35">
        <v>40826</v>
      </c>
      <c r="W6" s="91"/>
      <c r="X6" s="31" t="str">
        <f>IF(S6&lt;=0,"√","否")</f>
        <v>否</v>
      </c>
      <c r="Y6" s="34"/>
    </row>
    <row r="7" spans="2:25" ht="33" customHeight="1">
      <c r="B7" s="3"/>
      <c r="C7" s="4" t="s">
        <v>5</v>
      </c>
      <c r="D7" s="13"/>
      <c r="E7" s="23">
        <f>SUM(E4:E4)</f>
        <v>9177360</v>
      </c>
      <c r="F7" s="23">
        <f>SUM(F4:F4)</f>
        <v>3670944</v>
      </c>
      <c r="G7" s="23">
        <f>SUM(G4:G4)</f>
        <v>5506416</v>
      </c>
      <c r="H7" s="23">
        <f>SUM(H4:H4)</f>
        <v>5506416</v>
      </c>
      <c r="I7" s="5"/>
      <c r="J7" s="13"/>
      <c r="K7" s="13"/>
      <c r="L7" s="13"/>
      <c r="M7" s="52"/>
      <c r="N7" s="49"/>
      <c r="O7" s="8" t="s">
        <v>5</v>
      </c>
      <c r="P7" s="5"/>
      <c r="Q7" s="23">
        <f>SUM(Q4:Q6)</f>
        <v>712500</v>
      </c>
      <c r="R7" s="23">
        <f t="shared" ref="R7:T7" si="1">SUM(R4:R6)</f>
        <v>359880</v>
      </c>
      <c r="S7" s="23">
        <f t="shared" si="1"/>
        <v>352620</v>
      </c>
      <c r="T7" s="23">
        <f t="shared" si="1"/>
        <v>352620</v>
      </c>
      <c r="U7" s="5"/>
      <c r="V7" s="5"/>
      <c r="W7" s="17"/>
      <c r="X7" s="17"/>
      <c r="Y7" s="34"/>
    </row>
    <row r="8" spans="2:25">
      <c r="D8" s="14"/>
      <c r="J8" s="14"/>
      <c r="K8" s="14"/>
      <c r="L8" s="14"/>
    </row>
  </sheetData>
  <autoFilter ref="C3:W3"/>
  <mergeCells count="15">
    <mergeCell ref="G4:G6"/>
    <mergeCell ref="H4:H6"/>
    <mergeCell ref="B1:W1"/>
    <mergeCell ref="C2:M2"/>
    <mergeCell ref="O2:Y2"/>
    <mergeCell ref="B4:B6"/>
    <mergeCell ref="C4:C6"/>
    <mergeCell ref="D4:D6"/>
    <mergeCell ref="E4:E6"/>
    <mergeCell ref="F4:F6"/>
    <mergeCell ref="I4:I6"/>
    <mergeCell ref="J4:J6"/>
    <mergeCell ref="K4:K6"/>
    <mergeCell ref="L4:L6"/>
    <mergeCell ref="M4:M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销售台账</vt:lpstr>
      <vt:lpstr>HP业务应收、应付账款</vt:lpstr>
      <vt:lpstr>主营业务应付款</vt:lpstr>
    </vt:vector>
  </TitlesOfParts>
  <Company>jztec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a</cp:lastModifiedBy>
  <cp:lastPrinted>2011-04-12T07:29:05Z</cp:lastPrinted>
  <dcterms:created xsi:type="dcterms:W3CDTF">2011-03-28T08:52:02Z</dcterms:created>
  <dcterms:modified xsi:type="dcterms:W3CDTF">2011-09-30T01:27:56Z</dcterms:modified>
</cp:coreProperties>
</file>