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DELL\Desktop\portfolio_optimization\"/>
    </mc:Choice>
  </mc:AlternateContent>
  <xr:revisionPtr revIDLastSave="0" documentId="13_ncr:1_{733B4F35-A370-467F-8CA3-15699DCD6AD7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10LHs Categories" sheetId="2" r:id="rId1"/>
    <sheet name="4LHs Category Diversification" sheetId="5" r:id="rId2"/>
    <sheet name="4LHs Actual Performance(3)" sheetId="7" r:id="rId3"/>
    <sheet name="6LHs Category Diversification" sheetId="3" r:id="rId4"/>
    <sheet name="6LHs Consolidated Diversificati" sheetId="1" r:id="rId5"/>
    <sheet name="6LHs Actual Performance (2)" sheetId="4" r:id="rId6"/>
    <sheet name="6LHs Actual Performance (3)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7" l="1"/>
  <c r="J17" i="7"/>
  <c r="I11" i="7"/>
  <c r="I4" i="7"/>
  <c r="I5" i="7"/>
  <c r="I6" i="7"/>
  <c r="I7" i="7"/>
  <c r="I8" i="7"/>
  <c r="I9" i="7"/>
  <c r="I10" i="7"/>
  <c r="I3" i="7"/>
  <c r="J11" i="7"/>
  <c r="J4" i="7"/>
  <c r="J5" i="7"/>
  <c r="J6" i="7"/>
  <c r="J7" i="7"/>
  <c r="J8" i="7"/>
  <c r="J9" i="7"/>
  <c r="J10" i="7"/>
  <c r="J3" i="7"/>
  <c r="K11" i="7"/>
  <c r="K5" i="7"/>
  <c r="K6" i="7"/>
  <c r="K8" i="7"/>
  <c r="K9" i="7"/>
  <c r="K10" i="7"/>
  <c r="K4" i="7"/>
  <c r="K3" i="7"/>
  <c r="G4" i="7"/>
  <c r="G5" i="7"/>
  <c r="G6" i="7"/>
  <c r="G8" i="7"/>
  <c r="G9" i="7"/>
  <c r="G10" i="7"/>
  <c r="G3" i="7"/>
  <c r="F11" i="7"/>
  <c r="F10" i="7"/>
  <c r="F9" i="7"/>
  <c r="F8" i="7"/>
  <c r="F7" i="7"/>
  <c r="F6" i="7"/>
  <c r="F5" i="7"/>
  <c r="F4" i="7"/>
  <c r="F3" i="7"/>
  <c r="D11" i="7"/>
  <c r="C11" i="7"/>
  <c r="C10" i="7"/>
  <c r="C9" i="7"/>
  <c r="C8" i="7"/>
  <c r="C7" i="7"/>
  <c r="C6" i="7"/>
  <c r="C5" i="7"/>
  <c r="C4" i="7"/>
  <c r="C3" i="7"/>
  <c r="D10" i="7"/>
  <c r="D9" i="7"/>
  <c r="D8" i="7"/>
  <c r="D7" i="7"/>
  <c r="D6" i="7"/>
  <c r="D5" i="7"/>
  <c r="D4" i="7"/>
  <c r="D3" i="7"/>
  <c r="D4" i="4"/>
  <c r="J15" i="6"/>
  <c r="J17" i="6"/>
  <c r="C15" i="6"/>
  <c r="J14" i="6"/>
  <c r="F14" i="6"/>
  <c r="I14" i="6" s="1"/>
  <c r="K14" i="6" s="1"/>
  <c r="D14" i="6"/>
  <c r="J13" i="6"/>
  <c r="F13" i="6"/>
  <c r="I13" i="6" s="1"/>
  <c r="K13" i="6" s="1"/>
  <c r="D13" i="6"/>
  <c r="J12" i="6"/>
  <c r="I12" i="6"/>
  <c r="K12" i="6" s="1"/>
  <c r="F12" i="6"/>
  <c r="G12" i="6" s="1"/>
  <c r="D12" i="6"/>
  <c r="J11" i="6"/>
  <c r="F11" i="6"/>
  <c r="I11" i="6" s="1"/>
  <c r="K11" i="6" s="1"/>
  <c r="D11" i="6"/>
  <c r="J10" i="6"/>
  <c r="F10" i="6"/>
  <c r="I10" i="6" s="1"/>
  <c r="K10" i="6" s="1"/>
  <c r="D10" i="6"/>
  <c r="J9" i="6"/>
  <c r="F9" i="6"/>
  <c r="I9" i="6" s="1"/>
  <c r="K9" i="6" s="1"/>
  <c r="D9" i="6"/>
  <c r="J8" i="6"/>
  <c r="I8" i="6"/>
  <c r="K8" i="6" s="1"/>
  <c r="F8" i="6"/>
  <c r="G8" i="6" s="1"/>
  <c r="D8" i="6"/>
  <c r="J7" i="6"/>
  <c r="F7" i="6"/>
  <c r="G7" i="6" s="1"/>
  <c r="D7" i="6"/>
  <c r="J6" i="6"/>
  <c r="F6" i="6"/>
  <c r="I6" i="6" s="1"/>
  <c r="K6" i="6" s="1"/>
  <c r="D6" i="6"/>
  <c r="J5" i="6"/>
  <c r="F5" i="6"/>
  <c r="I5" i="6" s="1"/>
  <c r="K5" i="6" s="1"/>
  <c r="D5" i="6"/>
  <c r="J4" i="6"/>
  <c r="I4" i="6"/>
  <c r="K4" i="6" s="1"/>
  <c r="F4" i="6"/>
  <c r="F15" i="6" s="1"/>
  <c r="D4" i="6"/>
  <c r="D15" i="6" s="1"/>
  <c r="F8" i="5"/>
  <c r="H8" i="5" s="1"/>
  <c r="D7" i="2"/>
  <c r="D6" i="2"/>
  <c r="D5" i="2"/>
  <c r="F38" i="3"/>
  <c r="F34" i="3" s="1"/>
  <c r="F10" i="1" s="1"/>
  <c r="F11" i="3"/>
  <c r="F9" i="3" s="1"/>
  <c r="E8" i="2"/>
  <c r="D8" i="2" s="1"/>
  <c r="E12" i="5"/>
  <c r="C12" i="5"/>
  <c r="F11" i="5"/>
  <c r="H11" i="5" s="1"/>
  <c r="F10" i="5"/>
  <c r="H10" i="5" s="1"/>
  <c r="F9" i="5"/>
  <c r="F7" i="5"/>
  <c r="H7" i="5" s="1"/>
  <c r="G7" i="5" s="1"/>
  <c r="F6" i="5"/>
  <c r="H6" i="5" s="1"/>
  <c r="F5" i="5"/>
  <c r="H5" i="5" s="1"/>
  <c r="G5" i="5" s="1"/>
  <c r="F4" i="5"/>
  <c r="H4" i="5" s="1"/>
  <c r="J5" i="4"/>
  <c r="J6" i="4"/>
  <c r="J7" i="4"/>
  <c r="J8" i="4"/>
  <c r="J9" i="4"/>
  <c r="J10" i="4"/>
  <c r="J11" i="4"/>
  <c r="J12" i="4"/>
  <c r="J4" i="4"/>
  <c r="J13" i="4"/>
  <c r="J14" i="4"/>
  <c r="C15" i="4"/>
  <c r="E8" i="3"/>
  <c r="E36" i="3"/>
  <c r="E37" i="3"/>
  <c r="E35" i="3"/>
  <c r="D37" i="3"/>
  <c r="D36" i="3"/>
  <c r="D35" i="3"/>
  <c r="D34" i="3"/>
  <c r="C38" i="3"/>
  <c r="E23" i="3"/>
  <c r="E22" i="3"/>
  <c r="D10" i="3"/>
  <c r="D9" i="3"/>
  <c r="D8" i="3"/>
  <c r="D7" i="3"/>
  <c r="D23" i="3"/>
  <c r="D22" i="3"/>
  <c r="D21" i="3"/>
  <c r="C24" i="3"/>
  <c r="E10" i="3"/>
  <c r="E9" i="3"/>
  <c r="C11" i="3"/>
  <c r="F24" i="3"/>
  <c r="F21" i="3" s="1"/>
  <c r="B12" i="2"/>
  <c r="B13" i="2"/>
  <c r="B14" i="2"/>
  <c r="C14" i="1"/>
  <c r="I7" i="6" l="1"/>
  <c r="K7" i="6" s="1"/>
  <c r="K15" i="6" s="1"/>
  <c r="J22" i="6" s="1"/>
  <c r="G4" i="6"/>
  <c r="G11" i="6"/>
  <c r="G6" i="6"/>
  <c r="G10" i="6"/>
  <c r="G14" i="6"/>
  <c r="G5" i="6"/>
  <c r="G9" i="6"/>
  <c r="G13" i="6"/>
  <c r="G10" i="5"/>
  <c r="D9" i="2"/>
  <c r="G8" i="5"/>
  <c r="G4" i="5"/>
  <c r="H9" i="5"/>
  <c r="G9" i="5" s="1"/>
  <c r="G11" i="5"/>
  <c r="G6" i="5"/>
  <c r="F7" i="1"/>
  <c r="H7" i="1" s="1"/>
  <c r="G7" i="1" s="1"/>
  <c r="F8" i="4"/>
  <c r="G8" i="4" s="1"/>
  <c r="F11" i="4"/>
  <c r="G11" i="4" s="1"/>
  <c r="E24" i="3"/>
  <c r="E38" i="3"/>
  <c r="F36" i="3"/>
  <c r="F37" i="3"/>
  <c r="F35" i="3"/>
  <c r="H21" i="3"/>
  <c r="G21" i="3" s="1"/>
  <c r="F6" i="4"/>
  <c r="G6" i="4" s="1"/>
  <c r="F7" i="3"/>
  <c r="F8" i="3"/>
  <c r="F5" i="4" s="1"/>
  <c r="F10" i="3"/>
  <c r="F7" i="4" s="1"/>
  <c r="G7" i="4" s="1"/>
  <c r="F23" i="3"/>
  <c r="F10" i="4" s="1"/>
  <c r="G10" i="4" s="1"/>
  <c r="F22" i="3"/>
  <c r="F9" i="4" s="1"/>
  <c r="G9" i="4" s="1"/>
  <c r="H10" i="1"/>
  <c r="G10" i="1" s="1"/>
  <c r="I15" i="6" l="1"/>
  <c r="I10" i="4"/>
  <c r="K10" i="4" s="1"/>
  <c r="F4" i="4"/>
  <c r="G4" i="4" s="1"/>
  <c r="F3" i="1"/>
  <c r="I8" i="4"/>
  <c r="K8" i="4" s="1"/>
  <c r="H12" i="5"/>
  <c r="C8" i="2" s="1"/>
  <c r="G8" i="2" s="1"/>
  <c r="F8" i="2" s="1"/>
  <c r="I7" i="4"/>
  <c r="K7" i="4" s="1"/>
  <c r="F13" i="1"/>
  <c r="H13" i="1" s="1"/>
  <c r="G13" i="1" s="1"/>
  <c r="F14" i="4"/>
  <c r="I6" i="4"/>
  <c r="K6" i="4" s="1"/>
  <c r="F12" i="1"/>
  <c r="H12" i="1" s="1"/>
  <c r="G12" i="1" s="1"/>
  <c r="F13" i="4"/>
  <c r="I9" i="4"/>
  <c r="K9" i="4" s="1"/>
  <c r="G5" i="4"/>
  <c r="I5" i="4"/>
  <c r="K5" i="4" s="1"/>
  <c r="F11" i="1"/>
  <c r="H11" i="1" s="1"/>
  <c r="G11" i="1" s="1"/>
  <c r="F12" i="4"/>
  <c r="I11" i="4"/>
  <c r="K11" i="4" s="1"/>
  <c r="J15" i="4"/>
  <c r="H10" i="3"/>
  <c r="G10" i="3" s="1"/>
  <c r="F6" i="1"/>
  <c r="H8" i="3"/>
  <c r="G8" i="3" s="1"/>
  <c r="F4" i="1"/>
  <c r="H9" i="3"/>
  <c r="G9" i="3" s="1"/>
  <c r="F5" i="1"/>
  <c r="H22" i="3"/>
  <c r="F8" i="1"/>
  <c r="H23" i="3"/>
  <c r="G23" i="3" s="1"/>
  <c r="F9" i="1"/>
  <c r="H7" i="3"/>
  <c r="G7" i="3" s="1"/>
  <c r="H35" i="3"/>
  <c r="G35" i="3" s="1"/>
  <c r="H34" i="3"/>
  <c r="H37" i="3"/>
  <c r="G37" i="3" s="1"/>
  <c r="H36" i="3"/>
  <c r="G36" i="3" s="1"/>
  <c r="E11" i="3"/>
  <c r="F14" i="1" l="1"/>
  <c r="E3" i="1" s="1"/>
  <c r="H3" i="1"/>
  <c r="G3" i="1" s="1"/>
  <c r="I4" i="4"/>
  <c r="K4" i="4" s="1"/>
  <c r="G12" i="5"/>
  <c r="H14" i="5"/>
  <c r="I14" i="4"/>
  <c r="K14" i="4" s="1"/>
  <c r="G14" i="4"/>
  <c r="G13" i="4"/>
  <c r="I13" i="4"/>
  <c r="K13" i="4" s="1"/>
  <c r="G12" i="4"/>
  <c r="I12" i="4"/>
  <c r="K12" i="4" s="1"/>
  <c r="F15" i="4"/>
  <c r="H4" i="1"/>
  <c r="H8" i="1"/>
  <c r="G8" i="1" s="1"/>
  <c r="H6" i="1"/>
  <c r="G6" i="1" s="1"/>
  <c r="H11" i="3"/>
  <c r="G11" i="3" s="1"/>
  <c r="H9" i="1"/>
  <c r="G9" i="1" s="1"/>
  <c r="H5" i="1"/>
  <c r="G5" i="1" s="1"/>
  <c r="H38" i="3"/>
  <c r="H40" i="3" s="1"/>
  <c r="C7" i="2" s="1"/>
  <c r="G7" i="2" s="1"/>
  <c r="F7" i="2" s="1"/>
  <c r="G34" i="3"/>
  <c r="G38" i="3" s="1"/>
  <c r="H24" i="3"/>
  <c r="H26" i="3" s="1"/>
  <c r="C6" i="2" s="1"/>
  <c r="G6" i="2" s="1"/>
  <c r="F6" i="2" s="1"/>
  <c r="G22" i="3"/>
  <c r="G24" i="3" s="1"/>
  <c r="K15" i="4" l="1"/>
  <c r="J22" i="4" s="1"/>
  <c r="E8" i="1"/>
  <c r="D9" i="4" s="1"/>
  <c r="E4" i="1"/>
  <c r="D5" i="4" s="1"/>
  <c r="I15" i="4"/>
  <c r="E5" i="1"/>
  <c r="D6" i="4" s="1"/>
  <c r="E6" i="1"/>
  <c r="D7" i="4" s="1"/>
  <c r="E9" i="1"/>
  <c r="D10" i="4" s="1"/>
  <c r="H14" i="1"/>
  <c r="H16" i="1" s="1"/>
  <c r="J17" i="4" s="1"/>
  <c r="G4" i="1"/>
  <c r="G14" i="1" s="1"/>
  <c r="E7" i="1"/>
  <c r="D8" i="4" s="1"/>
  <c r="E10" i="1"/>
  <c r="D11" i="4" s="1"/>
  <c r="E11" i="1"/>
  <c r="D12" i="4" s="1"/>
  <c r="E12" i="1"/>
  <c r="D13" i="4" s="1"/>
  <c r="E13" i="1"/>
  <c r="D14" i="4" s="1"/>
  <c r="H13" i="3"/>
  <c r="C5" i="2" s="1"/>
  <c r="G5" i="2" s="1"/>
  <c r="F5" i="2" s="1"/>
  <c r="F9" i="2" s="1"/>
  <c r="D15" i="4" l="1"/>
  <c r="G9" i="2"/>
  <c r="F11" i="2" s="1"/>
  <c r="E14" i="1"/>
</calcChain>
</file>

<file path=xl/sharedStrings.xml><?xml version="1.0" encoding="utf-8"?>
<sst xmlns="http://schemas.openxmlformats.org/spreadsheetml/2006/main" count="262" uniqueCount="66">
  <si>
    <t>Optimized Assests Allocation for Portfolio</t>
  </si>
  <si>
    <t>Title</t>
  </si>
  <si>
    <t>Risk Associated</t>
  </si>
  <si>
    <t>Risk Rating with Allocation Weight</t>
  </si>
  <si>
    <t>Return on Investment (ROI)</t>
  </si>
  <si>
    <t>Invested Amount</t>
  </si>
  <si>
    <t>Final Amount</t>
  </si>
  <si>
    <t>Interest Generated</t>
  </si>
  <si>
    <t>Moderately Low</t>
  </si>
  <si>
    <t>Very High</t>
  </si>
  <si>
    <t>Total</t>
  </si>
  <si>
    <t>ROI from Investment (in %)</t>
  </si>
  <si>
    <t>NiftyBees</t>
  </si>
  <si>
    <t>BankBees</t>
  </si>
  <si>
    <t>GoldBees</t>
  </si>
  <si>
    <t>High</t>
  </si>
  <si>
    <t>ITBees</t>
  </si>
  <si>
    <t>Bitcoin</t>
  </si>
  <si>
    <t>Extreme</t>
  </si>
  <si>
    <t>Etheruem</t>
  </si>
  <si>
    <t>BNB</t>
  </si>
  <si>
    <t>ICICI Bank</t>
  </si>
  <si>
    <t>PB Fintech</t>
  </si>
  <si>
    <t>Portfolio Allocation % (Rs3,00,000)</t>
  </si>
  <si>
    <t>Hindustan Aeronautics</t>
  </si>
  <si>
    <t>Sun Pharma</t>
  </si>
  <si>
    <t>Equity ETF</t>
  </si>
  <si>
    <t>Crypto</t>
  </si>
  <si>
    <t>Stocks</t>
  </si>
  <si>
    <t>Stocks Total Returns</t>
  </si>
  <si>
    <t>Crypto Total Returns</t>
  </si>
  <si>
    <t>ETF Total Returns</t>
  </si>
  <si>
    <t>ROI from ETF Investment (in %)</t>
  </si>
  <si>
    <t>ETF Allocation %</t>
  </si>
  <si>
    <t>Ethereum</t>
  </si>
  <si>
    <t>Crypto Allocation %</t>
  </si>
  <si>
    <t>ROI from Crypto Investment (in %)</t>
  </si>
  <si>
    <t>PB FinTech</t>
  </si>
  <si>
    <t>Base Price= Yr'2022 Price</t>
  </si>
  <si>
    <t>Current Price = Yr'2025 Price</t>
  </si>
  <si>
    <t>ROI = ((((Current Price - Base Price)/Base Price)3)*100)</t>
  </si>
  <si>
    <t>Moderate</t>
  </si>
  <si>
    <t>Current Price</t>
  </si>
  <si>
    <t>No. of Units Purchased</t>
  </si>
  <si>
    <t>Investment Made Date = 9th May 2025</t>
  </si>
  <si>
    <t>Interest Generated %</t>
  </si>
  <si>
    <t>Return on Investment Generated(Rs)</t>
  </si>
  <si>
    <t>Projected ROI per Month (in %)</t>
  </si>
  <si>
    <t>Buy Price</t>
  </si>
  <si>
    <t>Actual ROI per Month Generated (in %)</t>
  </si>
  <si>
    <t>Enter no. of Months ROI Generated</t>
  </si>
  <si>
    <t>Assests Allocation for Portfolio (Not Selected)</t>
  </si>
  <si>
    <t>Because ROI increased by only 1.0103% &amp; Risk associated increased from Moderately low to Moderate</t>
  </si>
  <si>
    <t>Portfolio Allocation % (Rs7,00,000)</t>
  </si>
  <si>
    <t>ICICI Prudential Gilt Fund</t>
  </si>
  <si>
    <t>ICICI Prudential All Seasons Bond</t>
  </si>
  <si>
    <t>Moderately High</t>
  </si>
  <si>
    <t>HDFC Corporate Bond Fund</t>
  </si>
  <si>
    <t>ICICI Prudential Long Term Bond</t>
  </si>
  <si>
    <t>T-Bills(365 Days)</t>
  </si>
  <si>
    <t>Low(Almost Risk Free)</t>
  </si>
  <si>
    <t>ICICI Prudential Bluechip Fund</t>
  </si>
  <si>
    <t>Kotak Debt Hybrid Fund</t>
  </si>
  <si>
    <t>MINDSPACE-RR</t>
  </si>
  <si>
    <t>Mutual Funds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</si>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</sst>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73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3" fillId="0" borderId="1" xfId="0" applyFont="1" applyBorder="1"/>
    <xf numFmtId="9" fontId="3" fillId="4" borderId="1" xfId="0" applyNumberFormat="1" applyFont="1" applyFill="1" applyBorder="1"/>
    <xf numFmtId="0" fontId="1" fillId="5" borderId="1" xfId="0" applyFont="1" applyFill="1" applyBorder="1"/>
    <xf numFmtId="0" fontId="4" fillId="5" borderId="1" xfId="0" applyFont="1" applyFill="1" applyBorder="1"/>
    <xf numFmtId="1" fontId="1" fillId="5" borderId="1" xfId="0" applyNumberFormat="1" applyFont="1" applyFill="1" applyBorder="1"/>
    <xf numFmtId="9" fontId="1" fillId="5" borderId="1" xfId="0" applyNumberFormat="1" applyFont="1" applyFill="1" applyBorder="1"/>
    <xf numFmtId="0" fontId="1" fillId="2" borderId="0" xfId="0" applyFont="1" applyFill="1" applyAlignment="1">
      <alignment shrinkToFit="1"/>
    </xf>
    <xf numFmtId="0" fontId="2" fillId="6" borderId="1" xfId="0" applyFont="1" applyFill="1" applyBorder="1" applyAlignment="1">
      <alignment vertical="center" wrapText="1"/>
    </xf>
    <xf numFmtId="0" fontId="3" fillId="6" borderId="1" xfId="0" applyFont="1" applyFill="1" applyBorder="1"/>
    <xf numFmtId="10" fontId="3" fillId="6" borderId="1" xfId="0" applyNumberFormat="1" applyFont="1" applyFill="1" applyBorder="1"/>
    <xf numFmtId="0" fontId="3" fillId="7" borderId="1" xfId="0" applyFont="1" applyFill="1" applyBorder="1"/>
    <xf numFmtId="10" fontId="3" fillId="7" borderId="1" xfId="0" applyNumberFormat="1" applyFont="1" applyFill="1" applyBorder="1"/>
    <xf numFmtId="0" fontId="3" fillId="8" borderId="1" xfId="0" applyFont="1" applyFill="1" applyBorder="1"/>
    <xf numFmtId="10" fontId="3" fillId="8" borderId="1" xfId="0" applyNumberFormat="1" applyFont="1" applyFill="1" applyBorder="1"/>
    <xf numFmtId="10" fontId="5" fillId="7" borderId="0" xfId="0" applyNumberFormat="1" applyFont="1" applyFill="1"/>
    <xf numFmtId="0" fontId="5" fillId="7" borderId="0" xfId="0" applyFont="1" applyFill="1"/>
    <xf numFmtId="0" fontId="3" fillId="0" borderId="0" xfId="0" applyFont="1"/>
    <xf numFmtId="10" fontId="1" fillId="2" borderId="0" xfId="0" applyNumberFormat="1" applyFont="1" applyFill="1"/>
    <xf numFmtId="10" fontId="3" fillId="4" borderId="1" xfId="0" applyNumberFormat="1" applyFont="1" applyFill="1" applyBorder="1"/>
    <xf numFmtId="10" fontId="1" fillId="5" borderId="1" xfId="0" applyNumberFormat="1" applyFont="1" applyFill="1" applyBorder="1"/>
    <xf numFmtId="9" fontId="0" fillId="0" borderId="0" xfId="0" applyNumberFormat="1"/>
    <xf numFmtId="9" fontId="3" fillId="9" borderId="1" xfId="0" applyNumberFormat="1" applyFont="1" applyFill="1" applyBorder="1"/>
    <xf numFmtId="10" fontId="3" fillId="9" borderId="1" xfId="0" applyNumberFormat="1" applyFont="1" applyFill="1" applyBorder="1"/>
    <xf numFmtId="0" fontId="0" fillId="0" borderId="1" xfId="0" applyBorder="1"/>
    <xf numFmtId="0" fontId="3" fillId="0" borderId="1" xfId="0" applyFont="1" applyBorder="1" applyAlignment="1">
      <alignment shrinkToFit="1"/>
    </xf>
    <xf numFmtId="0" fontId="0" fillId="9" borderId="0" xfId="0" applyFill="1"/>
    <xf numFmtId="0" fontId="0" fillId="6" borderId="0" xfId="0" applyFill="1"/>
    <xf numFmtId="2" fontId="3" fillId="0" borderId="1" xfId="0" applyNumberFormat="1" applyFont="1" applyBorder="1"/>
    <xf numFmtId="2" fontId="0" fillId="0" borderId="1" xfId="0" applyNumberFormat="1" applyBorder="1"/>
    <xf numFmtId="2" fontId="1" fillId="5" borderId="1" xfId="0" applyNumberFormat="1" applyFont="1" applyFill="1" applyBorder="1"/>
    <xf numFmtId="2" fontId="3" fillId="6" borderId="1" xfId="0" applyNumberFormat="1" applyFont="1" applyFill="1" applyBorder="1"/>
    <xf numFmtId="0" fontId="1" fillId="3" borderId="2" xfId="0" applyFont="1" applyFill="1" applyBorder="1" applyAlignment="1">
      <alignment shrinkToFit="1"/>
    </xf>
    <xf numFmtId="10" fontId="1" fillId="3" borderId="3" xfId="0" applyNumberFormat="1" applyFont="1" applyFill="1" applyBorder="1"/>
    <xf numFmtId="0" fontId="1" fillId="2" borderId="2" xfId="0" applyFont="1" applyFill="1" applyBorder="1" applyAlignment="1">
      <alignment shrinkToFit="1"/>
    </xf>
    <xf numFmtId="10" fontId="1" fillId="2" borderId="3" xfId="0" applyNumberFormat="1" applyFont="1" applyFill="1" applyBorder="1"/>
    <xf numFmtId="0" fontId="6" fillId="8" borderId="2" xfId="0" applyFont="1" applyFill="1" applyBorder="1"/>
    <xf numFmtId="0" fontId="6" fillId="8" borderId="3" xfId="0" applyFont="1" applyFill="1" applyBorder="1"/>
    <xf numFmtId="10" fontId="7" fillId="10" borderId="0" xfId="0" applyNumberFormat="1" applyFont="1" applyFill="1"/>
    <xf numFmtId="0" fontId="2" fillId="0" borderId="1" xfId="0" applyFont="1" applyBorder="1" applyAlignment="1">
      <alignment vertical="center" wrapText="1"/>
    </xf>
    <xf numFmtId="10" fontId="3" fillId="0" borderId="1" xfId="0" applyNumberFormat="1" applyFont="1" applyBorder="1"/>
    <xf numFmtId="9" fontId="3" fillId="0" borderId="1" xfId="0" applyNumberFormat="1" applyFont="1" applyBorder="1"/>
    <xf numFmtId="0" fontId="0" fillId="0" borderId="0" xfId="0" applyAlignment="1">
      <alignment shrinkToFit="1"/>
    </xf>
    <xf numFmtId="0" fontId="1" fillId="2" borderId="0" xfId="0" applyFont="1" applyFill="1"/>
    <xf numFmtId="9" fontId="0" fillId="2" borderId="0" xfId="1" applyFont="1" applyFill="1"/>
    <xf numFmtId="9" fontId="0" fillId="0" borderId="0" xfId="1" applyFont="1"/>
    <xf numFmtId="9" fontId="1" fillId="3" borderId="1" xfId="1" applyFont="1" applyFill="1" applyBorder="1"/>
    <xf numFmtId="9" fontId="3" fillId="6" borderId="1" xfId="1" applyFont="1" applyFill="1" applyBorder="1"/>
    <xf numFmtId="9" fontId="2" fillId="11" borderId="1" xfId="1" applyFont="1" applyFill="1" applyBorder="1" applyAlignment="1">
      <alignment vertical="center" wrapText="1"/>
    </xf>
    <xf numFmtId="9" fontId="3" fillId="11" borderId="1" xfId="1" applyFont="1" applyFill="1" applyBorder="1"/>
    <xf numFmtId="9" fontId="1" fillId="5" borderId="1" xfId="1" applyFont="1" applyFill="1" applyBorder="1"/>
    <xf numFmtId="9" fontId="4" fillId="5" borderId="1" xfId="1" applyFont="1" applyFill="1" applyBorder="1"/>
    <xf numFmtId="9" fontId="1" fillId="2" borderId="2" xfId="1" applyFont="1" applyFill="1" applyBorder="1" applyAlignment="1">
      <alignment shrinkToFit="1"/>
    </xf>
    <xf numFmtId="9" fontId="0" fillId="9" borderId="0" xfId="1" applyFont="1" applyFill="1"/>
    <xf numFmtId="0" fontId="0" fillId="0" borderId="0" xfId="1" applyNumberFormat="1" applyFont="1"/>
    <xf numFmtId="0" fontId="1" fillId="5" borderId="1" xfId="1" applyNumberFormat="1" applyFont="1" applyFill="1" applyBorder="1"/>
    <xf numFmtId="1" fontId="0" fillId="0" borderId="0" xfId="1" applyNumberFormat="1" applyFont="1"/>
    <xf numFmtId="1" fontId="1" fillId="5" borderId="1" xfId="1" applyNumberFormat="1" applyFont="1" applyFill="1" applyBorder="1"/>
    <xf numFmtId="1" fontId="0" fillId="0" borderId="0" xfId="1" applyNumberFormat="1" applyFont="1" applyAlignment="1">
      <alignment horizontal="right"/>
    </xf>
    <xf numFmtId="2" fontId="0" fillId="0" borderId="0" xfId="1" applyNumberFormat="1" applyFont="1"/>
    <xf numFmtId="2" fontId="0" fillId="0" borderId="0" xfId="1" applyNumberFormat="1" applyFont="1" applyAlignment="1">
      <alignment horizontal="right"/>
    </xf>
    <xf numFmtId="2" fontId="1" fillId="5" borderId="1" xfId="1" applyNumberFormat="1" applyFont="1" applyFill="1" applyBorder="1"/>
    <xf numFmtId="164" fontId="0" fillId="0" borderId="0" xfId="1" applyNumberFormat="1" applyFont="1"/>
    <xf numFmtId="164" fontId="1" fillId="5" borderId="1" xfId="1" applyNumberFormat="1" applyFont="1" applyFill="1" applyBorder="1"/>
    <xf numFmtId="2" fontId="1" fillId="2" borderId="3" xfId="1" applyNumberFormat="1" applyFont="1" applyFill="1" applyBorder="1"/>
    <xf numFmtId="0" fontId="6" fillId="8" borderId="4" xfId="0" applyFont="1" applyFill="1" applyBorder="1"/>
    <xf numFmtId="0" fontId="6" fillId="8" borderId="5" xfId="0" applyFont="1" applyFill="1" applyBorder="1"/>
    <xf numFmtId="0" fontId="1" fillId="3" borderId="6" xfId="0" applyFont="1" applyFill="1" applyBorder="1" applyAlignment="1">
      <alignment shrinkToFit="1"/>
    </xf>
    <xf numFmtId="10" fontId="1" fillId="3" borderId="7" xfId="0" applyNumberFormat="1" applyFont="1" applyFill="1" applyBorder="1"/>
    <xf numFmtId="9" fontId="0" fillId="0" borderId="0" xfId="1" applyFont="1" applyBorder="1"/>
    <xf numFmtId="9" fontId="6" fillId="10" borderId="0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6568F-19B5-40B1-B25F-C745EAC323EC}">
  <dimension ref="A3:G14"/>
  <sheetViews>
    <sheetView zoomScale="74" workbookViewId="0">
      <selection activeCell="B24" sqref="B24"/>
    </sheetView>
  </sheetViews>
  <sheetFormatPr defaultRowHeight="14.4" x14ac:dyDescent="0.3"/>
  <cols>
    <col min="1" max="1" width="35.44140625" bestFit="1" customWidth="1"/>
    <col min="2" max="2" width="19.109375" bestFit="1" customWidth="1"/>
    <col min="3" max="3" width="33.88671875" bestFit="1" customWidth="1"/>
    <col min="4" max="4" width="41.88671875" bestFit="1" customWidth="1"/>
    <col min="5" max="5" width="33.33203125" bestFit="1" customWidth="1"/>
    <col min="6" max="6" width="16.5546875" bestFit="1" customWidth="1"/>
    <col min="7" max="7" width="23.77734375" bestFit="1" customWidth="1"/>
  </cols>
  <sheetData>
    <row r="3" spans="1:7" x14ac:dyDescent="0.3">
      <c r="A3" s="1" t="s">
        <v>0</v>
      </c>
    </row>
    <row r="4" spans="1:7" ht="19.8" x14ac:dyDescent="0.4">
      <c r="A4" s="2" t="s">
        <v>1</v>
      </c>
      <c r="B4" s="2" t="s">
        <v>2</v>
      </c>
      <c r="C4" s="2" t="s">
        <v>4</v>
      </c>
      <c r="D4" s="2" t="s">
        <v>23</v>
      </c>
      <c r="E4" s="2" t="s">
        <v>5</v>
      </c>
      <c r="F4" s="2" t="s">
        <v>6</v>
      </c>
      <c r="G4" s="2" t="s">
        <v>7</v>
      </c>
    </row>
    <row r="5" spans="1:7" ht="15.6" x14ac:dyDescent="0.3">
      <c r="A5" s="10" t="s">
        <v>26</v>
      </c>
      <c r="B5" s="11" t="s">
        <v>9</v>
      </c>
      <c r="C5" s="12">
        <f>'6LHs Category Diversification'!H13</f>
        <v>0.21716003999999997</v>
      </c>
      <c r="D5" s="4">
        <f>E5/E9</f>
        <v>0.34799999999999998</v>
      </c>
      <c r="E5" s="3">
        <v>348000</v>
      </c>
      <c r="F5" s="3">
        <f>E5+G5</f>
        <v>423571.69391999999</v>
      </c>
      <c r="G5" s="3">
        <f>E5*C5</f>
        <v>75571.693919999991</v>
      </c>
    </row>
    <row r="6" spans="1:7" ht="15.6" x14ac:dyDescent="0.3">
      <c r="A6" s="13" t="s">
        <v>27</v>
      </c>
      <c r="B6" s="13" t="s">
        <v>18</v>
      </c>
      <c r="C6" s="14">
        <f>'6LHs Category Diversification'!H26</f>
        <v>0.79332000000000003</v>
      </c>
      <c r="D6" s="4">
        <f>E6/E9</f>
        <v>7.1999999999999995E-2</v>
      </c>
      <c r="E6" s="3">
        <v>72000</v>
      </c>
      <c r="F6" s="3">
        <f t="shared" ref="F6:F7" si="0">E6+G6</f>
        <v>129119.04000000001</v>
      </c>
      <c r="G6" s="3">
        <f>E6*C6</f>
        <v>57119.040000000001</v>
      </c>
    </row>
    <row r="7" spans="1:7" ht="15.6" x14ac:dyDescent="0.3">
      <c r="A7" s="15" t="s">
        <v>28</v>
      </c>
      <c r="B7" s="15" t="s">
        <v>9</v>
      </c>
      <c r="C7" s="16">
        <f>'6LHs Category Diversification'!H40</f>
        <v>0.58724569000000004</v>
      </c>
      <c r="D7" s="4">
        <f>E7/E9</f>
        <v>0.18</v>
      </c>
      <c r="E7" s="3">
        <v>180000</v>
      </c>
      <c r="F7" s="3">
        <f t="shared" si="0"/>
        <v>285704.2242</v>
      </c>
      <c r="G7" s="3">
        <f>E7*C7</f>
        <v>105704.22420000001</v>
      </c>
    </row>
    <row r="8" spans="1:7" ht="15.6" x14ac:dyDescent="0.3">
      <c r="A8" s="15" t="s">
        <v>64</v>
      </c>
      <c r="B8" s="15" t="s">
        <v>41</v>
      </c>
      <c r="C8" s="16">
        <f>'4LHs Category Diversification'!H12/'4LHs Category Diversification'!F12</f>
        <v>0.112118</v>
      </c>
      <c r="D8" s="4">
        <f>E8/E9</f>
        <v>0.4</v>
      </c>
      <c r="E8" s="3">
        <f>'4LHs Category Diversification'!F12</f>
        <v>400000</v>
      </c>
      <c r="F8" s="3">
        <f t="shared" ref="F8" si="1">E8+G8</f>
        <v>444847.2</v>
      </c>
      <c r="G8" s="3">
        <f>E8*C8</f>
        <v>44847.199999999997</v>
      </c>
    </row>
    <row r="9" spans="1:7" ht="19.8" x14ac:dyDescent="0.4">
      <c r="A9" s="5" t="s">
        <v>10</v>
      </c>
      <c r="B9" s="6" t="s">
        <v>8</v>
      </c>
      <c r="C9" s="5"/>
      <c r="D9" s="8">
        <f>SUM(D5:D8)</f>
        <v>1</v>
      </c>
      <c r="E9" s="5">
        <v>1000000</v>
      </c>
      <c r="F9" s="5">
        <f>SUM(F5:F7)</f>
        <v>838394.95812000008</v>
      </c>
      <c r="G9" s="5">
        <f>SUM(G5:G7)</f>
        <v>238394.95812000002</v>
      </c>
    </row>
    <row r="10" spans="1:7" ht="15.6" x14ac:dyDescent="0.3">
      <c r="F10" s="19"/>
      <c r="G10" s="19"/>
    </row>
    <row r="11" spans="1:7" ht="19.8" x14ac:dyDescent="0.4">
      <c r="E11" s="9" t="s">
        <v>11</v>
      </c>
      <c r="F11" s="20">
        <f>G9/E9</f>
        <v>0.23839495812000003</v>
      </c>
      <c r="G11" s="19"/>
    </row>
    <row r="12" spans="1:7" ht="15.6" x14ac:dyDescent="0.3">
      <c r="A12" s="18" t="s">
        <v>31</v>
      </c>
      <c r="B12" s="17">
        <f>'6LHs Consolidated Diversificati'!D3+'6LHs Consolidated Diversificati'!D4+'6LHs Consolidated Diversificati'!D5+'6LHs Consolidated Diversificati'!D6</f>
        <v>0.79960000000000009</v>
      </c>
      <c r="F12" s="19"/>
      <c r="G12" s="19"/>
    </row>
    <row r="13" spans="1:7" ht="15.6" x14ac:dyDescent="0.3">
      <c r="A13" s="18" t="s">
        <v>30</v>
      </c>
      <c r="B13" s="17">
        <f>'6LHs Consolidated Diversificati'!D7+'6LHs Consolidated Diversificati'!D8+'6LHs Consolidated Diversificati'!D9</f>
        <v>1.4197</v>
      </c>
      <c r="F13" s="19"/>
      <c r="G13" s="19"/>
    </row>
    <row r="14" spans="1:7" ht="15.6" x14ac:dyDescent="0.3">
      <c r="A14" s="18" t="s">
        <v>29</v>
      </c>
      <c r="B14" s="17">
        <f>'6LHs Consolidated Diversificati'!D10+'6LHs Consolidated Diversificati'!D11+'6LHs Consolidated Diversificati'!D12+'6LHs Consolidated Diversificati'!D13</f>
        <v>3.0409999999999999</v>
      </c>
      <c r="F14" s="19"/>
      <c r="G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28811-0D91-4140-9E1A-6CE24D6CBCF9}">
  <dimension ref="A2:H14"/>
  <sheetViews>
    <sheetView topLeftCell="C1" workbookViewId="0">
      <selection activeCell="E17" sqref="E17"/>
    </sheetView>
  </sheetViews>
  <sheetFormatPr defaultRowHeight="14.4" x14ac:dyDescent="0.3"/>
  <cols>
    <col min="1" max="1" width="38.88671875" bestFit="1" customWidth="1"/>
    <col min="2" max="2" width="23" customWidth="1"/>
    <col min="3" max="3" width="41.77734375" customWidth="1"/>
    <col min="4" max="4" width="33.88671875" bestFit="1" customWidth="1"/>
    <col min="5" max="5" width="41.88671875" bestFit="1" customWidth="1"/>
    <col min="6" max="6" width="21.33203125" bestFit="1" customWidth="1"/>
    <col min="7" max="7" width="33.33203125" bestFit="1" customWidth="1"/>
    <col min="8" max="8" width="23.77734375" bestFit="1" customWidth="1"/>
  </cols>
  <sheetData>
    <row r="2" spans="1:8" x14ac:dyDescent="0.3">
      <c r="A2" s="1" t="s">
        <v>51</v>
      </c>
      <c r="B2" t="s">
        <v>52</v>
      </c>
    </row>
    <row r="3" spans="1:8" ht="19.8" x14ac:dyDescent="0.4">
      <c r="A3" s="2" t="s">
        <v>1</v>
      </c>
      <c r="B3" s="2" t="s">
        <v>2</v>
      </c>
      <c r="C3" s="2" t="s">
        <v>3</v>
      </c>
      <c r="D3" s="2" t="s">
        <v>4</v>
      </c>
      <c r="E3" s="2" t="s">
        <v>53</v>
      </c>
      <c r="F3" s="2" t="s">
        <v>5</v>
      </c>
      <c r="G3" s="2" t="s">
        <v>6</v>
      </c>
      <c r="H3" s="2" t="s">
        <v>7</v>
      </c>
    </row>
    <row r="4" spans="1:8" ht="60" x14ac:dyDescent="0.3">
      <c r="A4" s="41" t="s">
        <v>54</v>
      </c>
      <c r="B4" s="3" t="s">
        <v>8</v>
      </c>
      <c r="C4" s="3">
        <v>1</v>
      </c>
      <c r="D4" s="42">
        <v>9.4700000000000006E-2</v>
      </c>
      <c r="E4" s="43">
        <v>0.12</v>
      </c>
      <c r="F4" s="3">
        <f>F12*E4</f>
        <v>48000</v>
      </c>
      <c r="G4" s="3">
        <f>F4+H4</f>
        <v>52545.599999999999</v>
      </c>
      <c r="H4" s="3">
        <f t="shared" ref="H4:H11" si="0">F4*D4</f>
        <v>4545.6000000000004</v>
      </c>
    </row>
    <row r="5" spans="1:8" ht="15.6" x14ac:dyDescent="0.3">
      <c r="A5" s="3" t="s">
        <v>55</v>
      </c>
      <c r="B5" s="3" t="s">
        <v>56</v>
      </c>
      <c r="C5" s="3">
        <v>3.5</v>
      </c>
      <c r="D5" s="42">
        <v>9.4799999999999995E-2</v>
      </c>
      <c r="E5" s="43">
        <v>0.13</v>
      </c>
      <c r="F5" s="3">
        <f>F12*E5</f>
        <v>52000</v>
      </c>
      <c r="G5" s="3">
        <f t="shared" ref="G5:G12" si="1">F5+H5</f>
        <v>56929.599999999999</v>
      </c>
      <c r="H5" s="3">
        <f t="shared" si="0"/>
        <v>4929.5999999999995</v>
      </c>
    </row>
    <row r="6" spans="1:8" ht="15.6" x14ac:dyDescent="0.3">
      <c r="A6" s="3" t="s">
        <v>57</v>
      </c>
      <c r="B6" s="3" t="s">
        <v>8</v>
      </c>
      <c r="C6" s="3">
        <v>1.5</v>
      </c>
      <c r="D6" s="42">
        <v>8.6599999999999996E-2</v>
      </c>
      <c r="E6" s="43">
        <v>0.13</v>
      </c>
      <c r="F6" s="3">
        <f>F12*E6</f>
        <v>52000</v>
      </c>
      <c r="G6" s="3">
        <f t="shared" si="1"/>
        <v>56503.199999999997</v>
      </c>
      <c r="H6" s="3">
        <f t="shared" si="0"/>
        <v>4503.2</v>
      </c>
    </row>
    <row r="7" spans="1:8" ht="15.6" x14ac:dyDescent="0.3">
      <c r="A7" s="3" t="s">
        <v>58</v>
      </c>
      <c r="B7" s="3" t="s">
        <v>8</v>
      </c>
      <c r="C7" s="3">
        <v>0.75</v>
      </c>
      <c r="D7" s="42">
        <v>9.8100000000000007E-2</v>
      </c>
      <c r="E7" s="43">
        <v>0.12</v>
      </c>
      <c r="F7" s="3">
        <f>F12*E7</f>
        <v>48000</v>
      </c>
      <c r="G7" s="3">
        <f t="shared" si="1"/>
        <v>52708.800000000003</v>
      </c>
      <c r="H7" s="3">
        <f t="shared" si="0"/>
        <v>4708.8</v>
      </c>
    </row>
    <row r="8" spans="1:8" ht="15.6" x14ac:dyDescent="0.3">
      <c r="A8" s="3" t="s">
        <v>59</v>
      </c>
      <c r="B8" s="3" t="s">
        <v>60</v>
      </c>
      <c r="C8" s="3">
        <v>0</v>
      </c>
      <c r="D8" s="42">
        <v>6.7500000000000004E-2</v>
      </c>
      <c r="E8" s="43">
        <v>0.2</v>
      </c>
      <c r="F8" s="3">
        <f>F12*E8</f>
        <v>80000</v>
      </c>
      <c r="G8" s="3">
        <f t="shared" si="1"/>
        <v>85400</v>
      </c>
      <c r="H8" s="3">
        <f t="shared" si="0"/>
        <v>5400</v>
      </c>
    </row>
    <row r="9" spans="1:8" ht="15.6" x14ac:dyDescent="0.3">
      <c r="A9" s="3" t="s">
        <v>61</v>
      </c>
      <c r="B9" s="3" t="s">
        <v>9</v>
      </c>
      <c r="C9" s="3">
        <v>5.75</v>
      </c>
      <c r="D9" s="42">
        <v>0.21190000000000001</v>
      </c>
      <c r="E9" s="43">
        <v>0.15</v>
      </c>
      <c r="F9" s="3">
        <f>F12*E9</f>
        <v>60000</v>
      </c>
      <c r="G9" s="3">
        <f t="shared" si="1"/>
        <v>72714</v>
      </c>
      <c r="H9" s="3">
        <f t="shared" si="0"/>
        <v>12714</v>
      </c>
    </row>
    <row r="10" spans="1:8" ht="15.6" x14ac:dyDescent="0.3">
      <c r="A10" s="3" t="s">
        <v>62</v>
      </c>
      <c r="B10" s="3" t="s">
        <v>56</v>
      </c>
      <c r="C10" s="3">
        <v>4.5</v>
      </c>
      <c r="D10" s="42">
        <v>0.13200000000000001</v>
      </c>
      <c r="E10" s="43">
        <v>0.1</v>
      </c>
      <c r="F10" s="3">
        <f>F12*E10</f>
        <v>40000</v>
      </c>
      <c r="G10" s="3">
        <f t="shared" si="1"/>
        <v>45280</v>
      </c>
      <c r="H10" s="3">
        <f t="shared" si="0"/>
        <v>5280</v>
      </c>
    </row>
    <row r="11" spans="1:8" ht="15.6" x14ac:dyDescent="0.3">
      <c r="A11" s="3" t="s">
        <v>63</v>
      </c>
      <c r="B11" s="3" t="s">
        <v>56</v>
      </c>
      <c r="C11" s="3">
        <v>4</v>
      </c>
      <c r="D11" s="42">
        <v>0.13830000000000001</v>
      </c>
      <c r="E11" s="43">
        <v>0.05</v>
      </c>
      <c r="F11" s="3">
        <f>F12*E11</f>
        <v>20000</v>
      </c>
      <c r="G11" s="3">
        <f t="shared" si="1"/>
        <v>22766</v>
      </c>
      <c r="H11" s="3">
        <f t="shared" si="0"/>
        <v>2766</v>
      </c>
    </row>
    <row r="12" spans="1:8" ht="19.8" x14ac:dyDescent="0.4">
      <c r="A12" s="5" t="s">
        <v>10</v>
      </c>
      <c r="B12" s="6" t="s">
        <v>41</v>
      </c>
      <c r="C12" s="7">
        <f>AVERAGE(C4:C11)</f>
        <v>2.625</v>
      </c>
      <c r="D12" s="5"/>
      <c r="E12" s="8">
        <f>SUM(E4:E11)</f>
        <v>1</v>
      </c>
      <c r="F12" s="5">
        <v>400000</v>
      </c>
      <c r="G12" s="5">
        <f t="shared" si="1"/>
        <v>444847.2</v>
      </c>
      <c r="H12" s="5">
        <f>SUM(H4:H11)</f>
        <v>44847.199999999997</v>
      </c>
    </row>
    <row r="14" spans="1:8" ht="19.8" x14ac:dyDescent="0.4">
      <c r="F14" s="44"/>
      <c r="G14" s="9" t="s">
        <v>11</v>
      </c>
      <c r="H14" s="45">
        <f>H12/F12*100</f>
        <v>11.2118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7F9E3-0D26-49DD-B697-44DBB448E5C3}">
  <dimension ref="A1:K17"/>
  <sheetViews>
    <sheetView tabSelected="1" workbookViewId="0">
      <pane xSplit="1" topLeftCell="B1" activePane="topRight" state="frozen"/>
      <selection pane="topRight" activeCell="K15" sqref="K15"/>
    </sheetView>
  </sheetViews>
  <sheetFormatPr defaultRowHeight="14.4" x14ac:dyDescent="0.3"/>
  <cols>
    <col min="1" max="1" width="35.44140625" style="47" bestFit="1" customWidth="1"/>
    <col min="2" max="2" width="19.109375" style="47" bestFit="1" customWidth="1"/>
    <col min="3" max="3" width="41.77734375" style="47" bestFit="1" customWidth="1"/>
    <col min="4" max="4" width="41.88671875" style="47" bestFit="1" customWidth="1"/>
    <col min="5" max="5" width="11.88671875" style="47" bestFit="1" customWidth="1"/>
    <col min="6" max="6" width="21.33203125" style="47" bestFit="1" customWidth="1"/>
    <col min="7" max="7" width="27.77734375" style="47" bestFit="1" customWidth="1"/>
    <col min="8" max="8" width="16.44140625" style="47" bestFit="1" customWidth="1"/>
    <col min="9" max="9" width="38.109375" style="47" bestFit="1" customWidth="1"/>
    <col min="10" max="10" width="26.5546875" style="47" bestFit="1" customWidth="1"/>
    <col min="11" max="11" width="44.88671875" style="47" bestFit="1" customWidth="1"/>
    <col min="12" max="16384" width="8.88671875" style="47"/>
  </cols>
  <sheetData>
    <row r="1" spans="1:11" x14ac:dyDescent="0.3">
      <c r="A1" s="46" t="s">
        <v>0</v>
      </c>
    </row>
    <row r="2" spans="1:11" ht="19.8" x14ac:dyDescent="0.4">
      <c r="A2" s="48" t="s">
        <v>1</v>
      </c>
      <c r="B2" s="48" t="s">
        <v>2</v>
      </c>
      <c r="C2" s="48" t="s">
        <v>3</v>
      </c>
      <c r="D2" s="48" t="s">
        <v>23</v>
      </c>
      <c r="E2" s="48" t="s">
        <v>48</v>
      </c>
      <c r="F2" s="48" t="s">
        <v>5</v>
      </c>
      <c r="G2" s="48" t="s">
        <v>43</v>
      </c>
      <c r="H2" s="48" t="s">
        <v>42</v>
      </c>
      <c r="I2" s="48" t="s">
        <v>6</v>
      </c>
      <c r="J2" s="48" t="s">
        <v>45</v>
      </c>
      <c r="K2" s="48" t="s">
        <v>46</v>
      </c>
    </row>
    <row r="3" spans="1:11" ht="15" customHeight="1" x14ac:dyDescent="0.3">
      <c r="A3" s="50" t="s">
        <v>54</v>
      </c>
      <c r="B3" s="51" t="s">
        <v>41</v>
      </c>
      <c r="C3" s="56">
        <f>'4LHs Category Diversification'!C4</f>
        <v>1</v>
      </c>
      <c r="D3" s="49">
        <f>'4LHs Category Diversification'!E4</f>
        <v>0.12</v>
      </c>
      <c r="E3" s="56">
        <v>110.52</v>
      </c>
      <c r="F3" s="56">
        <f>'4LHs Category Diversification'!F4</f>
        <v>48000</v>
      </c>
      <c r="G3" s="58">
        <f>F3/E3</f>
        <v>434.31053203040176</v>
      </c>
      <c r="H3" s="61">
        <v>111.79</v>
      </c>
      <c r="I3" s="61">
        <f>F3+K3</f>
        <v>48551.574375678618</v>
      </c>
      <c r="J3" s="64">
        <f>K3/F3</f>
        <v>1.1491132826637806E-2</v>
      </c>
      <c r="K3" s="61">
        <f>(H3-E3)*G3</f>
        <v>551.57437567861473</v>
      </c>
    </row>
    <row r="4" spans="1:11" ht="15.6" x14ac:dyDescent="0.3">
      <c r="A4" s="51" t="s">
        <v>55</v>
      </c>
      <c r="B4" s="51" t="s">
        <v>41</v>
      </c>
      <c r="C4" s="56">
        <f>'4LHs Category Diversification'!C5</f>
        <v>3.5</v>
      </c>
      <c r="D4" s="49">
        <f>'4LHs Category Diversification'!E5</f>
        <v>0.13</v>
      </c>
      <c r="E4" s="56">
        <v>39.64</v>
      </c>
      <c r="F4" s="56">
        <f>'4LHs Category Diversification'!F5</f>
        <v>52000</v>
      </c>
      <c r="G4" s="58">
        <f t="shared" ref="G4:G10" si="0">F4/E4</f>
        <v>1311.8062563067608</v>
      </c>
      <c r="H4" s="61">
        <v>40.24</v>
      </c>
      <c r="I4" s="61">
        <f t="shared" ref="I4:I10" si="1">F4+K4</f>
        <v>52787.083753784056</v>
      </c>
      <c r="J4" s="64">
        <f t="shared" ref="J4:J10" si="2">K4/F4</f>
        <v>1.5136226034308814E-2</v>
      </c>
      <c r="K4" s="61">
        <f>(H4-E4)*G4</f>
        <v>787.08375378405833</v>
      </c>
    </row>
    <row r="5" spans="1:11" ht="15.6" x14ac:dyDescent="0.3">
      <c r="A5" s="51" t="s">
        <v>57</v>
      </c>
      <c r="B5" s="51" t="s">
        <v>41</v>
      </c>
      <c r="C5" s="56">
        <f>'4LHs Category Diversification'!C6</f>
        <v>1.5</v>
      </c>
      <c r="D5" s="49">
        <f>'4LHs Category Diversification'!E6</f>
        <v>0.13</v>
      </c>
      <c r="E5" s="56">
        <v>32.979999999999997</v>
      </c>
      <c r="F5" s="56">
        <f>'4LHs Category Diversification'!F6</f>
        <v>52000</v>
      </c>
      <c r="G5" s="58">
        <f t="shared" si="0"/>
        <v>1576.7131594906004</v>
      </c>
      <c r="H5" s="61">
        <v>33.520000000000003</v>
      </c>
      <c r="I5" s="61">
        <f t="shared" si="1"/>
        <v>52851.425106124931</v>
      </c>
      <c r="J5" s="64">
        <f t="shared" si="2"/>
        <v>1.6373559733171811E-2</v>
      </c>
      <c r="K5" s="61">
        <f t="shared" ref="K5:K10" si="3">(H5-E5)*G5</f>
        <v>851.42510612493413</v>
      </c>
    </row>
    <row r="6" spans="1:11" ht="15.6" x14ac:dyDescent="0.3">
      <c r="A6" s="51" t="s">
        <v>58</v>
      </c>
      <c r="B6" s="51" t="s">
        <v>41</v>
      </c>
      <c r="C6" s="56">
        <f>'4LHs Category Diversification'!C7</f>
        <v>0.75</v>
      </c>
      <c r="D6" s="49">
        <f>'4LHs Category Diversification'!E7</f>
        <v>0.12</v>
      </c>
      <c r="E6" s="56">
        <v>98.66</v>
      </c>
      <c r="F6" s="56">
        <f>'4LHs Category Diversification'!F7</f>
        <v>48000</v>
      </c>
      <c r="G6" s="58">
        <f t="shared" si="0"/>
        <v>486.51935941617677</v>
      </c>
      <c r="H6" s="61">
        <v>99.24</v>
      </c>
      <c r="I6" s="61">
        <f t="shared" si="1"/>
        <v>48282.181228461384</v>
      </c>
      <c r="J6" s="64">
        <f t="shared" si="2"/>
        <v>5.8787755929454516E-3</v>
      </c>
      <c r="K6" s="61">
        <f t="shared" si="3"/>
        <v>282.18122846138169</v>
      </c>
    </row>
    <row r="7" spans="1:11" ht="15.6" x14ac:dyDescent="0.3">
      <c r="A7" s="51" t="s">
        <v>59</v>
      </c>
      <c r="B7" s="51" t="s">
        <v>41</v>
      </c>
      <c r="C7" s="56">
        <f>'4LHs Category Diversification'!C8</f>
        <v>0</v>
      </c>
      <c r="D7" s="49">
        <f>'4LHs Category Diversification'!E8</f>
        <v>0.2</v>
      </c>
      <c r="E7" s="56">
        <v>0</v>
      </c>
      <c r="F7" s="56">
        <f>'4LHs Category Diversification'!F8</f>
        <v>80000</v>
      </c>
      <c r="G7" s="60" t="s">
        <v>65</v>
      </c>
      <c r="H7" s="62" t="s">
        <v>65</v>
      </c>
      <c r="I7" s="61">
        <f t="shared" si="1"/>
        <v>80000</v>
      </c>
      <c r="J7" s="64">
        <f t="shared" si="2"/>
        <v>0</v>
      </c>
      <c r="K7" s="61">
        <v>0</v>
      </c>
    </row>
    <row r="8" spans="1:11" ht="15.6" x14ac:dyDescent="0.3">
      <c r="A8" s="51" t="s">
        <v>61</v>
      </c>
      <c r="B8" s="51" t="s">
        <v>41</v>
      </c>
      <c r="C8" s="56">
        <f>'4LHs Category Diversification'!C9</f>
        <v>5.75</v>
      </c>
      <c r="D8" s="49">
        <f>'4LHs Category Diversification'!E9</f>
        <v>0.15</v>
      </c>
      <c r="E8" s="56">
        <v>65.87</v>
      </c>
      <c r="F8" s="56">
        <f>'4LHs Category Diversification'!F9</f>
        <v>60000</v>
      </c>
      <c r="G8" s="58">
        <f t="shared" si="0"/>
        <v>910.88507666616056</v>
      </c>
      <c r="H8" s="61">
        <v>72.08</v>
      </c>
      <c r="I8" s="61">
        <f t="shared" si="1"/>
        <v>65656.596326096857</v>
      </c>
      <c r="J8" s="64">
        <f t="shared" si="2"/>
        <v>9.4276605434947522E-2</v>
      </c>
      <c r="K8" s="61">
        <f t="shared" si="3"/>
        <v>5656.596326096851</v>
      </c>
    </row>
    <row r="9" spans="1:11" ht="15.6" x14ac:dyDescent="0.3">
      <c r="A9" s="51" t="s">
        <v>62</v>
      </c>
      <c r="B9" s="51" t="s">
        <v>41</v>
      </c>
      <c r="C9" s="56">
        <f>'4LHs Category Diversification'!C10</f>
        <v>4.5</v>
      </c>
      <c r="D9" s="49">
        <f>'4LHs Category Diversification'!E10</f>
        <v>0.1</v>
      </c>
      <c r="E9" s="56">
        <v>66.22</v>
      </c>
      <c r="F9" s="56">
        <f>'4LHs Category Diversification'!F10</f>
        <v>40000</v>
      </c>
      <c r="G9" s="58">
        <f t="shared" si="0"/>
        <v>604.04711567502261</v>
      </c>
      <c r="H9" s="61">
        <v>67.81</v>
      </c>
      <c r="I9" s="61">
        <f t="shared" si="1"/>
        <v>40960.434913923287</v>
      </c>
      <c r="J9" s="64">
        <f t="shared" si="2"/>
        <v>2.4010872848082201E-2</v>
      </c>
      <c r="K9" s="61">
        <f t="shared" si="3"/>
        <v>960.43491392328804</v>
      </c>
    </row>
    <row r="10" spans="1:11" ht="15.6" x14ac:dyDescent="0.3">
      <c r="A10" s="51" t="s">
        <v>63</v>
      </c>
      <c r="B10" s="51" t="s">
        <v>41</v>
      </c>
      <c r="C10" s="56">
        <f>'4LHs Category Diversification'!C11</f>
        <v>4</v>
      </c>
      <c r="D10" s="49">
        <f>'4LHs Category Diversification'!E11</f>
        <v>0.05</v>
      </c>
      <c r="E10" s="56">
        <v>381.7</v>
      </c>
      <c r="F10" s="56">
        <f>'4LHs Category Diversification'!F11</f>
        <v>20000</v>
      </c>
      <c r="G10" s="58">
        <f t="shared" si="0"/>
        <v>52.397170552790151</v>
      </c>
      <c r="H10" s="61">
        <v>419.95</v>
      </c>
      <c r="I10" s="61">
        <f t="shared" si="1"/>
        <v>22004.191773644223</v>
      </c>
      <c r="J10" s="64">
        <f t="shared" si="2"/>
        <v>0.10020958868221116</v>
      </c>
      <c r="K10" s="61">
        <f t="shared" si="3"/>
        <v>2004.1917736442233</v>
      </c>
    </row>
    <row r="11" spans="1:11" ht="19.8" x14ac:dyDescent="0.4">
      <c r="A11" s="52" t="s">
        <v>10</v>
      </c>
      <c r="B11" s="53" t="s">
        <v>15</v>
      </c>
      <c r="C11" s="57">
        <f>AVERAGE(C3:C10)</f>
        <v>2.625</v>
      </c>
      <c r="D11" s="52">
        <f>SUM(D3:D10)</f>
        <v>1</v>
      </c>
      <c r="E11" s="57"/>
      <c r="F11" s="57">
        <f>SUM(F3:F10)</f>
        <v>400000</v>
      </c>
      <c r="G11" s="59"/>
      <c r="H11" s="52"/>
      <c r="I11" s="63">
        <f>SUM(I3:I10)</f>
        <v>411093.48747771338</v>
      </c>
      <c r="J11" s="65">
        <f>SUM(J3:J10)</f>
        <v>0.2673767611523048</v>
      </c>
      <c r="K11" s="63">
        <f>SUM(K3:K10)</f>
        <v>11093.48747771335</v>
      </c>
    </row>
    <row r="13" spans="1:11" ht="19.8" x14ac:dyDescent="0.4">
      <c r="I13" s="54" t="s">
        <v>47</v>
      </c>
      <c r="J13" s="66">
        <f>'4LHs Category Diversification'!H14/12</f>
        <v>0.93431666666666668</v>
      </c>
    </row>
    <row r="14" spans="1:11" x14ac:dyDescent="0.3">
      <c r="A14" s="55" t="s">
        <v>44</v>
      </c>
    </row>
    <row r="15" spans="1:11" ht="15.6" x14ac:dyDescent="0.3">
      <c r="I15" s="67" t="s">
        <v>50</v>
      </c>
      <c r="J15" s="68">
        <v>3</v>
      </c>
    </row>
    <row r="16" spans="1:11" ht="15.6" x14ac:dyDescent="0.3">
      <c r="A16" s="61"/>
      <c r="H16" s="71"/>
      <c r="I16" s="72"/>
      <c r="J16" s="72"/>
      <c r="K16" s="71"/>
    </row>
    <row r="17" spans="9:10" ht="19.8" x14ac:dyDescent="0.4">
      <c r="I17" s="69" t="s">
        <v>49</v>
      </c>
      <c r="J17" s="70">
        <f>(K11/F11)/J15</f>
        <v>9.2445728980944577E-3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C0EA0-6DE1-4266-B256-DE22E25FA00C}">
  <dimension ref="A1:H40"/>
  <sheetViews>
    <sheetView topLeftCell="C16" zoomScale="80" workbookViewId="0">
      <selection activeCell="F11" sqref="F11"/>
    </sheetView>
  </sheetViews>
  <sheetFormatPr defaultRowHeight="14.4" x14ac:dyDescent="0.3"/>
  <cols>
    <col min="1" max="1" width="48.33203125" bestFit="1" customWidth="1"/>
    <col min="2" max="2" width="25.5546875" bestFit="1" customWidth="1"/>
    <col min="3" max="3" width="42" bestFit="1" customWidth="1"/>
    <col min="4" max="4" width="33.88671875" bestFit="1" customWidth="1"/>
    <col min="5" max="5" width="24.33203125" bestFit="1" customWidth="1"/>
    <col min="6" max="6" width="21.5546875" bestFit="1" customWidth="1"/>
    <col min="7" max="7" width="42.109375" bestFit="1" customWidth="1"/>
    <col min="8" max="8" width="23.77734375" bestFit="1" customWidth="1"/>
  </cols>
  <sheetData>
    <row r="1" spans="1:8" x14ac:dyDescent="0.3">
      <c r="A1" s="29" t="s">
        <v>38</v>
      </c>
      <c r="B1" s="29" t="s">
        <v>39</v>
      </c>
    </row>
    <row r="2" spans="1:8" x14ac:dyDescent="0.3">
      <c r="A2" s="28" t="s">
        <v>40</v>
      </c>
      <c r="B2" s="28"/>
    </row>
    <row r="5" spans="1:8" x14ac:dyDescent="0.3">
      <c r="A5" s="1" t="s">
        <v>0</v>
      </c>
    </row>
    <row r="6" spans="1:8" ht="19.8" x14ac:dyDescent="0.4">
      <c r="A6" s="2" t="s">
        <v>1</v>
      </c>
      <c r="B6" s="2" t="s">
        <v>2</v>
      </c>
      <c r="C6" s="2" t="s">
        <v>3</v>
      </c>
      <c r="D6" s="2" t="s">
        <v>4</v>
      </c>
      <c r="E6" s="2" t="s">
        <v>33</v>
      </c>
      <c r="F6" s="2" t="s">
        <v>5</v>
      </c>
      <c r="G6" s="2" t="s">
        <v>6</v>
      </c>
      <c r="H6" s="2" t="s">
        <v>7</v>
      </c>
    </row>
    <row r="7" spans="1:8" ht="15.6" x14ac:dyDescent="0.3">
      <c r="A7" s="10" t="s">
        <v>12</v>
      </c>
      <c r="B7" s="11" t="s">
        <v>15</v>
      </c>
      <c r="C7" s="11">
        <v>5</v>
      </c>
      <c r="D7" s="12">
        <f>'6LHs Consolidated Diversificati'!D3</f>
        <v>0.17780000000000001</v>
      </c>
      <c r="E7" s="21">
        <v>0.10589999999999999</v>
      </c>
      <c r="F7" s="3">
        <f>F11*E7</f>
        <v>36853.199999999997</v>
      </c>
      <c r="G7" s="3">
        <f>F7+H7</f>
        <v>43405.698959999994</v>
      </c>
      <c r="H7" s="3">
        <f>F7*D7</f>
        <v>6552.4989599999999</v>
      </c>
    </row>
    <row r="8" spans="1:8" ht="15.6" x14ac:dyDescent="0.3">
      <c r="A8" s="11" t="s">
        <v>13</v>
      </c>
      <c r="B8" s="11" t="s">
        <v>9</v>
      </c>
      <c r="C8" s="11">
        <v>5</v>
      </c>
      <c r="D8" s="12">
        <f>'6LHs Consolidated Diversificati'!D4</f>
        <v>0.20419999999999999</v>
      </c>
      <c r="E8" s="21">
        <f>0.7027</f>
        <v>0.70269999999999999</v>
      </c>
      <c r="F8" s="3">
        <f>F11*E8</f>
        <v>244539.6</v>
      </c>
      <c r="G8" s="3">
        <f t="shared" ref="G8:G10" si="0">F8+H8</f>
        <v>294474.58632</v>
      </c>
      <c r="H8" s="3">
        <f>F8*D8</f>
        <v>49934.986319999996</v>
      </c>
    </row>
    <row r="9" spans="1:8" ht="15.6" x14ac:dyDescent="0.3">
      <c r="A9" s="11" t="s">
        <v>14</v>
      </c>
      <c r="B9" s="11" t="s">
        <v>15</v>
      </c>
      <c r="C9" s="11">
        <v>4</v>
      </c>
      <c r="D9" s="12">
        <f>'6LHs Consolidated Diversificati'!D5</f>
        <v>0.28660000000000002</v>
      </c>
      <c r="E9" s="21">
        <f>0.1913</f>
        <v>0.1913</v>
      </c>
      <c r="F9" s="3">
        <f>F11*E9</f>
        <v>66572.399999999994</v>
      </c>
      <c r="G9" s="3">
        <f t="shared" si="0"/>
        <v>85652.049839999992</v>
      </c>
      <c r="H9" s="3">
        <f>F9*D9</f>
        <v>19079.649839999998</v>
      </c>
    </row>
    <row r="10" spans="1:8" ht="15.6" x14ac:dyDescent="0.3">
      <c r="A10" s="11" t="s">
        <v>16</v>
      </c>
      <c r="B10" s="11" t="s">
        <v>15</v>
      </c>
      <c r="C10" s="11">
        <v>5</v>
      </c>
      <c r="D10" s="12">
        <f>'6LHs Consolidated Diversificati'!D6</f>
        <v>0.13100000000000001</v>
      </c>
      <c r="E10" s="21">
        <f>0.0001</f>
        <v>1E-4</v>
      </c>
      <c r="F10" s="3">
        <f>F11*E10</f>
        <v>34.800000000000004</v>
      </c>
      <c r="G10" s="3">
        <f t="shared" si="0"/>
        <v>39.358800000000002</v>
      </c>
      <c r="H10" s="3">
        <f>F10*D10</f>
        <v>4.5588000000000006</v>
      </c>
    </row>
    <row r="11" spans="1:8" ht="19.8" x14ac:dyDescent="0.4">
      <c r="A11" s="5" t="s">
        <v>10</v>
      </c>
      <c r="B11" s="6" t="s">
        <v>41</v>
      </c>
      <c r="C11" s="7">
        <f>AVERAGE(C7:C10)</f>
        <v>4.75</v>
      </c>
      <c r="D11" s="5"/>
      <c r="E11" s="22">
        <f>SUM(E7:E10)</f>
        <v>1</v>
      </c>
      <c r="F11" s="5">
        <f>'10LHs Categories'!E5</f>
        <v>348000</v>
      </c>
      <c r="G11" s="5">
        <f>F11+H11</f>
        <v>423571.69391999999</v>
      </c>
      <c r="H11" s="5">
        <f>SUM(H7:H10)</f>
        <v>75571.693919999991</v>
      </c>
    </row>
    <row r="13" spans="1:8" ht="19.8" x14ac:dyDescent="0.4">
      <c r="G13" s="9" t="s">
        <v>32</v>
      </c>
      <c r="H13" s="20">
        <f>H11/F11</f>
        <v>0.21716003999999997</v>
      </c>
    </row>
    <row r="19" spans="1:8" x14ac:dyDescent="0.3">
      <c r="A19" s="1" t="s">
        <v>0</v>
      </c>
    </row>
    <row r="20" spans="1:8" ht="19.8" x14ac:dyDescent="0.4">
      <c r="A20" s="2" t="s">
        <v>1</v>
      </c>
      <c r="B20" s="2" t="s">
        <v>2</v>
      </c>
      <c r="C20" s="2" t="s">
        <v>3</v>
      </c>
      <c r="D20" s="2" t="s">
        <v>4</v>
      </c>
      <c r="E20" s="2" t="s">
        <v>35</v>
      </c>
      <c r="F20" s="2" t="s">
        <v>5</v>
      </c>
      <c r="G20" s="2" t="s">
        <v>6</v>
      </c>
      <c r="H20" s="2" t="s">
        <v>7</v>
      </c>
    </row>
    <row r="21" spans="1:8" ht="15.6" x14ac:dyDescent="0.3">
      <c r="A21" s="10" t="s">
        <v>17</v>
      </c>
      <c r="B21" s="11" t="s">
        <v>9</v>
      </c>
      <c r="C21" s="11">
        <v>10</v>
      </c>
      <c r="D21" s="12">
        <f>'6LHs Consolidated Diversificati'!D7</f>
        <v>0.93049999999999999</v>
      </c>
      <c r="E21" s="21">
        <v>0.8</v>
      </c>
      <c r="F21" s="3">
        <f>F24*E21</f>
        <v>57600</v>
      </c>
      <c r="G21" s="3">
        <f>F21+H21</f>
        <v>111196.8</v>
      </c>
      <c r="H21" s="3">
        <f>F21*D21</f>
        <v>53596.800000000003</v>
      </c>
    </row>
    <row r="22" spans="1:8" ht="15.6" x14ac:dyDescent="0.3">
      <c r="A22" s="11" t="s">
        <v>34</v>
      </c>
      <c r="B22" s="11" t="s">
        <v>9</v>
      </c>
      <c r="C22" s="11">
        <v>10</v>
      </c>
      <c r="D22" s="12">
        <f>'6LHs Consolidated Diversificati'!D8</f>
        <v>0.17599999999999999</v>
      </c>
      <c r="E22" s="21">
        <f>0.1</f>
        <v>0.1</v>
      </c>
      <c r="F22" s="3">
        <f>F24*E22</f>
        <v>7200</v>
      </c>
      <c r="G22" s="3">
        <f t="shared" ref="G22" si="1">F22+H22</f>
        <v>8467.2000000000007</v>
      </c>
      <c r="H22" s="3">
        <f>F22*D22</f>
        <v>1267.1999999999998</v>
      </c>
    </row>
    <row r="23" spans="1:8" ht="15.6" x14ac:dyDescent="0.3">
      <c r="A23" s="11" t="s">
        <v>20</v>
      </c>
      <c r="B23" s="11" t="s">
        <v>9</v>
      </c>
      <c r="C23" s="11">
        <v>10</v>
      </c>
      <c r="D23" s="12">
        <f>'6LHs Consolidated Diversificati'!D9</f>
        <v>0.31319999999999998</v>
      </c>
      <c r="E23" s="21">
        <f>0.1</f>
        <v>0.1</v>
      </c>
      <c r="F23" s="3">
        <f>F24*E23</f>
        <v>7200</v>
      </c>
      <c r="G23" s="3">
        <f>F23+H23</f>
        <v>9455.0400000000009</v>
      </c>
      <c r="H23" s="3">
        <f>F23*D23</f>
        <v>2255.04</v>
      </c>
    </row>
    <row r="24" spans="1:8" ht="19.8" x14ac:dyDescent="0.4">
      <c r="A24" s="5" t="s">
        <v>10</v>
      </c>
      <c r="B24" s="6" t="s">
        <v>9</v>
      </c>
      <c r="C24" s="7">
        <f>AVERAGE(C21:C23)</f>
        <v>10</v>
      </c>
      <c r="D24" s="5"/>
      <c r="E24" s="22">
        <f>SUM(E21:E23)</f>
        <v>1</v>
      </c>
      <c r="F24" s="5">
        <f>'10LHs Categories'!E6</f>
        <v>72000</v>
      </c>
      <c r="G24" s="5">
        <f>SUM(G21:G23)</f>
        <v>129119.04000000001</v>
      </c>
      <c r="H24" s="5">
        <f>SUM(H21:H23)</f>
        <v>57119.040000000001</v>
      </c>
    </row>
    <row r="26" spans="1:8" ht="19.8" x14ac:dyDescent="0.4">
      <c r="G26" s="9" t="s">
        <v>36</v>
      </c>
      <c r="H26" s="20">
        <f>H24/F24</f>
        <v>0.79332000000000003</v>
      </c>
    </row>
    <row r="32" spans="1:8" x14ac:dyDescent="0.3">
      <c r="A32" s="1" t="s">
        <v>0</v>
      </c>
    </row>
    <row r="33" spans="1:8" ht="19.8" x14ac:dyDescent="0.4">
      <c r="A33" s="2" t="s">
        <v>1</v>
      </c>
      <c r="B33" s="2" t="s">
        <v>2</v>
      </c>
      <c r="C33" s="2" t="s">
        <v>3</v>
      </c>
      <c r="D33" s="2" t="s">
        <v>4</v>
      </c>
      <c r="E33" s="2" t="s">
        <v>33</v>
      </c>
      <c r="F33" s="2" t="s">
        <v>5</v>
      </c>
      <c r="G33" s="2" t="s">
        <v>6</v>
      </c>
      <c r="H33" s="2" t="s">
        <v>7</v>
      </c>
    </row>
    <row r="34" spans="1:8" ht="15.6" x14ac:dyDescent="0.3">
      <c r="A34" s="10" t="s">
        <v>21</v>
      </c>
      <c r="B34" s="11" t="s">
        <v>15</v>
      </c>
      <c r="C34" s="11">
        <v>8</v>
      </c>
      <c r="D34" s="12">
        <f>'6LHs Consolidated Diversificati'!D10</f>
        <v>0.36</v>
      </c>
      <c r="E34" s="21">
        <v>0.33550000000000002</v>
      </c>
      <c r="F34" s="3">
        <f>F38*E34</f>
        <v>60390.000000000007</v>
      </c>
      <c r="G34" s="3">
        <f>F34+H34</f>
        <v>82130.400000000009</v>
      </c>
      <c r="H34" s="3">
        <f>F34*D34</f>
        <v>21740.400000000001</v>
      </c>
    </row>
    <row r="35" spans="1:8" ht="15.6" x14ac:dyDescent="0.3">
      <c r="A35" s="11" t="s">
        <v>37</v>
      </c>
      <c r="B35" s="11" t="s">
        <v>15</v>
      </c>
      <c r="C35" s="11">
        <v>8</v>
      </c>
      <c r="D35" s="12">
        <f>'6LHs Consolidated Diversificati'!D11</f>
        <v>0.73629999999999995</v>
      </c>
      <c r="E35" s="21">
        <f>0.6039</f>
        <v>0.60389999999999999</v>
      </c>
      <c r="F35" s="3">
        <f>F38*E35</f>
        <v>108702</v>
      </c>
      <c r="G35" s="3">
        <f t="shared" ref="G35:G37" si="2">F35+H35</f>
        <v>188739.28259999998</v>
      </c>
      <c r="H35" s="3">
        <f>F35*D35</f>
        <v>80037.282599999991</v>
      </c>
    </row>
    <row r="36" spans="1:8" ht="15.6" x14ac:dyDescent="0.3">
      <c r="A36" s="11" t="s">
        <v>24</v>
      </c>
      <c r="B36" s="11" t="s">
        <v>15</v>
      </c>
      <c r="C36" s="11">
        <v>8</v>
      </c>
      <c r="D36" s="12">
        <f>'6LHs Consolidated Diversificati'!D12</f>
        <v>1.5888</v>
      </c>
      <c r="E36" s="21">
        <f>0.0002</f>
        <v>2.0000000000000001E-4</v>
      </c>
      <c r="F36" s="3">
        <f>F38*E36</f>
        <v>36</v>
      </c>
      <c r="G36" s="3">
        <f t="shared" si="2"/>
        <v>93.196799999999996</v>
      </c>
      <c r="H36" s="3">
        <f>F36*D36</f>
        <v>57.196799999999996</v>
      </c>
    </row>
    <row r="37" spans="1:8" ht="15.6" x14ac:dyDescent="0.3">
      <c r="A37" s="11" t="s">
        <v>25</v>
      </c>
      <c r="B37" s="11" t="s">
        <v>15</v>
      </c>
      <c r="C37" s="11">
        <v>8</v>
      </c>
      <c r="D37" s="12">
        <f>'6LHs Consolidated Diversificati'!D13</f>
        <v>0.35590000000000005</v>
      </c>
      <c r="E37" s="21">
        <f>0.0604</f>
        <v>6.0400000000000002E-2</v>
      </c>
      <c r="F37" s="3">
        <f>F38*E37</f>
        <v>10872</v>
      </c>
      <c r="G37" s="3">
        <f t="shared" si="2"/>
        <v>14741.344800000001</v>
      </c>
      <c r="H37" s="3">
        <f>F37*D37</f>
        <v>3869.3448000000008</v>
      </c>
    </row>
    <row r="38" spans="1:8" ht="19.8" x14ac:dyDescent="0.4">
      <c r="A38" s="5" t="s">
        <v>10</v>
      </c>
      <c r="B38" s="6" t="s">
        <v>15</v>
      </c>
      <c r="C38" s="7">
        <f>AVERAGE(C34:C37)</f>
        <v>8</v>
      </c>
      <c r="D38" s="5"/>
      <c r="E38" s="22">
        <f>SUM(E34:E37)</f>
        <v>1</v>
      </c>
      <c r="F38" s="5">
        <f>'10LHs Categories'!E7</f>
        <v>180000</v>
      </c>
      <c r="G38" s="5">
        <f>SUM(G34:G37)</f>
        <v>285704.2242</v>
      </c>
      <c r="H38" s="5">
        <f>SUM(H34:H37)</f>
        <v>105704.22420000001</v>
      </c>
    </row>
    <row r="40" spans="1:8" ht="19.8" x14ac:dyDescent="0.4">
      <c r="G40" s="9" t="s">
        <v>32</v>
      </c>
      <c r="H40" s="20">
        <f>H38/F38</f>
        <v>0.58724569000000004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opLeftCell="D1" zoomScale="84" workbookViewId="0">
      <selection activeCell="H20" sqref="H20"/>
    </sheetView>
  </sheetViews>
  <sheetFormatPr defaultRowHeight="14.4" x14ac:dyDescent="0.3"/>
  <cols>
    <col min="1" max="1" width="35.44140625" bestFit="1" customWidth="1"/>
    <col min="2" max="2" width="21.6640625" bestFit="1" customWidth="1"/>
    <col min="3" max="3" width="41.77734375" bestFit="1" customWidth="1"/>
    <col min="4" max="4" width="33.88671875" bestFit="1" customWidth="1"/>
    <col min="5" max="5" width="41.88671875" bestFit="1" customWidth="1"/>
    <col min="6" max="6" width="21.33203125" bestFit="1" customWidth="1"/>
    <col min="7" max="7" width="33.33203125" bestFit="1" customWidth="1"/>
    <col min="8" max="8" width="23.77734375" bestFit="1" customWidth="1"/>
  </cols>
  <sheetData>
    <row r="1" spans="1:8" x14ac:dyDescent="0.3">
      <c r="A1" s="1" t="s">
        <v>0</v>
      </c>
    </row>
    <row r="2" spans="1:8" ht="19.8" x14ac:dyDescent="0.4">
      <c r="A2" s="2" t="s">
        <v>1</v>
      </c>
      <c r="B2" s="2" t="s">
        <v>2</v>
      </c>
      <c r="C2" s="2" t="s">
        <v>3</v>
      </c>
      <c r="D2" s="2" t="s">
        <v>4</v>
      </c>
      <c r="E2" s="2" t="s">
        <v>23</v>
      </c>
      <c r="F2" s="2" t="s">
        <v>5</v>
      </c>
      <c r="G2" s="2" t="s">
        <v>6</v>
      </c>
      <c r="H2" s="2" t="s">
        <v>7</v>
      </c>
    </row>
    <row r="3" spans="1:8" ht="15.6" x14ac:dyDescent="0.3">
      <c r="A3" s="10" t="s">
        <v>12</v>
      </c>
      <c r="B3" s="11" t="s">
        <v>9</v>
      </c>
      <c r="C3" s="11">
        <v>5</v>
      </c>
      <c r="D3" s="12">
        <v>0.17780000000000001</v>
      </c>
      <c r="E3" s="24">
        <f>F3/F14</f>
        <v>6.1421999999999997E-2</v>
      </c>
      <c r="F3" s="3">
        <f>'6LHs Category Diversification'!F7</f>
        <v>36853.199999999997</v>
      </c>
      <c r="G3" s="3">
        <f>F3+H3</f>
        <v>43405.698959999994</v>
      </c>
      <c r="H3" s="3">
        <f>F3*D3</f>
        <v>6552.4989599999999</v>
      </c>
    </row>
    <row r="4" spans="1:8" ht="15.6" x14ac:dyDescent="0.3">
      <c r="A4" s="11" t="s">
        <v>13</v>
      </c>
      <c r="B4" s="11" t="s">
        <v>9</v>
      </c>
      <c r="C4" s="11">
        <v>5</v>
      </c>
      <c r="D4" s="12">
        <v>0.20419999999999999</v>
      </c>
      <c r="E4" s="24">
        <f>F4/F14</f>
        <v>0.40756599999999998</v>
      </c>
      <c r="F4" s="3">
        <f>'6LHs Category Diversification'!F8</f>
        <v>244539.6</v>
      </c>
      <c r="G4" s="3">
        <f t="shared" ref="G4:G13" si="0">F4+H4</f>
        <v>294474.58632</v>
      </c>
      <c r="H4" s="3">
        <f t="shared" ref="H4:H13" si="1">F4*D4</f>
        <v>49934.986319999996</v>
      </c>
    </row>
    <row r="5" spans="1:8" ht="15.6" x14ac:dyDescent="0.3">
      <c r="A5" s="11" t="s">
        <v>14</v>
      </c>
      <c r="B5" s="11" t="s">
        <v>15</v>
      </c>
      <c r="C5" s="11">
        <v>4</v>
      </c>
      <c r="D5" s="12">
        <v>0.28660000000000002</v>
      </c>
      <c r="E5" s="24">
        <f>F5/F14</f>
        <v>0.110954</v>
      </c>
      <c r="F5" s="3">
        <f>'6LHs Category Diversification'!F9</f>
        <v>66572.399999999994</v>
      </c>
      <c r="G5" s="3">
        <f t="shared" si="0"/>
        <v>85652.049839999992</v>
      </c>
      <c r="H5" s="3">
        <f t="shared" si="1"/>
        <v>19079.649839999998</v>
      </c>
    </row>
    <row r="6" spans="1:8" ht="15.6" x14ac:dyDescent="0.3">
      <c r="A6" s="11" t="s">
        <v>16</v>
      </c>
      <c r="B6" s="11" t="s">
        <v>9</v>
      </c>
      <c r="C6" s="11">
        <v>5</v>
      </c>
      <c r="D6" s="12">
        <v>0.13100000000000001</v>
      </c>
      <c r="E6" s="24">
        <f>F6/F14</f>
        <v>5.8000000000000007E-5</v>
      </c>
      <c r="F6" s="3">
        <f>'6LHs Category Diversification'!F10</f>
        <v>34.800000000000004</v>
      </c>
      <c r="G6" s="3">
        <f t="shared" si="0"/>
        <v>39.358800000000002</v>
      </c>
      <c r="H6" s="3">
        <f t="shared" si="1"/>
        <v>4.5588000000000006</v>
      </c>
    </row>
    <row r="7" spans="1:8" ht="15.6" x14ac:dyDescent="0.3">
      <c r="A7" s="13" t="s">
        <v>17</v>
      </c>
      <c r="B7" s="13" t="s">
        <v>18</v>
      </c>
      <c r="C7" s="13">
        <v>10</v>
      </c>
      <c r="D7" s="14">
        <v>0.93049999999999999</v>
      </c>
      <c r="E7" s="24">
        <f>F7/F14</f>
        <v>9.6000000000000002E-2</v>
      </c>
      <c r="F7" s="3">
        <f>'6LHs Category Diversification'!F21</f>
        <v>57600</v>
      </c>
      <c r="G7" s="3">
        <f t="shared" si="0"/>
        <v>111196.8</v>
      </c>
      <c r="H7" s="3">
        <f t="shared" si="1"/>
        <v>53596.800000000003</v>
      </c>
    </row>
    <row r="8" spans="1:8" ht="15.6" x14ac:dyDescent="0.3">
      <c r="A8" s="13" t="s">
        <v>19</v>
      </c>
      <c r="B8" s="13" t="s">
        <v>18</v>
      </c>
      <c r="C8" s="13">
        <v>7</v>
      </c>
      <c r="D8" s="14">
        <v>0.17599999999999999</v>
      </c>
      <c r="E8" s="24">
        <f>F8/F14</f>
        <v>1.2E-2</v>
      </c>
      <c r="F8" s="3">
        <f>'6LHs Category Diversification'!F22</f>
        <v>7200</v>
      </c>
      <c r="G8" s="3">
        <f t="shared" si="0"/>
        <v>8467.2000000000007</v>
      </c>
      <c r="H8" s="3">
        <f t="shared" si="1"/>
        <v>1267.1999999999998</v>
      </c>
    </row>
    <row r="9" spans="1:8" ht="15.6" x14ac:dyDescent="0.3">
      <c r="A9" s="13" t="s">
        <v>20</v>
      </c>
      <c r="B9" s="13" t="s">
        <v>18</v>
      </c>
      <c r="C9" s="13">
        <v>9</v>
      </c>
      <c r="D9" s="14">
        <v>0.31319999999999998</v>
      </c>
      <c r="E9" s="24">
        <f>F9/F14</f>
        <v>1.2E-2</v>
      </c>
      <c r="F9" s="3">
        <f>'6LHs Category Diversification'!F23</f>
        <v>7200</v>
      </c>
      <c r="G9" s="3">
        <f t="shared" si="0"/>
        <v>9455.0400000000009</v>
      </c>
      <c r="H9" s="3">
        <f t="shared" si="1"/>
        <v>2255.04</v>
      </c>
    </row>
    <row r="10" spans="1:8" ht="15.6" x14ac:dyDescent="0.3">
      <c r="A10" s="15" t="s">
        <v>21</v>
      </c>
      <c r="B10" s="15" t="s">
        <v>9</v>
      </c>
      <c r="C10" s="15">
        <v>10</v>
      </c>
      <c r="D10" s="16">
        <v>0.36</v>
      </c>
      <c r="E10" s="24">
        <f>F10/F14</f>
        <v>0.10065000000000002</v>
      </c>
      <c r="F10" s="3">
        <f>'6LHs Category Diversification'!F34</f>
        <v>60390.000000000007</v>
      </c>
      <c r="G10" s="3">
        <f t="shared" si="0"/>
        <v>82130.400000000009</v>
      </c>
      <c r="H10" s="3">
        <f t="shared" si="1"/>
        <v>21740.400000000001</v>
      </c>
    </row>
    <row r="11" spans="1:8" ht="15.6" x14ac:dyDescent="0.3">
      <c r="A11" s="15" t="s">
        <v>22</v>
      </c>
      <c r="B11" s="15" t="s">
        <v>9</v>
      </c>
      <c r="C11" s="15">
        <v>10</v>
      </c>
      <c r="D11" s="16">
        <v>0.73629999999999995</v>
      </c>
      <c r="E11" s="25">
        <f>F11/F14</f>
        <v>0.18117</v>
      </c>
      <c r="F11" s="3">
        <f>'6LHs Category Diversification'!F35</f>
        <v>108702</v>
      </c>
      <c r="G11" s="3">
        <f t="shared" si="0"/>
        <v>188739.28259999998</v>
      </c>
      <c r="H11" s="3">
        <f t="shared" si="1"/>
        <v>80037.282599999991</v>
      </c>
    </row>
    <row r="12" spans="1:8" ht="15.6" x14ac:dyDescent="0.3">
      <c r="A12" s="15" t="s">
        <v>24</v>
      </c>
      <c r="B12" s="15" t="s">
        <v>9</v>
      </c>
      <c r="C12" s="15">
        <v>10</v>
      </c>
      <c r="D12" s="16">
        <v>1.5888</v>
      </c>
      <c r="E12" s="25">
        <f>F12/F14</f>
        <v>6.0000000000000002E-5</v>
      </c>
      <c r="F12" s="3">
        <f>'6LHs Category Diversification'!F36</f>
        <v>36</v>
      </c>
      <c r="G12" s="3">
        <f t="shared" si="0"/>
        <v>93.196799999999996</v>
      </c>
      <c r="H12" s="3">
        <f t="shared" si="1"/>
        <v>57.196799999999996</v>
      </c>
    </row>
    <row r="13" spans="1:8" ht="15.6" x14ac:dyDescent="0.3">
      <c r="A13" s="15" t="s">
        <v>25</v>
      </c>
      <c r="B13" s="15" t="s">
        <v>9</v>
      </c>
      <c r="C13" s="15">
        <v>10</v>
      </c>
      <c r="D13" s="16">
        <v>0.35590000000000005</v>
      </c>
      <c r="E13" s="25">
        <f>F13/F14</f>
        <v>1.8120000000000001E-2</v>
      </c>
      <c r="F13" s="27">
        <f>'6LHs Category Diversification'!F37</f>
        <v>10872</v>
      </c>
      <c r="G13" s="3">
        <f t="shared" si="0"/>
        <v>14741.344800000001</v>
      </c>
      <c r="H13" s="3">
        <f t="shared" si="1"/>
        <v>3869.3448000000008</v>
      </c>
    </row>
    <row r="14" spans="1:8" ht="19.8" x14ac:dyDescent="0.4">
      <c r="A14" s="5" t="s">
        <v>10</v>
      </c>
      <c r="B14" s="6" t="s">
        <v>15</v>
      </c>
      <c r="C14" s="7">
        <f>AVERAGE(C3:C13)</f>
        <v>7.7272727272727275</v>
      </c>
      <c r="D14" s="5"/>
      <c r="E14" s="8">
        <f>SUM(E3:E13)</f>
        <v>0.99999999999999989</v>
      </c>
      <c r="F14" s="5">
        <f>SUM(F3:F13)</f>
        <v>600000</v>
      </c>
      <c r="G14" s="5">
        <f>SUM(G3:G13)</f>
        <v>838394.95811999997</v>
      </c>
      <c r="H14" s="5">
        <f>SUM(H3:H13)</f>
        <v>238394.95811999997</v>
      </c>
    </row>
    <row r="16" spans="1:8" ht="19.8" x14ac:dyDescent="0.4">
      <c r="G16" s="9" t="s">
        <v>11</v>
      </c>
      <c r="H16" s="20">
        <f>H14/F14</f>
        <v>0.39732493019999993</v>
      </c>
    </row>
    <row r="19" spans="5:5" x14ac:dyDescent="0.3">
      <c r="E19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C2EC8-8352-47D4-A525-A0E68A3F36DC}">
  <dimension ref="A2:K22"/>
  <sheetViews>
    <sheetView topLeftCell="A3" workbookViewId="0">
      <pane xSplit="1" topLeftCell="F1" activePane="topRight" state="frozen"/>
      <selection pane="topRight" activeCell="G18" sqref="G18"/>
    </sheetView>
  </sheetViews>
  <sheetFormatPr defaultRowHeight="14.4" x14ac:dyDescent="0.3"/>
  <cols>
    <col min="1" max="1" width="35.44140625" bestFit="1" customWidth="1"/>
    <col min="2" max="2" width="19.109375" bestFit="1" customWidth="1"/>
    <col min="3" max="3" width="41.77734375" bestFit="1" customWidth="1"/>
    <col min="4" max="4" width="41.88671875" bestFit="1" customWidth="1"/>
    <col min="5" max="5" width="11.88671875" bestFit="1" customWidth="1"/>
    <col min="6" max="6" width="21.33203125" bestFit="1" customWidth="1"/>
    <col min="7" max="7" width="27.77734375" bestFit="1" customWidth="1"/>
    <col min="8" max="8" width="16.44140625" bestFit="1" customWidth="1"/>
    <col min="9" max="9" width="39.33203125" customWidth="1"/>
    <col min="10" max="10" width="26.5546875" bestFit="1" customWidth="1"/>
    <col min="11" max="11" width="44.88671875" bestFit="1" customWidth="1"/>
  </cols>
  <sheetData>
    <row r="2" spans="1:11" x14ac:dyDescent="0.3">
      <c r="A2" s="1" t="s">
        <v>0</v>
      </c>
    </row>
    <row r="3" spans="1:11" ht="19.8" x14ac:dyDescent="0.4">
      <c r="A3" s="2" t="s">
        <v>1</v>
      </c>
      <c r="B3" s="2" t="s">
        <v>2</v>
      </c>
      <c r="C3" s="2" t="s">
        <v>3</v>
      </c>
      <c r="D3" s="2" t="s">
        <v>23</v>
      </c>
      <c r="E3" s="2" t="s">
        <v>48</v>
      </c>
      <c r="F3" s="2" t="s">
        <v>5</v>
      </c>
      <c r="G3" s="2" t="s">
        <v>43</v>
      </c>
      <c r="H3" s="2" t="s">
        <v>42</v>
      </c>
      <c r="I3" s="2" t="s">
        <v>6</v>
      </c>
      <c r="J3" s="2" t="s">
        <v>45</v>
      </c>
      <c r="K3" s="2" t="s">
        <v>46</v>
      </c>
    </row>
    <row r="4" spans="1:11" ht="15.6" x14ac:dyDescent="0.3">
      <c r="A4" s="10" t="s">
        <v>12</v>
      </c>
      <c r="B4" s="11" t="s">
        <v>9</v>
      </c>
      <c r="C4" s="11">
        <v>5</v>
      </c>
      <c r="D4" s="24">
        <f>'6LHs Consolidated Diversificati'!E3</f>
        <v>6.1421999999999997E-2</v>
      </c>
      <c r="E4" s="26">
        <v>269.5</v>
      </c>
      <c r="F4" s="3">
        <f>'6LHs Category Diversification'!F7</f>
        <v>36853.199999999997</v>
      </c>
      <c r="G4" s="31">
        <f>F4/E4</f>
        <v>136.74656771799627</v>
      </c>
      <c r="H4" s="26">
        <v>281.5</v>
      </c>
      <c r="I4" s="30">
        <f>(J4*F4)+F4</f>
        <v>38494.158812615955</v>
      </c>
      <c r="J4" s="30">
        <f>(H4-E4)/E4</f>
        <v>4.4526901669758812E-2</v>
      </c>
      <c r="K4" s="33">
        <f>I4-F4</f>
        <v>1640.9588126159579</v>
      </c>
    </row>
    <row r="5" spans="1:11" ht="15.6" x14ac:dyDescent="0.3">
      <c r="A5" s="11" t="s">
        <v>13</v>
      </c>
      <c r="B5" s="11" t="s">
        <v>9</v>
      </c>
      <c r="C5" s="11">
        <v>5</v>
      </c>
      <c r="D5" s="24">
        <f>'6LHs Consolidated Diversificati'!E4</f>
        <v>0.40756599999999998</v>
      </c>
      <c r="E5" s="26">
        <v>554</v>
      </c>
      <c r="F5" s="3">
        <f>'6LHs Category Diversification'!F8</f>
        <v>244539.6</v>
      </c>
      <c r="G5" s="31">
        <f>F5/E5</f>
        <v>441.4072202166065</v>
      </c>
      <c r="H5" s="26">
        <v>576.73</v>
      </c>
      <c r="I5" s="30">
        <f>(J5*F5)+F5</f>
        <v>254572.78611552349</v>
      </c>
      <c r="J5" s="30">
        <f t="shared" ref="J5:J12" si="0">(H5-E5)/E5</f>
        <v>4.1028880866426025E-2</v>
      </c>
      <c r="K5" s="33">
        <f t="shared" ref="K5:K14" si="1">I5-F5</f>
        <v>10033.18611552348</v>
      </c>
    </row>
    <row r="6" spans="1:11" ht="15.6" x14ac:dyDescent="0.3">
      <c r="A6" s="11" t="s">
        <v>14</v>
      </c>
      <c r="B6" s="11" t="s">
        <v>15</v>
      </c>
      <c r="C6" s="11">
        <v>4</v>
      </c>
      <c r="D6" s="24">
        <f>'6LHs Consolidated Diversificati'!E5</f>
        <v>0.110954</v>
      </c>
      <c r="E6" s="26">
        <v>80.48</v>
      </c>
      <c r="F6" s="3">
        <f>'6LHs Category Diversification'!F9</f>
        <v>66572.399999999994</v>
      </c>
      <c r="G6" s="31">
        <f t="shared" ref="G6:G14" si="2">F6/E6</f>
        <v>827.19184890656049</v>
      </c>
      <c r="H6" s="26">
        <v>82.23</v>
      </c>
      <c r="I6" s="30">
        <f t="shared" ref="I6:I12" si="3">(J6*F6)+F6</f>
        <v>68019.985735586481</v>
      </c>
      <c r="J6" s="30">
        <f t="shared" si="0"/>
        <v>2.1744532803180915E-2</v>
      </c>
      <c r="K6" s="33">
        <f t="shared" si="1"/>
        <v>1447.5857355864864</v>
      </c>
    </row>
    <row r="7" spans="1:11" ht="15.6" x14ac:dyDescent="0.3">
      <c r="A7" s="11" t="s">
        <v>16</v>
      </c>
      <c r="B7" s="11" t="s">
        <v>9</v>
      </c>
      <c r="C7" s="11">
        <v>5</v>
      </c>
      <c r="D7" s="24">
        <f>'6LHs Consolidated Diversificati'!E6</f>
        <v>5.8000000000000007E-5</v>
      </c>
      <c r="E7" s="26">
        <v>38.81</v>
      </c>
      <c r="F7" s="3">
        <f>'6LHs Category Diversification'!F10</f>
        <v>34.800000000000004</v>
      </c>
      <c r="G7" s="31">
        <f t="shared" si="2"/>
        <v>0.89667611440350425</v>
      </c>
      <c r="H7" s="26">
        <v>42.31</v>
      </c>
      <c r="I7" s="30">
        <f t="shared" si="3"/>
        <v>37.938366400412271</v>
      </c>
      <c r="J7" s="30">
        <f t="shared" si="0"/>
        <v>9.0182942540582317E-2</v>
      </c>
      <c r="K7" s="33">
        <f t="shared" si="1"/>
        <v>3.1383664004122664</v>
      </c>
    </row>
    <row r="8" spans="1:11" ht="15.6" x14ac:dyDescent="0.3">
      <c r="A8" s="13" t="s">
        <v>17</v>
      </c>
      <c r="B8" s="13" t="s">
        <v>18</v>
      </c>
      <c r="C8" s="13">
        <v>10</v>
      </c>
      <c r="D8" s="24">
        <f>'6LHs Consolidated Diversificati'!E7</f>
        <v>9.6000000000000002E-2</v>
      </c>
      <c r="E8" s="26">
        <v>8230197.5</v>
      </c>
      <c r="F8" s="3">
        <f>'6LHs Category Diversification'!F21</f>
        <v>57600</v>
      </c>
      <c r="G8" s="31">
        <f t="shared" si="2"/>
        <v>6.9986169833712985E-3</v>
      </c>
      <c r="H8" s="26">
        <v>8847287</v>
      </c>
      <c r="I8" s="30">
        <f t="shared" si="3"/>
        <v>61918.773054960104</v>
      </c>
      <c r="J8" s="30">
        <f t="shared" si="0"/>
        <v>7.4978698870835123E-2</v>
      </c>
      <c r="K8" s="33">
        <f t="shared" si="1"/>
        <v>4318.7730549601038</v>
      </c>
    </row>
    <row r="9" spans="1:11" ht="15.6" x14ac:dyDescent="0.3">
      <c r="A9" s="13" t="s">
        <v>19</v>
      </c>
      <c r="B9" s="13" t="s">
        <v>18</v>
      </c>
      <c r="C9" s="13">
        <v>7</v>
      </c>
      <c r="D9" s="24">
        <f>'6LHs Consolidated Diversificati'!E8</f>
        <v>1.2E-2</v>
      </c>
      <c r="E9" s="26">
        <v>153650.73000000001</v>
      </c>
      <c r="F9" s="3">
        <f>'6LHs Category Diversification'!F22</f>
        <v>7200</v>
      </c>
      <c r="G9" s="31">
        <f t="shared" si="2"/>
        <v>4.6859523544079483E-2</v>
      </c>
      <c r="H9" s="26">
        <v>198889.64</v>
      </c>
      <c r="I9" s="30">
        <f t="shared" si="3"/>
        <v>9319.873768253492</v>
      </c>
      <c r="J9" s="30">
        <f t="shared" si="0"/>
        <v>0.29442691225742956</v>
      </c>
      <c r="K9" s="33">
        <f t="shared" si="1"/>
        <v>2119.873768253492</v>
      </c>
    </row>
    <row r="10" spans="1:11" ht="15.6" x14ac:dyDescent="0.3">
      <c r="A10" s="13" t="s">
        <v>20</v>
      </c>
      <c r="B10" s="13" t="s">
        <v>18</v>
      </c>
      <c r="C10" s="13">
        <v>9</v>
      </c>
      <c r="D10" s="24">
        <f>'6LHs Consolidated Diversificati'!E9</f>
        <v>1.2E-2</v>
      </c>
      <c r="E10" s="26">
        <v>51168.62</v>
      </c>
      <c r="F10" s="3">
        <f>'6LHs Category Diversification'!F23</f>
        <v>7200</v>
      </c>
      <c r="G10" s="31">
        <f t="shared" si="2"/>
        <v>0.14071124060019596</v>
      </c>
      <c r="H10" s="26">
        <v>54451.23</v>
      </c>
      <c r="I10" s="30">
        <f t="shared" si="3"/>
        <v>7661.9001255066096</v>
      </c>
      <c r="J10" s="30">
        <f t="shared" si="0"/>
        <v>6.4152795209251309E-2</v>
      </c>
      <c r="K10" s="33">
        <f t="shared" si="1"/>
        <v>461.90012550660958</v>
      </c>
    </row>
    <row r="11" spans="1:11" ht="15.6" x14ac:dyDescent="0.3">
      <c r="A11" s="15" t="s">
        <v>21</v>
      </c>
      <c r="B11" s="15" t="s">
        <v>9</v>
      </c>
      <c r="C11" s="15">
        <v>10</v>
      </c>
      <c r="D11" s="24">
        <f>'6LHs Consolidated Diversificati'!E10</f>
        <v>0.10065000000000002</v>
      </c>
      <c r="E11" s="26">
        <v>1388.9</v>
      </c>
      <c r="F11" s="3">
        <f>'6LHs Category Diversification'!F34</f>
        <v>60390.000000000007</v>
      </c>
      <c r="G11" s="31">
        <f t="shared" si="2"/>
        <v>43.480452156382754</v>
      </c>
      <c r="H11" s="26">
        <v>1427</v>
      </c>
      <c r="I11" s="30">
        <f t="shared" si="3"/>
        <v>62046.605227158187</v>
      </c>
      <c r="J11" s="30">
        <f t="shared" si="0"/>
        <v>2.7431780545755565E-2</v>
      </c>
      <c r="K11" s="33">
        <f t="shared" si="1"/>
        <v>1656.6052271581793</v>
      </c>
    </row>
    <row r="12" spans="1:11" ht="15.6" x14ac:dyDescent="0.3">
      <c r="A12" s="15" t="s">
        <v>22</v>
      </c>
      <c r="B12" s="15" t="s">
        <v>9</v>
      </c>
      <c r="C12" s="15">
        <v>10</v>
      </c>
      <c r="D12" s="25">
        <f>'6LHs Consolidated Diversificati'!E11</f>
        <v>0.18117</v>
      </c>
      <c r="E12" s="26">
        <v>1619.9</v>
      </c>
      <c r="F12" s="3">
        <f>'6LHs Category Diversification'!F35</f>
        <v>108702</v>
      </c>
      <c r="G12" s="31">
        <f t="shared" si="2"/>
        <v>67.104142231001916</v>
      </c>
      <c r="H12" s="26">
        <v>1901</v>
      </c>
      <c r="I12" s="30">
        <f t="shared" si="3"/>
        <v>127564.97438113463</v>
      </c>
      <c r="J12" s="30">
        <f t="shared" si="0"/>
        <v>0.17352923019939495</v>
      </c>
      <c r="K12" s="33">
        <f t="shared" si="1"/>
        <v>18862.974381134627</v>
      </c>
    </row>
    <row r="13" spans="1:11" ht="15.6" x14ac:dyDescent="0.3">
      <c r="A13" s="15" t="s">
        <v>24</v>
      </c>
      <c r="B13" s="15" t="s">
        <v>9</v>
      </c>
      <c r="C13" s="15">
        <v>10</v>
      </c>
      <c r="D13" s="25">
        <f>'6LHs Consolidated Diversificati'!E12</f>
        <v>6.0000000000000002E-5</v>
      </c>
      <c r="E13" s="26">
        <v>4501.2</v>
      </c>
      <c r="F13" s="3">
        <f>'6LHs Category Diversification'!F36</f>
        <v>36</v>
      </c>
      <c r="G13" s="31">
        <f t="shared" si="2"/>
        <v>7.9978672354038931E-3</v>
      </c>
      <c r="H13" s="26">
        <v>4973</v>
      </c>
      <c r="I13" s="30">
        <f>F13+J13</f>
        <v>36.104816493379545</v>
      </c>
      <c r="J13" s="30">
        <f>(H13-E13)/E13</f>
        <v>0.10481649337954328</v>
      </c>
      <c r="K13" s="33">
        <f t="shared" si="1"/>
        <v>0.1048164933795448</v>
      </c>
    </row>
    <row r="14" spans="1:11" ht="15.6" x14ac:dyDescent="0.3">
      <c r="A14" s="15" t="s">
        <v>25</v>
      </c>
      <c r="B14" s="15" t="s">
        <v>9</v>
      </c>
      <c r="C14" s="15">
        <v>10</v>
      </c>
      <c r="D14" s="25">
        <f>'6LHs Consolidated Diversificati'!E13</f>
        <v>1.8120000000000001E-2</v>
      </c>
      <c r="E14" s="26">
        <v>1744.8</v>
      </c>
      <c r="F14" s="27">
        <f>'6LHs Category Diversification'!F37</f>
        <v>10872</v>
      </c>
      <c r="G14" s="31">
        <f t="shared" si="2"/>
        <v>6.2310866574965615</v>
      </c>
      <c r="H14" s="26">
        <v>1665</v>
      </c>
      <c r="I14" s="30">
        <f>(J14*F14)+F14</f>
        <v>10374.759284731776</v>
      </c>
      <c r="J14" s="30">
        <f>(H14-E14)/E14</f>
        <v>-4.5735900962861051E-2</v>
      </c>
      <c r="K14" s="33">
        <f t="shared" si="1"/>
        <v>-497.24071526822445</v>
      </c>
    </row>
    <row r="15" spans="1:11" ht="19.8" x14ac:dyDescent="0.4">
      <c r="A15" s="5" t="s">
        <v>10</v>
      </c>
      <c r="B15" s="6" t="s">
        <v>15</v>
      </c>
      <c r="C15" s="7">
        <f>AVERAGE(C4:C14)</f>
        <v>7.7272727272727275</v>
      </c>
      <c r="D15" s="8">
        <f>SUM(D4:D14)</f>
        <v>0.99999999999999989</v>
      </c>
      <c r="E15" s="5"/>
      <c r="F15" s="5">
        <f>SUM(F4:F14)</f>
        <v>600000</v>
      </c>
      <c r="G15" s="5"/>
      <c r="H15" s="5"/>
      <c r="I15" s="32">
        <f>SUM(I4:I14)</f>
        <v>640047.85968836455</v>
      </c>
      <c r="J15" s="32">
        <f>SUM(J4:J14)</f>
        <v>0.89108326737929677</v>
      </c>
      <c r="K15" s="32">
        <f>SUM(K4:K14)</f>
        <v>40047.859688364508</v>
      </c>
    </row>
    <row r="17" spans="1:10" ht="19.8" x14ac:dyDescent="0.4">
      <c r="I17" s="36" t="s">
        <v>47</v>
      </c>
      <c r="J17" s="37">
        <f>'6LHs Consolidated Diversificati'!H16/12</f>
        <v>3.3110410849999994E-2</v>
      </c>
    </row>
    <row r="18" spans="1:10" x14ac:dyDescent="0.3">
      <c r="A18" s="28" t="s">
        <v>44</v>
      </c>
    </row>
    <row r="20" spans="1:10" ht="15.6" x14ac:dyDescent="0.3">
      <c r="I20" s="38" t="s">
        <v>50</v>
      </c>
      <c r="J20" s="39">
        <v>2</v>
      </c>
    </row>
    <row r="22" spans="1:10" ht="19.8" x14ac:dyDescent="0.4">
      <c r="I22" s="34" t="s">
        <v>49</v>
      </c>
      <c r="J22" s="35">
        <f>(K15/F15)/J20</f>
        <v>3.337321640697042E-2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5EB28-A813-447B-B8EC-2421139B5498}">
  <dimension ref="A2:K25"/>
  <sheetViews>
    <sheetView topLeftCell="A17" workbookViewId="0">
      <pane xSplit="1" topLeftCell="F1" activePane="topRight" state="frozen"/>
      <selection pane="topRight" activeCell="J22" sqref="I22:J22"/>
    </sheetView>
  </sheetViews>
  <sheetFormatPr defaultRowHeight="14.4" x14ac:dyDescent="0.3"/>
  <cols>
    <col min="1" max="1" width="35.44140625" bestFit="1" customWidth="1"/>
    <col min="2" max="2" width="19.109375" bestFit="1" customWidth="1"/>
    <col min="3" max="3" width="41.77734375" bestFit="1" customWidth="1"/>
    <col min="4" max="4" width="41.88671875" bestFit="1" customWidth="1"/>
    <col min="5" max="5" width="11.88671875" bestFit="1" customWidth="1"/>
    <col min="6" max="6" width="21.33203125" bestFit="1" customWidth="1"/>
    <col min="7" max="7" width="27.77734375" bestFit="1" customWidth="1"/>
    <col min="8" max="8" width="16.44140625" bestFit="1" customWidth="1"/>
    <col min="9" max="9" width="39.33203125" customWidth="1"/>
    <col min="10" max="10" width="26.5546875" bestFit="1" customWidth="1"/>
    <col min="11" max="11" width="44.88671875" bestFit="1" customWidth="1"/>
  </cols>
  <sheetData>
    <row r="2" spans="1:11" x14ac:dyDescent="0.3">
      <c r="A2" s="1" t="s">
        <v>0</v>
      </c>
    </row>
    <row r="3" spans="1:11" ht="19.8" x14ac:dyDescent="0.4">
      <c r="A3" s="2" t="s">
        <v>1</v>
      </c>
      <c r="B3" s="2" t="s">
        <v>2</v>
      </c>
      <c r="C3" s="2" t="s">
        <v>3</v>
      </c>
      <c r="D3" s="2" t="s">
        <v>23</v>
      </c>
      <c r="E3" s="2" t="s">
        <v>48</v>
      </c>
      <c r="F3" s="2" t="s">
        <v>5</v>
      </c>
      <c r="G3" s="2" t="s">
        <v>43</v>
      </c>
      <c r="H3" s="2" t="s">
        <v>42</v>
      </c>
      <c r="I3" s="2" t="s">
        <v>6</v>
      </c>
      <c r="J3" s="2" t="s">
        <v>45</v>
      </c>
      <c r="K3" s="2" t="s">
        <v>46</v>
      </c>
    </row>
    <row r="4" spans="1:11" ht="15.6" x14ac:dyDescent="0.3">
      <c r="A4" s="10" t="s">
        <v>12</v>
      </c>
      <c r="B4" s="11" t="s">
        <v>9</v>
      </c>
      <c r="C4" s="11">
        <v>5</v>
      </c>
      <c r="D4" s="24">
        <f>'6LHs Consolidated Diversificati'!E3</f>
        <v>6.1421999999999997E-2</v>
      </c>
      <c r="E4" s="26">
        <v>269.5</v>
      </c>
      <c r="F4" s="3">
        <f>'6LHs Category Diversification'!F7</f>
        <v>36853.199999999997</v>
      </c>
      <c r="G4" s="31">
        <f>F4/E4</f>
        <v>136.74656771799627</v>
      </c>
      <c r="H4" s="26">
        <v>281.66000000000003</v>
      </c>
      <c r="I4" s="30">
        <f>(J4*F4)+F4</f>
        <v>38516.038263450835</v>
      </c>
      <c r="J4" s="42">
        <f>(H4-E4)/E4</f>
        <v>4.5120593692022357E-2</v>
      </c>
      <c r="K4" s="33">
        <f>I4-F4</f>
        <v>1662.838263450838</v>
      </c>
    </row>
    <row r="5" spans="1:11" ht="15.6" x14ac:dyDescent="0.3">
      <c r="A5" s="11" t="s">
        <v>13</v>
      </c>
      <c r="B5" s="11" t="s">
        <v>9</v>
      </c>
      <c r="C5" s="11">
        <v>5</v>
      </c>
      <c r="D5" s="24">
        <f>'6LHs Consolidated Diversificati'!E4</f>
        <v>0.40756599999999998</v>
      </c>
      <c r="E5" s="26">
        <v>554</v>
      </c>
      <c r="F5" s="3">
        <f>'6LHs Category Diversification'!F8</f>
        <v>244539.6</v>
      </c>
      <c r="G5" s="31">
        <f>F5/E5</f>
        <v>441.4072202166065</v>
      </c>
      <c r="H5" s="26">
        <v>581.19000000000005</v>
      </c>
      <c r="I5" s="30">
        <f>(J5*F5)+F5</f>
        <v>256541.46231768955</v>
      </c>
      <c r="J5" s="42">
        <f t="shared" ref="J5:J12" si="0">(H5-E5)/E5</f>
        <v>4.9079422382671579E-2</v>
      </c>
      <c r="K5" s="33">
        <f t="shared" ref="K5:K14" si="1">I5-F5</f>
        <v>12001.862317689549</v>
      </c>
    </row>
    <row r="6" spans="1:11" ht="15.6" x14ac:dyDescent="0.3">
      <c r="A6" s="11" t="s">
        <v>14</v>
      </c>
      <c r="B6" s="11" t="s">
        <v>15</v>
      </c>
      <c r="C6" s="11">
        <v>4</v>
      </c>
      <c r="D6" s="24">
        <f>'6LHs Consolidated Diversificati'!E5</f>
        <v>0.110954</v>
      </c>
      <c r="E6" s="26">
        <v>80.48</v>
      </c>
      <c r="F6" s="3">
        <f>'6LHs Category Diversification'!F9</f>
        <v>66572.399999999994</v>
      </c>
      <c r="G6" s="31">
        <f t="shared" ref="G6:G14" si="2">F6/E6</f>
        <v>827.19184890656049</v>
      </c>
      <c r="H6" s="26">
        <v>81.73</v>
      </c>
      <c r="I6" s="30">
        <f t="shared" ref="I6:I12" si="3">(J6*F6)+F6</f>
        <v>67606.389811133195</v>
      </c>
      <c r="J6" s="42">
        <f t="shared" si="0"/>
        <v>1.5531809145129223E-2</v>
      </c>
      <c r="K6" s="33">
        <f t="shared" si="1"/>
        <v>1033.9898111332004</v>
      </c>
    </row>
    <row r="7" spans="1:11" ht="15.6" x14ac:dyDescent="0.3">
      <c r="A7" s="11" t="s">
        <v>16</v>
      </c>
      <c r="B7" s="11" t="s">
        <v>9</v>
      </c>
      <c r="C7" s="11">
        <v>5</v>
      </c>
      <c r="D7" s="24">
        <f>'6LHs Consolidated Diversificati'!E6</f>
        <v>5.8000000000000007E-5</v>
      </c>
      <c r="E7" s="26">
        <v>38.81</v>
      </c>
      <c r="F7" s="3">
        <f>'6LHs Category Diversification'!F10</f>
        <v>34.800000000000004</v>
      </c>
      <c r="G7" s="31">
        <f t="shared" si="2"/>
        <v>0.89667611440350425</v>
      </c>
      <c r="H7" s="26">
        <v>40.51</v>
      </c>
      <c r="I7" s="30">
        <f t="shared" si="3"/>
        <v>36.324349394485957</v>
      </c>
      <c r="J7" s="42">
        <f t="shared" si="0"/>
        <v>4.3803143519711304E-2</v>
      </c>
      <c r="K7" s="33">
        <f t="shared" si="1"/>
        <v>1.5243493944859523</v>
      </c>
    </row>
    <row r="8" spans="1:11" ht="15.6" x14ac:dyDescent="0.3">
      <c r="A8" s="13" t="s">
        <v>17</v>
      </c>
      <c r="B8" s="13" t="s">
        <v>18</v>
      </c>
      <c r="C8" s="13">
        <v>10</v>
      </c>
      <c r="D8" s="24">
        <f>'6LHs Consolidated Diversificati'!E7</f>
        <v>9.6000000000000002E-2</v>
      </c>
      <c r="E8" s="26">
        <v>8230197.5</v>
      </c>
      <c r="F8" s="3">
        <f>'6LHs Category Diversification'!F21</f>
        <v>57600</v>
      </c>
      <c r="G8" s="31">
        <f t="shared" si="2"/>
        <v>6.9986169833712985E-3</v>
      </c>
      <c r="H8" s="26">
        <v>10160076.59</v>
      </c>
      <c r="I8" s="30">
        <f t="shared" si="3"/>
        <v>71106.48457512715</v>
      </c>
      <c r="J8" s="42">
        <f t="shared" si="0"/>
        <v>0.23448757942929072</v>
      </c>
      <c r="K8" s="33">
        <f t="shared" si="1"/>
        <v>13506.48457512715</v>
      </c>
    </row>
    <row r="9" spans="1:11" ht="15.6" x14ac:dyDescent="0.3">
      <c r="A9" s="13" t="s">
        <v>19</v>
      </c>
      <c r="B9" s="13" t="s">
        <v>18</v>
      </c>
      <c r="C9" s="13">
        <v>7</v>
      </c>
      <c r="D9" s="24">
        <f>'6LHs Consolidated Diversificati'!E8</f>
        <v>1.2E-2</v>
      </c>
      <c r="E9" s="26">
        <v>153650.73000000001</v>
      </c>
      <c r="F9" s="3">
        <f>'6LHs Category Diversification'!F22</f>
        <v>7200</v>
      </c>
      <c r="G9" s="31">
        <f t="shared" si="2"/>
        <v>4.6859523544079483E-2</v>
      </c>
      <c r="H9" s="26">
        <v>308217.36</v>
      </c>
      <c r="I9" s="30">
        <f t="shared" si="3"/>
        <v>14442.918637614021</v>
      </c>
      <c r="J9" s="42">
        <f t="shared" si="0"/>
        <v>1.0059609218908363</v>
      </c>
      <c r="K9" s="33">
        <f t="shared" si="1"/>
        <v>7242.9186376140206</v>
      </c>
    </row>
    <row r="10" spans="1:11" ht="15.6" x14ac:dyDescent="0.3">
      <c r="A10" s="13" t="s">
        <v>20</v>
      </c>
      <c r="B10" s="13" t="s">
        <v>18</v>
      </c>
      <c r="C10" s="13">
        <v>9</v>
      </c>
      <c r="D10" s="24">
        <f>'6LHs Consolidated Diversificati'!E9</f>
        <v>1.2E-2</v>
      </c>
      <c r="E10" s="26">
        <v>51168.62</v>
      </c>
      <c r="F10" s="3">
        <f>'6LHs Category Diversification'!F23</f>
        <v>7200</v>
      </c>
      <c r="G10" s="31">
        <f t="shared" si="2"/>
        <v>0.14071124060019596</v>
      </c>
      <c r="H10" s="26">
        <v>64174.9</v>
      </c>
      <c r="I10" s="30">
        <f t="shared" si="3"/>
        <v>9030.1297943935169</v>
      </c>
      <c r="J10" s="42">
        <f t="shared" si="0"/>
        <v>0.25418469366576618</v>
      </c>
      <c r="K10" s="33">
        <f t="shared" si="1"/>
        <v>1830.1297943935169</v>
      </c>
    </row>
    <row r="11" spans="1:11" ht="15.6" x14ac:dyDescent="0.3">
      <c r="A11" s="15" t="s">
        <v>21</v>
      </c>
      <c r="B11" s="15" t="s">
        <v>9</v>
      </c>
      <c r="C11" s="15">
        <v>10</v>
      </c>
      <c r="D11" s="24">
        <f>'6LHs Consolidated Diversificati'!E10</f>
        <v>0.10065000000000002</v>
      </c>
      <c r="E11" s="26">
        <v>1388.9</v>
      </c>
      <c r="F11" s="3">
        <f>'6LHs Category Diversification'!F34</f>
        <v>60390.000000000007</v>
      </c>
      <c r="G11" s="31">
        <f t="shared" si="2"/>
        <v>43.480452156382754</v>
      </c>
      <c r="H11" s="26">
        <v>1426.7</v>
      </c>
      <c r="I11" s="30">
        <f t="shared" si="3"/>
        <v>62033.56109151127</v>
      </c>
      <c r="J11" s="42">
        <f t="shared" si="0"/>
        <v>2.7215782273741777E-2</v>
      </c>
      <c r="K11" s="33">
        <f t="shared" si="1"/>
        <v>1643.5610915112629</v>
      </c>
    </row>
    <row r="12" spans="1:11" ht="15.6" x14ac:dyDescent="0.3">
      <c r="A12" s="15" t="s">
        <v>22</v>
      </c>
      <c r="B12" s="15" t="s">
        <v>9</v>
      </c>
      <c r="C12" s="15">
        <v>10</v>
      </c>
      <c r="D12" s="25">
        <f>'6LHs Consolidated Diversificati'!E11</f>
        <v>0.18117</v>
      </c>
      <c r="E12" s="26">
        <v>1619.9</v>
      </c>
      <c r="F12" s="3">
        <f>'6LHs Category Diversification'!F35</f>
        <v>108702</v>
      </c>
      <c r="G12" s="31">
        <f t="shared" si="2"/>
        <v>67.104142231001916</v>
      </c>
      <c r="H12" s="26">
        <v>1762.4</v>
      </c>
      <c r="I12" s="30">
        <f t="shared" si="3"/>
        <v>118264.34026791777</v>
      </c>
      <c r="J12" s="42">
        <f t="shared" si="0"/>
        <v>8.7968393110685841E-2</v>
      </c>
      <c r="K12" s="33">
        <f t="shared" si="1"/>
        <v>9562.3402679177671</v>
      </c>
    </row>
    <row r="13" spans="1:11" ht="15.6" x14ac:dyDescent="0.3">
      <c r="A13" s="15" t="s">
        <v>24</v>
      </c>
      <c r="B13" s="15" t="s">
        <v>9</v>
      </c>
      <c r="C13" s="15">
        <v>10</v>
      </c>
      <c r="D13" s="25">
        <f>'6LHs Consolidated Diversificati'!E12</f>
        <v>6.0000000000000002E-5</v>
      </c>
      <c r="E13" s="26">
        <v>4501.2</v>
      </c>
      <c r="F13" s="3">
        <f>'6LHs Category Diversification'!F36</f>
        <v>36</v>
      </c>
      <c r="G13" s="31">
        <f t="shared" si="2"/>
        <v>7.9978672354038931E-3</v>
      </c>
      <c r="H13" s="26">
        <v>4651.7</v>
      </c>
      <c r="I13" s="30">
        <f>F13+J13</f>
        <v>36.033435528303563</v>
      </c>
      <c r="J13" s="42">
        <f>(H13-E13)/E13</f>
        <v>3.3435528303563493E-2</v>
      </c>
      <c r="K13" s="33">
        <f t="shared" si="1"/>
        <v>3.3435528303563444E-2</v>
      </c>
    </row>
    <row r="14" spans="1:11" ht="15.6" x14ac:dyDescent="0.3">
      <c r="A14" s="15" t="s">
        <v>25</v>
      </c>
      <c r="B14" s="15" t="s">
        <v>9</v>
      </c>
      <c r="C14" s="15">
        <v>10</v>
      </c>
      <c r="D14" s="25">
        <f>'6LHs Consolidated Diversificati'!E13</f>
        <v>1.8120000000000001E-2</v>
      </c>
      <c r="E14" s="26">
        <v>1744.8</v>
      </c>
      <c r="F14" s="27">
        <f>'6LHs Category Diversification'!F37</f>
        <v>10872</v>
      </c>
      <c r="G14" s="31">
        <f t="shared" si="2"/>
        <v>6.2310866574965615</v>
      </c>
      <c r="H14" s="26">
        <v>1694.4</v>
      </c>
      <c r="I14" s="30">
        <f>(J14*F14)+F14</f>
        <v>10557.953232462174</v>
      </c>
      <c r="J14" s="42">
        <f>(H14-E14)/E14</f>
        <v>-2.8885832187070075E-2</v>
      </c>
      <c r="K14" s="33">
        <f t="shared" si="1"/>
        <v>-314.04676753782587</v>
      </c>
    </row>
    <row r="15" spans="1:11" ht="19.8" x14ac:dyDescent="0.4">
      <c r="A15" s="5" t="s">
        <v>10</v>
      </c>
      <c r="B15" s="6" t="s">
        <v>15</v>
      </c>
      <c r="C15" s="7">
        <f>AVERAGE(C4:C14)</f>
        <v>7.7272727272727275</v>
      </c>
      <c r="D15" s="8">
        <f>SUM(D4:D14)</f>
        <v>0.99999999999999989</v>
      </c>
      <c r="E15" s="5"/>
      <c r="F15" s="5">
        <f>SUM(F4:F14)</f>
        <v>600000</v>
      </c>
      <c r="G15" s="5"/>
      <c r="H15" s="5"/>
      <c r="I15" s="32">
        <f>SUM(I4:I14)</f>
        <v>648171.63577622222</v>
      </c>
      <c r="J15" s="32">
        <f>SUM(J4:J14)</f>
        <v>1.7679020352263486</v>
      </c>
      <c r="K15" s="32">
        <f>SUM(K4:K14)</f>
        <v>48171.635776222276</v>
      </c>
    </row>
    <row r="17" spans="1:10" ht="19.8" x14ac:dyDescent="0.4">
      <c r="I17" s="36" t="s">
        <v>47</v>
      </c>
      <c r="J17" s="37">
        <f>'6LHs Consolidated Diversificati'!H16/12</f>
        <v>3.3110410849999994E-2</v>
      </c>
    </row>
    <row r="18" spans="1:10" x14ac:dyDescent="0.3">
      <c r="A18" s="28" t="s">
        <v>44</v>
      </c>
    </row>
    <row r="20" spans="1:10" ht="15.6" x14ac:dyDescent="0.3">
      <c r="I20" s="38" t="s">
        <v>50</v>
      </c>
      <c r="J20" s="39">
        <v>3</v>
      </c>
    </row>
    <row r="22" spans="1:10" ht="19.8" x14ac:dyDescent="0.4">
      <c r="I22" s="34" t="s">
        <v>49</v>
      </c>
      <c r="J22" s="35">
        <f>(K15/F15)/J20</f>
        <v>2.6762019875679041E-2</v>
      </c>
    </row>
    <row r="25" spans="1:10" ht="17.399999999999999" x14ac:dyDescent="0.35">
      <c r="I25" s="40"/>
      <c r="J25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10LHs Categories</vt:lpstr>
      <vt:lpstr>4LHs Category Diversification</vt:lpstr>
      <vt:lpstr>4LHs Actual Performance(3)</vt:lpstr>
      <vt:lpstr>6LHs Category Diversification</vt:lpstr>
      <vt:lpstr>6LHs Consolidated Diversificati</vt:lpstr>
      <vt:lpstr>6LHs Actual Performance (2)</vt:lpstr>
      <vt:lpstr>6LHs Actual Performance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MOKSH VERMA</cp:lastModifiedBy>
  <dcterms:created xsi:type="dcterms:W3CDTF">2015-06-05T18:17:20Z</dcterms:created>
  <dcterms:modified xsi:type="dcterms:W3CDTF">2025-07-18T18:00:20Z</dcterms:modified>
</cp:coreProperties>
</file>