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gram Files (x86)\nginx\html\japan\"/>
    </mc:Choice>
  </mc:AlternateContent>
  <bookViews>
    <workbookView xWindow="0" yWindow="120" windowWidth="16380" windowHeight="8070" tabRatio="374"/>
  </bookViews>
  <sheets>
    <sheet name="radiation1012" sheetId="1" r:id="rId1"/>
    <sheet name="Sheet2" sheetId="3" r:id="rId2"/>
  </sheets>
  <calcPr calcId="152511" calcOnSave="0" concurrentCalc="0"/>
</workbook>
</file>

<file path=xl/calcChain.xml><?xml version="1.0" encoding="utf-8"?>
<calcChain xmlns="http://schemas.openxmlformats.org/spreadsheetml/2006/main">
  <c r="K262" i="1" l="1"/>
  <c r="J262" i="1"/>
  <c r="I262" i="1"/>
  <c r="K261" i="1"/>
  <c r="J261" i="1"/>
  <c r="I261" i="1"/>
  <c r="K260" i="1"/>
  <c r="J260" i="1"/>
  <c r="I260" i="1"/>
  <c r="I257" i="1"/>
  <c r="I256" i="1"/>
  <c r="K255" i="1"/>
  <c r="I255" i="1"/>
  <c r="K254" i="1"/>
  <c r="K253" i="1"/>
  <c r="J253" i="1"/>
  <c r="I253" i="1"/>
  <c r="K252" i="1"/>
  <c r="K251" i="1"/>
  <c r="J251" i="1"/>
  <c r="I251" i="1"/>
  <c r="K249" i="1"/>
  <c r="J249" i="1"/>
  <c r="I249" i="1"/>
  <c r="K248" i="1"/>
  <c r="J248" i="1"/>
  <c r="I248" i="1"/>
  <c r="K247" i="1"/>
  <c r="J247" i="1"/>
  <c r="I247" i="1"/>
  <c r="K246" i="1"/>
  <c r="I246" i="1"/>
  <c r="K245" i="1"/>
  <c r="J245" i="1"/>
  <c r="I245" i="1"/>
  <c r="K244" i="1"/>
  <c r="J244" i="1"/>
  <c r="I244" i="1"/>
  <c r="K243" i="1"/>
  <c r="J243" i="1"/>
  <c r="I243" i="1"/>
  <c r="I242" i="1"/>
  <c r="K241" i="1"/>
  <c r="J241" i="1"/>
  <c r="I241" i="1"/>
  <c r="K240" i="1"/>
  <c r="J240" i="1"/>
  <c r="I240" i="1"/>
  <c r="K239" i="1"/>
  <c r="J239" i="1"/>
  <c r="I239" i="1"/>
  <c r="K238" i="1"/>
  <c r="J238" i="1"/>
  <c r="I238" i="1"/>
  <c r="K237" i="1"/>
  <c r="J237" i="1"/>
  <c r="I237" i="1"/>
  <c r="K236" i="1"/>
  <c r="K235" i="1"/>
  <c r="I235" i="1"/>
  <c r="I234" i="1"/>
  <c r="K233" i="1"/>
  <c r="J233" i="1"/>
  <c r="I233" i="1"/>
  <c r="K231" i="1"/>
  <c r="J231" i="1"/>
  <c r="I231" i="1"/>
  <c r="K230" i="1"/>
  <c r="J230" i="1"/>
  <c r="K229" i="1"/>
  <c r="J229" i="1"/>
  <c r="I229" i="1"/>
  <c r="I228" i="1"/>
  <c r="K227" i="1"/>
  <c r="J227" i="1"/>
  <c r="I227" i="1"/>
  <c r="K226" i="1"/>
  <c r="I226" i="1"/>
  <c r="K225" i="1"/>
  <c r="J225" i="1"/>
  <c r="I225" i="1"/>
  <c r="K223" i="1"/>
  <c r="J223" i="1"/>
  <c r="I223" i="1"/>
  <c r="K222" i="1"/>
  <c r="J222" i="1"/>
  <c r="I222" i="1"/>
  <c r="K221" i="1"/>
  <c r="J221" i="1"/>
  <c r="I221" i="1"/>
  <c r="J220" i="1"/>
  <c r="I220" i="1"/>
  <c r="K219" i="1"/>
  <c r="J219" i="1"/>
  <c r="K218" i="1"/>
  <c r="J218" i="1"/>
  <c r="I218" i="1"/>
  <c r="K217" i="1"/>
  <c r="J217" i="1"/>
  <c r="I217" i="1"/>
  <c r="K216" i="1"/>
  <c r="J216" i="1"/>
  <c r="K215" i="1"/>
  <c r="J215" i="1"/>
  <c r="I215" i="1"/>
  <c r="K214" i="1"/>
  <c r="J214" i="1"/>
  <c r="I214" i="1"/>
  <c r="K213" i="1"/>
  <c r="J213" i="1"/>
  <c r="I213" i="1"/>
  <c r="K212" i="1"/>
  <c r="I212" i="1"/>
  <c r="K211" i="1"/>
  <c r="K210" i="1"/>
  <c r="J210" i="1"/>
  <c r="I210" i="1"/>
  <c r="K209" i="1"/>
  <c r="J209" i="1"/>
  <c r="I209" i="1"/>
  <c r="K208" i="1"/>
  <c r="I207" i="1"/>
  <c r="K205" i="1"/>
  <c r="K204" i="1"/>
  <c r="J204" i="1"/>
  <c r="I204" i="1"/>
  <c r="K203" i="1"/>
  <c r="J203" i="1"/>
  <c r="K202" i="1"/>
  <c r="J202" i="1"/>
  <c r="I202" i="1"/>
  <c r="K201" i="1"/>
  <c r="J201" i="1"/>
  <c r="I201" i="1"/>
  <c r="K199" i="1"/>
  <c r="J199" i="1"/>
  <c r="I199" i="1"/>
  <c r="K198" i="1"/>
  <c r="J198" i="1"/>
  <c r="I198" i="1"/>
  <c r="K196" i="1"/>
  <c r="J196" i="1"/>
  <c r="I196" i="1"/>
  <c r="K195" i="1"/>
  <c r="J195" i="1"/>
  <c r="I195" i="1"/>
  <c r="K194" i="1"/>
  <c r="J194" i="1"/>
  <c r="I194" i="1"/>
  <c r="K193" i="1"/>
  <c r="J193" i="1"/>
  <c r="K192" i="1"/>
  <c r="J192" i="1"/>
  <c r="I192" i="1"/>
  <c r="K191" i="1"/>
  <c r="J191" i="1"/>
  <c r="I191" i="1"/>
  <c r="K190" i="1"/>
  <c r="J190" i="1"/>
  <c r="I190" i="1"/>
  <c r="K189" i="1"/>
  <c r="J189" i="1"/>
  <c r="I189" i="1"/>
  <c r="K187" i="1"/>
  <c r="J187" i="1"/>
  <c r="I187" i="1"/>
  <c r="J52" i="1"/>
  <c r="K52" i="1"/>
  <c r="J53" i="1"/>
  <c r="K53" i="1"/>
  <c r="I54" i="1"/>
  <c r="J54" i="1"/>
  <c r="K54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I99" i="1"/>
  <c r="J99" i="1"/>
  <c r="K99" i="1"/>
  <c r="I100" i="1"/>
  <c r="J100" i="1"/>
  <c r="K100" i="1"/>
  <c r="I101" i="1"/>
  <c r="J101" i="1"/>
  <c r="K101" i="1"/>
  <c r="I102" i="1"/>
  <c r="J102" i="1"/>
  <c r="K102" i="1"/>
  <c r="I103" i="1"/>
  <c r="J103" i="1"/>
  <c r="K103" i="1"/>
  <c r="I104" i="1"/>
  <c r="J104" i="1"/>
  <c r="K104" i="1"/>
  <c r="I105" i="1"/>
  <c r="J105" i="1"/>
  <c r="K105" i="1"/>
  <c r="I106" i="1"/>
  <c r="J106" i="1"/>
  <c r="K106" i="1"/>
  <c r="I107" i="1"/>
  <c r="J107" i="1"/>
  <c r="K107" i="1"/>
  <c r="I108" i="1"/>
  <c r="J108" i="1"/>
  <c r="K108" i="1"/>
  <c r="I109" i="1"/>
  <c r="J109" i="1"/>
  <c r="K109" i="1"/>
  <c r="I110" i="1"/>
  <c r="J110" i="1"/>
  <c r="K110" i="1"/>
  <c r="I111" i="1"/>
  <c r="J111" i="1"/>
  <c r="K111" i="1"/>
  <c r="I112" i="1"/>
  <c r="J112" i="1"/>
  <c r="K112" i="1"/>
  <c r="I113" i="1"/>
  <c r="J113" i="1"/>
  <c r="K113" i="1"/>
  <c r="I114" i="1"/>
  <c r="J114" i="1"/>
  <c r="K114" i="1"/>
  <c r="I115" i="1"/>
  <c r="J115" i="1"/>
  <c r="K115" i="1"/>
  <c r="I116" i="1"/>
  <c r="J116" i="1"/>
  <c r="K116" i="1"/>
  <c r="I117" i="1"/>
  <c r="J117" i="1"/>
  <c r="K117" i="1"/>
  <c r="I118" i="1"/>
  <c r="J118" i="1"/>
  <c r="K118" i="1"/>
  <c r="I119" i="1"/>
  <c r="J119" i="1"/>
  <c r="K119" i="1"/>
  <c r="I120" i="1"/>
  <c r="J120" i="1"/>
  <c r="K120" i="1"/>
  <c r="I121" i="1"/>
  <c r="J121" i="1"/>
  <c r="K121" i="1"/>
  <c r="I122" i="1"/>
  <c r="J122" i="1"/>
  <c r="K122" i="1"/>
  <c r="I123" i="1"/>
  <c r="J123" i="1"/>
  <c r="K123" i="1"/>
  <c r="I124" i="1"/>
  <c r="J124" i="1"/>
  <c r="K124" i="1"/>
  <c r="I125" i="1"/>
  <c r="J125" i="1"/>
  <c r="K125" i="1"/>
  <c r="I126" i="1"/>
  <c r="J126" i="1"/>
  <c r="K126" i="1"/>
  <c r="I127" i="1"/>
  <c r="J127" i="1"/>
  <c r="K127" i="1"/>
  <c r="I128" i="1"/>
  <c r="J128" i="1"/>
  <c r="K128" i="1"/>
  <c r="I129" i="1"/>
  <c r="J129" i="1"/>
  <c r="K129" i="1"/>
  <c r="I130" i="1"/>
  <c r="J130" i="1"/>
  <c r="K130" i="1"/>
  <c r="I131" i="1"/>
  <c r="J131" i="1"/>
  <c r="K131" i="1"/>
  <c r="I132" i="1"/>
  <c r="J132" i="1"/>
  <c r="K132" i="1"/>
  <c r="I133" i="1"/>
  <c r="J133" i="1"/>
  <c r="K133" i="1"/>
  <c r="I134" i="1"/>
  <c r="J134" i="1"/>
  <c r="K134" i="1"/>
  <c r="I135" i="1"/>
  <c r="J135" i="1"/>
  <c r="K135" i="1"/>
  <c r="I136" i="1"/>
  <c r="J136" i="1"/>
  <c r="K136" i="1"/>
  <c r="I137" i="1"/>
  <c r="J137" i="1"/>
  <c r="K137" i="1"/>
  <c r="I138" i="1"/>
  <c r="J138" i="1"/>
  <c r="K138" i="1"/>
  <c r="I139" i="1"/>
  <c r="J139" i="1"/>
  <c r="K139" i="1"/>
  <c r="I140" i="1"/>
  <c r="J140" i="1"/>
  <c r="K140" i="1"/>
  <c r="I141" i="1"/>
  <c r="J141" i="1"/>
  <c r="K141" i="1"/>
  <c r="I142" i="1"/>
  <c r="J142" i="1"/>
  <c r="K142" i="1"/>
  <c r="I143" i="1"/>
  <c r="J143" i="1"/>
  <c r="K143" i="1"/>
  <c r="I144" i="1"/>
  <c r="J144" i="1"/>
  <c r="K144" i="1"/>
  <c r="I145" i="1"/>
  <c r="J145" i="1"/>
  <c r="K145" i="1"/>
  <c r="I146" i="1"/>
  <c r="J146" i="1"/>
  <c r="K146" i="1"/>
  <c r="I147" i="1"/>
  <c r="J147" i="1"/>
  <c r="K147" i="1"/>
  <c r="I148" i="1"/>
  <c r="J148" i="1"/>
  <c r="K148" i="1"/>
  <c r="I149" i="1"/>
  <c r="J149" i="1"/>
  <c r="K149" i="1"/>
  <c r="I150" i="1"/>
  <c r="J150" i="1"/>
  <c r="K150" i="1"/>
  <c r="I151" i="1"/>
  <c r="J151" i="1"/>
  <c r="K151" i="1"/>
  <c r="I152" i="1"/>
  <c r="J152" i="1"/>
  <c r="K152" i="1"/>
  <c r="I153" i="1"/>
  <c r="J153" i="1"/>
  <c r="K153" i="1"/>
  <c r="I154" i="1"/>
  <c r="J154" i="1"/>
  <c r="K154" i="1"/>
  <c r="I155" i="1"/>
  <c r="J155" i="1"/>
  <c r="K155" i="1"/>
  <c r="I156" i="1"/>
  <c r="J156" i="1"/>
  <c r="K156" i="1"/>
  <c r="I157" i="1"/>
  <c r="J157" i="1"/>
  <c r="K157" i="1"/>
  <c r="I158" i="1"/>
  <c r="J158" i="1"/>
  <c r="K158" i="1"/>
  <c r="I159" i="1"/>
  <c r="J159" i="1"/>
  <c r="K159" i="1"/>
  <c r="I160" i="1"/>
  <c r="J160" i="1"/>
  <c r="K160" i="1"/>
  <c r="I161" i="1"/>
  <c r="J161" i="1"/>
  <c r="K161" i="1"/>
  <c r="I162" i="1"/>
  <c r="J162" i="1"/>
  <c r="K162" i="1"/>
  <c r="I163" i="1"/>
  <c r="J163" i="1"/>
  <c r="K163" i="1"/>
  <c r="I164" i="1"/>
  <c r="I168" i="1"/>
  <c r="J168" i="1"/>
  <c r="K168" i="1"/>
  <c r="I169" i="1"/>
  <c r="J169" i="1"/>
  <c r="K169" i="1"/>
  <c r="I170" i="1"/>
  <c r="J170" i="1"/>
  <c r="K170" i="1"/>
  <c r="I172" i="1"/>
  <c r="J172" i="1"/>
  <c r="K172" i="1"/>
  <c r="K174" i="1"/>
  <c r="I177" i="1"/>
  <c r="J177" i="1"/>
  <c r="K177" i="1"/>
  <c r="I178" i="1"/>
  <c r="J178" i="1"/>
  <c r="K178" i="1"/>
  <c r="J179" i="1"/>
  <c r="K179" i="1"/>
  <c r="I180" i="1"/>
  <c r="J180" i="1"/>
  <c r="K180" i="1"/>
  <c r="I181" i="1"/>
  <c r="J181" i="1"/>
  <c r="K181" i="1"/>
  <c r="J182" i="1"/>
  <c r="K182" i="1"/>
  <c r="J184" i="1"/>
  <c r="K184" i="1"/>
  <c r="I185" i="1"/>
  <c r="J185" i="1"/>
  <c r="K185" i="1"/>
</calcChain>
</file>

<file path=xl/sharedStrings.xml><?xml version="1.0" encoding="utf-8"?>
<sst xmlns="http://schemas.openxmlformats.org/spreadsheetml/2006/main" count="2553" uniqueCount="1222">
  <si>
    <t>Gamma spectrometer: Georadis RT-30, GPS Model:  Garmin Montana 870</t>
  </si>
  <si>
    <t>next car park</t>
  </si>
  <si>
    <t>beside car park</t>
  </si>
  <si>
    <t>inside car park</t>
  </si>
  <si>
    <t>pavement</t>
  </si>
  <si>
    <t>carpark</t>
  </si>
  <si>
    <t>top of carpark</t>
  </si>
  <si>
    <t>Drainage grill</t>
  </si>
  <si>
    <t>Green stripe next to pavement</t>
  </si>
  <si>
    <t>green stripe next to pavement</t>
  </si>
  <si>
    <t>Drainage grill along the road</t>
  </si>
  <si>
    <t>official measurement point</t>
  </si>
  <si>
    <t>playground</t>
  </si>
  <si>
    <t>football field</t>
  </si>
  <si>
    <t>railway station square</t>
  </si>
  <si>
    <t>Japanese Comments</t>
  </si>
  <si>
    <t xml:space="preserve"> Fukushima Prefecture Sogo Eisei Gakuin (public medical school) All north westerly readings</t>
  </si>
  <si>
    <t>Fukushima Prefecture Sogo Eisei Gakuin (public medical school) All north westerly readings</t>
  </si>
  <si>
    <t>Fukushima Prefecture Sogo Eisei Gakuin (public medical school) All north westerly readings. Public road by private house near small bush.</t>
  </si>
  <si>
    <t>Childrens Daycare. In front of steps. South west</t>
  </si>
  <si>
    <t>Near Shinobuyama Baseball Stadium.</t>
  </si>
  <si>
    <t>Private Apartments</t>
  </si>
  <si>
    <t>Vegetable patch next to decontaminated  area</t>
  </si>
  <si>
    <t>Ditch opposite  entrance of building</t>
  </si>
  <si>
    <t>Ditch south  of entrance</t>
  </si>
  <si>
    <t>School</t>
  </si>
  <si>
    <t>Talkuiau Mae bus station on concrete.</t>
  </si>
  <si>
    <t>Fukushima Gymnastic Hall</t>
  </si>
  <si>
    <t xml:space="preserve"> Children Learning Facility approx 20m away from measuring post</t>
  </si>
  <si>
    <t>Bottom of children's slide</t>
  </si>
  <si>
    <t xml:space="preserve"> Kindergarden approx 10m from measuring post</t>
  </si>
  <si>
    <t xml:space="preserve">  kindergarden from measuring post</t>
  </si>
  <si>
    <t>Shinhama Park approx 20m from measuring post</t>
  </si>
  <si>
    <t>Shinhama Park approx 25m from measuring post</t>
  </si>
  <si>
    <t>School Playground</t>
  </si>
  <si>
    <t xml:space="preserve"> Junior high school</t>
  </si>
  <si>
    <t>Nursery</t>
  </si>
  <si>
    <t xml:space="preserve">Kindergarden </t>
  </si>
  <si>
    <t xml:space="preserve"> Nursery</t>
  </si>
  <si>
    <t> Nursery</t>
  </si>
  <si>
    <t>  Nursery</t>
  </si>
  <si>
    <t>学校　駐車場アスファルト　モニタリングポストの南側</t>
  </si>
  <si>
    <t>学校　駐車場アスファルト　モニタリングポストの南側　雨どいの下</t>
  </si>
  <si>
    <t>学校　車道アスファルト　モニタリングポストの南側　雨どいの下</t>
  </si>
  <si>
    <t>福島県立総合衛生学院　モニタリングポストの北西側</t>
  </si>
  <si>
    <t>福島県立総合衛生学院　モニタリングポストの北西側　樹木の下　土</t>
  </si>
  <si>
    <t>福島県立総合衛生学院　モニタリングポストの北西側　個人宅の花壇の側の公道</t>
  </si>
  <si>
    <t>こばと幼稚園　除染済み　モニタリングポストの東側</t>
  </si>
  <si>
    <t>こばと幼稚園　除染済み　モニタリングポストの東側　フェンスの隣　雨どいの下</t>
  </si>
  <si>
    <t>こばと幼稚園　除染済み　モニタリングポストの東側　雨どいの下</t>
  </si>
  <si>
    <t>こばと幼稚園　道路をはさんだ反対側　雨どいの下</t>
  </si>
  <si>
    <t>こばと幼稚園　除染済み　モニタリングポストの東側　出入り口</t>
  </si>
  <si>
    <t>児童施設　南側公道 モニタリングポストから南に0.7m　モニタリングポストの表示： 0.32uSv/h</t>
  </si>
  <si>
    <t>児童施設　南側公道　モニタリングポストの南側</t>
  </si>
  <si>
    <t>児童施設　南側公道　畑との境　モニタリングポストの南側</t>
  </si>
  <si>
    <t>渡利ふれあいセンター　モニタリングポストの北側（モニタリングポストには近づけない）　モニタリングポストの東側</t>
  </si>
  <si>
    <t>渡利ふれあいセンター　除染済みの庭　モニタリングポストの北側</t>
  </si>
  <si>
    <t>渡利学童保育きりん教室　除染済み　庭　モニタリングポストの北側</t>
  </si>
  <si>
    <t>渡利学童保育きりん教室　モニタリングポスト　除染済み</t>
  </si>
  <si>
    <t>渡利学童保育きりん教室　モニタリングポストの北西側　未除染</t>
  </si>
  <si>
    <t>渡利学童保育きりん教室　モニタリングポストの南西側　神社付近　未除染</t>
  </si>
  <si>
    <t>渡利学童保育きりん教室　モニタリングポストの南東側　神社付近</t>
  </si>
  <si>
    <t>渡利学童保育きりん教室　モニタリングポストの西側　寺院付近　未除染</t>
  </si>
  <si>
    <t>渡利学童保育きりん教室　寺院の階段　学童から南東方向　子どもたちが遊んでいた</t>
  </si>
  <si>
    <t>渡利学童保育きりん教室　道路をはさみ寺院と反対側　モニタリングポストの南西側　除染済</t>
  </si>
  <si>
    <t>渡利学習センター　モニタリングポスト周辺は砂地　2012年10月13日に除染済</t>
  </si>
  <si>
    <t>渡利学習センター　モニタリングポストの北西側　階段の下</t>
  </si>
  <si>
    <t>渡利学習センター　屋根の下</t>
  </si>
  <si>
    <t>渡利学習センター　駐車場の隅</t>
  </si>
  <si>
    <t>渡利学習センター　モニタリングポストから北西の方向　駐車場の中央</t>
  </si>
  <si>
    <t>託児所　モニタリングポスト　モニタリングポストの表示： 0.237 uSv/hr</t>
  </si>
  <si>
    <t>託児所　モニタリングポストの南東側　土</t>
  </si>
  <si>
    <t>託児所　道路沿いの水路</t>
  </si>
  <si>
    <t>託児所　隣接の生け垣</t>
  </si>
  <si>
    <t>託児所　階段の正面　モニタリングポストから南西側</t>
  </si>
  <si>
    <t>個人宅　庭　刈られた草地</t>
  </si>
  <si>
    <t>弁天山公園　歩道</t>
  </si>
  <si>
    <t>弁天山公園　歩道　頂上</t>
  </si>
  <si>
    <t>弁天山公園　除染済　強風</t>
  </si>
  <si>
    <t>弁天山公園　モニタリングポストの北側　除染済</t>
  </si>
  <si>
    <t>弁天山公園　歩道の横</t>
  </si>
  <si>
    <t>弁天山公園　樹木の付近</t>
  </si>
  <si>
    <t>弁天山公園　モニタリングポストから北へ50m　子どもたちが遊んでいた　除染済</t>
  </si>
  <si>
    <t>弁天山公園　歩道の土手　モニタリングポストの北東側</t>
  </si>
  <si>
    <t>弁天山公園　市街地側の斜面</t>
  </si>
  <si>
    <t>弁天山公園　市街地と反対側の斜面　公園</t>
  </si>
  <si>
    <t>弁天山公園　遊び場</t>
  </si>
  <si>
    <t>弁天山公園　歩道につづくコンクリート</t>
  </si>
  <si>
    <t>弁天山公園　歩道　土　個人宅に隣接</t>
  </si>
  <si>
    <t>信夫山球場　西側　斜面</t>
  </si>
  <si>
    <t>信夫山球場　道路西側　斜面　砂場の隣</t>
  </si>
  <si>
    <t>信夫山球場　砂場の仕切り　内側</t>
  </si>
  <si>
    <t>信夫山球場　砂場の仕切り　外側</t>
  </si>
  <si>
    <t>信夫山球場　砂場につづく階段　北側　草地</t>
  </si>
  <si>
    <t>信夫山球場　ベンチ西側</t>
  </si>
  <si>
    <t>信夫山球場　駐車場　北側　小さな遊び場の外</t>
  </si>
  <si>
    <t>信夫山球場　遊び場に向かう北側の出入り口　花壇</t>
  </si>
  <si>
    <t>信夫山球場　遊び場　南側</t>
  </si>
  <si>
    <t>信夫山球場　遊び場　ブランコ　座る部分　</t>
  </si>
  <si>
    <t>信夫山球場　遊び場　すべり台下</t>
  </si>
  <si>
    <t>信夫山球場　遊び場　南側の角</t>
  </si>
  <si>
    <t>信夫山球場　遊び場　西側の角</t>
  </si>
  <si>
    <t>信夫山球場　遊び場　西側の角から北方向</t>
  </si>
  <si>
    <t>信夫山球場　遊び場　北側の角</t>
  </si>
  <si>
    <t>信夫山球場　樹木の下</t>
  </si>
  <si>
    <t>信夫山球場周辺</t>
  </si>
  <si>
    <t>新浜公園 歩道　除染済　土　新しい草地　モニタリングポストの表示： 0.223uSv/h</t>
  </si>
  <si>
    <t>新浜公園 歩道から5m　西側の角</t>
  </si>
  <si>
    <t>新浜公園 モニタリングポストから西に10m　コンクリートの歩道　土手</t>
  </si>
  <si>
    <t>新浜公園 歩道の端　生け垣　南西</t>
  </si>
  <si>
    <t>新浜公園 公園の中の排水溝</t>
  </si>
  <si>
    <t>新浜公園 遊び場　除染済</t>
  </si>
  <si>
    <t>駐車場 病院の駐車場</t>
  </si>
  <si>
    <t>森合町公園 公園　モニタリングポスト表示：　0.302uSv/h</t>
  </si>
  <si>
    <t>森合町公園 モニタリングポストから5m　歩道と幼稚園の付近</t>
  </si>
  <si>
    <t>森合町公園 モニタリングポストから10m　寺院</t>
  </si>
  <si>
    <t>森合町公園 モニタリングポストから12.5m　寺院の階段</t>
  </si>
  <si>
    <t>森合町公園 モニタリングポストから 30m　駐車場付近</t>
  </si>
  <si>
    <t>森合町公園 モニタリングポストから 30m　幼稚園の隣</t>
  </si>
  <si>
    <t>森合町公園 幼稚園の隣</t>
  </si>
  <si>
    <t>森合町公園 小さな公園</t>
  </si>
  <si>
    <t>森合町公園</t>
  </si>
  <si>
    <t>森合町公園 ブランコの下</t>
  </si>
  <si>
    <t>病院のモニタリングポストから40m　道路の排水溝付近</t>
  </si>
  <si>
    <t>駐車場</t>
  </si>
  <si>
    <t>宿泊施設　道路に隣接した植栽</t>
  </si>
  <si>
    <t>宿泊施設　菜園</t>
  </si>
  <si>
    <t>宿泊施設</t>
  </si>
  <si>
    <t>宿泊施設　除染済みの区画の隣の植栽</t>
  </si>
  <si>
    <t>宿泊施設　植栽</t>
  </si>
  <si>
    <t>宿泊施設　除染済みの区画から道路を挟んだ地点</t>
  </si>
  <si>
    <t>宿泊施設　宿泊施設の出入り口と反対側の道路の側溝</t>
  </si>
  <si>
    <t>宿泊施設　宿泊施設の出入り口と反対側の道路の側溝　南側</t>
  </si>
  <si>
    <t>福島市役所　渡利支所前　建物の隣</t>
  </si>
  <si>
    <t>福島市役所　渡利支所前　側溝の中　路面から50cm下</t>
  </si>
  <si>
    <t>学校　モニタリングポストから5m</t>
  </si>
  <si>
    <t>学校　モニタリングポストから10m　学校の横　砂利</t>
  </si>
  <si>
    <t>学校　モニタリングポストから20m　学校の遊び場の隅　砂利</t>
  </si>
  <si>
    <t>学校　モニタリングポストから西に5m　除染済みの区画</t>
  </si>
  <si>
    <t>学校法人福島高等学校　モニタリングポストから5m　除染済み</t>
  </si>
  <si>
    <t>学校法人福島高等学校　モニタリングポストから10m　公園の中　除染された汚染土が覆われていた</t>
  </si>
  <si>
    <t>学校法人福島高等学校　モニタリングポストから10m　学校の敷地内</t>
  </si>
  <si>
    <t>学校法人福島高等学校　校門の外</t>
  </si>
  <si>
    <t>福島体育館周辺　駐車場の出入り口　土</t>
  </si>
  <si>
    <t>福島体育館周辺　コンクリートの通路</t>
  </si>
  <si>
    <t>福島体育館周辺 体育館前バス停付近　土</t>
  </si>
  <si>
    <t>福島体育館周辺 体育館前バス停</t>
  </si>
  <si>
    <t>福島体育館周辺</t>
  </si>
  <si>
    <t>福島体育館周辺　幼稚園横の道路</t>
  </si>
  <si>
    <t>福島体育館周辺　駐車場の隣　226番から北に3m</t>
  </si>
  <si>
    <t>託児所　モニタリングポスト　中庭の前</t>
  </si>
  <si>
    <t>託児所　中庭前のモニタリングポストから南東　建物正面から20m</t>
  </si>
  <si>
    <t>託児所　モニタリングポストの南側　庭</t>
  </si>
  <si>
    <t>託児所　託児所正面から5m　表側の庭から南西方向</t>
  </si>
  <si>
    <t>堀川町緑地　庭園のモニタリングポスト</t>
  </si>
  <si>
    <t>堀川町緑地　庭園のモニタリングポストから5m　アスファルト</t>
  </si>
  <si>
    <t>堀川町緑地　庭園のモニタリングポストから10m　アスファルト</t>
  </si>
  <si>
    <t>堀川町緑地　庭園のモニタリングポスト隣</t>
  </si>
  <si>
    <t>堀川町緑地　庭園のモニタリングポストの隣　ベンチの付近</t>
  </si>
  <si>
    <t>堀川町緑地　庭園のモニタリングポストの南東側　生け垣</t>
  </si>
  <si>
    <t>堀川町緑地　人通りの少ない歩道　ベンチ</t>
  </si>
  <si>
    <t>堀川町緑地　人通りの少ない歩道</t>
  </si>
  <si>
    <t>堀川町緑地　福島第一原発事故前までは清掃されていたが、現在は清掃されていない</t>
  </si>
  <si>
    <t>方木田公園　モニタリングポスト　除染済み</t>
  </si>
  <si>
    <t>学校　モニタリングポストから10m</t>
  </si>
  <si>
    <t>幼稚園</t>
  </si>
  <si>
    <t>平ヶ森団地公園　モニタリングポスト</t>
  </si>
  <si>
    <t>平ヶ森団地公園　モニタリングポストから5m　除染済み</t>
  </si>
  <si>
    <t>平ヶ森団地公園　モニタリングポストから10m</t>
  </si>
  <si>
    <t>平ヶ森団地公園　モニタリングポストから20m　学校の中　砂利</t>
  </si>
  <si>
    <t>学習施設のモニタリングポストから20m</t>
  </si>
  <si>
    <t>保育施設のモニタリングポストから10m</t>
  </si>
  <si>
    <t>保育所正門</t>
  </si>
  <si>
    <t>保育所、建物東側排水ロ</t>
  </si>
  <si>
    <t>幼稚園敷地外モニタリングポストから10m</t>
  </si>
  <si>
    <t>新浜公園モニタリングポストから20m</t>
  </si>
  <si>
    <t>新浜公園モニタリングポストから25m</t>
  </si>
  <si>
    <t>小学校敷地外モニタリングポストから10m</t>
  </si>
  <si>
    <t>小学校敷地外モニタリングポストから22m</t>
  </si>
  <si>
    <t>中学校モニタリングポスト（0.345uSv/h）</t>
  </si>
  <si>
    <t>中学校モニタリングポストから5m</t>
  </si>
  <si>
    <t>中学校モニタリングポストから17m</t>
  </si>
  <si>
    <t>保育所モニタリングポスト（0.275uSv/h）</t>
  </si>
  <si>
    <t>保育所モニタリングポストから3m</t>
  </si>
  <si>
    <t>保育所モニタリングポストから5m</t>
  </si>
  <si>
    <t>保育所モニタリングポストから10m</t>
  </si>
  <si>
    <t>保育所モニタリングポストから17m</t>
  </si>
  <si>
    <t>西児童公園モニタリングポスト（0.243uSv/h）</t>
  </si>
  <si>
    <t>西児童公園モニタリングポストから5m</t>
  </si>
  <si>
    <t>西児童公園モニタリングポストから10m</t>
  </si>
  <si>
    <t>西児童公園モニタリングポストから8m</t>
  </si>
  <si>
    <t>幼稚園モニタリングポスト（0.246uSv/h）</t>
  </si>
  <si>
    <t>幼稚園モニタリングポストから5m</t>
  </si>
  <si>
    <t>幼稚園モニタリングポストから10m</t>
  </si>
  <si>
    <t>学童施設モニタリングポスト（0.235）</t>
  </si>
  <si>
    <t>学童施設モニタリングポストから1m</t>
  </si>
  <si>
    <t>学童施設モニタリングポストから1m5m</t>
  </si>
  <si>
    <t>学童施設モニタリングポストから10m</t>
  </si>
  <si>
    <t>学童施設モニタリングポストから3m</t>
  </si>
  <si>
    <t>学童施設モニタリングぽイストから5m</t>
  </si>
  <si>
    <t xml:space="preserve">
高田公園モニタリングポスト（0.729uSv/h）</t>
  </si>
  <si>
    <t xml:space="preserve">
高田公園モニタリングポストから5m</t>
  </si>
  <si>
    <t xml:space="preserve">
高田公園モニタリングポストから10m</t>
  </si>
  <si>
    <t xml:space="preserve">
高田公園モニタリングポストから20m</t>
  </si>
  <si>
    <t>野田中央公園モニタリングポスト</t>
  </si>
  <si>
    <t>野田中央公園モニタリングポストから1m</t>
  </si>
  <si>
    <t>野田中央公園モニタリングポストから5m</t>
  </si>
  <si>
    <t>野田中央公園モニタリングポストから8m</t>
  </si>
  <si>
    <t>野田中央公園モニタリングポストから10m</t>
  </si>
  <si>
    <t>由添団地（10号棟）公園モニタリングポスト(0.698uSv/h）</t>
  </si>
  <si>
    <t>由添団地（10号棟）公園モニタリングポストから5m</t>
  </si>
  <si>
    <t>由添団地（10号棟）公園モニタリングポストから6m</t>
  </si>
  <si>
    <t>由添団地（10号棟）公園モニタリングポストから10m</t>
  </si>
  <si>
    <t>由添団地（10号棟）公園ブランコの着地点</t>
  </si>
  <si>
    <t>田尻公園モニタリングポスト（0.148uSv/h）</t>
  </si>
  <si>
    <t>田尻公園モニタリングポストから5m</t>
  </si>
  <si>
    <t>田尻公園モニタリングポストから10m</t>
  </si>
  <si>
    <t>由添団地（4号棟）公園モニタリングポスト（0.807uSv/h）</t>
  </si>
  <si>
    <t>由添団地（4号棟）公園モニタリングポストから5m</t>
  </si>
  <si>
    <t>由添団地（4号棟）公園モニタリングポストから10m</t>
  </si>
  <si>
    <t>由添団地（4号棟）</t>
  </si>
  <si>
    <t>保育園モニタリングポストから10m</t>
  </si>
  <si>
    <t>コラッセ広場モニタリングポスト（0.288uSv/h）</t>
  </si>
  <si>
    <t>コラッセ広場モニタリングポストから5m</t>
  </si>
  <si>
    <t>コラッセ広場モニタリングポストから10m、側溝</t>
  </si>
  <si>
    <t>コラッセ広場駅西口近く</t>
  </si>
  <si>
    <t>福島県立美術館　庭　モニタリングポスト（0.3uSv/h）</t>
  </si>
  <si>
    <t>福島県立美術館　庭　</t>
  </si>
  <si>
    <t>福島県立美術館　庭</t>
  </si>
  <si>
    <t>弐斗蒔公園モニタリングポスト（0.235uSv/h）</t>
  </si>
  <si>
    <t>弐斗蒔公園　ホットスポット</t>
  </si>
  <si>
    <t>弐斗蒔公園モニタリングポストから5m</t>
  </si>
  <si>
    <t>弐斗蒔公園モニタリングポストから10m</t>
  </si>
  <si>
    <t>保育園モニタリングポスト（0.209uSv/h）0.215uSv/h）</t>
  </si>
  <si>
    <t>保育園モニタリングポストから5m</t>
  </si>
  <si>
    <t>保育園モニタリングポスト（0.183uSv/h）</t>
  </si>
  <si>
    <t>的場公園モニタリングポスト（0.659uSv/h）</t>
  </si>
  <si>
    <t>的場公園モニタリングポストから5m</t>
  </si>
  <si>
    <t>的場公園モニタリングポスト10m</t>
  </si>
  <si>
    <r>
      <t>渡利学童保育きりん教室　モニタリングポストの南</t>
    </r>
    <r>
      <rPr>
        <sz val="14"/>
        <rFont val="ヒラギノ角ゴ ProN W3"/>
        <family val="2"/>
      </rPr>
      <t>東側</t>
    </r>
  </si>
  <si>
    <r>
      <t>弁天山公園　モニタリングポスト　モニタリングポストの表示：</t>
    </r>
    <r>
      <rPr>
        <sz val="14"/>
        <rFont val="Arial"/>
        <family val="2"/>
      </rPr>
      <t>0.243 uSv/h</t>
    </r>
  </si>
  <si>
    <r>
      <t>信夫山球場　</t>
    </r>
    <r>
      <rPr>
        <sz val="14"/>
        <rFont val="ヒラギノ角ゴ ProN W3"/>
        <family val="2"/>
      </rPr>
      <t>東側　砂場につづく道路</t>
    </r>
  </si>
  <si>
    <r>
      <t>信夫山球場　</t>
    </r>
    <r>
      <rPr>
        <sz val="14"/>
        <rFont val="ヒラギノ角ゴ ProN W3"/>
        <family val="2"/>
      </rPr>
      <t>東側　砂場の出入り口</t>
    </r>
  </si>
  <si>
    <r>
      <t xml:space="preserve">新浜公園 </t>
    </r>
    <r>
      <rPr>
        <sz val="14"/>
        <rFont val="ＭＳ Ｐゴシック"/>
        <family val="3"/>
        <charset val="128"/>
      </rPr>
      <t>モニタリングポストから西に</t>
    </r>
    <r>
      <rPr>
        <sz val="14"/>
        <rFont val="ヒラギノ角ゴ ProN W3"/>
        <family val="1"/>
        <charset val="1"/>
      </rPr>
      <t>20m</t>
    </r>
    <r>
      <rPr>
        <sz val="14"/>
        <rFont val="ＭＳ Ｐゴシック"/>
        <family val="3"/>
        <charset val="128"/>
      </rPr>
      <t>　歩道の入り口</t>
    </r>
  </si>
  <si>
    <r>
      <t xml:space="preserve">新浜公園 </t>
    </r>
    <r>
      <rPr>
        <sz val="14"/>
        <rFont val="ＭＳ Ｐゴシック"/>
        <family val="3"/>
        <charset val="128"/>
      </rPr>
      <t>モニタリングポストから西に</t>
    </r>
    <r>
      <rPr>
        <sz val="14"/>
        <rFont val="ヒラギノ角ゴ ProN W3"/>
        <family val="1"/>
        <charset val="1"/>
      </rPr>
      <t>20m</t>
    </r>
  </si>
  <si>
    <r>
      <t>病院の</t>
    </r>
    <r>
      <rPr>
        <sz val="14"/>
        <rFont val="ＭＳ Ｐゴシック"/>
        <family val="3"/>
        <charset val="128"/>
      </rPr>
      <t>モニタリングポストの南　モニタリングポスト表示：</t>
    </r>
    <r>
      <rPr>
        <sz val="14"/>
        <rFont val="ヒラギノ角ゴ ProN W3"/>
        <family val="1"/>
        <charset val="1"/>
      </rPr>
      <t>0.325uSv/h</t>
    </r>
  </si>
  <si>
    <r>
      <t>病院の</t>
    </r>
    <r>
      <rPr>
        <sz val="14"/>
        <rFont val="Hiragino Kaku Gothic Pro W3"/>
        <family val="2"/>
        <charset val="1"/>
      </rPr>
      <t>モニタリングポストから</t>
    </r>
    <r>
      <rPr>
        <sz val="14"/>
        <rFont val="ヒラギノ角ゴ ProN W3"/>
        <family val="1"/>
        <charset val="1"/>
      </rPr>
      <t>5m</t>
    </r>
    <r>
      <rPr>
        <sz val="14"/>
        <rFont val="Hiragino Kaku Gothic Pro W3"/>
        <family val="2"/>
        <charset val="1"/>
      </rPr>
      <t>　歩道　赤色のアスファルト</t>
    </r>
  </si>
  <si>
    <r>
      <t>病院の</t>
    </r>
    <r>
      <rPr>
        <sz val="14"/>
        <rFont val="Hiragino Kaku Gothic Pro W3"/>
        <family val="2"/>
        <charset val="1"/>
      </rPr>
      <t>モニタリングポストから</t>
    </r>
    <r>
      <rPr>
        <sz val="14"/>
        <rFont val="ヒラギノ角ゴ ProN W3"/>
        <family val="1"/>
        <charset val="1"/>
      </rPr>
      <t>10m</t>
    </r>
  </si>
  <si>
    <r>
      <t>病院の</t>
    </r>
    <r>
      <rPr>
        <sz val="14"/>
        <rFont val="Hiragino Kaku Gothic Pro W3"/>
        <family val="2"/>
        <charset val="1"/>
      </rPr>
      <t>モニタリングポストから</t>
    </r>
    <r>
      <rPr>
        <sz val="14"/>
        <rFont val="ヒラギノ角ゴ ProN W3"/>
        <family val="1"/>
        <charset val="1"/>
      </rPr>
      <t>18m</t>
    </r>
    <r>
      <rPr>
        <sz val="14"/>
        <rFont val="Hiragino Kaku Gothic Pro W3"/>
        <family val="2"/>
        <charset val="1"/>
      </rPr>
      <t>　除染済み</t>
    </r>
  </si>
  <si>
    <r>
      <t>学校にあるモニタリングポスト　野球場の側　モニタリングポストの表示：</t>
    </r>
    <r>
      <rPr>
        <sz val="14"/>
        <color indexed="8"/>
        <rFont val="Arial"/>
        <family val="2"/>
      </rPr>
      <t>0.288 uSv/h</t>
    </r>
  </si>
  <si>
    <r>
      <t>学校法人福島高等学校　モニタリングポスト　運動場の中　モニタリングポストの表示：</t>
    </r>
    <r>
      <rPr>
        <sz val="14"/>
        <rFont val="ヒラギノ角ゴ ProN W3"/>
        <family val="2"/>
      </rPr>
      <t>0.281uSv/h</t>
    </r>
  </si>
  <si>
    <r>
      <t>託児所　託児所正面から15m　</t>
    </r>
    <r>
      <rPr>
        <sz val="14"/>
        <rFont val="ＭＳ Ｐゴシック"/>
        <family val="3"/>
        <charset val="128"/>
      </rPr>
      <t>建物の南東角</t>
    </r>
  </si>
  <si>
    <r>
      <t>託児所　託児所正面から</t>
    </r>
    <r>
      <rPr>
        <sz val="14"/>
        <rFont val="ヒラギノ角ゴ ProN W3"/>
        <family val="1"/>
        <charset val="1"/>
      </rPr>
      <t>10m</t>
    </r>
    <r>
      <rPr>
        <sz val="14"/>
        <rFont val="Hiragino Kaku Gothic Pro W3"/>
        <family val="2"/>
        <charset val="1"/>
      </rPr>
      <t>　</t>
    </r>
    <r>
      <rPr>
        <sz val="14"/>
        <rFont val="ＭＳ Ｐゴシック"/>
        <family val="3"/>
        <charset val="128"/>
      </rPr>
      <t>表側の庭から南西方向</t>
    </r>
  </si>
  <si>
    <r>
      <t>託児所　託児所正面から</t>
    </r>
    <r>
      <rPr>
        <sz val="14"/>
        <rFont val="ヒラギノ角ゴ ProN W3"/>
        <family val="1"/>
        <charset val="1"/>
      </rPr>
      <t>20m</t>
    </r>
    <r>
      <rPr>
        <sz val="14"/>
        <rFont val="Hiragino Kaku Gothic Pro W3"/>
        <family val="2"/>
        <charset val="1"/>
      </rPr>
      <t>　</t>
    </r>
    <r>
      <rPr>
        <sz val="14"/>
        <rFont val="ＭＳ Ｐゴシック"/>
        <family val="3"/>
        <charset val="128"/>
      </rPr>
      <t>表側の庭から南西方向</t>
    </r>
  </si>
  <si>
    <r>
      <t>方木田公園　</t>
    </r>
    <r>
      <rPr>
        <sz val="14"/>
        <rFont val="Hiragino Kaku Gothic Pro W3"/>
        <family val="2"/>
        <charset val="1"/>
      </rPr>
      <t>モニタリングポストから</t>
    </r>
    <r>
      <rPr>
        <sz val="14"/>
        <rFont val="ヒラギノ角ゴ ProN W3"/>
        <family val="1"/>
        <charset val="1"/>
      </rPr>
      <t>5m</t>
    </r>
  </si>
  <si>
    <r>
      <t>方木田公園　</t>
    </r>
    <r>
      <rPr>
        <sz val="14"/>
        <rFont val="Hiragino Kaku Gothic Pro W3"/>
        <family val="2"/>
        <charset val="1"/>
      </rPr>
      <t>モニタリングポストから</t>
    </r>
    <r>
      <rPr>
        <sz val="14"/>
        <rFont val="ヒラギノ角ゴ ProN W3"/>
        <family val="1"/>
        <charset val="1"/>
      </rPr>
      <t>10m</t>
    </r>
  </si>
  <si>
    <r>
      <t>方木田公園　</t>
    </r>
    <r>
      <rPr>
        <sz val="14"/>
        <rFont val="Hiragino Kaku Gothic Pro W3"/>
        <family val="2"/>
        <charset val="1"/>
      </rPr>
      <t>モニタリングポストから</t>
    </r>
    <r>
      <rPr>
        <sz val="14"/>
        <rFont val="ヒラギノ角ゴ ProN W3"/>
        <family val="1"/>
        <charset val="1"/>
      </rPr>
      <t>25m</t>
    </r>
  </si>
  <si>
    <r>
      <t>方木田公園　</t>
    </r>
    <r>
      <rPr>
        <sz val="14"/>
        <rFont val="Hiragino Kaku Gothic Pro W3"/>
        <family val="2"/>
        <charset val="1"/>
      </rPr>
      <t>コンクリート 溝</t>
    </r>
  </si>
  <si>
    <r>
      <t>方木田公園　</t>
    </r>
    <r>
      <rPr>
        <sz val="14"/>
        <rFont val="Hiragino Kaku Gothic Pro W3"/>
        <family val="2"/>
        <charset val="1"/>
      </rPr>
      <t>排水管</t>
    </r>
  </si>
  <si>
    <r>
      <t>方木田公園　</t>
    </r>
    <r>
      <rPr>
        <sz val="14"/>
        <rFont val="Hiragino Kaku Gothic Pro W3"/>
        <family val="2"/>
        <charset val="1"/>
      </rPr>
      <t>すべり台の下（西側）</t>
    </r>
  </si>
  <si>
    <r>
      <t>方木田公園　</t>
    </r>
    <r>
      <rPr>
        <sz val="14"/>
        <rFont val="Hiragino Kaku Gothic Pro W3"/>
        <family val="2"/>
        <charset val="1"/>
      </rPr>
      <t>東側</t>
    </r>
  </si>
  <si>
    <r>
      <t>方木田公園　</t>
    </r>
    <r>
      <rPr>
        <sz val="14"/>
        <rFont val="Hiragino Kaku Gothic Pro W3"/>
        <family val="2"/>
        <charset val="1"/>
      </rPr>
      <t>南側</t>
    </r>
  </si>
  <si>
    <r>
      <t>学校　</t>
    </r>
    <r>
      <rPr>
        <sz val="14"/>
        <rFont val="Hiragino Kaku Gothic Pro W3"/>
        <family val="2"/>
        <charset val="1"/>
      </rPr>
      <t>モニタリングポストから</t>
    </r>
    <r>
      <rPr>
        <sz val="14"/>
        <rFont val="ヒラギノ角ゴ ProN W3"/>
        <family val="1"/>
        <charset val="1"/>
      </rPr>
      <t>1m</t>
    </r>
  </si>
  <si>
    <r>
      <t>学校　</t>
    </r>
    <r>
      <rPr>
        <sz val="14"/>
        <rFont val="Hiragino Kaku Gothic Pro W3"/>
        <family val="2"/>
        <charset val="1"/>
      </rPr>
      <t>モニタリングポストから</t>
    </r>
    <r>
      <rPr>
        <sz val="14"/>
        <rFont val="ヒラギノ角ゴ ProN W3"/>
        <family val="1"/>
        <charset val="1"/>
      </rPr>
      <t>7.5m</t>
    </r>
  </si>
  <si>
    <r>
      <t>学校　</t>
    </r>
    <r>
      <rPr>
        <sz val="14"/>
        <rFont val="Hiragino Kaku Gothic Pro W3"/>
        <family val="2"/>
        <charset val="1"/>
      </rPr>
      <t>モニタリングポストから</t>
    </r>
    <r>
      <rPr>
        <sz val="14"/>
        <rFont val="ヒラギノ角ゴ ProN W3"/>
        <family val="1"/>
        <charset val="1"/>
      </rPr>
      <t>5m</t>
    </r>
  </si>
  <si>
    <r>
      <t>学校　</t>
    </r>
    <r>
      <rPr>
        <sz val="14"/>
        <rFont val="Hiragino Kaku Gothic Pro W3"/>
        <family val="2"/>
        <charset val="1"/>
      </rPr>
      <t>モニタリングポストから</t>
    </r>
    <r>
      <rPr>
        <sz val="14"/>
        <rFont val="ヒラギノ角ゴ ProN W3"/>
        <family val="1"/>
        <charset val="1"/>
      </rPr>
      <t>10m</t>
    </r>
  </si>
  <si>
    <r>
      <t>学校　</t>
    </r>
    <r>
      <rPr>
        <sz val="14"/>
        <rFont val="Hiragino Kaku Gothic Pro W3"/>
        <family val="2"/>
        <charset val="1"/>
      </rPr>
      <t>北側</t>
    </r>
  </si>
  <si>
    <r>
      <t>平ヶ森団地公園　</t>
    </r>
    <r>
      <rPr>
        <sz val="14"/>
        <rFont val="Hiragino Kaku Gothic Pro W3"/>
        <family val="2"/>
        <charset val="1"/>
      </rPr>
      <t>モニタリングポストの北側</t>
    </r>
  </si>
  <si>
    <r>
      <t>平ヶ森団地公園　</t>
    </r>
    <r>
      <rPr>
        <sz val="14"/>
        <rFont val="Hiragino Kaku Gothic Pro W3"/>
        <family val="2"/>
        <charset val="1"/>
      </rPr>
      <t>モニタリングポストの北西側</t>
    </r>
  </si>
  <si>
    <r>
      <t>平ヶ森団地公園　</t>
    </r>
    <r>
      <rPr>
        <sz val="14"/>
        <rFont val="Hiragino Kaku Gothic Pro W3"/>
        <family val="2"/>
        <charset val="1"/>
      </rPr>
      <t>すべり台の下</t>
    </r>
  </si>
  <si>
    <t>福島県　福島市　渡利</t>
  </si>
  <si>
    <t>福島県　福島市　信夫山</t>
  </si>
  <si>
    <t>福島県　福島市　新浜町</t>
  </si>
  <si>
    <t>福島県　福島市　新町</t>
  </si>
  <si>
    <t>福島県　福島市　森合町</t>
  </si>
  <si>
    <t>福島県　福島市　渡利西ノ内</t>
  </si>
  <si>
    <t>福島県　福島市　霞町</t>
  </si>
  <si>
    <t>福島県　福島市　八島町</t>
  </si>
  <si>
    <t>福島県　福島市　方木田</t>
  </si>
  <si>
    <t>福島県　福島市　八木田</t>
  </si>
  <si>
    <t>福島県　福島市　早稲町</t>
  </si>
  <si>
    <t>福島県　福島市　杉妻町</t>
  </si>
  <si>
    <t>福島県　福島市　南中央</t>
  </si>
  <si>
    <t>福島県　福島市　西中央</t>
  </si>
  <si>
    <t>福島県　福島市　北中央</t>
  </si>
  <si>
    <t>福島県　福島市　森合</t>
  </si>
  <si>
    <t>福島県　福島市　泉</t>
  </si>
  <si>
    <r>
      <t>福島県　福島市　宮</t>
    </r>
    <r>
      <rPr>
        <sz val="14"/>
        <color indexed="63"/>
        <rFont val="ヒラギノ角ゴ ProN W3"/>
        <family val="2"/>
      </rPr>
      <t>町</t>
    </r>
  </si>
  <si>
    <r>
      <t>福島県　福島市　新浜</t>
    </r>
    <r>
      <rPr>
        <sz val="14"/>
        <color indexed="63"/>
        <rFont val="ヒラギノ角ゴ ProN W3"/>
        <family val="2"/>
      </rPr>
      <t>町</t>
    </r>
  </si>
  <si>
    <r>
      <t>福島県　福島市　</t>
    </r>
    <r>
      <rPr>
        <sz val="14"/>
        <color indexed="63"/>
        <rFont val="ヒラギノ角ゴ ProN W3"/>
        <family val="2"/>
      </rPr>
      <t>須川町</t>
    </r>
  </si>
  <si>
    <r>
      <t>福島県　福島市　野田</t>
    </r>
    <r>
      <rPr>
        <sz val="14"/>
        <color indexed="63"/>
        <rFont val="ヒラギノ角ゴ ProN W3"/>
        <family val="2"/>
      </rPr>
      <t>町</t>
    </r>
  </si>
  <si>
    <r>
      <t>福島県　福島市　</t>
    </r>
    <r>
      <rPr>
        <sz val="14"/>
        <color indexed="63"/>
        <rFont val="ヒラギノ角ゴ ProN W3"/>
        <family val="2"/>
      </rPr>
      <t>三河南町</t>
    </r>
  </si>
  <si>
    <t>day-care centre</t>
  </si>
  <si>
    <t>FILL IN THE GREEN FIELDS</t>
  </si>
  <si>
    <t>FIELD TRIP: ID Team – Equipment for each field trip during the total operation:</t>
  </si>
  <si>
    <t>fill in for each separate field trip (even if same team using different doserate monitor during same day</t>
  </si>
  <si>
    <t>other comments you want to add:</t>
  </si>
  <si>
    <t>N 1</t>
  </si>
  <si>
    <t>date of measurement:</t>
  </si>
  <si>
    <t>name of measurements operation:</t>
  </si>
  <si>
    <t>Fukushima Measuring Posts</t>
  </si>
  <si>
    <t>name of person taking measurements:</t>
  </si>
  <si>
    <t>Nikki</t>
  </si>
  <si>
    <t>name of person taking notes:</t>
  </si>
  <si>
    <t>Adarsh</t>
  </si>
  <si>
    <t>name teamleader:</t>
  </si>
  <si>
    <t>other team members (optional):</t>
  </si>
  <si>
    <t>Daisuke, Adarsh, Ray</t>
  </si>
  <si>
    <t>GPS model:</t>
  </si>
  <si>
    <t>Garmin Montana 650</t>
  </si>
  <si>
    <t>Radiation doserate Monitoring model:</t>
  </si>
  <si>
    <t>Georadis RT-30</t>
  </si>
  <si>
    <t>weather conditions (snow, rain, temp, season,...)</t>
  </si>
  <si>
    <t>sunny, 25C max.</t>
  </si>
  <si>
    <t>N 2</t>
  </si>
  <si>
    <t>16/10/12</t>
  </si>
  <si>
    <t>Fukushima Measuring posts</t>
  </si>
  <si>
    <t>Ray</t>
  </si>
  <si>
    <t>Dasiuke</t>
  </si>
  <si>
    <t>Radiation Monitoring model:</t>
  </si>
  <si>
    <t>17/10/12</t>
  </si>
  <si>
    <t>Daisuke, Ray</t>
  </si>
  <si>
    <t>sunny, 24 C max.</t>
  </si>
  <si>
    <t>17/10/2012</t>
  </si>
  <si>
    <t>overcast, light rain</t>
  </si>
  <si>
    <t>Karuna</t>
  </si>
  <si>
    <t>sunny</t>
  </si>
  <si>
    <t>Daisuke</t>
  </si>
  <si>
    <t>16/ 10/2012</t>
  </si>
  <si>
    <t>Fuksuhima Measuring posts</t>
  </si>
  <si>
    <t>sakyo</t>
  </si>
  <si>
    <t>Heinz</t>
  </si>
  <si>
    <t>Mikro</t>
  </si>
  <si>
    <t>Garmin  GPs Map 60 Cx</t>
  </si>
  <si>
    <t>Radeye PRD- ER</t>
  </si>
  <si>
    <t>sunny, max temp 25C</t>
  </si>
  <si>
    <t>Sakyo</t>
  </si>
  <si>
    <t>18/10/12</t>
  </si>
  <si>
    <t>Sakyo/ Mikro</t>
  </si>
  <si>
    <t>H4</t>
  </si>
  <si>
    <t>14/10/2012</t>
  </si>
  <si>
    <t>Sunny</t>
  </si>
  <si>
    <t>Jan VDP</t>
  </si>
  <si>
    <t>Latitude</t>
  </si>
  <si>
    <t>Longitude</t>
  </si>
  <si>
    <t>No. GPS Point</t>
  </si>
  <si>
    <t>Date/Time Measurement GMT</t>
  </si>
  <si>
    <t>Location</t>
  </si>
  <si>
    <t>ID Team Equipm</t>
  </si>
  <si>
    <t>dose rate 1m (uSv/h)</t>
  </si>
  <si>
    <t>dose rate 0.5m (uSv/h)</t>
  </si>
  <si>
    <t>dose rate 0.1m (uSv/h)</t>
  </si>
  <si>
    <t>Comments</t>
  </si>
  <si>
    <t>071</t>
  </si>
  <si>
    <t>N1</t>
  </si>
  <si>
    <t>2012-10-16T02:37:39Z</t>
  </si>
  <si>
    <t>0m</t>
  </si>
  <si>
    <t>072</t>
  </si>
  <si>
    <t>N2</t>
  </si>
  <si>
    <t>2012-10-16T02:43:49Z</t>
  </si>
  <si>
    <t>5m</t>
  </si>
  <si>
    <t>073</t>
  </si>
  <si>
    <t>N3</t>
  </si>
  <si>
    <t>2012-10-16T02:45:09Z</t>
  </si>
  <si>
    <t>10m</t>
  </si>
  <si>
    <t>074</t>
  </si>
  <si>
    <t>N4</t>
  </si>
  <si>
    <t>2012-10-16T02:47:34Z</t>
  </si>
  <si>
    <t>14m</t>
  </si>
  <si>
    <t>075</t>
  </si>
  <si>
    <t>N5</t>
  </si>
  <si>
    <t>2012-10-16T02:49:45Z</t>
  </si>
  <si>
    <t>12m</t>
  </si>
  <si>
    <t>076</t>
  </si>
  <si>
    <t>N6</t>
  </si>
  <si>
    <t>2012-10-16T03:04:18Z</t>
  </si>
  <si>
    <t>077</t>
  </si>
  <si>
    <t>2012-10-16T03:06:43Z</t>
  </si>
  <si>
    <t>078</t>
  </si>
  <si>
    <t>2012-10-16T03:07:01Z</t>
  </si>
  <si>
    <t>079</t>
  </si>
  <si>
    <t>2012-10-16T03:10:00Z</t>
  </si>
  <si>
    <t>080</t>
  </si>
  <si>
    <t>2012-10-16T03:11:29Z</t>
  </si>
  <si>
    <t>3m</t>
  </si>
  <si>
    <t>081</t>
  </si>
  <si>
    <t>2012-10-16T03:16:31Z</t>
  </si>
  <si>
    <t>20m</t>
  </si>
  <si>
    <t>082</t>
  </si>
  <si>
    <t>2012-10-16T03:28:52Z</t>
  </si>
  <si>
    <t>083</t>
  </si>
  <si>
    <t>2012-10-16T03:33:54Z</t>
  </si>
  <si>
    <t>084</t>
  </si>
  <si>
    <t>2012-10-16T03:35:04Z</t>
  </si>
  <si>
    <t>085</t>
  </si>
  <si>
    <t>2012-10-16T03:38:25Z</t>
  </si>
  <si>
    <t>11m</t>
  </si>
  <si>
    <t>086</t>
  </si>
  <si>
    <t>2012-10-16T03:40:05Z</t>
  </si>
  <si>
    <t>15m</t>
  </si>
  <si>
    <t>087</t>
  </si>
  <si>
    <t>2012-10-16T03:40:58Z</t>
  </si>
  <si>
    <t>088</t>
  </si>
  <si>
    <t>2012-10-16T05:36:30Z</t>
  </si>
  <si>
    <t>0.7m</t>
  </si>
  <si>
    <t>089</t>
  </si>
  <si>
    <t>2012-10-16T05:39:02Z</t>
  </si>
  <si>
    <t>090</t>
  </si>
  <si>
    <t>2012-10-16T05:40:04Z</t>
  </si>
  <si>
    <t>091</t>
  </si>
  <si>
    <t>2012-10-16T05:41:25Z</t>
  </si>
  <si>
    <t>092</t>
  </si>
  <si>
    <t>2012-10-16T05:52:14Z</t>
  </si>
  <si>
    <t>093</t>
  </si>
  <si>
    <t>2012-10-16T05:54:29Z</t>
  </si>
  <si>
    <t>094</t>
  </si>
  <si>
    <t>2012-10-16T05:55:44Z</t>
  </si>
  <si>
    <t>26m</t>
  </si>
  <si>
    <t>095</t>
  </si>
  <si>
    <t>2012-10-16T05:59:15Z</t>
  </si>
  <si>
    <t>096</t>
  </si>
  <si>
    <t>2012-10-16T06:03:40Z</t>
  </si>
  <si>
    <t>097</t>
  </si>
  <si>
    <t>2012-10-16T06:04:43Z</t>
  </si>
  <si>
    <t>098</t>
  </si>
  <si>
    <t>2012-10-16T06:06:36Z</t>
  </si>
  <si>
    <t>099</t>
  </si>
  <si>
    <t>2012-10-16T06:07:36Z</t>
  </si>
  <si>
    <t>100</t>
  </si>
  <si>
    <t>2012-10-16T06:47:45Z</t>
  </si>
  <si>
    <t>102</t>
  </si>
  <si>
    <t>2012-10-16T07:05:07Z</t>
  </si>
  <si>
    <t>103</t>
  </si>
  <si>
    <t>2012-10-16T07:10:51Z</t>
  </si>
  <si>
    <t>104</t>
  </si>
  <si>
    <t>2012-10-16T07:13:28Z</t>
  </si>
  <si>
    <t>105</t>
  </si>
  <si>
    <t>2012-10-16T07:16:44Z</t>
  </si>
  <si>
    <t>106</t>
  </si>
  <si>
    <t>2012-10-16T07:18:01Z</t>
  </si>
  <si>
    <t>107</t>
  </si>
  <si>
    <t>2012-10-16T07:20:50Z</t>
  </si>
  <si>
    <t>n/a</t>
  </si>
  <si>
    <t>108</t>
  </si>
  <si>
    <t>2012-10-16T07:22:52Z</t>
  </si>
  <si>
    <t>109</t>
  </si>
  <si>
    <t>2012-10-16T07:25:25Z</t>
  </si>
  <si>
    <t>17m</t>
  </si>
  <si>
    <t>2012-10-17T00:38:13Z</t>
  </si>
  <si>
    <t>2012-10-17T00:42:25Z</t>
  </si>
  <si>
    <t>2012-10-17T00:44:46Z</t>
  </si>
  <si>
    <t>2012-10-17T00:46:50Z</t>
  </si>
  <si>
    <t>25m</t>
  </si>
  <si>
    <t>2012-10-17T00:48:31Z</t>
  </si>
  <si>
    <t>2012-10-17T01:33:55Z</t>
  </si>
  <si>
    <t>2012-10-17T01:38:26Z</t>
  </si>
  <si>
    <t>2012-10-17T01:40:10Z</t>
  </si>
  <si>
    <t>2012-10-17T01:43:44Z</t>
  </si>
  <si>
    <t>8m</t>
  </si>
  <si>
    <t>Ditch along the road</t>
  </si>
  <si>
    <t>2012-10-17T01:47:29Z</t>
  </si>
  <si>
    <t>Hedge of neighbour over fence</t>
  </si>
  <si>
    <t>2012-10-17T01:50:05Z</t>
  </si>
  <si>
    <t>In front of steps. South west</t>
  </si>
  <si>
    <t>2012-10-17T02:06:21Z</t>
  </si>
  <si>
    <t>2012-10-17T02:21:09Z</t>
  </si>
  <si>
    <t>弁天山公園</t>
  </si>
  <si>
    <t>Bentanganma Mountain</t>
  </si>
  <si>
    <t>pathway</t>
  </si>
  <si>
    <t>2012-10-17T02:25:40Z</t>
  </si>
  <si>
    <t>top on path</t>
  </si>
  <si>
    <t>2012-10-17T02:29:50Z</t>
  </si>
  <si>
    <t>windy deconed area</t>
  </si>
  <si>
    <t>2012-10-17T02:37:49Z</t>
  </si>
  <si>
    <t>0m @ station on hill</t>
  </si>
  <si>
    <t>o.243 uSv/h at station</t>
  </si>
  <si>
    <t>2012-10-17T02:39:13Z</t>
  </si>
  <si>
    <t>~5m</t>
  </si>
  <si>
    <t>2012-10-17T02:41:29Z</t>
  </si>
  <si>
    <t>~10m</t>
  </si>
  <si>
    <t>Bentenyama Park side of pathway</t>
  </si>
  <si>
    <t>side of pathway</t>
  </si>
  <si>
    <t>2012-10-17T02:42:54Z</t>
  </si>
  <si>
    <t>~11m</t>
  </si>
  <si>
    <t xml:space="preserve"> Bentenyama Park by tree</t>
  </si>
  <si>
    <t>by tree</t>
  </si>
  <si>
    <t>2012-10-17T02:44:28Z</t>
  </si>
  <si>
    <t>~50m</t>
  </si>
  <si>
    <t>2012-10-17T02:47:06Z</t>
  </si>
  <si>
    <t>Bentenyama Park</t>
  </si>
  <si>
    <t>2012-10-17T02:48:26Z</t>
  </si>
  <si>
    <t>2012-10-17T02:48:36Z</t>
  </si>
  <si>
    <t>pathway downhill facing town.</t>
  </si>
  <si>
    <t>2012-10-17T02:51:27Z</t>
  </si>
  <si>
    <t>small park other side of hill</t>
  </si>
  <si>
    <t>2012-10-17T02:53:54Z</t>
  </si>
  <si>
    <t xml:space="preserve"> Bentenyama Park - play area</t>
  </si>
  <si>
    <t>park</t>
  </si>
  <si>
    <t>2012-10-17T02:59:19Z</t>
  </si>
  <si>
    <t>Bentenyama Park pathway concrete to path</t>
  </si>
  <si>
    <t>pathway concrete to path</t>
  </si>
  <si>
    <t>2012-10-17T03:01:11Z</t>
  </si>
  <si>
    <t>2012-10-17T03:03:33Z</t>
  </si>
  <si>
    <t xml:space="preserve"> Shinobuyama Baseball Stadium Facing west beside the stadium. Slope towards the stadium</t>
  </si>
  <si>
    <t>Facing west beside the stadium. Slope towards the stadium</t>
  </si>
  <si>
    <t>2012-10-17T03:04:58Z</t>
  </si>
  <si>
    <t>2012-10-17T05:28:29Z</t>
  </si>
  <si>
    <t>2012-10-17T05:30:45Z</t>
  </si>
  <si>
    <t>2012-10-17T05:32:18Z</t>
  </si>
  <si>
    <t>2012-10-17T05:34:20Z</t>
  </si>
  <si>
    <t>Facing east slope road leading down to sand field.</t>
  </si>
  <si>
    <t>2012-10-17T05:35:57Z</t>
  </si>
  <si>
    <t>Shinobuyama Baseball Stadium .Facing east slope road leading down to sand field.</t>
  </si>
  <si>
    <t>2012-10-17T05:40:00Z</t>
  </si>
  <si>
    <t>Facing east entering sand field</t>
  </si>
  <si>
    <t>2012-10-17T05:41:41Z</t>
  </si>
  <si>
    <t>Inside edge of sand field</t>
  </si>
  <si>
    <t>2012-10-17T05:43:19Z</t>
  </si>
  <si>
    <t>2012-10-17T05:44:37Z</t>
  </si>
  <si>
    <t>On steps to the sand field. Facing north on grass.</t>
  </si>
  <si>
    <t>2012-10-17T05:46:32Z</t>
  </si>
  <si>
    <t>West of stadium bench</t>
  </si>
  <si>
    <t>2012-10-17T05:49:24Z</t>
  </si>
  <si>
    <t>North facing inside car park lot. Outside small plyaground.</t>
  </si>
  <si>
    <t>2012-10-17T05:59:09Z</t>
  </si>
  <si>
    <t>North entrance to small playground. Flower sidewalk inside.</t>
  </si>
  <si>
    <t>2012-10-17T06:02:34Z</t>
  </si>
  <si>
    <t>Southward of small playground</t>
  </si>
  <si>
    <t>2012-10-17T06:06:43Z</t>
  </si>
  <si>
    <t>Swing stall. Seat plank.</t>
  </si>
  <si>
    <t>2012-10-17T06:08:25Z</t>
  </si>
  <si>
    <t>End of slide in the same playground</t>
  </si>
  <si>
    <t>2012-10-17T06:09:36Z</t>
  </si>
  <si>
    <t>South corner of playground</t>
  </si>
  <si>
    <t>2012-10-17T06:10:56Z</t>
  </si>
  <si>
    <t>West corner of playground</t>
  </si>
  <si>
    <t>2012-10-17T06:12:41Z</t>
  </si>
  <si>
    <t>Northward to west corner of playground</t>
  </si>
  <si>
    <t>2012-10-17T06:14:06Z</t>
  </si>
  <si>
    <t>North corner of playground</t>
  </si>
  <si>
    <t>2012-10-17T06:16:03Z</t>
  </si>
  <si>
    <t>Under the tree</t>
  </si>
  <si>
    <t>2012-10-17T06:17:06Z</t>
  </si>
  <si>
    <t>2012-10-17T06:18:23Z</t>
  </si>
  <si>
    <t>under tree in play area</t>
  </si>
  <si>
    <t>2012-10-17T23:54:44Z</t>
  </si>
  <si>
    <t>path - decontamined on ground area new grass layed at base  - 0.223uSv/h</t>
  </si>
  <si>
    <t>2012-10-17T23:59:38Z</t>
  </si>
  <si>
    <t>2012-10-18T00:01:00Z</t>
  </si>
  <si>
    <t>2012-10-18T00:02:55Z</t>
  </si>
  <si>
    <t>2012-10-18T00:05:05Z</t>
  </si>
  <si>
    <t>2012-10-18T00:11:54Z</t>
  </si>
  <si>
    <t>edge of path by hedge SW</t>
  </si>
  <si>
    <t>2012-10-18T00:13:37Z</t>
  </si>
  <si>
    <t>drainage inside park</t>
  </si>
  <si>
    <t>2012-10-18T00:21:30Z</t>
  </si>
  <si>
    <t>2012-10-18T00:27:35Z</t>
  </si>
  <si>
    <t>hospital in carpark</t>
  </si>
  <si>
    <t>2012-10-18T00:47:34Z</t>
  </si>
  <si>
    <t>2012-10-18T00:49:35Z</t>
  </si>
  <si>
    <t>2012-10-18T00:50:57Z</t>
  </si>
  <si>
    <t>2012-10-18T00:51:56Z</t>
  </si>
  <si>
    <t>2012-10-18T00:54:37Z</t>
  </si>
  <si>
    <t>2012-10-18T00:56:03Z</t>
  </si>
  <si>
    <t>2012-10-18T00:57:18Z</t>
  </si>
  <si>
    <t>by kindergarten</t>
  </si>
  <si>
    <t>2012-10-18T00:59:35Z</t>
  </si>
  <si>
    <t>small park</t>
  </si>
  <si>
    <t>2012-10-18T01:01:55Z</t>
  </si>
  <si>
    <t>2012-10-18T01:04:02Z</t>
  </si>
  <si>
    <t>under swing private park</t>
  </si>
  <si>
    <t>2012-10-18T01:11:49Z</t>
  </si>
  <si>
    <t>2012-10-18T01:13:15Z</t>
  </si>
  <si>
    <t>2012-10-18T01:14:40Z</t>
  </si>
  <si>
    <t>10m from monitoring station</t>
  </si>
  <si>
    <t>2012-10-18T01:16:12Z</t>
  </si>
  <si>
    <t>2012-10-18T01:20:43Z</t>
  </si>
  <si>
    <t>2012-10-18T01:23:34Z</t>
  </si>
  <si>
    <t>at car park</t>
  </si>
  <si>
    <t>2012-10-18T01:53:53Z</t>
  </si>
  <si>
    <t>2012-10-18T01:55:51Z</t>
  </si>
  <si>
    <t>2012-10-18T01:58:16Z</t>
  </si>
  <si>
    <t>2012-10-18T01:59:46Z</t>
  </si>
  <si>
    <t>2012-10-18T02:00:46Z</t>
  </si>
  <si>
    <t>2012-10-18T02:03:01Z</t>
  </si>
  <si>
    <t>2012-10-18T02:16:56Z</t>
  </si>
  <si>
    <t>2012-10-18T02:18:13Z</t>
  </si>
  <si>
    <t>2012-10-18T02:20:13Z</t>
  </si>
  <si>
    <t>2012-10-18T02:22:08Z</t>
  </si>
  <si>
    <t>2012-10-18T02:24:22Z</t>
  </si>
  <si>
    <t>2012-10-18T02:26:48Z</t>
  </si>
  <si>
    <t>2012-10-18T02:31:16Z</t>
  </si>
  <si>
    <t>2012-10-18T02:32:51Z</t>
  </si>
  <si>
    <t>2012-10-18T04:25:00Z</t>
  </si>
  <si>
    <t>2012-10-18T04:27:01Z</t>
  </si>
  <si>
    <t>5 m from monitoring station</t>
  </si>
  <si>
    <t>2012-10-18T04:28:41Z</t>
  </si>
  <si>
    <t>2012-10-18T04:32:02Z</t>
  </si>
  <si>
    <t>20m from monitoring station stones by park edge of school</t>
  </si>
  <si>
    <t>2012-10-18T04:32:12Z</t>
  </si>
  <si>
    <t>2012-10-18T05:16:28Z</t>
  </si>
  <si>
    <t>2012-10-18T05:19:26Z</t>
  </si>
  <si>
    <t>2012-10-18T05:20:33Z</t>
  </si>
  <si>
    <t>2012-10-18T05:31:15Z</t>
  </si>
  <si>
    <t>10m from monitoring station inside school area</t>
  </si>
  <si>
    <t>2012-10-18T05:38:16Z</t>
  </si>
  <si>
    <t>2012-10-18T06:09:05Z</t>
  </si>
  <si>
    <t>2012-10-18T06:10:36Z</t>
  </si>
  <si>
    <t>2012-10-18T06:13:39Z</t>
  </si>
  <si>
    <t>2012-10-18T06:15:26Z</t>
  </si>
  <si>
    <t>2012-10-18T06:18:32Z</t>
  </si>
  <si>
    <t>2012-10-18T06:24:59Z</t>
  </si>
  <si>
    <t>2012-10-18T06:26:01Z</t>
  </si>
  <si>
    <t>2012-10-18T06:48:02Z</t>
  </si>
  <si>
    <t>Monitoring Station. in front courtyard</t>
  </si>
  <si>
    <t>2012-10-18T06:52:09Z</t>
  </si>
  <si>
    <t>2012-10-18T06:59:44Z</t>
  </si>
  <si>
    <t>2012-10-18T07:01:26Z</t>
  </si>
  <si>
    <t>south of Monitoring station in bench yard</t>
  </si>
  <si>
    <t>2012-10-18T07:09:13Z</t>
  </si>
  <si>
    <t>2012-10-18T07:10:13Z</t>
  </si>
  <si>
    <t>2012-10-18T07:11:25Z</t>
  </si>
  <si>
    <t>2012-10-18T07:14:49Z</t>
  </si>
  <si>
    <t>2012-10-18T07:16:38Z</t>
  </si>
  <si>
    <t>2012-10-18T07:18:20Z</t>
  </si>
  <si>
    <t>2012-10-18T07:20:26Z</t>
  </si>
  <si>
    <t>2012-10-18T07:22:07Z</t>
  </si>
  <si>
    <t>2012-10-18T07:29:09Z</t>
  </si>
  <si>
    <t>2012-10-18T07:33:20Z</t>
  </si>
  <si>
    <t>2012-10-18T07:35:02Z</t>
  </si>
  <si>
    <t>2012-10-18T07:37:25Z</t>
  </si>
  <si>
    <t>2012-10-18T07:39:25Z</t>
  </si>
  <si>
    <t>19-OCT-12 10:14:02AM</t>
  </si>
  <si>
    <t>Hokida Park</t>
  </si>
  <si>
    <t>19-OCT-12 10:17:30AM</t>
  </si>
  <si>
    <t>19-OCT-12 10:17:53AM</t>
  </si>
  <si>
    <t>279</t>
  </si>
  <si>
    <t>19-OCT-12 10:20:28AM</t>
  </si>
  <si>
    <t>Hokida park</t>
  </si>
  <si>
    <t>25m from monitoring station</t>
  </si>
  <si>
    <t>280</t>
  </si>
  <si>
    <t>19-OCT-12 10:22:56AM</t>
  </si>
  <si>
    <t>281</t>
  </si>
  <si>
    <t>19-OCT-12 10:24:03AM</t>
  </si>
  <si>
    <t>drainage pipe</t>
  </si>
  <si>
    <t>282</t>
  </si>
  <si>
    <t>19-OCT-12 10:27:42AM</t>
  </si>
  <si>
    <t>west bottom of slide</t>
  </si>
  <si>
    <t>283</t>
  </si>
  <si>
    <t>19-OCT-12 10:30:35AM</t>
  </si>
  <si>
    <t>East</t>
  </si>
  <si>
    <t>284</t>
  </si>
  <si>
    <t>19-OCT-12 10:32:44AM</t>
  </si>
  <si>
    <t xml:space="preserve">South  </t>
  </si>
  <si>
    <t>285</t>
  </si>
  <si>
    <t>19-OCT-12 11:09:11AM</t>
  </si>
  <si>
    <t>Special school of Fukushima University</t>
  </si>
  <si>
    <t>1m from monitoring station</t>
  </si>
  <si>
    <t>286</t>
  </si>
  <si>
    <t>19-OCT-12 11:12:06AM</t>
  </si>
  <si>
    <t>287</t>
  </si>
  <si>
    <t>19-OCT-12 11:16:11AM</t>
  </si>
  <si>
    <t>5m from monitoring station</t>
  </si>
  <si>
    <t>288</t>
  </si>
  <si>
    <t>19-OCT-12 11:17:04AM</t>
  </si>
  <si>
    <t>289</t>
  </si>
  <si>
    <t>19-OCT-12 11:19:00AM</t>
  </si>
  <si>
    <t>north</t>
  </si>
  <si>
    <t>290</t>
  </si>
  <si>
    <t>19-OCT-12 11:21:40AM</t>
  </si>
  <si>
    <t>291</t>
  </si>
  <si>
    <t>19-OCT-12 11:52:42AM</t>
  </si>
  <si>
    <t>Misono Kindergarten</t>
  </si>
  <si>
    <t>292</t>
  </si>
  <si>
    <t>19-OCT-12 12:31:08PM</t>
  </si>
  <si>
    <t>Hiragamori apartment complex park</t>
  </si>
  <si>
    <t xml:space="preserve">Monitoring station  </t>
  </si>
  <si>
    <t>293</t>
  </si>
  <si>
    <t>19-OCT-12 12:34:46PM</t>
  </si>
  <si>
    <t>5m from monitoring station decontaminated area</t>
  </si>
  <si>
    <t>294</t>
  </si>
  <si>
    <t>19-OCT-12 12:35:45PM</t>
  </si>
  <si>
    <t>295</t>
  </si>
  <si>
    <t>19-OCT-12 12:37:31PM</t>
  </si>
  <si>
    <t>296</t>
  </si>
  <si>
    <t>19-OCT-12 12:39:07PM</t>
  </si>
  <si>
    <t>297</t>
  </si>
  <si>
    <t>19-OCT-12 12:40:51PM</t>
  </si>
  <si>
    <t>North West of monitoring station</t>
  </si>
  <si>
    <t>298</t>
  </si>
  <si>
    <t>19-OCT-12 12:44:16PM</t>
  </si>
  <si>
    <t>H1</t>
  </si>
  <si>
    <t>H2</t>
  </si>
  <si>
    <t>H3</t>
  </si>
  <si>
    <t>2012-10-16T11:41:26</t>
  </si>
  <si>
    <t>2012-10-16T12:38:40</t>
  </si>
  <si>
    <t>2012-10-16T13:39:44</t>
  </si>
  <si>
    <t>2012-10-16T13:59:52</t>
  </si>
  <si>
    <t>2012-10-16T15:23:36</t>
  </si>
  <si>
    <t>2012-10-16T15:44:37</t>
  </si>
  <si>
    <t>2012-10-16T16:18:01</t>
  </si>
  <si>
    <t>2012-10-16T16:33:27</t>
  </si>
  <si>
    <t>2012-10-16T17:03:20</t>
  </si>
  <si>
    <t>20121012T10:55:28</t>
  </si>
  <si>
    <t>20121012T10:59:07</t>
  </si>
  <si>
    <t>5 mtrs</t>
  </si>
  <si>
    <t>20121012T11:05:58</t>
  </si>
  <si>
    <t>20121012T11:14:36</t>
  </si>
  <si>
    <t>20121012T11:17:24</t>
  </si>
  <si>
    <t>20121012T11:18:50</t>
  </si>
  <si>
    <t>20121012T11:19:39</t>
  </si>
  <si>
    <t>20121012T11:22:27</t>
  </si>
  <si>
    <t>20121012T11:31:41</t>
  </si>
  <si>
    <t>Nishi Jido kouen (children's playground)</t>
  </si>
  <si>
    <t>20121012T11:40:11</t>
  </si>
  <si>
    <t>20121012T11:41:32</t>
  </si>
  <si>
    <t>20121012T11:43:04</t>
  </si>
  <si>
    <t>20121012T11:44:31</t>
  </si>
  <si>
    <t>20121012T12:09:43</t>
  </si>
  <si>
    <t>20121012T12:12:49</t>
  </si>
  <si>
    <t>20121012T12:14:13</t>
  </si>
  <si>
    <t>20121012T12:38:22</t>
  </si>
  <si>
    <t>1m</t>
  </si>
  <si>
    <t>20121012T12:52:51</t>
  </si>
  <si>
    <t>20121012T12:54:40</t>
  </si>
  <si>
    <t>20121012T12:57:10</t>
  </si>
  <si>
    <t>20121012T12:58:42</t>
  </si>
  <si>
    <t>20121012T14:24:59</t>
  </si>
  <si>
    <t>Takada kouen (Park)</t>
  </si>
  <si>
    <t>20121012T14:29:48</t>
  </si>
  <si>
    <t>20121012T14:31:04</t>
  </si>
  <si>
    <t>20121012T14:33:51</t>
  </si>
  <si>
    <t>20121012T14:49:56</t>
  </si>
  <si>
    <t>Noda Chuo koen(Park)</t>
  </si>
  <si>
    <t>20121012T14:56:43</t>
  </si>
  <si>
    <t>20121012T14:57:50</t>
  </si>
  <si>
    <t>20121012T14:58:34</t>
  </si>
  <si>
    <t>20121012T15:10:29</t>
  </si>
  <si>
    <t>Yoshizoedanchi Building 10 koen(Park at housing complex)</t>
  </si>
  <si>
    <t>20121012T15:13:40</t>
  </si>
  <si>
    <t>6m</t>
  </si>
  <si>
    <t>20121012T15:16:12</t>
  </si>
  <si>
    <t>20121012T15:18:03</t>
  </si>
  <si>
    <t>20121012T15:30:42</t>
  </si>
  <si>
    <t>Tajiri koen(Park)</t>
  </si>
  <si>
    <t>20121012T15:34:40</t>
  </si>
  <si>
    <t>20121012T15:35:50</t>
  </si>
  <si>
    <t>20121012T15:44:55</t>
  </si>
  <si>
    <t>Yoshizoedanchi Building 4 koen(Park at housing complex)</t>
  </si>
  <si>
    <t>20121012T15:49:54</t>
  </si>
  <si>
    <t>20121012T15:51:12</t>
  </si>
  <si>
    <t>20121012T15:52:05</t>
  </si>
  <si>
    <t>2012-10-18T11:09:55</t>
  </si>
  <si>
    <t>Corrase Plaza</t>
  </si>
  <si>
    <t>2012-10-18T11:19:24</t>
  </si>
  <si>
    <t>2012-10-18T11:19:41</t>
  </si>
  <si>
    <t>2012-10-18T11:22:38</t>
  </si>
  <si>
    <t>2012-10-18T11:53:51</t>
  </si>
  <si>
    <t>Fukushima prefecture museum of art</t>
  </si>
  <si>
    <t>2012-10-18T11:56:11</t>
  </si>
  <si>
    <t>2012-10-18T11:56:30</t>
  </si>
  <si>
    <t>2012-10-18T11:57:48</t>
  </si>
  <si>
    <t>2012-10-18T12:00:44</t>
  </si>
  <si>
    <t>2012-10-18T12:22:40</t>
  </si>
  <si>
    <t>Nitomaki Park</t>
  </si>
  <si>
    <t>2012-10-18T12:28:27</t>
  </si>
  <si>
    <t>2012-10-18T12:30:49</t>
  </si>
  <si>
    <t>2012-10-18T12:31:27</t>
  </si>
  <si>
    <t xml:space="preserve">10m </t>
  </si>
  <si>
    <t>2012-10-18T12:49:46</t>
  </si>
  <si>
    <t>2012-10-18T12:59:09</t>
  </si>
  <si>
    <t>2012-10-18T12:59:18</t>
  </si>
  <si>
    <t>2012-10-18T13:15:58</t>
  </si>
  <si>
    <t>2012-10-18T13:29:56</t>
  </si>
  <si>
    <t xml:space="preserve">5m </t>
  </si>
  <si>
    <t>2012-10-18T13:31:09</t>
  </si>
  <si>
    <t>2012-10-18T15:04:27</t>
  </si>
  <si>
    <t xml:space="preserve"> Matoba Park</t>
  </si>
  <si>
    <t>2012-10-18T15:09:22</t>
  </si>
  <si>
    <t>2012-10-18T15:10:00</t>
  </si>
  <si>
    <t>outside school gate</t>
  </si>
  <si>
    <t>Entrance of car parking on soil</t>
  </si>
  <si>
    <t>west of corner 5m on pathway</t>
  </si>
  <si>
    <t>playground decontaminated</t>
  </si>
  <si>
    <t>west concrete pathways banks.</t>
  </si>
  <si>
    <t>west  entrance to path</t>
  </si>
  <si>
    <t xml:space="preserve">west </t>
  </si>
  <si>
    <t xml:space="preserve"> at park @ monitor station - 0.302uSv/h</t>
  </si>
  <si>
    <t xml:space="preserve"> close to road and kindergarten</t>
  </si>
  <si>
    <t xml:space="preserve"> in temple grounds</t>
  </si>
  <si>
    <t xml:space="preserve"> temple steps</t>
  </si>
  <si>
    <t>12.5m</t>
  </si>
  <si>
    <t>30m</t>
  </si>
  <si>
    <t xml:space="preserve"> by car park</t>
  </si>
  <si>
    <t xml:space="preserve"> next to kindergarten</t>
  </si>
  <si>
    <t>on parkway read tarmac</t>
  </si>
  <si>
    <t>18m</t>
  </si>
  <si>
    <t>40m</t>
  </si>
  <si>
    <t xml:space="preserve"> by drain on the road</t>
  </si>
  <si>
    <t>vegetable patch</t>
  </si>
  <si>
    <t>bottom of ditch is 0.5m below surface level</t>
  </si>
  <si>
    <t xml:space="preserve"> stone surface side of school</t>
  </si>
  <si>
    <t>decontaminated area</t>
  </si>
  <si>
    <t>Monitoring station in backyard</t>
  </si>
  <si>
    <t>abandoned pathway bench seating</t>
  </si>
  <si>
    <t xml:space="preserve">abandoned pathway </t>
  </si>
  <si>
    <t>abandoned pathway</t>
  </si>
  <si>
    <t>7.5m</t>
  </si>
  <si>
    <t>North of monitoring station</t>
  </si>
  <si>
    <t>Fukushima prefecture museum of art- different direction</t>
  </si>
  <si>
    <t>Japanese Name</t>
  </si>
  <si>
    <t>20 m</t>
  </si>
  <si>
    <t>10 m</t>
  </si>
  <si>
    <t>25 m</t>
  </si>
  <si>
    <t>22 m</t>
  </si>
  <si>
    <t xml:space="preserve">10m , </t>
  </si>
  <si>
    <t>Nitomaki Park - hot spot</t>
  </si>
  <si>
    <t>Measuring device</t>
  </si>
  <si>
    <t>vegetable  garden - ditch</t>
  </si>
  <si>
    <t xml:space="preserve"> stones by park  at the edge of school</t>
  </si>
  <si>
    <t>front of kindergarden. SOUTH west corner of the  building.</t>
  </si>
  <si>
    <t>20m front of kindergarden. south west of MS in front courtyard</t>
  </si>
  <si>
    <t>on concrete  on street</t>
  </si>
  <si>
    <t>front of kindergarden SW from front courtyard</t>
  </si>
  <si>
    <t>next of MS in backgarden</t>
  </si>
  <si>
    <t xml:space="preserve"> front of kindergarden SW from frount courtyard</t>
  </si>
  <si>
    <t>front of kindergarden side of road</t>
  </si>
  <si>
    <t xml:space="preserve"> small bush SW of MS in backgarden</t>
  </si>
  <si>
    <t>J1</t>
  </si>
  <si>
    <t>2012-10-14T00:47:19Z</t>
  </si>
  <si>
    <t>2012-10-14T01:03:06Z</t>
  </si>
  <si>
    <t>2012-10-14T02:26:08Z</t>
  </si>
  <si>
    <t>2012-10-14T02:38:08Z</t>
  </si>
  <si>
    <t>2012-10-14T02:40:03Z</t>
  </si>
  <si>
    <t>2012-10-14T02:41:35Z</t>
  </si>
  <si>
    <t>2012-10-14T02:43:04Z</t>
  </si>
  <si>
    <t>2012-10-14T02:44:18Z</t>
  </si>
  <si>
    <t>2012-10-14T02:45:07Z</t>
  </si>
  <si>
    <t>2012-10-14T02:47:41Z</t>
  </si>
  <si>
    <t>2012-10-14T02:49:12Z</t>
  </si>
  <si>
    <t>2012-10-14T02:50:46Z</t>
  </si>
  <si>
    <t>2012-10-14T02:54:29Z</t>
  </si>
  <si>
    <t>2012-10-14T02:57:05Z</t>
  </si>
  <si>
    <t>2012-10-14T02:59:11Z</t>
  </si>
  <si>
    <t>2012-10-14T03:00:16Z</t>
  </si>
  <si>
    <t>2012-10-14T03:02:03Z</t>
  </si>
  <si>
    <t>2012-10-14T03:03:51Z</t>
  </si>
  <si>
    <t>2012-10-14T03:05:22Z</t>
  </si>
  <si>
    <t>2012-10-14T03:07:38Z</t>
  </si>
  <si>
    <t>2012-10-14T03:09:13Z</t>
  </si>
  <si>
    <t>2012-10-14T03:19:38Z</t>
  </si>
  <si>
    <t>2012-10-14T03:23:19Z</t>
  </si>
  <si>
    <t>2012-10-14T03:25:55Z</t>
  </si>
  <si>
    <t>2012-10-14T03:28:34Z</t>
  </si>
  <si>
    <t>2012-10-14T03:32:08Z</t>
  </si>
  <si>
    <t>2012-10-14T03:34:57Z</t>
  </si>
  <si>
    <t>2012-10-14T03:37:36Z</t>
  </si>
  <si>
    <t>2012-10-14T03:43:38Z</t>
  </si>
  <si>
    <t>2012-10-14T03:45:15Z</t>
  </si>
  <si>
    <t>2012-10-14T03:47:16Z</t>
  </si>
  <si>
    <t>2012-10-14T04:46:39Z</t>
  </si>
  <si>
    <t>2012-10-14T04:51:52Z</t>
  </si>
  <si>
    <t>2012-10-14T04:54:18Z</t>
  </si>
  <si>
    <t>2012-10-14T04:56:13Z</t>
  </si>
  <si>
    <t>2012-10-14T04:58:32Z</t>
  </si>
  <si>
    <t>2012-10-14T05:03:19Z</t>
  </si>
  <si>
    <t>2012-10-14T05:04:14Z</t>
  </si>
  <si>
    <t>2012-10-14T05:08:39Z</t>
  </si>
  <si>
    <t>2012-10-14T05:10:43Z</t>
  </si>
  <si>
    <t>2012-10-14T05:11:52Z</t>
  </si>
  <si>
    <t>2012-10-14T05:19:21Z</t>
  </si>
  <si>
    <t>2012-10-14T05:20:51Z</t>
  </si>
  <si>
    <t>2012-10-14T05:22:41Z</t>
  </si>
  <si>
    <t>2012-10-14T05:24:08Z</t>
  </si>
  <si>
    <t>2012-10-14T05:27:07Z</t>
  </si>
  <si>
    <t>2012-10-14T05:34:01Z</t>
  </si>
  <si>
    <t>2012-10-14T05:36:33Z</t>
  </si>
  <si>
    <t>2012-10-14T05:40:41Z</t>
  </si>
  <si>
    <t>2012-10-14T05:43:07Z</t>
  </si>
  <si>
    <t>2012-10-14T05:45:26Z</t>
  </si>
  <si>
    <t>2012-10-14T05:48:45Z</t>
  </si>
  <si>
    <t>2012-10-14T05:53:43Z</t>
  </si>
  <si>
    <t>2012-10-14T05:54:34Z</t>
  </si>
  <si>
    <t>Watari; Fukushima Prefecture</t>
  </si>
  <si>
    <t>Gamma spectrometer: Georadis RT-30; GPS Model:  Garmin Montana 650</t>
  </si>
  <si>
    <t>School; Tarmac car park; All southerly readings. MP = 0.607usv/hr</t>
  </si>
  <si>
    <t>Gamma spectrometer: Georadis RT-30; GPS Model:  Garmin Montana 651</t>
  </si>
  <si>
    <t>School; Tarmac car park; All southerly readings.</t>
  </si>
  <si>
    <t>Gamma spectrometer: Georadis RT-30; GPS Model:  Garmin Montana 652</t>
  </si>
  <si>
    <t>Gamma spectrometer: Georadis RT-30; GPS Model:  Garmin Montana 653</t>
  </si>
  <si>
    <t>School;Tarmac car park; All southerly readings. above a drain</t>
  </si>
  <si>
    <t>Gamma spectrometer: Georadis RT-30; GPS Model:  Garmin Montana 654</t>
  </si>
  <si>
    <t>School;; Driveway/ tarmac road</t>
  </si>
  <si>
    <t>Gamma spectrometer: Georadis RT-30; GPS Model:  Garmin Montana 655</t>
  </si>
  <si>
    <t>Fukushima Prefecture Sogo Eisei Gakuin (public medical school); All north westerly readings MP - 0.60usv/hr</t>
  </si>
  <si>
    <t>Gamma spectrometer: Georadis RT-30; GPS Model:  Garmin Montana 656</t>
  </si>
  <si>
    <t>Gamma spectrometer: Georadis RT-30; GPS Model:  Garmin Montana 657</t>
  </si>
  <si>
    <t>Fukushima Prefecture Sogo Eisei Gakuin (public medical school);  All north westerly readings</t>
  </si>
  <si>
    <t>Gamma spectrometer: Georadis RT-30; GPS Model:  Garmin Montana 658</t>
  </si>
  <si>
    <t>Gamma spectrometer: Georadis RT-30; GPS Model:  Garmin Montana 659</t>
  </si>
  <si>
    <t>Fukushima Prefecture Sogo Eisei Gakuin (public medical school); All north westerly readings; at tree base.</t>
  </si>
  <si>
    <t>Gamma spectrometer: Georadis RT-30; GPS Model:  Garmin Montana 660</t>
  </si>
  <si>
    <t>Gamma spectrometer: Georadis RT-30; GPS Model:  Garmin Montana 661</t>
  </si>
  <si>
    <t xml:space="preserve"> Kobato Kindergarden;Decontaminated area; all easterly readings At MP - 0.25usv/hr</t>
  </si>
  <si>
    <t>Gamma spectrometer: Georadis RT-30; GPS Model:  Garmin Montana 662</t>
  </si>
  <si>
    <t xml:space="preserve"> Kobato Kindergarden; Decontaminated area; all easterly readings</t>
  </si>
  <si>
    <t>Gamma spectrometer: Georadis RT-30; GPS Model:  Garmin Montana 663</t>
  </si>
  <si>
    <t xml:space="preserve"> Kobato Kindergarden; Decontaminated area; all easterly readings. Next to fence/ drain outside</t>
  </si>
  <si>
    <t>Gamma spectrometer: Georadis RT-30; GPS Model:  Garmin Montana 664</t>
  </si>
  <si>
    <t xml:space="preserve">  Kobato Kindergarden; Decontaminated area; all easterly readings; Outside - above drain</t>
  </si>
  <si>
    <t>Gamma spectrometer: Georadis RT-30; GPS Model:  Garmin Montana 665</t>
  </si>
  <si>
    <t xml:space="preserve"> Kobato Kindergarden;Across road - above  the drain</t>
  </si>
  <si>
    <t>Gamma spectrometer: Georadis RT-30; GPS Model:  Garmin Montana 666</t>
  </si>
  <si>
    <t xml:space="preserve"> Kobato Kindergarden; Decontaminated area; all easterly readings. At entrance gate</t>
  </si>
  <si>
    <t>Gamma spectrometer: Georadis RT-30; GPS Model:  Garmin Montana 667</t>
  </si>
  <si>
    <t xml:space="preserve"> Child Care House; Public road; facing south. 0.7m East from monitoring station. Monitor-station reading 0.32uSv/h.</t>
  </si>
  <si>
    <t>Gamma spectrometer: Georadis RT-30; GPS Model:  Garmin Montana 668</t>
  </si>
  <si>
    <t>Child Care House; Public road; facing south</t>
  </si>
  <si>
    <t>Gamma spectrometer: Georadis RT-30; GPS Model:  Garmin Montana 669</t>
  </si>
  <si>
    <t xml:space="preserve"> Child care house Public road; facing south</t>
  </si>
  <si>
    <t>Gamma spectrometer: Georadis RT-30; GPS Model:  Garmin Montana 670</t>
  </si>
  <si>
    <t xml:space="preserve"> Child care house; Public road; facing south; edge of vegetable field.</t>
  </si>
  <si>
    <t>Gamma spectrometer: Georadis RT-30; GPS Model:  Garmin Montana 671</t>
  </si>
  <si>
    <t>Watari Fureai Centre; North of monitoring station. Station not accessible; All easterly readings</t>
  </si>
  <si>
    <t>Gamma spectrometer: Georadis RT-30; GPS Model:  Garmin Montana 672</t>
  </si>
  <si>
    <t>Gamma spectrometer: Georadis RT-30; GPS Model:  Garmin Montana 673</t>
  </si>
  <si>
    <t>Watari Fureai Centre;North of monitoring station. Station not accessible; All easterly readings</t>
  </si>
  <si>
    <t>Gamma spectrometer: Georadis RT-30; GPS Model:  Garmin Montana 674</t>
  </si>
  <si>
    <t>Watari Fureai Centre; School playground - decontaminated; All northerly readings - At MP 0.30uSv/hr</t>
  </si>
  <si>
    <t>Gamma spectrometer: Georadis RT-30; GPS Model:  Garmin Montana 675</t>
  </si>
  <si>
    <t>Watari Fureai Centre; School playground - decontaminated; All northerly readings</t>
  </si>
  <si>
    <t>Gamma spectrometer: Georadis RT-30; GPS Model:  Garmin Montana 676</t>
  </si>
  <si>
    <t>Gamma spectrometer: Georadis RT-30; GPS Model:  Garmin Montana 677</t>
  </si>
  <si>
    <t>Watari Kirin Kyoshitsu; after-school care for children ;School playground - decontaminated; All northerly readings</t>
  </si>
  <si>
    <t>Gamma spectrometer: Georadis RT-30; GPS Model:  Garmin Montana 678</t>
  </si>
  <si>
    <t>Gamma spectrometer: Georadis RT-30; GPS Model:  Garmin Montana 679</t>
  </si>
  <si>
    <t>Watari Kirin Kyoshitsu; after-school care for children ; South easterly</t>
  </si>
  <si>
    <t>Gamma spectrometer: Georadis RT-30; GPS Model:  Garmin Montana 680</t>
  </si>
  <si>
    <t>Watari Kirin Kyoshitsu; after-school care for children; At the monitoring station. Decontaminated area.MP - 0.34uSv/hr</t>
  </si>
  <si>
    <t>Gamma spectrometer: Georadis RT-30; GPS Model:  Garmin Montana 681</t>
  </si>
  <si>
    <t>Watari Kirin Kyoshitsu; after-school care for children; North westerly; non-decontaminated area</t>
  </si>
  <si>
    <t>Gamma spectrometer: Georadis RT-30; GPS Model:  Garmin Montana 682</t>
  </si>
  <si>
    <t>Gamma spectrometer: Georadis RT-30; GPS Model:  Garmin Montana 683</t>
  </si>
  <si>
    <t>Watari Kirin Kyoshitsu; after-school care for children South westerly. Around the shrine; non-decontaminated area.</t>
  </si>
  <si>
    <t>Gamma spectrometer: Georadis RT-30; GPS Model:  Garmin Montana 684</t>
  </si>
  <si>
    <t>Watari Kirin Kyoshitsu; after-school care for children; South easterly. Around the shrine</t>
  </si>
  <si>
    <t>Gamma spectrometer: Georadis RT-30; GPS Model:  Garmin Montana 685</t>
  </si>
  <si>
    <t>Watari Kirin Kyoshitsu; after-school care for children;temple area; non-decontaminated area; West.</t>
  </si>
  <si>
    <t>Gamma spectrometer: Georadis RT-30; GPS Model:  Garmin Montana 686</t>
  </si>
  <si>
    <t>Watari Kirin Kyoshitsu; after-school care for children. At steps of temple. South east of school. Children present and playing here whilst measuring.</t>
  </si>
  <si>
    <t>Gamma spectrometer: Georadis RT-30; GPS Model:  Garmin Montana 687</t>
  </si>
  <si>
    <t>Watari Kirin Kyoshitsu; after-school care for children;. oad opposite temple. Southwesterly; decontaminated area.</t>
  </si>
  <si>
    <t>Gamma spectrometer: Georadis RT-30; GPS Model:  Garmin Montana 688</t>
  </si>
  <si>
    <t>Watari Gakushu Centre (community centre); Sand around measuring post - decontaminated completed MP - 0.46uSv/hr</t>
  </si>
  <si>
    <t>Gamma spectrometer: Georadis RT-30; GPS Model:  Garmin Montana 689</t>
  </si>
  <si>
    <t>Watari Gakushu Centre (community centre);  NW direction. Slightly under ridge of steps</t>
  </si>
  <si>
    <t>Gamma spectrometer: Georadis RT-30; GPS Model:  Garmin Montana 690</t>
  </si>
  <si>
    <t>Watari Gakushu Centre (community centre);  undercover of roof</t>
  </si>
  <si>
    <t>Gamma spectrometer: Georadis RT-30; GPS Model:  Garmin Montana 691</t>
  </si>
  <si>
    <t>Watari Gakushu Centre (community centre); edge of car park</t>
  </si>
  <si>
    <t>Gamma spectrometer: Georadis RT-30; GPS Model:  Garmin Montana 692</t>
  </si>
  <si>
    <t>Watari Gakushu Centre (community centre); Nw direction from monitoring post; in middle of car park</t>
  </si>
  <si>
    <t>Gamma spectrometer: Georadis RT-30; GPS Model:  Garmin Montana 693</t>
  </si>
  <si>
    <t>Childrens Daycare; measuring post reads  MP -0.237 uSv/hr</t>
  </si>
  <si>
    <t>Gamma spectrometer: Georadis RT-30; GPS Model:  Garmin Montana 694</t>
  </si>
  <si>
    <t>Childrens Daycare; SE - soil surface</t>
  </si>
  <si>
    <t>Gamma spectrometer: Georadis RT-30; GPS Model:  Garmin Montana 695</t>
  </si>
  <si>
    <t>Gamma spectrometer: Georadis RT-30; GPS Model:  Garmin Montana 696</t>
  </si>
  <si>
    <t>Childrens Daycare; Ditch along the road</t>
  </si>
  <si>
    <t>Gamma spectrometer: Georadis RT-30; GPS Model:  Garmin Montana 697</t>
  </si>
  <si>
    <t>Childrens Daycare; Hedge of next door neighbour over the fence</t>
  </si>
  <si>
    <t>Gamma spectrometer: Georadis RT-30; GPS Model:  Garmin Montana 698</t>
  </si>
  <si>
    <t>Gamma spectrometer: Georadis RT-30; GPS Model:  Garmin Montana 699</t>
  </si>
  <si>
    <t>private house Garden - soil; trimmed grass</t>
  </si>
  <si>
    <t>Gamma spectrometer: Georadis RT-30; GPS Model:  Garmin Montana 700</t>
  </si>
  <si>
    <t xml:space="preserve"> Bentenyama Park ;pathway</t>
  </si>
  <si>
    <t>Gamma spectrometer: Georadis RT-30; GPS Model:  Garmin Montana 701</t>
  </si>
  <si>
    <t>Bentenyama Park ; top on path</t>
  </si>
  <si>
    <t>Gamma spectrometer: Georadis RT-30; GPS Model:  Garmin Montana 702</t>
  </si>
  <si>
    <t>Bentenyama Park; strong winds - decontaminated area</t>
  </si>
  <si>
    <t>Gamma spectrometer: Georadis RT-30; GPS Model:  Garmin Montana 703</t>
  </si>
  <si>
    <t xml:space="preserve"> Bentenyama Park; 0.243 uSv/h at measuring station </t>
  </si>
  <si>
    <t>Gamma spectrometer: Georadis RT-30; GPS Model:  Garmin Montana 704</t>
  </si>
  <si>
    <t>Bentenyama Park Direction of north; decontaminated</t>
  </si>
  <si>
    <t>Direction of north; deconed</t>
  </si>
  <si>
    <t>Gamma spectrometer: Georadis RT-30; GPS Model:  Garmin Montana 705</t>
  </si>
  <si>
    <t>Gamma spectrometer: Georadis RT-30; GPS Model:  Garmin Montana 706</t>
  </si>
  <si>
    <t>Gamma spectrometer: Georadis RT-30; GPS Model:  Garmin Montana 707</t>
  </si>
  <si>
    <t>Bentenyama Park; children play area N50m;decontaminated</t>
  </si>
  <si>
    <t>children play area N50m;deconed.</t>
  </si>
  <si>
    <t>Gamma spectrometer: Georadis RT-30; GPS Model:  Garmin Montana 708</t>
  </si>
  <si>
    <t>Gamma spectrometer: Georadis RT-30; GPS Model:  Garmin Montana 709</t>
  </si>
  <si>
    <t>Bentenyama Park ; on pathway; bank; facing north-east on monitoring station</t>
  </si>
  <si>
    <t>on pathway; bank; facing north-east on monitoring station</t>
  </si>
  <si>
    <t>Gamma spectrometer: Georadis RT-30; GPS Model:  Garmin Montana 710</t>
  </si>
  <si>
    <t>Bentenyama Park; pathway downhill facing town.</t>
  </si>
  <si>
    <t>Gamma spectrometer: Georadis RT-30; GPS Model:  Garmin Montana 711</t>
  </si>
  <si>
    <t xml:space="preserve"> Bentenyama Park; small park other side of hill</t>
  </si>
  <si>
    <t>Gamma spectrometer: Georadis RT-30; GPS Model:  Garmin Montana 712</t>
  </si>
  <si>
    <t>Gamma spectrometer: Georadis RT-30; GPS Model:  Garmin Montana 713</t>
  </si>
  <si>
    <t>Gamma spectrometer: Georadis RT-30; GPS Model:  Garmin Montana 714</t>
  </si>
  <si>
    <t xml:space="preserve"> Bentenyama Park ; path; next to house soil; up to path.</t>
  </si>
  <si>
    <t>path; next to house soil; up to path.</t>
  </si>
  <si>
    <t>Shinobuyama; Fukushima Prefecture</t>
  </si>
  <si>
    <t>Gamma spectrometer: Georadis RT-30; GPS Model:  Garmin Montana 715</t>
  </si>
  <si>
    <t>Gamma spectrometer: Georadis RT-30; GPS Model:  Garmin Montana 716</t>
  </si>
  <si>
    <t>Gamma spectrometer: Georadis RT-30; GPS Model:  Garmin Montana 717</t>
  </si>
  <si>
    <t xml:space="preserve"> Shinobuyama Baseball Stadium ; Facing west beside the stadium. Slope towards the stadium</t>
  </si>
  <si>
    <t>Gamma spectrometer: Georadis RT-30; GPS Model:  Garmin Montana 718</t>
  </si>
  <si>
    <t xml:space="preserve"> Shinobuyama Baseball Stadium ; Facing west towards higher road trail; next to sand field.</t>
  </si>
  <si>
    <t>Facing west towards higher road trail; next to sand field.</t>
  </si>
  <si>
    <t>Gamma spectrometer: Georadis RT-30; GPS Model:  Garmin Montana 719</t>
  </si>
  <si>
    <t>Shinobuyama Baseball Stadium Facing west towards higher road trail; next to sand field.</t>
  </si>
  <si>
    <t>Gamma spectrometer: Georadis RT-30; GPS Model:  Garmin Montana 720</t>
  </si>
  <si>
    <t>Shinobuyama Baseball Stadium; Facing east slope road leading down to sand field.</t>
  </si>
  <si>
    <t>Gamma spectrometer: Georadis RT-30; GPS Model:  Garmin Montana 721</t>
  </si>
  <si>
    <t>Gamma spectrometer: Georadis RT-30; GPS Model:  Garmin Montana 722</t>
  </si>
  <si>
    <t>Shinobuyama Baseball Stadium ;Facing east entering sand field</t>
  </si>
  <si>
    <t>Gamma spectrometer: Georadis RT-30; GPS Model:  Garmin Montana 723</t>
  </si>
  <si>
    <t>Shinobuyama Baseball Stadium behind stadium ; Inside edge of sand field</t>
  </si>
  <si>
    <t>Gamma spectrometer: Georadis RT-30; GPS Model:  Garmin Montana 724</t>
  </si>
  <si>
    <t>Shinobuyama Baseball Stadium; Outside edge of sand field; under the slope</t>
  </si>
  <si>
    <t>Outside edge of sand field; under the slope</t>
  </si>
  <si>
    <t>Gamma spectrometer: Georadis RT-30; GPS Model:  Garmin Montana 725</t>
  </si>
  <si>
    <t>Shinobuyama Baseball Stadium; On steps to the sand field. Facing north on grass.</t>
  </si>
  <si>
    <t>Gamma spectrometer: Georadis RT-30; GPS Model:  Garmin Montana 726</t>
  </si>
  <si>
    <t>Shinobuyama Baseball Stadium; West of stadium bench</t>
  </si>
  <si>
    <t>Gamma spectrometer: Georadis RT-30; GPS Model:  Garmin Montana 727</t>
  </si>
  <si>
    <t>Shinobuyama Baseball Stadium ; North facing inside car park lot. Outside small plyaground.</t>
  </si>
  <si>
    <t>Gamma spectrometer: Georadis RT-30; GPS Model:  Garmin Montana 728</t>
  </si>
  <si>
    <t>Shinobuyama Baseball Stadium; North entrance to small playground. Flower sidewalk inside.</t>
  </si>
  <si>
    <t>Gamma spectrometer: Georadis RT-30; GPS Model:  Garmin Montana 729</t>
  </si>
  <si>
    <t>Shinobuyama Baseball Stadium; Southward of small playground</t>
  </si>
  <si>
    <t>Gamma spectrometer: Georadis RT-30; GPS Model:  Garmin Montana 730</t>
  </si>
  <si>
    <t>Shinobuyama Baseball Stadium; Swing stall. Seat plank.</t>
  </si>
  <si>
    <t>Gamma spectrometer: Georadis RT-30; GPS Model:  Garmin Montana 731</t>
  </si>
  <si>
    <t>Shinobuyama Baseball Stadium; End of slide in the same playground</t>
  </si>
  <si>
    <t>Gamma spectrometer: Georadis RT-30; GPS Model:  Garmin Montana 732</t>
  </si>
  <si>
    <t>Shinobuyama Baseball Stadium; South corner of playground</t>
  </si>
  <si>
    <t>Gamma spectrometer: Georadis RT-30; GPS Model:  Garmin Montana 733</t>
  </si>
  <si>
    <t>Shinobuyama Baseball Stadium; West corner of playground</t>
  </si>
  <si>
    <t>Gamma spectrometer: Georadis RT-30; GPS Model:  Garmin Montana 734</t>
  </si>
  <si>
    <t>Shinobuyama Baseball Stadium; Northward to west corner of playground</t>
  </si>
  <si>
    <t>Gamma spectrometer: Georadis RT-30; GPS Model:  Garmin Montana 735</t>
  </si>
  <si>
    <t>Shinobuyama Baseball Stadium;North corner of playground</t>
  </si>
  <si>
    <t>Gamma spectrometer: Georadis RT-30; GPS Model:  Garmin Montana 736</t>
  </si>
  <si>
    <t>Shinobuyama Baseball Stadium; Under the tree</t>
  </si>
  <si>
    <t>Gamma spectrometer: Georadis RT-30; GPS Model:  Garmin Montana 737</t>
  </si>
  <si>
    <t>Gamma spectrometer: Georadis RT-30; GPS Model:  Garmin Montana 738</t>
  </si>
  <si>
    <t>Shinhamacho; Fukushima Prefecture</t>
  </si>
  <si>
    <t>Gamma spectrometer: Georadis RT-30; GPS Model:  Garmin Montana 739</t>
  </si>
  <si>
    <t>Gamma spectrometer: Georadis RT-30; GPS Model:  Garmin Montana 740</t>
  </si>
  <si>
    <t>Gamma spectrometer: Georadis RT-30; GPS Model:  Garmin Montana 741</t>
  </si>
  <si>
    <t>Gamma spectrometer: Georadis RT-30; GPS Model:  Garmin Montana 742</t>
  </si>
  <si>
    <t>Gamma spectrometer: Georadis RT-30; GPS Model:  Garmin Montana 743</t>
  </si>
  <si>
    <t>Gamma spectrometer: Georadis RT-30; GPS Model:  Garmin Montana 744</t>
  </si>
  <si>
    <t>Gamma spectrometer: Georadis RT-30; GPS Model:  Garmin Montana 745</t>
  </si>
  <si>
    <t>Gamma spectrometer: Georadis RT-30; GPS Model:  Garmin Montana 746</t>
  </si>
  <si>
    <t>Shinmachi; Fukushima Prefecture</t>
  </si>
  <si>
    <t>Gamma spectrometer: Georadis RT-30; GPS Model:  Garmin Montana 747</t>
  </si>
  <si>
    <t>Moriaicho; Fukushima Prefecture</t>
  </si>
  <si>
    <t>Gamma spectrometer: Georadis RT-30; GPS Model:  Garmin Montana 748</t>
  </si>
  <si>
    <t>Gamma spectrometer: Georadis RT-30; GPS Model:  Garmin Montana 749</t>
  </si>
  <si>
    <t>Gamma spectrometer: Georadis RT-30; GPS Model:  Garmin Montana 750</t>
  </si>
  <si>
    <t>Gamma spectrometer: Georadis RT-30; GPS Model:  Garmin Montana 751</t>
  </si>
  <si>
    <t>Gamma spectrometer: Georadis RT-30; GPS Model:  Garmin Montana 752</t>
  </si>
  <si>
    <t>Gamma spectrometer: Georadis RT-30; GPS Model:  Garmin Montana 753</t>
  </si>
  <si>
    <t>Gamma spectrometer: Georadis RT-30; GPS Model:  Garmin Montana 754</t>
  </si>
  <si>
    <t>Gamma spectrometer: Georadis RT-30; GPS Model:  Garmin Montana 755</t>
  </si>
  <si>
    <t>Gamma spectrometer: Georadis RT-30; GPS Model:  Garmin Montana 756</t>
  </si>
  <si>
    <t>Gamma spectrometer: Georadis RT-30; GPS Model:  Garmin Montana 757</t>
  </si>
  <si>
    <t>Gamma spectrometer: Georadis RT-30; GPS Model:  Garmin Montana 758</t>
  </si>
  <si>
    <t>Monitoring station near hospital -0.325uSv/h; southward</t>
  </si>
  <si>
    <t>Gamma spectrometer: Georadis RT-30; GPS Model:  Garmin Montana 759</t>
  </si>
  <si>
    <t>Gamma spectrometer: Georadis RT-30; GPS Model:  Garmin Montana 760</t>
  </si>
  <si>
    <t>Gamma spectrometer: Georadis RT-30; GPS Model:  Garmin Montana 761</t>
  </si>
  <si>
    <t xml:space="preserve"> road; decontaminated</t>
  </si>
  <si>
    <t>Gamma spectrometer: Georadis RT-30; GPS Model:  Garmin Montana 762</t>
  </si>
  <si>
    <t>Gamma spectrometer: Georadis RT-30; GPS Model:  Garmin Montana 763</t>
  </si>
  <si>
    <t>Nishinouchi; Fukushima Prefecture</t>
  </si>
  <si>
    <t>Gamma spectrometer: Georadis RT-30; GPS Model:  Garmin Montana 764</t>
  </si>
  <si>
    <t>vegetable patch next to road; Private Apartment building</t>
  </si>
  <si>
    <t>Gamma spectrometer: Georadis RT-30; GPS Model:  Garmin Montana 765</t>
  </si>
  <si>
    <t>Gamma spectrometer: Georadis RT-30; GPS Model:  Garmin Montana 766</t>
  </si>
  <si>
    <t>Gamma spectrometer: Georadis RT-30; GPS Model:  Garmin Montana 767</t>
  </si>
  <si>
    <t>Gamma spectrometer: Georadis RT-30; GPS Model:  Garmin Montana 768</t>
  </si>
  <si>
    <t>Gamma spectrometer: Georadis RT-30; GPS Model:  Garmin Montana 769</t>
  </si>
  <si>
    <t>Gamma spectrometer: Georadis RT-30; GPS Model:  Garmin Montana 770</t>
  </si>
  <si>
    <t>Gamma spectrometer: Georadis RT-30; GPS Model:  Garmin Montana 771</t>
  </si>
  <si>
    <t>Gamma spectrometer: Georadis RT-30; GPS Model:  Garmin Montana 772</t>
  </si>
  <si>
    <t>opposite the decontaminated area; on the road</t>
  </si>
  <si>
    <t>Gamma spectrometer: Georadis RT-30; GPS Model:  Garmin Montana 773</t>
  </si>
  <si>
    <t>Gamma spectrometer: Georadis RT-30; GPS Model:  Garmin Montana 774</t>
  </si>
  <si>
    <t>Gamma spectrometer: Georadis RT-30; GPS Model:  Garmin Montana 775</t>
  </si>
  <si>
    <t>Gamma spectrometer: Georadis RT-30; GPS Model:  Garmin Montana 776</t>
  </si>
  <si>
    <t>side of Fukushima City Hall; Watari Branch ( Government ) Building</t>
  </si>
  <si>
    <t>Gamma spectrometer: Georadis RT-30; GPS Model:  Garmin Montana 777</t>
  </si>
  <si>
    <t>Gamma spectrometer: Georadis RT-30; GPS Model:  Garmin Montana 778</t>
  </si>
  <si>
    <t xml:space="preserve"> School Monitoring Station. 0.288 uSv/h; in baseball field</t>
  </si>
  <si>
    <t>Gamma spectrometer: Georadis RT-30; GPS Model:  Garmin Montana 779</t>
  </si>
  <si>
    <t>Gamma spectrometer: Georadis RT-30; GPS Model:  Garmin Montana 780</t>
  </si>
  <si>
    <t>Gamma spectrometer: Georadis RT-30; GPS Model:  Garmin Montana 781</t>
  </si>
  <si>
    <t>Gamma spectrometer: Georadis RT-30; GPS Model:  Garmin Montana 782</t>
  </si>
  <si>
    <t>5m from monitoring station decontaminated area; west of MP.</t>
  </si>
  <si>
    <t>Gamma spectrometer: Georadis RT-30; GPS Model:  Garmin Montana 786</t>
  </si>
  <si>
    <t>inside play yard. 0.281uSv/h; Fukushima High school</t>
  </si>
  <si>
    <t>Gamma spectrometer: Georadis RT-30; GPS Model:  Garmin Montana 787</t>
  </si>
  <si>
    <t>Gamma spectrometer: Georadis RT-30; GPS Model:  Garmin Montana 788</t>
  </si>
  <si>
    <t xml:space="preserve"> mountain cover shades ; decontaminated soil in local park</t>
  </si>
  <si>
    <t>Gamma spectrometer: Georadis RT-30; GPS Model:  Garmin Montana 789</t>
  </si>
  <si>
    <t>Gamma spectrometer: Georadis RT-30; GPS Model:  Garmin Montana 793</t>
  </si>
  <si>
    <t>Gamma spectrometer: Georadis RT-30; GPS Model:  Garmin Montana 794</t>
  </si>
  <si>
    <t>Gamma spectrometer: Georadis RT-30; GPS Model:  Garmin Montana 795</t>
  </si>
  <si>
    <t>Gamma spectrometer: Georadis RT-30; GPS Model:  Garmin Montana 796</t>
  </si>
  <si>
    <t>near to TAIKUKAEMAE bus station; on soil</t>
  </si>
  <si>
    <t>Gamma spectrometer: Georadis RT-30; GPS Model:  Garmin Montana 797</t>
  </si>
  <si>
    <t>Gamma spectrometer: Georadis RT-30; GPS Model:  Garmin Montana 798</t>
  </si>
  <si>
    <t>Gamma spectrometer: Georadis RT-30; GPS Model:  Garmin Montana 799</t>
  </si>
  <si>
    <t>Gamma spectrometer: Georadis RT-30; GPS Model:  Garmin Montana 800</t>
  </si>
  <si>
    <t>next to car park; north of 3m of GPS point 226</t>
  </si>
  <si>
    <t>Gamma spectrometer: Georadis RT-30; GPS Model:  Garmin Montana 801</t>
  </si>
  <si>
    <t>Gamma spectrometer: Georadis RT-30; GPS Model:  Garmin Montana 802</t>
  </si>
  <si>
    <t>Gamma spectrometer: Georadis RT-30; GPS Model:  Garmin Montana 803</t>
  </si>
  <si>
    <t>Gamma spectrometer: Georadis RT-30; GPS Model:  Garmin Montana 804</t>
  </si>
  <si>
    <t>Gamma spectrometer: Georadis RT-30; GPS Model:  Garmin Montana 805</t>
  </si>
  <si>
    <t>Gamma spectrometer: Georadis RT-30; GPS Model:  Garmin Montana 806</t>
  </si>
  <si>
    <t>Gamma spectrometer: Georadis RT-30; GPS Model:  Garmin Montana 807</t>
  </si>
  <si>
    <t>Gamma spectrometer: Georadis RT-30; GPS Model:  Garmin Montana 808</t>
  </si>
  <si>
    <t>Gamma spectrometer: Georadis RT-30; GPS Model:  Garmin Montana 809</t>
  </si>
  <si>
    <t>front of kindergarden  MS in backyard; tarmac</t>
  </si>
  <si>
    <t>Gamma spectrometer: Georadis RT-30; GPS Model:  Garmin Montana 810</t>
  </si>
  <si>
    <t xml:space="preserve"> front of kindergarden  MS in backyard; tarmac</t>
  </si>
  <si>
    <t>Gamma spectrometer: Georadis RT-30; GPS Model:  Garmin Montana 811</t>
  </si>
  <si>
    <t>Gamma spectrometer: Georadis RT-30; GPS Model:  Garmin Montana 812</t>
  </si>
  <si>
    <t>next of MS in backgarden; next to bench</t>
  </si>
  <si>
    <t>Gamma spectrometer: Georadis RT-30; GPS Model:  Garmin Montana 813</t>
  </si>
  <si>
    <t>Gamma spectrometer: Georadis RT-30; GPS Model:  Garmin Montana 814</t>
  </si>
  <si>
    <t>Gamma spectrometer: Georadis RT-30; GPS Model:  Garmin Montana 815</t>
  </si>
  <si>
    <t>Gamma spectrometer: Georadis RT-30; GPS Model:  Garmin Montana 816</t>
  </si>
  <si>
    <t>Gamma spectrometer: Georadis RT-30; GPS Model:  Garmin Montana 817</t>
  </si>
  <si>
    <t>government used to maintain park and path; After Disaster; Gov't has done no maintanence.</t>
  </si>
  <si>
    <t>Gamma spectrometer: Georadis RT-30; GPS Model:  Garmin Montana 818</t>
  </si>
  <si>
    <t>at Monitoring Station; decontamination done.</t>
  </si>
  <si>
    <t>Gamma spectrometer: Georadis RT-30; GPS Model:  Garmin Montana 819</t>
  </si>
  <si>
    <t>Gamma spectrometer: Georadis RT-30; GPS Model:  Garmin Montana 820</t>
  </si>
  <si>
    <t>Gamma spectrometer: Georadis RT-30; GPS Model:  Garmin Montana 821</t>
  </si>
  <si>
    <t>Gamma spectrometer: Georadis RT-30; GPS Model:  Garmin Montana 822</t>
  </si>
  <si>
    <t xml:space="preserve"> ditch; concrete</t>
  </si>
  <si>
    <t>Gamma spectrometer: Georadis RT-30; GPS Model:  Garmin Montana 823</t>
  </si>
  <si>
    <t>Gamma spectrometer: Georadis RT-30; GPS Model:  Garmin Montana 824</t>
  </si>
  <si>
    <t>Gamma spectrometer: Georadis RT-30; GPS Model:  Garmin Montana 825</t>
  </si>
  <si>
    <t>Gamma spectrometer: Georadis RT-30; GPS Model:  Garmin Montana 826</t>
  </si>
  <si>
    <t>Gamma spectrometer: Georadis RT-30; GPS Model:  Garmin Montana 827</t>
  </si>
  <si>
    <t>Gamma spectrometer: Georadis RT-30; GPS Model:  Garmin Montana 828</t>
  </si>
  <si>
    <t>7;5m from monitoring station</t>
  </si>
  <si>
    <t>Gamma spectrometer: Georadis RT-30; GPS Model:  Garmin Montana 829</t>
  </si>
  <si>
    <t>Gamma spectrometer: Georadis RT-30; GPS Model:  Garmin Montana 830</t>
  </si>
  <si>
    <t>Gamma spectrometer: Georadis RT-30; GPS Model:  Garmin Montana 831</t>
  </si>
  <si>
    <t>Gamma spectrometer: Georadis RT-30; GPS Model:  Garmin Montana 832</t>
  </si>
  <si>
    <t>Gamma spectrometer: Georadis RT-30; GPS Model:  Garmin Montana 833</t>
  </si>
  <si>
    <t>Gamma spectrometer: Georadis RT-30; GPS Model:  Garmin Montana 834</t>
  </si>
  <si>
    <t>Gamma spectrometer: Georadis RT-30; GPS Model:  Garmin Montana 835</t>
  </si>
  <si>
    <t>Gamma spectrometer: Georadis RT-30; GPS Model:  Garmin Montana 836</t>
  </si>
  <si>
    <t>Gamma spectrometer: Georadis RT-30; GPS Model:  Garmin Montana 837</t>
  </si>
  <si>
    <t>Gamma spectrometer: Georadis RT-30; GPS Model:  Garmin Montana 838</t>
  </si>
  <si>
    <t>Gamma spectrometer: Georadis RT-30; GPS Model:  Garmin Montana 839</t>
  </si>
  <si>
    <t>Gamma spectrometer: Georadis RT-30; GPS Model:  Garmin Montana 840</t>
  </si>
  <si>
    <t>Radiation Detector: Thermo Radeye PRD-ER; GPS: Garmin  GPs Map 60 Cx</t>
  </si>
  <si>
    <t xml:space="preserve"> Nursery; Main entrance of KG</t>
  </si>
  <si>
    <t xml:space="preserve"> Nursery;  At drainage.East end of the building</t>
  </si>
  <si>
    <t>Jjunior high school; At MP:0.345 ;at Spot</t>
  </si>
  <si>
    <t>Nursery ; At MP:0.275; at spot</t>
  </si>
  <si>
    <t>Nishi Jido kouen (children's playground); At MP:0.243;at spot</t>
  </si>
  <si>
    <t>kindergarden At MP:0.246;at spot</t>
  </si>
  <si>
    <t>day-care centre; At MP: 0.235 ;at spot</t>
  </si>
  <si>
    <t>Takada kouen (Park) At MP:0.729;at spot</t>
  </si>
  <si>
    <t>Noda Chuo koen(Park); At MP: N/A; at spot</t>
  </si>
  <si>
    <t>Yoshizoedanchi Building 10 koen(Park at housing complex) At MP:0.698; at spot</t>
  </si>
  <si>
    <t>Yoshizoedanchi Building 10 koen(Park at housing complex); bottom of slide</t>
  </si>
  <si>
    <t>Tajiri koen(Park); At MP:0.148;at spot; Decon done</t>
  </si>
  <si>
    <t>Yoshizoedanchi Building 4 koen(Park at housing complex); At MP:0.807; at spot</t>
  </si>
  <si>
    <t>Yoshizoedanchi Building 4 koen(Park at housing complex); point of interest</t>
  </si>
  <si>
    <t>Corrase Plaza; At post: 0.288; Decon done</t>
  </si>
  <si>
    <t>Corrase Plaza;Hot Spot; close to west station entrance</t>
  </si>
  <si>
    <t xml:space="preserve">Fukushima prefecture museum of art; At Post- 0.3; </t>
  </si>
  <si>
    <t>Fukushima prefecture museum of art; General avg in the park is 2 micro Sv</t>
  </si>
  <si>
    <t>Nitomaki Park; At Post-0.235; decon done</t>
  </si>
  <si>
    <t xml:space="preserve"> Nursery; At Post- 0.215; decon done</t>
  </si>
  <si>
    <t xml:space="preserve"> Nursery; At Post-0.183;decon done</t>
  </si>
  <si>
    <t xml:space="preserve"> Matoba Park; At Post- 0.659; decon not done</t>
  </si>
  <si>
    <t>Gamma spectrometer: Georadis RT-30; GPS Model:  Garmin Montana 841</t>
  </si>
  <si>
    <t>Gamma spectrometer: Georadis RT-30; GPS Model:  Garmin Montana 842</t>
  </si>
  <si>
    <t>Gamma spectrometer: Georadis RT-30; GPS Model:  Garmin Montana 843</t>
  </si>
  <si>
    <t>Gamma spectrometer: Georadis RT-30; GPS Model:  Garmin Montana 844</t>
  </si>
  <si>
    <t>Gamma spectrometer: Georadis RT-30; GPS Model:  Garmin Montana 845</t>
  </si>
  <si>
    <t>Gamma spectrometer: Georadis RT-30; GPS Model:  Garmin Montana 846</t>
  </si>
  <si>
    <t>Gamma spectrometer: Georadis RT-30; GPS Model:  Garmin Montana 847</t>
  </si>
  <si>
    <t>Gamma spectrometer: Georadis RT-30; GPS Model:  Garmin Montana 848</t>
  </si>
  <si>
    <t>Gamma spectrometer: Georadis RT-30; GPS Model:  Garmin Montana 849</t>
  </si>
  <si>
    <t>Gamma spectrometer: Georadis RT-30; GPS Model:  Garmin Montana 850</t>
  </si>
  <si>
    <t>Gamma spectrometer: Georadis RT-30; GPS Model:  Garmin Montana 851</t>
  </si>
  <si>
    <t>Gamma spectrometer: Georadis RT-30; GPS Model:  Garmin Montana 852</t>
  </si>
  <si>
    <t>Gamma spectrometer: Georadis RT-30; GPS Model:  Garmin Montana 853</t>
  </si>
  <si>
    <t>Gamma spectrometer: Georadis RT-30; GPS Model:  Garmin Montana 854</t>
  </si>
  <si>
    <t>Gamma spectrometer: Georadis RT-30; GPS Model:  Garmin Montana 855</t>
  </si>
  <si>
    <t>Gamma spectrometer: Georadis RT-30; GPS Model:  Garmin Montana 856</t>
  </si>
  <si>
    <t>Gamma spectrometer: Georadis RT-30; GPS Model:  Garmin Montana 857</t>
  </si>
  <si>
    <t>Gamma spectrometer: Georadis RT-30; GPS Model:  Garmin Montana 858</t>
  </si>
  <si>
    <t>Gamma spectrometer: Georadis RT-30; GPS Model:  Garmin Montana 859</t>
  </si>
  <si>
    <t>Gamma spectrometer: Georadis RT-30; GPS Model:  Garmin Montana 860</t>
  </si>
  <si>
    <t>Gamma spectrometer: Georadis RT-30; GPS Model:  Garmin Montana 861</t>
  </si>
  <si>
    <t>Gamma spectrometer: Georadis RT-30; GPS Model:  Garmin Montana 862</t>
  </si>
  <si>
    <t>Gamma spectrometer: Georadis RT-30; GPS Model:  Garmin Montana 863</t>
  </si>
  <si>
    <t>Gamma spectrometer: Georadis RT-30; GPS Model:  Garmin Montana 864</t>
  </si>
  <si>
    <t>Gamma spectrometer: Georadis RT-30; GPS Model:  Garmin Montana 865</t>
  </si>
  <si>
    <t>Gamma spectrometer: Georadis RT-30; GPS Model:  Garmin Montana 866</t>
  </si>
  <si>
    <t>Gamma spectrometer: Georadis RT-30; GPS Model:  Garmin Montana 867</t>
  </si>
  <si>
    <t>Gamma spectrometer: Georadis RT-30; GPS Model:  Garmin Montana 868</t>
  </si>
  <si>
    <t>Gamma spectrometer: Georadis RT-30; GPS Model:  Garmin Montana 869</t>
  </si>
  <si>
    <t>Kasumicho; Fukushima Prefecture</t>
  </si>
  <si>
    <t>Yashimacho; Fukushima Prefecture</t>
  </si>
  <si>
    <t>Fukushima City; Fukushima Prefecture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</si>
</sst>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mm/dd/yyyy"/>
    <numFmt numFmtId="177" formatCode="dd/mm/yy"/>
  </numFmts>
  <fonts count="20"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name val="Arial"/>
      <family val="2"/>
      <charset val="1"/>
    </font>
    <font>
      <sz val="14"/>
      <name val="ヒラギノ角ゴ ProN W3"/>
      <family val="2"/>
    </font>
    <font>
      <sz val="14"/>
      <color indexed="12"/>
      <name val="Arial"/>
      <family val="2"/>
    </font>
    <font>
      <u/>
      <sz val="7.5"/>
      <color indexed="12"/>
      <name val="ヒラギノ角ゴ ProN W3"/>
      <family val="2"/>
    </font>
    <font>
      <u/>
      <sz val="14"/>
      <color indexed="12"/>
      <name val="ヒラギノ角ゴ ProN W3"/>
      <family val="2"/>
    </font>
    <font>
      <sz val="14"/>
      <name val="Hiragino Kaku Gothic Pro W3"/>
      <family val="2"/>
      <charset val="1"/>
    </font>
    <font>
      <sz val="14"/>
      <name val="ＭＳ Ｐゴシック"/>
      <family val="3"/>
      <charset val="128"/>
    </font>
    <font>
      <sz val="14"/>
      <name val="ヒラギノ角ゴ ProN W3"/>
      <family val="1"/>
      <charset val="1"/>
    </font>
    <font>
      <sz val="14"/>
      <name val="Hiragino Kaku Gothic Pro W3"/>
      <family val="2"/>
    </font>
    <font>
      <sz val="14"/>
      <color indexed="8"/>
      <name val="Hiragino Kaku Gothic Pro W3"/>
      <family val="2"/>
      <charset val="1"/>
    </font>
    <font>
      <sz val="14"/>
      <color indexed="8"/>
      <name val="Arial"/>
      <family val="2"/>
    </font>
    <font>
      <sz val="14"/>
      <color indexed="59"/>
      <name val="ヒラギノ角ゴ ProN W3"/>
      <family val="2"/>
    </font>
    <font>
      <sz val="14"/>
      <name val="Hiragino Kaku Gothic Pro W3"/>
      <family val="3"/>
      <charset val="128"/>
    </font>
    <font>
      <sz val="14"/>
      <color indexed="58"/>
      <name val="Hiragino Kaku Gothic Pro W3"/>
      <family val="2"/>
      <charset val="1"/>
    </font>
    <font>
      <sz val="14"/>
      <color indexed="63"/>
      <name val="ヒラギノ角ゴ ProN W3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0"/>
        <bgColor indexed="55"/>
      </patternFill>
    </fill>
    <fill>
      <patternFill patternType="solid">
        <fgColor indexed="11"/>
        <bgColor indexed="49"/>
      </patternFill>
    </fill>
    <fill>
      <patternFill patternType="solid">
        <fgColor indexed="10"/>
        <bgColor indexed="16"/>
      </patternFill>
    </fill>
  </fills>
  <borders count="2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48">
    <xf numFmtId="0" fontId="0" fillId="0" borderId="0" xfId="0"/>
    <xf numFmtId="0" fontId="2" fillId="2" borderId="0" xfId="2" applyFont="1" applyFill="1"/>
    <xf numFmtId="0" fontId="3" fillId="3" borderId="0" xfId="2" applyFont="1" applyFill="1" applyAlignment="1">
      <alignment horizontal="right" wrapText="1"/>
    </xf>
    <xf numFmtId="0" fontId="3" fillId="0" borderId="0" xfId="2" applyFont="1" applyAlignment="1">
      <alignment wrapText="1"/>
    </xf>
    <xf numFmtId="0" fontId="3" fillId="2" borderId="0" xfId="2" applyFont="1" applyFill="1" applyAlignment="1">
      <alignment wrapText="1"/>
    </xf>
    <xf numFmtId="172" fontId="3" fillId="2" borderId="0" xfId="2" applyNumberFormat="1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4" fillId="2" borderId="0" xfId="2" applyFont="1" applyFill="1" applyAlignment="1">
      <alignment wrapText="1"/>
    </xf>
    <xf numFmtId="0" fontId="3" fillId="0" borderId="0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 applyAlignment="1">
      <alignment horizontal="right"/>
    </xf>
    <xf numFmtId="172" fontId="3" fillId="0" borderId="0" xfId="0" applyNumberFormat="1" applyFont="1" applyAlignment="1">
      <alignment horizontal="left"/>
    </xf>
    <xf numFmtId="0" fontId="3" fillId="0" borderId="0" xfId="0" applyFont="1" applyFill="1"/>
    <xf numFmtId="0" fontId="5" fillId="0" borderId="0" xfId="0" applyFont="1"/>
    <xf numFmtId="0" fontId="9" fillId="0" borderId="0" xfId="0" applyFont="1" applyFill="1"/>
    <xf numFmtId="0" fontId="9" fillId="0" borderId="0" xfId="0" applyFont="1"/>
    <xf numFmtId="0" fontId="9" fillId="0" borderId="0" xfId="0" applyFont="1" applyFill="1" applyAlignment="1">
      <alignment horizontal="justify"/>
    </xf>
    <xf numFmtId="0" fontId="12" fillId="0" borderId="0" xfId="0" applyFont="1" applyFill="1"/>
    <xf numFmtId="0" fontId="13" fillId="0" borderId="0" xfId="0" applyFont="1" applyFill="1"/>
    <xf numFmtId="0" fontId="15" fillId="0" borderId="0" xfId="0" applyFont="1"/>
    <xf numFmtId="0" fontId="16" fillId="4" borderId="0" xfId="0" applyFont="1" applyFill="1"/>
    <xf numFmtId="0" fontId="16" fillId="0" borderId="0" xfId="0" applyFont="1"/>
    <xf numFmtId="0" fontId="16" fillId="0" borderId="0" xfId="0" applyFont="1" applyAlignment="1">
      <alignment wrapText="1"/>
    </xf>
    <xf numFmtId="0" fontId="17" fillId="0" borderId="0" xfId="0" applyFont="1"/>
    <xf numFmtId="0" fontId="16" fillId="0" borderId="0" xfId="0" applyFont="1" applyFill="1"/>
    <xf numFmtId="0" fontId="3" fillId="0" borderId="1" xfId="0" applyFont="1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0" fontId="3" fillId="0" borderId="1" xfId="0" applyFont="1" applyFill="1" applyBorder="1"/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/>
    <xf numFmtId="0" fontId="3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8" fillId="0" borderId="1" xfId="1" applyFont="1" applyFill="1" applyBorder="1" applyAlignment="1" applyProtection="1"/>
    <xf numFmtId="0" fontId="19" fillId="0" borderId="0" xfId="0" applyFont="1"/>
    <xf numFmtId="0" fontId="0" fillId="2" borderId="0" xfId="0" applyFont="1" applyFill="1"/>
    <xf numFmtId="177" fontId="0" fillId="2" borderId="0" xfId="0" applyNumberFormat="1" applyFill="1"/>
    <xf numFmtId="0" fontId="0" fillId="0" borderId="0" xfId="0" applyFill="1"/>
    <xf numFmtId="177" fontId="0" fillId="0" borderId="0" xfId="0" applyNumberFormat="1" applyFill="1"/>
    <xf numFmtId="0" fontId="3" fillId="0" borderId="0" xfId="0" applyFont="1" applyFill="1" applyBorder="1" applyAlignment="1">
      <alignment wrapText="1"/>
    </xf>
    <xf numFmtId="2" fontId="3" fillId="2" borderId="0" xfId="2" applyNumberFormat="1" applyFont="1" applyFill="1" applyAlignment="1">
      <alignment wrapText="1"/>
    </xf>
    <xf numFmtId="2" fontId="3" fillId="0" borderId="0" xfId="0" applyNumberFormat="1" applyFont="1"/>
    <xf numFmtId="2" fontId="3" fillId="0" borderId="0" xfId="0" applyNumberFormat="1" applyFont="1" applyFill="1"/>
  </cellXfs>
  <cellStyles count="3">
    <cellStyle name="Hyperlink" xfId="1" builtinId="8"/>
    <cellStyle name="Normal" xfId="0" builtinId="0"/>
    <cellStyle name="標準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23FF23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DCE6F2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5B3D7"/>
      <rgbColor rgb="00FF99CC"/>
      <rgbColor rgb="00CC99FF"/>
      <rgbColor rgb="00FFCC99"/>
      <rgbColor rgb="003366FF"/>
      <rgbColor rgb="0033CCCC"/>
      <rgbColor rgb="0094BD5E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16"/>
  <sheetViews>
    <sheetView tabSelected="1" zoomScale="60" zoomScaleNormal="60" workbookViewId="0">
      <pane xSplit="3" ySplit="1" topLeftCell="E97" activePane="bottomRight" state="frozen"/>
      <selection pane="topRight" activeCell="H1" sqref="H1"/>
      <selection pane="bottomLeft" activeCell="A2" sqref="A2"/>
      <selection pane="bottomRight" activeCell="K127" sqref="K127"/>
    </sheetView>
  </sheetViews>
  <sheetFormatPr defaultRowHeight="18"/>
  <cols>
    <col min="1" max="1" width="15.42578125" style="9" customWidth="1"/>
    <col min="2" max="2" width="19.5703125" style="9" customWidth="1"/>
    <col min="3" max="3" width="9.42578125" style="14" customWidth="1"/>
    <col min="4" max="4" width="2.140625" style="9" customWidth="1"/>
    <col min="5" max="5" width="29.42578125" style="15" customWidth="1"/>
    <col min="6" max="6" width="67.7109375" style="9" customWidth="1"/>
    <col min="7" max="7" width="15.28515625" style="9" customWidth="1"/>
    <col min="8" max="8" width="8.140625" style="9" customWidth="1"/>
    <col min="9" max="9" width="12.140625" style="46" customWidth="1"/>
    <col min="10" max="11" width="9" style="46" customWidth="1"/>
    <col min="12" max="12" width="28" style="9" customWidth="1"/>
    <col min="13" max="13" width="121.85546875" style="9" customWidth="1"/>
    <col min="14" max="14" width="135.140625" style="11" customWidth="1"/>
    <col min="15" max="15" width="57.28515625" style="11" customWidth="1"/>
    <col min="16" max="16" width="0" style="12" hidden="1" customWidth="1"/>
    <col min="17" max="17" width="6.85546875" style="13" customWidth="1"/>
    <col min="18" max="18" width="8" style="13" customWidth="1"/>
    <col min="19" max="19" width="7.7109375" style="13" customWidth="1"/>
    <col min="20" max="20" width="6.85546875" style="13" customWidth="1"/>
    <col min="21" max="21" width="5.85546875" style="13" customWidth="1"/>
    <col min="22" max="22" width="13.28515625" style="13" customWidth="1"/>
    <col min="23" max="23" width="11" style="13" customWidth="1"/>
    <col min="24" max="24" width="5" style="13" customWidth="1"/>
    <col min="25" max="25" width="12.85546875" style="13" customWidth="1"/>
    <col min="26" max="26" width="7.5703125" style="13" customWidth="1"/>
    <col min="27" max="27" width="5" style="13" customWidth="1"/>
    <col min="28" max="28" width="8" style="13" customWidth="1"/>
    <col min="29" max="29" width="6.28515625" style="13" customWidth="1"/>
    <col min="30" max="30" width="7.140625" style="13" customWidth="1"/>
    <col min="31" max="32" width="7.140625" style="12" customWidth="1"/>
    <col min="33" max="33" width="10.7109375" style="12" customWidth="1"/>
    <col min="34" max="35" width="0" style="12" hidden="1" customWidth="1"/>
    <col min="36" max="36" width="6" style="12" customWidth="1"/>
    <col min="37" max="37" width="7.7109375" style="12" customWidth="1"/>
    <col min="38" max="38" width="7.140625" style="12" customWidth="1"/>
    <col min="39" max="54" width="9.140625" style="12"/>
    <col min="55" max="16384" width="9.140625" style="9"/>
  </cols>
  <sheetData>
    <row r="1" spans="1:54" s="10" customFormat="1" ht="90">
      <c r="A1" s="1" t="s">
        <v>343</v>
      </c>
      <c r="B1" s="1" t="s">
        <v>344</v>
      </c>
      <c r="C1" s="2" t="s">
        <v>345</v>
      </c>
      <c r="D1" s="3"/>
      <c r="E1" s="5" t="s">
        <v>346</v>
      </c>
      <c r="F1" s="4" t="s">
        <v>347</v>
      </c>
      <c r="G1" s="4" t="s">
        <v>810</v>
      </c>
      <c r="H1" s="6" t="s">
        <v>348</v>
      </c>
      <c r="I1" s="45" t="s">
        <v>349</v>
      </c>
      <c r="J1" s="45" t="s">
        <v>350</v>
      </c>
      <c r="K1" s="45" t="s">
        <v>351</v>
      </c>
      <c r="L1" s="4" t="s">
        <v>347</v>
      </c>
      <c r="M1" s="4" t="s">
        <v>817</v>
      </c>
      <c r="N1" s="7" t="s">
        <v>352</v>
      </c>
      <c r="O1" s="7" t="s">
        <v>15</v>
      </c>
      <c r="P1" s="8"/>
      <c r="Q1" s="29"/>
      <c r="R1" s="29"/>
      <c r="S1" s="29"/>
      <c r="T1" s="29"/>
      <c r="U1" s="30"/>
      <c r="V1" s="29"/>
      <c r="W1" s="29"/>
      <c r="X1" s="30"/>
      <c r="Y1" s="29"/>
      <c r="Z1" s="31"/>
      <c r="AA1" s="32"/>
      <c r="AB1" s="29"/>
      <c r="AC1" s="29"/>
      <c r="AD1" s="44"/>
      <c r="AE1" s="9"/>
      <c r="AF1" s="9"/>
      <c r="AG1" s="9"/>
      <c r="AH1" s="9"/>
      <c r="AI1" s="9"/>
      <c r="AJ1" s="9"/>
      <c r="AK1" s="8"/>
      <c r="AL1" s="9"/>
      <c r="AM1" s="8"/>
      <c r="AN1" s="9"/>
      <c r="AO1" s="9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</row>
    <row r="2" spans="1:54">
      <c r="A2" s="9">
        <v>37.746836000000002</v>
      </c>
      <c r="B2" s="9">
        <v>140.47703799999999</v>
      </c>
      <c r="C2" s="9" t="s">
        <v>353</v>
      </c>
      <c r="E2" s="9" t="s">
        <v>355</v>
      </c>
      <c r="F2" s="9" t="s">
        <v>883</v>
      </c>
      <c r="G2" s="19" t="s">
        <v>270</v>
      </c>
      <c r="H2" s="9" t="s">
        <v>354</v>
      </c>
      <c r="I2" s="46">
        <v>0.45600000000000002</v>
      </c>
      <c r="J2" s="46">
        <v>0.64</v>
      </c>
      <c r="K2" s="46">
        <v>0.64</v>
      </c>
      <c r="L2" s="9" t="s">
        <v>356</v>
      </c>
      <c r="M2" s="9" t="s">
        <v>884</v>
      </c>
      <c r="N2" s="9" t="s">
        <v>885</v>
      </c>
      <c r="O2" s="18" t="s">
        <v>41</v>
      </c>
      <c r="P2" s="9"/>
      <c r="Q2" s="31"/>
      <c r="R2" s="31"/>
      <c r="S2" s="33"/>
      <c r="T2" s="31"/>
      <c r="U2" s="34"/>
      <c r="V2" s="31"/>
      <c r="W2" s="31"/>
      <c r="X2" s="34"/>
      <c r="Y2" s="31"/>
      <c r="Z2" s="31"/>
      <c r="AA2" s="16"/>
      <c r="AB2" s="31"/>
      <c r="AC2" s="31"/>
      <c r="AD2" s="16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54">
      <c r="A3" s="9">
        <v>37.746859999999998</v>
      </c>
      <c r="B3" s="9">
        <v>140.47703300000001</v>
      </c>
      <c r="C3" s="9" t="s">
        <v>357</v>
      </c>
      <c r="E3" s="9" t="s">
        <v>359</v>
      </c>
      <c r="F3" s="9" t="s">
        <v>883</v>
      </c>
      <c r="G3" s="19" t="s">
        <v>270</v>
      </c>
      <c r="H3" s="9" t="s">
        <v>354</v>
      </c>
      <c r="I3" s="46">
        <v>0.49299999999999999</v>
      </c>
      <c r="J3" s="46">
        <v>0.56000000000000005</v>
      </c>
      <c r="K3" s="46">
        <v>0.71299999999999997</v>
      </c>
      <c r="L3" s="9" t="s">
        <v>360</v>
      </c>
      <c r="M3" s="9" t="s">
        <v>886</v>
      </c>
      <c r="N3" s="9" t="s">
        <v>887</v>
      </c>
      <c r="O3" s="18" t="s">
        <v>41</v>
      </c>
      <c r="P3" s="9"/>
      <c r="Q3" s="31"/>
      <c r="R3" s="31"/>
      <c r="S3" s="31"/>
      <c r="T3" s="31"/>
      <c r="U3" s="34"/>
      <c r="V3" s="31"/>
      <c r="W3" s="31"/>
      <c r="X3" s="34"/>
      <c r="Y3" s="31"/>
      <c r="Z3" s="31"/>
      <c r="AA3" s="16"/>
      <c r="AB3" s="31"/>
      <c r="AC3" s="31"/>
      <c r="AD3" s="16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</row>
    <row r="4" spans="1:54">
      <c r="A4" s="9">
        <v>37.746837999999997</v>
      </c>
      <c r="B4" s="9">
        <v>140.47704200000001</v>
      </c>
      <c r="C4" s="9" t="s">
        <v>361</v>
      </c>
      <c r="E4" s="9" t="s">
        <v>363</v>
      </c>
      <c r="F4" s="9" t="s">
        <v>883</v>
      </c>
      <c r="G4" s="19" t="s">
        <v>270</v>
      </c>
      <c r="H4" s="9" t="s">
        <v>354</v>
      </c>
      <c r="I4" s="46">
        <v>0.64300000000000002</v>
      </c>
      <c r="J4" s="46">
        <v>0.79333333333333333</v>
      </c>
      <c r="K4" s="46">
        <v>0.89300000000000002</v>
      </c>
      <c r="L4" s="9" t="s">
        <v>364</v>
      </c>
      <c r="M4" s="9" t="s">
        <v>888</v>
      </c>
      <c r="N4" s="9" t="s">
        <v>887</v>
      </c>
      <c r="O4" s="18" t="s">
        <v>41</v>
      </c>
      <c r="P4" s="9"/>
      <c r="Q4" s="31"/>
      <c r="R4" s="31"/>
      <c r="S4" s="31"/>
      <c r="T4" s="31"/>
      <c r="U4" s="34"/>
      <c r="V4" s="31"/>
      <c r="W4" s="31"/>
      <c r="X4" s="34"/>
      <c r="Y4" s="34"/>
      <c r="Z4" s="34"/>
      <c r="AA4" s="34"/>
      <c r="AC4" s="34"/>
      <c r="AD4" s="16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9">
        <v>37.746819000000002</v>
      </c>
      <c r="B5" s="9">
        <v>140.47705400000001</v>
      </c>
      <c r="C5" s="9" t="s">
        <v>365</v>
      </c>
      <c r="E5" s="9" t="s">
        <v>367</v>
      </c>
      <c r="F5" s="9" t="s">
        <v>883</v>
      </c>
      <c r="G5" s="19" t="s">
        <v>270</v>
      </c>
      <c r="H5" s="9" t="s">
        <v>354</v>
      </c>
      <c r="I5" s="46">
        <v>0.83</v>
      </c>
      <c r="J5" s="46">
        <v>1.1000000000000001</v>
      </c>
      <c r="K5" s="46">
        <v>1.5</v>
      </c>
      <c r="L5" s="9" t="s">
        <v>368</v>
      </c>
      <c r="M5" s="9" t="s">
        <v>889</v>
      </c>
      <c r="N5" s="9" t="s">
        <v>890</v>
      </c>
      <c r="O5" s="18" t="s">
        <v>42</v>
      </c>
      <c r="P5" s="9"/>
      <c r="Q5" s="31"/>
      <c r="R5" s="31"/>
      <c r="S5" s="31"/>
      <c r="T5" s="31"/>
      <c r="U5" s="34"/>
      <c r="V5" s="31"/>
      <c r="W5" s="31"/>
      <c r="X5" s="34"/>
      <c r="Y5" s="34"/>
      <c r="Z5" s="34"/>
      <c r="AA5" s="34"/>
      <c r="AB5" s="16"/>
      <c r="AC5" s="34"/>
      <c r="AD5" s="16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</row>
    <row r="6" spans="1:54">
      <c r="A6" s="9">
        <v>37.746808000000001</v>
      </c>
      <c r="B6" s="9">
        <v>140.47706299999999</v>
      </c>
      <c r="C6" s="9" t="s">
        <v>369</v>
      </c>
      <c r="E6" s="9" t="s">
        <v>371</v>
      </c>
      <c r="F6" s="9" t="s">
        <v>883</v>
      </c>
      <c r="G6" s="19" t="s">
        <v>270</v>
      </c>
      <c r="H6" s="9" t="s">
        <v>354</v>
      </c>
      <c r="I6" s="46">
        <v>0.58299999999999996</v>
      </c>
      <c r="J6" s="46">
        <v>0.64666666666666661</v>
      </c>
      <c r="K6" s="46">
        <v>0.64300000000000002</v>
      </c>
      <c r="L6" s="9" t="s">
        <v>372</v>
      </c>
      <c r="M6" s="9" t="s">
        <v>891</v>
      </c>
      <c r="N6" s="9" t="s">
        <v>892</v>
      </c>
      <c r="O6" s="18" t="s">
        <v>43</v>
      </c>
      <c r="P6" s="9"/>
      <c r="Q6" s="31"/>
      <c r="R6" s="31"/>
      <c r="S6" s="35"/>
      <c r="T6" s="31"/>
      <c r="U6" s="36"/>
      <c r="V6" s="36"/>
      <c r="W6" s="36"/>
      <c r="X6" s="36"/>
      <c r="Y6" s="36"/>
      <c r="Z6" s="36"/>
      <c r="AA6" s="36"/>
      <c r="AB6" s="36"/>
      <c r="AC6" s="36"/>
      <c r="AD6" s="16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  <row r="7" spans="1:54">
      <c r="A7" s="9">
        <v>37.748309999999996</v>
      </c>
      <c r="B7" s="9">
        <v>140.476686</v>
      </c>
      <c r="C7" s="9" t="s">
        <v>373</v>
      </c>
      <c r="E7" s="9" t="s">
        <v>375</v>
      </c>
      <c r="F7" s="9" t="s">
        <v>883</v>
      </c>
      <c r="G7" s="19" t="s">
        <v>270</v>
      </c>
      <c r="H7" s="9" t="s">
        <v>354</v>
      </c>
      <c r="I7" s="46">
        <v>0.77999999999999992</v>
      </c>
      <c r="J7" s="46">
        <v>0.88</v>
      </c>
      <c r="K7" s="46">
        <v>0.70299999999999996</v>
      </c>
      <c r="L7" s="9" t="s">
        <v>356</v>
      </c>
      <c r="M7" s="9" t="s">
        <v>893</v>
      </c>
      <c r="N7" s="9" t="s">
        <v>894</v>
      </c>
      <c r="O7" s="19" t="s">
        <v>44</v>
      </c>
      <c r="P7" s="9"/>
      <c r="Q7" s="31"/>
      <c r="R7" s="31"/>
      <c r="S7" s="37"/>
      <c r="T7" s="31"/>
      <c r="U7" s="34"/>
      <c r="V7" s="34"/>
      <c r="W7" s="34"/>
      <c r="X7" s="34"/>
      <c r="Y7" s="34"/>
      <c r="Z7" s="34"/>
      <c r="AA7" s="34"/>
      <c r="AB7" s="34"/>
      <c r="AC7" s="34"/>
      <c r="AD7" s="16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</row>
    <row r="8" spans="1:54">
      <c r="A8" s="9">
        <v>37.748291999999999</v>
      </c>
      <c r="B8" s="9">
        <v>140.47666599999999</v>
      </c>
      <c r="C8" s="9" t="s">
        <v>376</v>
      </c>
      <c r="E8" s="9" t="s">
        <v>377</v>
      </c>
      <c r="F8" s="9" t="s">
        <v>883</v>
      </c>
      <c r="G8" s="19" t="s">
        <v>270</v>
      </c>
      <c r="H8" s="9" t="s">
        <v>354</v>
      </c>
      <c r="I8" s="46">
        <v>0.54999999999999993</v>
      </c>
      <c r="J8" s="46">
        <v>0.68666666666666665</v>
      </c>
      <c r="K8" s="46">
        <v>0.68300000000000005</v>
      </c>
      <c r="L8" s="9" t="s">
        <v>360</v>
      </c>
      <c r="M8" s="9" t="s">
        <v>895</v>
      </c>
      <c r="N8" s="9" t="s">
        <v>16</v>
      </c>
      <c r="O8" s="19" t="s">
        <v>44</v>
      </c>
      <c r="P8" s="9"/>
      <c r="Q8" s="31"/>
      <c r="R8" s="31"/>
      <c r="S8" s="35"/>
      <c r="T8" s="38"/>
      <c r="U8" s="34"/>
      <c r="V8" s="34"/>
      <c r="W8" s="34"/>
      <c r="X8" s="34"/>
      <c r="Y8" s="34"/>
      <c r="Z8" s="34"/>
      <c r="AA8" s="34"/>
      <c r="AB8" s="34"/>
      <c r="AC8" s="34"/>
      <c r="AD8" s="16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</row>
    <row r="9" spans="1:54">
      <c r="A9" s="9">
        <v>37.748291999999999</v>
      </c>
      <c r="B9" s="9">
        <v>140.47666599999999</v>
      </c>
      <c r="C9" s="9" t="s">
        <v>378</v>
      </c>
      <c r="E9" s="9" t="s">
        <v>379</v>
      </c>
      <c r="F9" s="9" t="s">
        <v>883</v>
      </c>
      <c r="G9" s="19" t="s">
        <v>270</v>
      </c>
      <c r="H9" s="9" t="s">
        <v>354</v>
      </c>
      <c r="I9" s="46">
        <v>0.46700000000000003</v>
      </c>
      <c r="J9" s="46">
        <v>0.54333333333333333</v>
      </c>
      <c r="K9" s="46">
        <v>0.6</v>
      </c>
      <c r="L9" s="9" t="s">
        <v>364</v>
      </c>
      <c r="M9" s="9" t="s">
        <v>896</v>
      </c>
      <c r="N9" s="9" t="s">
        <v>897</v>
      </c>
      <c r="O9" s="19" t="s">
        <v>44</v>
      </c>
      <c r="P9" s="9"/>
      <c r="Q9" s="31"/>
      <c r="R9" s="31"/>
      <c r="S9" s="35"/>
      <c r="T9" s="31"/>
      <c r="U9" s="34"/>
      <c r="V9" s="34"/>
      <c r="W9" s="34"/>
      <c r="X9" s="34"/>
      <c r="Y9" s="34"/>
      <c r="Z9" s="34"/>
      <c r="AA9" s="34"/>
      <c r="AB9" s="34"/>
      <c r="AC9" s="34"/>
      <c r="AD9" s="16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</row>
    <row r="10" spans="1:54">
      <c r="A10" s="9">
        <v>37.748331</v>
      </c>
      <c r="B10" s="9">
        <v>140.47661099999999</v>
      </c>
      <c r="C10" s="9" t="s">
        <v>380</v>
      </c>
      <c r="E10" s="9" t="s">
        <v>381</v>
      </c>
      <c r="F10" s="9" t="s">
        <v>883</v>
      </c>
      <c r="G10" s="19" t="s">
        <v>270</v>
      </c>
      <c r="H10" s="9" t="s">
        <v>354</v>
      </c>
      <c r="I10" s="46">
        <v>1.3999999999999997</v>
      </c>
      <c r="J10" s="46">
        <v>2.0333333333333332</v>
      </c>
      <c r="K10" s="46">
        <v>3.2999999999999994</v>
      </c>
      <c r="L10" s="9" t="s">
        <v>368</v>
      </c>
      <c r="M10" s="9" t="s">
        <v>898</v>
      </c>
      <c r="N10" s="9" t="s">
        <v>17</v>
      </c>
      <c r="O10" s="19" t="s">
        <v>44</v>
      </c>
      <c r="P10" s="9"/>
      <c r="Q10" s="31"/>
      <c r="R10" s="31"/>
      <c r="S10" s="35"/>
      <c r="T10" s="31"/>
      <c r="U10" s="34"/>
      <c r="V10" s="34"/>
      <c r="W10" s="34"/>
      <c r="X10" s="34"/>
      <c r="Y10" s="34"/>
      <c r="Z10" s="34"/>
      <c r="AA10" s="34"/>
      <c r="AB10" s="34"/>
      <c r="AC10" s="34"/>
      <c r="AD10" s="16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</row>
    <row r="11" spans="1:54">
      <c r="A11" s="9">
        <v>37.748313000000003</v>
      </c>
      <c r="B11" s="9">
        <v>140.476618</v>
      </c>
      <c r="C11" s="9" t="s">
        <v>382</v>
      </c>
      <c r="E11" s="9" t="s">
        <v>383</v>
      </c>
      <c r="F11" s="9" t="s">
        <v>883</v>
      </c>
      <c r="G11" s="19" t="s">
        <v>270</v>
      </c>
      <c r="H11" s="9" t="s">
        <v>354</v>
      </c>
      <c r="I11" s="46">
        <v>1</v>
      </c>
      <c r="J11" s="46">
        <v>1.4666666666666668</v>
      </c>
      <c r="K11" s="46">
        <v>2.1</v>
      </c>
      <c r="L11" s="9" t="s">
        <v>384</v>
      </c>
      <c r="M11" s="9" t="s">
        <v>899</v>
      </c>
      <c r="N11" s="9" t="s">
        <v>900</v>
      </c>
      <c r="O11" s="19" t="s">
        <v>45</v>
      </c>
      <c r="P11" s="9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</row>
    <row r="12" spans="1:54">
      <c r="A12" s="9">
        <v>37.748390000000001</v>
      </c>
      <c r="B12" s="9">
        <v>140.47656000000001</v>
      </c>
      <c r="C12" s="9" t="s">
        <v>385</v>
      </c>
      <c r="E12" s="9" t="s">
        <v>386</v>
      </c>
      <c r="F12" s="9" t="s">
        <v>883</v>
      </c>
      <c r="G12" s="19" t="s">
        <v>270</v>
      </c>
      <c r="H12" s="9" t="s">
        <v>354</v>
      </c>
      <c r="I12" s="46">
        <v>0.36999999999999994</v>
      </c>
      <c r="J12" s="46">
        <v>0.38999999999999996</v>
      </c>
      <c r="K12" s="46">
        <v>0.433</v>
      </c>
      <c r="L12" s="9" t="s">
        <v>387</v>
      </c>
      <c r="M12" s="9" t="s">
        <v>901</v>
      </c>
      <c r="N12" s="9" t="s">
        <v>18</v>
      </c>
      <c r="O12" s="19" t="s">
        <v>46</v>
      </c>
      <c r="P12" s="9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</row>
    <row r="13" spans="1:54">
      <c r="A13" s="9">
        <v>37.747222999999998</v>
      </c>
      <c r="B13" s="9">
        <v>140.47285500000001</v>
      </c>
      <c r="C13" s="9" t="s">
        <v>388</v>
      </c>
      <c r="E13" s="9" t="s">
        <v>389</v>
      </c>
      <c r="F13" s="9" t="s">
        <v>883</v>
      </c>
      <c r="G13" s="19" t="s">
        <v>270</v>
      </c>
      <c r="H13" s="9" t="s">
        <v>354</v>
      </c>
      <c r="I13" s="46">
        <v>0.22700000000000001</v>
      </c>
      <c r="J13" s="46">
        <v>0.20000000000000004</v>
      </c>
      <c r="K13" s="46">
        <v>0.157</v>
      </c>
      <c r="L13" s="9" t="s">
        <v>356</v>
      </c>
      <c r="M13" s="9" t="s">
        <v>902</v>
      </c>
      <c r="N13" s="9" t="s">
        <v>903</v>
      </c>
      <c r="O13" s="19" t="s">
        <v>47</v>
      </c>
      <c r="P13" s="9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</row>
    <row r="14" spans="1:54">
      <c r="A14" s="9">
        <v>37.747247000000002</v>
      </c>
      <c r="B14" s="9">
        <v>140.472836</v>
      </c>
      <c r="C14" s="9" t="s">
        <v>390</v>
      </c>
      <c r="E14" s="9" t="s">
        <v>391</v>
      </c>
      <c r="F14" s="9" t="s">
        <v>883</v>
      </c>
      <c r="G14" s="19" t="s">
        <v>270</v>
      </c>
      <c r="H14" s="9" t="s">
        <v>354</v>
      </c>
      <c r="I14" s="46">
        <v>0.19700000000000001</v>
      </c>
      <c r="J14" s="46">
        <v>0.19000000000000003</v>
      </c>
      <c r="K14" s="46">
        <v>0.18000000000000002</v>
      </c>
      <c r="L14" s="9" t="s">
        <v>360</v>
      </c>
      <c r="M14" s="9" t="s">
        <v>904</v>
      </c>
      <c r="N14" s="9" t="s">
        <v>905</v>
      </c>
      <c r="O14" s="19" t="s">
        <v>47</v>
      </c>
      <c r="P14" s="9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</row>
    <row r="15" spans="1:54">
      <c r="A15" s="9">
        <v>37.747214999999997</v>
      </c>
      <c r="B15" s="9">
        <v>140.472881</v>
      </c>
      <c r="C15" s="9" t="s">
        <v>392</v>
      </c>
      <c r="E15" s="9" t="s">
        <v>393</v>
      </c>
      <c r="F15" s="9" t="s">
        <v>883</v>
      </c>
      <c r="G15" s="19" t="s">
        <v>270</v>
      </c>
      <c r="H15" s="9" t="s">
        <v>354</v>
      </c>
      <c r="I15" s="46">
        <v>0.38</v>
      </c>
      <c r="J15" s="46">
        <v>0.36999999999999994</v>
      </c>
      <c r="K15" s="46">
        <v>0.29299999999999998</v>
      </c>
      <c r="L15" s="9" t="s">
        <v>364</v>
      </c>
      <c r="M15" s="9" t="s">
        <v>906</v>
      </c>
      <c r="N15" s="9" t="s">
        <v>907</v>
      </c>
      <c r="O15" s="19" t="s">
        <v>48</v>
      </c>
      <c r="P15" s="9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</row>
    <row r="16" spans="1:54">
      <c r="A16" s="9">
        <v>37.747205999999998</v>
      </c>
      <c r="B16" s="9">
        <v>140.47290699999999</v>
      </c>
      <c r="C16" s="9" t="s">
        <v>394</v>
      </c>
      <c r="E16" s="9" t="s">
        <v>395</v>
      </c>
      <c r="F16" s="9" t="s">
        <v>883</v>
      </c>
      <c r="G16" s="19" t="s">
        <v>270</v>
      </c>
      <c r="H16" s="9" t="s">
        <v>354</v>
      </c>
      <c r="I16" s="46">
        <v>0.49</v>
      </c>
      <c r="J16" s="46">
        <v>0.57999999999999996</v>
      </c>
      <c r="K16" s="46">
        <v>0.84299999999999997</v>
      </c>
      <c r="L16" s="9" t="s">
        <v>396</v>
      </c>
      <c r="M16" s="9" t="s">
        <v>908</v>
      </c>
      <c r="N16" s="9" t="s">
        <v>909</v>
      </c>
      <c r="O16" s="19" t="s">
        <v>49</v>
      </c>
      <c r="P16" s="9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</row>
    <row r="17" spans="1:54">
      <c r="A17" s="9">
        <v>37.747194</v>
      </c>
      <c r="B17" s="9">
        <v>140.472915</v>
      </c>
      <c r="C17" s="9" t="s">
        <v>397</v>
      </c>
      <c r="E17" s="9" t="s">
        <v>398</v>
      </c>
      <c r="F17" s="9" t="s">
        <v>883</v>
      </c>
      <c r="G17" s="19" t="s">
        <v>270</v>
      </c>
      <c r="H17" s="9" t="s">
        <v>354</v>
      </c>
      <c r="I17" s="46">
        <v>0.433</v>
      </c>
      <c r="J17" s="46">
        <v>0.46</v>
      </c>
      <c r="K17" s="46">
        <v>0.46300000000000002</v>
      </c>
      <c r="L17" s="9" t="s">
        <v>399</v>
      </c>
      <c r="M17" s="9" t="s">
        <v>910</v>
      </c>
      <c r="N17" s="9" t="s">
        <v>911</v>
      </c>
      <c r="O17" s="19" t="s">
        <v>50</v>
      </c>
      <c r="P17" s="9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</row>
    <row r="18" spans="1:54">
      <c r="A18" s="9">
        <v>37.747194</v>
      </c>
      <c r="B18" s="9">
        <v>140.47291799999999</v>
      </c>
      <c r="C18" s="9" t="s">
        <v>400</v>
      </c>
      <c r="E18" s="9" t="s">
        <v>401</v>
      </c>
      <c r="F18" s="9" t="s">
        <v>883</v>
      </c>
      <c r="G18" s="19" t="s">
        <v>270</v>
      </c>
      <c r="H18" s="9" t="s">
        <v>354</v>
      </c>
      <c r="I18" s="46">
        <v>0.45300000000000001</v>
      </c>
      <c r="J18" s="46">
        <v>0.54999999999999993</v>
      </c>
      <c r="K18" s="46">
        <v>0.61599999999999999</v>
      </c>
      <c r="L18" s="9" t="s">
        <v>399</v>
      </c>
      <c r="M18" s="9" t="s">
        <v>912</v>
      </c>
      <c r="N18" s="9" t="s">
        <v>913</v>
      </c>
      <c r="O18" s="19" t="s">
        <v>51</v>
      </c>
      <c r="P18" s="9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</row>
    <row r="19" spans="1:54">
      <c r="A19" s="9">
        <v>37.746462000000001</v>
      </c>
      <c r="B19" s="9">
        <v>140.47858600000001</v>
      </c>
      <c r="C19" s="9" t="s">
        <v>402</v>
      </c>
      <c r="E19" s="9" t="s">
        <v>403</v>
      </c>
      <c r="F19" s="9" t="s">
        <v>883</v>
      </c>
      <c r="G19" s="19" t="s">
        <v>270</v>
      </c>
      <c r="H19" s="9" t="s">
        <v>358</v>
      </c>
      <c r="I19" s="46">
        <v>0.36999999999999994</v>
      </c>
      <c r="J19" s="46">
        <v>0.4366666666666667</v>
      </c>
      <c r="K19" s="46">
        <v>0.49299999999999999</v>
      </c>
      <c r="L19" s="9" t="s">
        <v>404</v>
      </c>
      <c r="M19" s="9" t="s">
        <v>914</v>
      </c>
      <c r="N19" s="9" t="s">
        <v>915</v>
      </c>
      <c r="O19" s="18" t="s">
        <v>52</v>
      </c>
      <c r="P19" s="9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</row>
    <row r="20" spans="1:54">
      <c r="A20" s="9">
        <v>37.746431999999999</v>
      </c>
      <c r="B20" s="9">
        <v>140.47856300000001</v>
      </c>
      <c r="C20" s="9" t="s">
        <v>405</v>
      </c>
      <c r="E20" s="9" t="s">
        <v>406</v>
      </c>
      <c r="F20" s="9" t="s">
        <v>883</v>
      </c>
      <c r="G20" s="19" t="s">
        <v>270</v>
      </c>
      <c r="H20" s="9" t="s">
        <v>358</v>
      </c>
      <c r="I20" s="46">
        <v>0.52</v>
      </c>
      <c r="J20" s="46">
        <v>0.62333333333333341</v>
      </c>
      <c r="K20" s="46">
        <v>0.753</v>
      </c>
      <c r="L20" s="9" t="s">
        <v>360</v>
      </c>
      <c r="M20" s="9" t="s">
        <v>916</v>
      </c>
      <c r="N20" s="9" t="s">
        <v>917</v>
      </c>
      <c r="O20" s="18" t="s">
        <v>53</v>
      </c>
      <c r="P20" s="9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</row>
    <row r="21" spans="1:54">
      <c r="A21" s="9">
        <v>37.746398999999997</v>
      </c>
      <c r="B21" s="9">
        <v>140.478557</v>
      </c>
      <c r="C21" s="9" t="s">
        <v>407</v>
      </c>
      <c r="E21" s="9" t="s">
        <v>408</v>
      </c>
      <c r="F21" s="9" t="s">
        <v>883</v>
      </c>
      <c r="G21" s="19" t="s">
        <v>270</v>
      </c>
      <c r="H21" s="9" t="s">
        <v>358</v>
      </c>
      <c r="I21" s="46">
        <v>0.56299999999999994</v>
      </c>
      <c r="J21" s="46">
        <v>0.66333333333333344</v>
      </c>
      <c r="K21" s="46">
        <v>0.81299999999999994</v>
      </c>
      <c r="L21" s="9" t="s">
        <v>364</v>
      </c>
      <c r="M21" s="9" t="s">
        <v>918</v>
      </c>
      <c r="N21" s="9" t="s">
        <v>919</v>
      </c>
      <c r="O21" s="18" t="s">
        <v>53</v>
      </c>
      <c r="P21" s="9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</row>
    <row r="22" spans="1:54">
      <c r="A22" s="9">
        <v>37.746229999999997</v>
      </c>
      <c r="B22" s="9">
        <v>140.478568</v>
      </c>
      <c r="C22" s="9" t="s">
        <v>409</v>
      </c>
      <c r="E22" s="9" t="s">
        <v>410</v>
      </c>
      <c r="F22" s="9" t="s">
        <v>883</v>
      </c>
      <c r="G22" s="19" t="s">
        <v>270</v>
      </c>
      <c r="H22" s="9" t="s">
        <v>358</v>
      </c>
      <c r="I22" s="46">
        <v>0.58000000000000007</v>
      </c>
      <c r="J22" s="46">
        <v>0.70333333333333325</v>
      </c>
      <c r="K22" s="46">
        <v>0.73</v>
      </c>
      <c r="L22" s="9" t="s">
        <v>387</v>
      </c>
      <c r="M22" s="9" t="s">
        <v>920</v>
      </c>
      <c r="N22" s="9" t="s">
        <v>921</v>
      </c>
      <c r="O22" s="18" t="s">
        <v>54</v>
      </c>
      <c r="P22" s="9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</row>
    <row r="23" spans="1:54">
      <c r="A23" s="9">
        <v>37.747301999999998</v>
      </c>
      <c r="B23" s="9">
        <v>140.48109299999999</v>
      </c>
      <c r="C23" s="9" t="s">
        <v>411</v>
      </c>
      <c r="E23" s="9" t="s">
        <v>412</v>
      </c>
      <c r="F23" s="9" t="s">
        <v>883</v>
      </c>
      <c r="G23" s="19" t="s">
        <v>270</v>
      </c>
      <c r="H23" s="9" t="s">
        <v>358</v>
      </c>
      <c r="I23" s="46">
        <v>0.27700000000000002</v>
      </c>
      <c r="J23" s="46">
        <v>0.30666666666666664</v>
      </c>
      <c r="K23" s="46">
        <v>0.30000000000000004</v>
      </c>
      <c r="L23" s="9" t="s">
        <v>360</v>
      </c>
      <c r="M23" s="9" t="s">
        <v>922</v>
      </c>
      <c r="N23" s="9" t="s">
        <v>923</v>
      </c>
      <c r="O23" s="19" t="s">
        <v>55</v>
      </c>
      <c r="P23" s="9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</row>
    <row r="24" spans="1:54">
      <c r="A24" s="9">
        <v>37.747154999999999</v>
      </c>
      <c r="B24" s="9">
        <v>140.48133200000001</v>
      </c>
      <c r="C24" s="9" t="s">
        <v>413</v>
      </c>
      <c r="E24" s="9" t="s">
        <v>414</v>
      </c>
      <c r="F24" s="9" t="s">
        <v>883</v>
      </c>
      <c r="G24" s="19" t="s">
        <v>270</v>
      </c>
      <c r="H24" s="9" t="s">
        <v>358</v>
      </c>
      <c r="I24" s="46">
        <v>0.38999999999999996</v>
      </c>
      <c r="J24" s="46">
        <v>0.44</v>
      </c>
      <c r="K24" s="46">
        <v>0.43</v>
      </c>
      <c r="L24" s="9" t="s">
        <v>387</v>
      </c>
      <c r="M24" s="9" t="s">
        <v>924</v>
      </c>
      <c r="N24" s="9" t="s">
        <v>923</v>
      </c>
      <c r="O24" s="19" t="s">
        <v>55</v>
      </c>
      <c r="P24" s="9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</row>
    <row r="25" spans="1:54">
      <c r="A25" s="9">
        <v>37.74718</v>
      </c>
      <c r="B25" s="9">
        <v>140.48143200000001</v>
      </c>
      <c r="C25" s="9" t="s">
        <v>415</v>
      </c>
      <c r="E25" s="9" t="s">
        <v>416</v>
      </c>
      <c r="F25" s="9" t="s">
        <v>883</v>
      </c>
      <c r="G25" s="19" t="s">
        <v>270</v>
      </c>
      <c r="H25" s="9" t="s">
        <v>358</v>
      </c>
      <c r="I25" s="46">
        <v>0.497</v>
      </c>
      <c r="J25" s="46">
        <v>0.6333333333333333</v>
      </c>
      <c r="K25" s="46">
        <v>0.92333333333333334</v>
      </c>
      <c r="L25" s="9" t="s">
        <v>417</v>
      </c>
      <c r="M25" s="9" t="s">
        <v>925</v>
      </c>
      <c r="N25" s="9" t="s">
        <v>926</v>
      </c>
      <c r="O25" s="19" t="s">
        <v>55</v>
      </c>
      <c r="P25" s="9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</row>
    <row r="26" spans="1:54">
      <c r="A26" s="9">
        <v>37.747418000000003</v>
      </c>
      <c r="B26" s="9">
        <v>140.48162600000001</v>
      </c>
      <c r="C26" s="9" t="s">
        <v>418</v>
      </c>
      <c r="E26" s="9" t="s">
        <v>419</v>
      </c>
      <c r="F26" s="9" t="s">
        <v>883</v>
      </c>
      <c r="G26" s="19" t="s">
        <v>270</v>
      </c>
      <c r="H26" s="9" t="s">
        <v>358</v>
      </c>
      <c r="I26" s="46">
        <v>0.253</v>
      </c>
      <c r="J26" s="46">
        <v>0.26</v>
      </c>
      <c r="K26" s="46">
        <v>0.27666666666666667</v>
      </c>
      <c r="L26" s="9" t="s">
        <v>356</v>
      </c>
      <c r="M26" s="9" t="s">
        <v>927</v>
      </c>
      <c r="N26" s="9" t="s">
        <v>928</v>
      </c>
      <c r="O26" s="19" t="s">
        <v>56</v>
      </c>
      <c r="P26" s="9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</row>
    <row r="27" spans="1:54">
      <c r="A27" s="9">
        <v>37.747439999999997</v>
      </c>
      <c r="B27" s="9">
        <v>140.481649</v>
      </c>
      <c r="C27" s="9" t="s">
        <v>420</v>
      </c>
      <c r="E27" s="9" t="s">
        <v>421</v>
      </c>
      <c r="F27" s="9" t="s">
        <v>883</v>
      </c>
      <c r="G27" s="19" t="s">
        <v>270</v>
      </c>
      <c r="H27" s="9" t="s">
        <v>358</v>
      </c>
      <c r="I27" s="46">
        <v>0.46</v>
      </c>
      <c r="J27" s="46">
        <v>0.35666666666666663</v>
      </c>
      <c r="K27" s="46">
        <v>0.27</v>
      </c>
      <c r="L27" s="9" t="s">
        <v>360</v>
      </c>
      <c r="M27" s="9" t="s">
        <v>929</v>
      </c>
      <c r="N27" s="9" t="s">
        <v>930</v>
      </c>
      <c r="O27" s="19" t="s">
        <v>56</v>
      </c>
      <c r="P27" s="9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</row>
    <row r="28" spans="1:54">
      <c r="A28" s="9">
        <v>37.747484999999998</v>
      </c>
      <c r="B28" s="9">
        <v>140.481662</v>
      </c>
      <c r="C28" s="9" t="s">
        <v>422</v>
      </c>
      <c r="E28" s="9" t="s">
        <v>423</v>
      </c>
      <c r="F28" s="9" t="s">
        <v>883</v>
      </c>
      <c r="G28" s="19" t="s">
        <v>270</v>
      </c>
      <c r="H28" s="9" t="s">
        <v>358</v>
      </c>
      <c r="I28" s="46">
        <v>0.38700000000000001</v>
      </c>
      <c r="J28" s="46">
        <v>0.40000000000000008</v>
      </c>
      <c r="K28" s="46">
        <v>0.33</v>
      </c>
      <c r="L28" s="9" t="s">
        <v>364</v>
      </c>
      <c r="M28" s="9" t="s">
        <v>931</v>
      </c>
      <c r="N28" s="9" t="s">
        <v>930</v>
      </c>
      <c r="O28" s="19" t="s">
        <v>56</v>
      </c>
      <c r="P28" s="9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</row>
    <row r="29" spans="1:54">
      <c r="A29" s="9">
        <v>37.747501999999997</v>
      </c>
      <c r="B29" s="9">
        <v>140.48167100000001</v>
      </c>
      <c r="C29" s="9" t="s">
        <v>424</v>
      </c>
      <c r="E29" s="9" t="s">
        <v>425</v>
      </c>
      <c r="F29" s="9" t="s">
        <v>883</v>
      </c>
      <c r="G29" s="19" t="s">
        <v>270</v>
      </c>
      <c r="H29" s="9" t="s">
        <v>358</v>
      </c>
      <c r="I29" s="46">
        <v>0.33700000000000002</v>
      </c>
      <c r="J29" s="46">
        <v>0.34333333333333332</v>
      </c>
      <c r="K29" s="46">
        <v>0.29333333333333328</v>
      </c>
      <c r="L29" s="9" t="s">
        <v>399</v>
      </c>
      <c r="M29" s="9" t="s">
        <v>932</v>
      </c>
      <c r="N29" s="9" t="s">
        <v>933</v>
      </c>
      <c r="O29" s="19" t="s">
        <v>57</v>
      </c>
      <c r="P29" s="9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</row>
    <row r="30" spans="1:54">
      <c r="A30" s="9">
        <v>37.747517999999999</v>
      </c>
      <c r="B30" s="9">
        <v>140.48167799999999</v>
      </c>
      <c r="C30" s="9" t="s">
        <v>426</v>
      </c>
      <c r="E30" s="9" t="s">
        <v>427</v>
      </c>
      <c r="F30" s="9" t="s">
        <v>883</v>
      </c>
      <c r="G30" s="19" t="s">
        <v>270</v>
      </c>
      <c r="H30" s="9" t="s">
        <v>358</v>
      </c>
      <c r="I30" s="46">
        <v>0.70699999999999996</v>
      </c>
      <c r="J30" s="46">
        <v>0.69999999999999984</v>
      </c>
      <c r="K30" s="46">
        <v>0.49666666666666665</v>
      </c>
      <c r="L30" s="9" t="s">
        <v>387</v>
      </c>
      <c r="M30" s="9" t="s">
        <v>934</v>
      </c>
      <c r="N30" s="9" t="s">
        <v>933</v>
      </c>
      <c r="O30" s="19" t="s">
        <v>57</v>
      </c>
      <c r="P30" s="9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</row>
    <row r="31" spans="1:54">
      <c r="A31" s="9">
        <v>37.747574</v>
      </c>
      <c r="B31" s="9">
        <v>140.48418699999999</v>
      </c>
      <c r="C31" s="9" t="s">
        <v>428</v>
      </c>
      <c r="E31" s="9" t="s">
        <v>429</v>
      </c>
      <c r="F31" s="9" t="s">
        <v>883</v>
      </c>
      <c r="G31" s="19" t="s">
        <v>270</v>
      </c>
      <c r="H31" s="9" t="s">
        <v>358</v>
      </c>
      <c r="I31" s="46">
        <v>0.75700000000000001</v>
      </c>
      <c r="J31" s="46">
        <v>0.82333333333333325</v>
      </c>
      <c r="K31" s="46">
        <v>1.8</v>
      </c>
      <c r="L31" s="9" t="s">
        <v>360</v>
      </c>
      <c r="M31" s="9" t="s">
        <v>935</v>
      </c>
      <c r="N31" s="9" t="s">
        <v>936</v>
      </c>
      <c r="O31" s="19" t="s">
        <v>239</v>
      </c>
      <c r="P31" s="9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</row>
    <row r="32" spans="1:54">
      <c r="A32" s="9">
        <v>37.749710999999998</v>
      </c>
      <c r="B32" s="9">
        <v>140.480558</v>
      </c>
      <c r="C32" s="9" t="s">
        <v>430</v>
      </c>
      <c r="E32" s="9" t="s">
        <v>431</v>
      </c>
      <c r="F32" s="9" t="s">
        <v>883</v>
      </c>
      <c r="G32" s="19" t="s">
        <v>270</v>
      </c>
      <c r="H32" s="9" t="s">
        <v>358</v>
      </c>
      <c r="I32" s="46">
        <v>0.38300000000000001</v>
      </c>
      <c r="J32" s="46">
        <v>0.40000000000000008</v>
      </c>
      <c r="K32" s="46">
        <v>0.35</v>
      </c>
      <c r="L32" s="9" t="s">
        <v>356</v>
      </c>
      <c r="M32" s="9" t="s">
        <v>937</v>
      </c>
      <c r="N32" s="9" t="s">
        <v>938</v>
      </c>
      <c r="O32" s="19" t="s">
        <v>58</v>
      </c>
      <c r="P32" s="9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</row>
    <row r="33" spans="1:54">
      <c r="A33" s="9">
        <v>37.749789</v>
      </c>
      <c r="B33" s="9">
        <v>140.480558</v>
      </c>
      <c r="C33" s="9" t="s">
        <v>432</v>
      </c>
      <c r="E33" s="9" t="s">
        <v>433</v>
      </c>
      <c r="F33" s="9" t="s">
        <v>883</v>
      </c>
      <c r="G33" s="19" t="s">
        <v>270</v>
      </c>
      <c r="H33" s="9" t="s">
        <v>358</v>
      </c>
      <c r="I33" s="46">
        <v>0.73</v>
      </c>
      <c r="J33" s="46">
        <v>0.40000000000000008</v>
      </c>
      <c r="K33" s="46">
        <v>0.35</v>
      </c>
      <c r="L33" s="9" t="s">
        <v>360</v>
      </c>
      <c r="M33" s="9" t="s">
        <v>939</v>
      </c>
      <c r="N33" s="9" t="s">
        <v>940</v>
      </c>
      <c r="O33" s="19" t="s">
        <v>59</v>
      </c>
      <c r="P33" s="9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</row>
    <row r="34" spans="1:54">
      <c r="A34" s="9">
        <v>37.749805000000002</v>
      </c>
      <c r="B34" s="9">
        <v>140.48050499999999</v>
      </c>
      <c r="C34" s="9" t="s">
        <v>434</v>
      </c>
      <c r="E34" s="9" t="s">
        <v>435</v>
      </c>
      <c r="F34" s="9" t="s">
        <v>883</v>
      </c>
      <c r="G34" s="19" t="s">
        <v>270</v>
      </c>
      <c r="H34" s="9" t="s">
        <v>358</v>
      </c>
      <c r="I34" s="46">
        <v>0.59</v>
      </c>
      <c r="J34" s="46">
        <v>0.59</v>
      </c>
      <c r="K34" s="46">
        <v>0.46666666666666662</v>
      </c>
      <c r="L34" s="9" t="s">
        <v>364</v>
      </c>
      <c r="M34" s="9" t="s">
        <v>941</v>
      </c>
      <c r="N34" s="9" t="s">
        <v>940</v>
      </c>
      <c r="O34" s="19" t="s">
        <v>59</v>
      </c>
      <c r="P34" s="9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</row>
    <row r="35" spans="1:54">
      <c r="A35" s="9">
        <v>37.749755999999998</v>
      </c>
      <c r="B35" s="9">
        <v>140.48059499999999</v>
      </c>
      <c r="C35" s="9" t="s">
        <v>436</v>
      </c>
      <c r="E35" s="9" t="s">
        <v>437</v>
      </c>
      <c r="F35" s="9" t="s">
        <v>883</v>
      </c>
      <c r="G35" s="19" t="s">
        <v>270</v>
      </c>
      <c r="H35" s="9" t="s">
        <v>358</v>
      </c>
      <c r="I35" s="46">
        <v>0.64</v>
      </c>
      <c r="J35" s="46">
        <v>0.81</v>
      </c>
      <c r="K35" s="46">
        <v>1.1000000000000001</v>
      </c>
      <c r="L35" s="9" t="s">
        <v>360</v>
      </c>
      <c r="M35" s="9" t="s">
        <v>942</v>
      </c>
      <c r="N35" s="9" t="s">
        <v>943</v>
      </c>
      <c r="O35" s="19" t="s">
        <v>60</v>
      </c>
      <c r="P35" s="9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</row>
    <row r="36" spans="1:54">
      <c r="A36" s="9">
        <v>37.749676999999998</v>
      </c>
      <c r="B36" s="9">
        <v>140.48057299999999</v>
      </c>
      <c r="C36" s="9" t="s">
        <v>438</v>
      </c>
      <c r="E36" s="9" t="s">
        <v>439</v>
      </c>
      <c r="F36" s="9" t="s">
        <v>883</v>
      </c>
      <c r="G36" s="19" t="s">
        <v>270</v>
      </c>
      <c r="H36" s="9" t="s">
        <v>358</v>
      </c>
      <c r="I36" s="46">
        <v>0.84699999999999998</v>
      </c>
      <c r="J36" s="46">
        <v>1.1000000000000001</v>
      </c>
      <c r="K36" s="46">
        <v>1.5</v>
      </c>
      <c r="L36" s="9" t="s">
        <v>364</v>
      </c>
      <c r="M36" s="9" t="s">
        <v>944</v>
      </c>
      <c r="N36" s="9" t="s">
        <v>945</v>
      </c>
      <c r="O36" s="19" t="s">
        <v>61</v>
      </c>
      <c r="P36" s="9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</row>
    <row r="37" spans="1:54">
      <c r="A37" s="9">
        <v>37.749642999999999</v>
      </c>
      <c r="B37" s="9">
        <v>140.48047399999999</v>
      </c>
      <c r="C37" s="9" t="s">
        <v>440</v>
      </c>
      <c r="E37" s="9" t="s">
        <v>441</v>
      </c>
      <c r="F37" s="9" t="s">
        <v>883</v>
      </c>
      <c r="G37" s="19" t="s">
        <v>270</v>
      </c>
      <c r="H37" s="9" t="s">
        <v>358</v>
      </c>
      <c r="I37" s="46">
        <v>0.89300000000000002</v>
      </c>
      <c r="J37" s="46">
        <v>1.2333333333333334</v>
      </c>
      <c r="K37" s="46">
        <v>1.7333333333333334</v>
      </c>
      <c r="L37" s="9" t="s">
        <v>442</v>
      </c>
      <c r="M37" s="9" t="s">
        <v>946</v>
      </c>
      <c r="N37" s="9" t="s">
        <v>947</v>
      </c>
      <c r="O37" s="19" t="s">
        <v>62</v>
      </c>
      <c r="P37" s="9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</row>
    <row r="38" spans="1:54">
      <c r="A38" s="9">
        <v>37.749687000000002</v>
      </c>
      <c r="B38" s="9">
        <v>140.48047199999999</v>
      </c>
      <c r="C38" s="9" t="s">
        <v>443</v>
      </c>
      <c r="E38" s="9" t="s">
        <v>444</v>
      </c>
      <c r="F38" s="9" t="s">
        <v>883</v>
      </c>
      <c r="G38" s="19" t="s">
        <v>270</v>
      </c>
      <c r="H38" s="9" t="s">
        <v>358</v>
      </c>
      <c r="I38" s="46">
        <v>0.96699999999999997</v>
      </c>
      <c r="J38" s="46">
        <v>1.4666666666666668</v>
      </c>
      <c r="K38" s="46">
        <v>2.8666666666666667</v>
      </c>
      <c r="L38" s="9" t="s">
        <v>442</v>
      </c>
      <c r="M38" s="9" t="s">
        <v>948</v>
      </c>
      <c r="N38" s="9" t="s">
        <v>949</v>
      </c>
      <c r="O38" s="19" t="s">
        <v>63</v>
      </c>
      <c r="P38" s="9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</row>
    <row r="39" spans="1:54">
      <c r="A39" s="9">
        <v>37.749606999999997</v>
      </c>
      <c r="B39" s="9">
        <v>140.48051100000001</v>
      </c>
      <c r="C39" s="9" t="s">
        <v>445</v>
      </c>
      <c r="E39" s="9" t="s">
        <v>446</v>
      </c>
      <c r="F39" s="9" t="s">
        <v>883</v>
      </c>
      <c r="G39" s="19" t="s">
        <v>270</v>
      </c>
      <c r="H39" s="9" t="s">
        <v>358</v>
      </c>
      <c r="I39" s="46">
        <v>0.20000000000000004</v>
      </c>
      <c r="J39" s="46">
        <v>0.21333333333333335</v>
      </c>
      <c r="K39" s="46">
        <v>0.20333333333333337</v>
      </c>
      <c r="L39" s="9" t="s">
        <v>447</v>
      </c>
      <c r="M39" s="9" t="s">
        <v>950</v>
      </c>
      <c r="N39" s="9" t="s">
        <v>951</v>
      </c>
      <c r="O39" s="19" t="s">
        <v>64</v>
      </c>
      <c r="P39" s="9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</row>
    <row r="40" spans="1:54">
      <c r="A40" s="9">
        <v>37.749597999999999</v>
      </c>
      <c r="B40" s="9">
        <v>140.48549199999999</v>
      </c>
      <c r="C40" s="9">
        <v>111</v>
      </c>
      <c r="E40" s="9" t="s">
        <v>448</v>
      </c>
      <c r="F40" s="9" t="s">
        <v>883</v>
      </c>
      <c r="G40" s="19" t="s">
        <v>270</v>
      </c>
      <c r="H40" s="9" t="s">
        <v>362</v>
      </c>
      <c r="I40" s="46">
        <v>0.433</v>
      </c>
      <c r="J40" s="46">
        <v>0.50700000000000001</v>
      </c>
      <c r="K40" s="46">
        <v>0.59299999999999997</v>
      </c>
      <c r="L40" s="9" t="s">
        <v>356</v>
      </c>
      <c r="M40" s="9" t="s">
        <v>952</v>
      </c>
      <c r="N40" s="9" t="s">
        <v>953</v>
      </c>
      <c r="O40" s="19" t="s">
        <v>65</v>
      </c>
      <c r="P40" s="9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</row>
    <row r="41" spans="1:54">
      <c r="A41" s="9">
        <v>37.749588000000003</v>
      </c>
      <c r="B41" s="9">
        <v>140.485511</v>
      </c>
      <c r="C41" s="9">
        <v>112</v>
      </c>
      <c r="E41" s="9" t="s">
        <v>449</v>
      </c>
      <c r="F41" s="9" t="s">
        <v>883</v>
      </c>
      <c r="G41" s="19" t="s">
        <v>270</v>
      </c>
      <c r="H41" s="9" t="s">
        <v>362</v>
      </c>
      <c r="I41" s="46">
        <v>0.17299999999999999</v>
      </c>
      <c r="J41" s="46">
        <v>0.16</v>
      </c>
      <c r="K41" s="46">
        <v>0.17299999999999999</v>
      </c>
      <c r="L41" s="9" t="s">
        <v>360</v>
      </c>
      <c r="M41" s="9" t="s">
        <v>954</v>
      </c>
      <c r="N41" s="9" t="s">
        <v>955</v>
      </c>
      <c r="O41" s="19" t="s">
        <v>66</v>
      </c>
      <c r="P41" s="9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</row>
    <row r="42" spans="1:54">
      <c r="A42" s="9">
        <v>37.749603999999998</v>
      </c>
      <c r="B42" s="9">
        <v>140.485511</v>
      </c>
      <c r="C42" s="9">
        <v>113</v>
      </c>
      <c r="E42" s="9" t="s">
        <v>450</v>
      </c>
      <c r="F42" s="9" t="s">
        <v>883</v>
      </c>
      <c r="G42" s="19" t="s">
        <v>270</v>
      </c>
      <c r="H42" s="9" t="s">
        <v>362</v>
      </c>
      <c r="I42" s="46">
        <v>0.33300000000000002</v>
      </c>
      <c r="J42" s="46">
        <v>0.34699999999999998</v>
      </c>
      <c r="K42" s="46">
        <v>0.33300000000000002</v>
      </c>
      <c r="L42" s="9" t="s">
        <v>364</v>
      </c>
      <c r="M42" s="9" t="s">
        <v>956</v>
      </c>
      <c r="N42" s="9" t="s">
        <v>957</v>
      </c>
      <c r="O42" s="19" t="s">
        <v>67</v>
      </c>
      <c r="P42" s="9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</row>
    <row r="43" spans="1:54">
      <c r="A43" s="9">
        <v>37.749778999999997</v>
      </c>
      <c r="B43" s="9">
        <v>140.48534699999999</v>
      </c>
      <c r="C43" s="9">
        <v>114</v>
      </c>
      <c r="E43" s="9" t="s">
        <v>451</v>
      </c>
      <c r="F43" s="9" t="s">
        <v>883</v>
      </c>
      <c r="G43" s="19" t="s">
        <v>270</v>
      </c>
      <c r="H43" s="9" t="s">
        <v>362</v>
      </c>
      <c r="I43" s="46">
        <v>0.84699999999999998</v>
      </c>
      <c r="J43" s="46">
        <v>0.89</v>
      </c>
      <c r="K43" s="46">
        <v>1.2</v>
      </c>
      <c r="L43" s="9" t="s">
        <v>452</v>
      </c>
      <c r="M43" s="9" t="s">
        <v>958</v>
      </c>
      <c r="N43" s="9" t="s">
        <v>959</v>
      </c>
      <c r="O43" s="19" t="s">
        <v>68</v>
      </c>
      <c r="P43" s="9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</row>
    <row r="44" spans="1:54">
      <c r="A44" s="9">
        <v>37.749741999999998</v>
      </c>
      <c r="B44" s="9">
        <v>140.48534799999999</v>
      </c>
      <c r="C44" s="9">
        <v>115</v>
      </c>
      <c r="E44" s="9" t="s">
        <v>453</v>
      </c>
      <c r="F44" s="9" t="s">
        <v>883</v>
      </c>
      <c r="G44" s="19" t="s">
        <v>270</v>
      </c>
      <c r="H44" s="9" t="s">
        <v>362</v>
      </c>
      <c r="I44" s="46">
        <v>0.44</v>
      </c>
      <c r="J44" s="46">
        <v>0.48299999999999998</v>
      </c>
      <c r="K44" s="46">
        <v>0.54700000000000004</v>
      </c>
      <c r="L44" s="9" t="s">
        <v>387</v>
      </c>
      <c r="M44" s="9" t="s">
        <v>960</v>
      </c>
      <c r="N44" s="9" t="s">
        <v>961</v>
      </c>
      <c r="O44" s="19" t="s">
        <v>69</v>
      </c>
      <c r="P44" s="9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</row>
    <row r="45" spans="1:54">
      <c r="A45" s="9">
        <v>37.747585000000001</v>
      </c>
      <c r="B45" s="9">
        <v>140.484103</v>
      </c>
      <c r="C45" s="9">
        <v>116</v>
      </c>
      <c r="E45" s="9" t="s">
        <v>454</v>
      </c>
      <c r="F45" s="9" t="s">
        <v>883</v>
      </c>
      <c r="G45" s="19" t="s">
        <v>270</v>
      </c>
      <c r="H45" s="9" t="s">
        <v>362</v>
      </c>
      <c r="I45" s="46">
        <v>0.19700000000000001</v>
      </c>
      <c r="J45" s="46">
        <v>0.20300000000000001</v>
      </c>
      <c r="K45" s="46">
        <v>0.25</v>
      </c>
      <c r="L45" s="9" t="s">
        <v>356</v>
      </c>
      <c r="M45" s="9" t="s">
        <v>962</v>
      </c>
      <c r="N45" s="9" t="s">
        <v>963</v>
      </c>
      <c r="O45" s="18" t="s">
        <v>70</v>
      </c>
      <c r="P45" s="9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</row>
    <row r="46" spans="1:54">
      <c r="A46" s="9">
        <v>37.747593999999999</v>
      </c>
      <c r="B46" s="9">
        <v>140.48410100000001</v>
      </c>
      <c r="C46" s="9">
        <v>117</v>
      </c>
      <c r="E46" s="9" t="s">
        <v>455</v>
      </c>
      <c r="F46" s="9" t="s">
        <v>883</v>
      </c>
      <c r="G46" s="19" t="s">
        <v>270</v>
      </c>
      <c r="H46" s="9" t="s">
        <v>362</v>
      </c>
      <c r="I46" s="46">
        <v>0.317</v>
      </c>
      <c r="J46" s="46">
        <v>0.32</v>
      </c>
      <c r="K46" s="46">
        <v>0.26300000000000001</v>
      </c>
      <c r="L46" s="9" t="s">
        <v>360</v>
      </c>
      <c r="M46" s="9" t="s">
        <v>964</v>
      </c>
      <c r="N46" s="9" t="s">
        <v>965</v>
      </c>
      <c r="O46" s="18" t="s">
        <v>71</v>
      </c>
      <c r="P46" s="9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</row>
    <row r="47" spans="1:54">
      <c r="A47" s="9">
        <v>37.747574</v>
      </c>
      <c r="B47" s="9">
        <v>140.484151</v>
      </c>
      <c r="C47" s="9">
        <v>118</v>
      </c>
      <c r="E47" s="9" t="s">
        <v>456</v>
      </c>
      <c r="F47" s="9" t="s">
        <v>883</v>
      </c>
      <c r="G47" s="19" t="s">
        <v>270</v>
      </c>
      <c r="H47" s="9" t="s">
        <v>362</v>
      </c>
      <c r="I47" s="46">
        <v>0.46700000000000003</v>
      </c>
      <c r="J47" s="46">
        <v>0.49299999999999999</v>
      </c>
      <c r="K47" s="46">
        <v>0.45</v>
      </c>
      <c r="L47" s="9" t="s">
        <v>364</v>
      </c>
      <c r="M47" s="9" t="s">
        <v>966</v>
      </c>
      <c r="N47" s="9" t="s">
        <v>965</v>
      </c>
      <c r="O47" s="18" t="s">
        <v>71</v>
      </c>
      <c r="P47" s="9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</row>
    <row r="48" spans="1:54">
      <c r="A48" s="9">
        <v>37.747577</v>
      </c>
      <c r="B48" s="9">
        <v>140.484148</v>
      </c>
      <c r="C48" s="9">
        <v>119</v>
      </c>
      <c r="E48" s="9" t="s">
        <v>457</v>
      </c>
      <c r="F48" s="9" t="s">
        <v>883</v>
      </c>
      <c r="G48" s="19" t="s">
        <v>270</v>
      </c>
      <c r="H48" s="9" t="s">
        <v>362</v>
      </c>
      <c r="I48" s="46">
        <v>0.83699999999999997</v>
      </c>
      <c r="J48" s="46">
        <v>0.8666666666666667</v>
      </c>
      <c r="K48" s="46">
        <v>1.7333333333333334</v>
      </c>
      <c r="L48" s="9" t="s">
        <v>458</v>
      </c>
      <c r="M48" s="9" t="s">
        <v>967</v>
      </c>
      <c r="N48" s="9" t="s">
        <v>968</v>
      </c>
      <c r="O48" s="18" t="s">
        <v>72</v>
      </c>
      <c r="P48" s="9" t="s">
        <v>459</v>
      </c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</row>
    <row r="49" spans="1:54">
      <c r="A49" s="9">
        <v>37.747582000000001</v>
      </c>
      <c r="B49" s="9">
        <v>140.48411100000001</v>
      </c>
      <c r="C49" s="9">
        <v>120</v>
      </c>
      <c r="E49" s="9" t="s">
        <v>460</v>
      </c>
      <c r="F49" s="9" t="s">
        <v>883</v>
      </c>
      <c r="G49" s="19" t="s">
        <v>270</v>
      </c>
      <c r="H49" s="9" t="s">
        <v>362</v>
      </c>
      <c r="I49" s="46">
        <v>0.53700000000000003</v>
      </c>
      <c r="J49" s="46">
        <v>0.66333333333333344</v>
      </c>
      <c r="K49" s="46">
        <v>0.76000000000000012</v>
      </c>
      <c r="L49" s="9" t="s">
        <v>384</v>
      </c>
      <c r="M49" s="9" t="s">
        <v>969</v>
      </c>
      <c r="N49" s="9" t="s">
        <v>970</v>
      </c>
      <c r="O49" s="18" t="s">
        <v>73</v>
      </c>
      <c r="P49" s="9" t="s">
        <v>461</v>
      </c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</row>
    <row r="50" spans="1:54">
      <c r="A50" s="9">
        <v>37.747602000000001</v>
      </c>
      <c r="B50" s="9">
        <v>140.48402999999999</v>
      </c>
      <c r="C50" s="9">
        <v>121</v>
      </c>
      <c r="E50" s="9" t="s">
        <v>462</v>
      </c>
      <c r="F50" s="9" t="s">
        <v>883</v>
      </c>
      <c r="G50" s="19" t="s">
        <v>270</v>
      </c>
      <c r="H50" s="9" t="s">
        <v>362</v>
      </c>
      <c r="I50" s="46">
        <v>0.183</v>
      </c>
      <c r="J50" s="46">
        <v>0.20000000000000004</v>
      </c>
      <c r="K50" s="46">
        <v>0.22666666666666666</v>
      </c>
      <c r="L50" s="9" t="s">
        <v>360</v>
      </c>
      <c r="M50" s="9" t="s">
        <v>971</v>
      </c>
      <c r="N50" s="9" t="s">
        <v>19</v>
      </c>
      <c r="O50" s="18" t="s">
        <v>74</v>
      </c>
      <c r="P50" s="9" t="s">
        <v>463</v>
      </c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</row>
    <row r="51" spans="1:54">
      <c r="A51" s="9">
        <v>37.747559000000003</v>
      </c>
      <c r="B51" s="9">
        <v>140.48476700000001</v>
      </c>
      <c r="C51" s="9">
        <v>122</v>
      </c>
      <c r="E51" s="9" t="s">
        <v>464</v>
      </c>
      <c r="F51" s="9" t="s">
        <v>883</v>
      </c>
      <c r="G51" s="19" t="s">
        <v>270</v>
      </c>
      <c r="H51" s="9" t="s">
        <v>362</v>
      </c>
      <c r="I51" s="46">
        <v>1.3</v>
      </c>
      <c r="J51" s="46">
        <v>0.92333333333333334</v>
      </c>
      <c r="K51" s="46">
        <v>0.77999999999999992</v>
      </c>
      <c r="M51" s="9" t="s">
        <v>972</v>
      </c>
      <c r="N51" s="9" t="s">
        <v>973</v>
      </c>
      <c r="O51" s="19" t="s">
        <v>75</v>
      </c>
      <c r="P51" s="9" t="s">
        <v>973</v>
      </c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</row>
    <row r="52" spans="1:54">
      <c r="A52" s="9">
        <v>37.740068000000001</v>
      </c>
      <c r="B52" s="9">
        <v>140.47151299999999</v>
      </c>
      <c r="C52" s="9">
        <v>123</v>
      </c>
      <c r="E52" s="9" t="s">
        <v>465</v>
      </c>
      <c r="F52" s="9" t="s">
        <v>883</v>
      </c>
      <c r="G52" s="19" t="s">
        <v>270</v>
      </c>
      <c r="H52" s="9" t="s">
        <v>362</v>
      </c>
      <c r="I52" s="46">
        <v>1</v>
      </c>
      <c r="J52" s="46">
        <f>(1.1+1.2+1.1)/3</f>
        <v>1.1333333333333333</v>
      </c>
      <c r="K52" s="46">
        <f>(1.2+1.2+1.2)/3</f>
        <v>1.2</v>
      </c>
      <c r="L52" s="9" t="s">
        <v>467</v>
      </c>
      <c r="M52" s="9" t="s">
        <v>974</v>
      </c>
      <c r="N52" s="9" t="s">
        <v>975</v>
      </c>
      <c r="O52" s="19" t="s">
        <v>76</v>
      </c>
      <c r="P52" s="9" t="s">
        <v>468</v>
      </c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</row>
    <row r="53" spans="1:54">
      <c r="A53" s="9">
        <v>37.740921</v>
      </c>
      <c r="B53" s="9">
        <v>140.47139999999999</v>
      </c>
      <c r="C53" s="9">
        <v>124</v>
      </c>
      <c r="E53" s="9" t="s">
        <v>469</v>
      </c>
      <c r="F53" s="9" t="s">
        <v>883</v>
      </c>
      <c r="G53" s="19" t="s">
        <v>270</v>
      </c>
      <c r="H53" s="9" t="s">
        <v>362</v>
      </c>
      <c r="I53" s="46">
        <v>1.5</v>
      </c>
      <c r="J53" s="46">
        <f>(1.6+1.8+1.7)/3</f>
        <v>1.7000000000000002</v>
      </c>
      <c r="K53" s="46">
        <f>(2.1+2.1+2.2)/3</f>
        <v>2.1333333333333333</v>
      </c>
      <c r="L53" s="9" t="s">
        <v>467</v>
      </c>
      <c r="M53" s="9" t="s">
        <v>976</v>
      </c>
      <c r="N53" s="9" t="s">
        <v>977</v>
      </c>
      <c r="O53" s="19" t="s">
        <v>77</v>
      </c>
      <c r="P53" s="9" t="s">
        <v>470</v>
      </c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</row>
    <row r="54" spans="1:54">
      <c r="A54" s="9">
        <v>37.741945999999999</v>
      </c>
      <c r="B54" s="9">
        <v>140.47114199999999</v>
      </c>
      <c r="C54" s="9">
        <v>125</v>
      </c>
      <c r="E54" s="9" t="s">
        <v>471</v>
      </c>
      <c r="F54" s="9" t="s">
        <v>883</v>
      </c>
      <c r="G54" s="19" t="s">
        <v>270</v>
      </c>
      <c r="H54" s="9" t="s">
        <v>362</v>
      </c>
      <c r="I54" s="46">
        <f>0.363</f>
        <v>0.36299999999999999</v>
      </c>
      <c r="J54" s="46">
        <f>(0.43+0.41+0.41)/3</f>
        <v>0.41666666666666669</v>
      </c>
      <c r="K54" s="46">
        <f>(0.63+0.63+0.67)/3</f>
        <v>0.64333333333333342</v>
      </c>
      <c r="L54" s="9" t="s">
        <v>467</v>
      </c>
      <c r="M54" s="9" t="s">
        <v>978</v>
      </c>
      <c r="N54" s="9" t="s">
        <v>979</v>
      </c>
      <c r="O54" s="18" t="s">
        <v>78</v>
      </c>
      <c r="P54" s="9" t="s">
        <v>472</v>
      </c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</row>
    <row r="55" spans="1:54">
      <c r="A55" s="9">
        <v>37.742930999999999</v>
      </c>
      <c r="B55" s="9">
        <v>140.47348099999999</v>
      </c>
      <c r="C55" s="9">
        <v>126</v>
      </c>
      <c r="E55" s="9" t="s">
        <v>473</v>
      </c>
      <c r="F55" s="9" t="s">
        <v>883</v>
      </c>
      <c r="G55" s="19" t="s">
        <v>270</v>
      </c>
      <c r="H55" s="9" t="s">
        <v>362</v>
      </c>
      <c r="I55" s="46">
        <v>0.187</v>
      </c>
      <c r="J55" s="46">
        <f>(0.19+0.2+0.17)/3</f>
        <v>0.18666666666666668</v>
      </c>
      <c r="K55" s="46">
        <f>(0.17+0.19+0.17)/3</f>
        <v>0.17666666666666667</v>
      </c>
      <c r="L55" s="9" t="s">
        <v>474</v>
      </c>
      <c r="M55" s="9" t="s">
        <v>980</v>
      </c>
      <c r="N55" s="9" t="s">
        <v>981</v>
      </c>
      <c r="O55" s="19" t="s">
        <v>240</v>
      </c>
      <c r="P55" s="9" t="s">
        <v>475</v>
      </c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</row>
    <row r="56" spans="1:54">
      <c r="A56" s="9">
        <v>37.742973999999997</v>
      </c>
      <c r="B56" s="9">
        <v>140.473277</v>
      </c>
      <c r="C56" s="9">
        <v>127</v>
      </c>
      <c r="E56" s="9" t="s">
        <v>476</v>
      </c>
      <c r="F56" s="9" t="s">
        <v>883</v>
      </c>
      <c r="G56" s="19" t="s">
        <v>270</v>
      </c>
      <c r="H56" s="9" t="s">
        <v>362</v>
      </c>
      <c r="I56" s="46">
        <f>(0.17+0.17+0.17)/3</f>
        <v>0.17</v>
      </c>
      <c r="J56" s="46">
        <f>(0.17+0.17+0.18)/3</f>
        <v>0.17333333333333334</v>
      </c>
      <c r="K56" s="46">
        <f>(0.19+0.18+0.2)/3</f>
        <v>0.19000000000000003</v>
      </c>
      <c r="L56" s="9" t="s">
        <v>477</v>
      </c>
      <c r="M56" s="9" t="s">
        <v>982</v>
      </c>
      <c r="N56" s="9" t="s">
        <v>983</v>
      </c>
      <c r="O56" s="19" t="s">
        <v>79</v>
      </c>
      <c r="P56" s="9" t="s">
        <v>984</v>
      </c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</row>
    <row r="57" spans="1:54">
      <c r="A57" s="9">
        <v>37.743003999999999</v>
      </c>
      <c r="B57" s="9">
        <v>140.473264</v>
      </c>
      <c r="C57" s="9">
        <v>128</v>
      </c>
      <c r="E57" s="9" t="s">
        <v>478</v>
      </c>
      <c r="F57" s="9" t="s">
        <v>883</v>
      </c>
      <c r="G57" s="19" t="s">
        <v>270</v>
      </c>
      <c r="H57" s="9" t="s">
        <v>362</v>
      </c>
      <c r="I57" s="46">
        <f>(0.37+0.35+0.35)/3</f>
        <v>0.35666666666666663</v>
      </c>
      <c r="J57" s="46">
        <f>(0.39+0.39+0.38)/3</f>
        <v>0.38666666666666671</v>
      </c>
      <c r="K57" s="46">
        <f>(0.43+0.43+0.43)/3</f>
        <v>0.43</v>
      </c>
      <c r="L57" s="9" t="s">
        <v>479</v>
      </c>
      <c r="M57" s="9" t="s">
        <v>985</v>
      </c>
      <c r="N57" s="9" t="s">
        <v>480</v>
      </c>
      <c r="O57" s="19" t="s">
        <v>80</v>
      </c>
      <c r="P57" s="9" t="s">
        <v>481</v>
      </c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</row>
    <row r="58" spans="1:54">
      <c r="A58" s="9">
        <v>37.743049999999997</v>
      </c>
      <c r="B58" s="9">
        <v>140.47328099999999</v>
      </c>
      <c r="C58" s="9">
        <v>129</v>
      </c>
      <c r="E58" s="9" t="s">
        <v>482</v>
      </c>
      <c r="F58" s="9" t="s">
        <v>883</v>
      </c>
      <c r="G58" s="19" t="s">
        <v>270</v>
      </c>
      <c r="H58" s="9" t="s">
        <v>362</v>
      </c>
      <c r="I58" s="46">
        <f>(1.4+1.4+1.4)/3</f>
        <v>1.3999999999999997</v>
      </c>
      <c r="J58" s="46">
        <f>(1.4+1.4+1.4)/3</f>
        <v>1.3999999999999997</v>
      </c>
      <c r="K58" s="46">
        <f>(1.9+2+2)/3</f>
        <v>1.9666666666666668</v>
      </c>
      <c r="L58" s="9" t="s">
        <v>483</v>
      </c>
      <c r="M58" s="9" t="s">
        <v>986</v>
      </c>
      <c r="N58" s="9" t="s">
        <v>484</v>
      </c>
      <c r="O58" s="19" t="s">
        <v>81</v>
      </c>
      <c r="P58" s="9" t="s">
        <v>485</v>
      </c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</row>
    <row r="59" spans="1:54">
      <c r="A59" s="9">
        <v>37.743065000000001</v>
      </c>
      <c r="B59" s="9">
        <v>140.47328400000001</v>
      </c>
      <c r="C59" s="9">
        <v>130</v>
      </c>
      <c r="E59" s="9" t="s">
        <v>486</v>
      </c>
      <c r="F59" s="9" t="s">
        <v>883</v>
      </c>
      <c r="G59" s="19" t="s">
        <v>270</v>
      </c>
      <c r="H59" s="9" t="s">
        <v>362</v>
      </c>
      <c r="I59" s="46">
        <f>(0.44+0.42+0.43)/3</f>
        <v>0.43</v>
      </c>
      <c r="J59" s="46">
        <f>(0.42+0.42+0.42)/3</f>
        <v>0.42</v>
      </c>
      <c r="K59" s="46">
        <f>(0.38+0.39+0.39)/3</f>
        <v>0.38666666666666671</v>
      </c>
      <c r="L59" s="9" t="s">
        <v>487</v>
      </c>
      <c r="M59" s="9" t="s">
        <v>987</v>
      </c>
      <c r="N59" s="9" t="s">
        <v>988</v>
      </c>
      <c r="O59" s="19" t="s">
        <v>82</v>
      </c>
      <c r="P59" s="9" t="s">
        <v>989</v>
      </c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</row>
    <row r="60" spans="1:54">
      <c r="A60" s="9">
        <v>37.742927000000002</v>
      </c>
      <c r="B60" s="9">
        <v>140.47380799999999</v>
      </c>
      <c r="C60" s="9">
        <v>131</v>
      </c>
      <c r="E60" s="9" t="s">
        <v>488</v>
      </c>
      <c r="F60" s="9" t="s">
        <v>883</v>
      </c>
      <c r="G60" s="19" t="s">
        <v>270</v>
      </c>
      <c r="H60" s="9" t="s">
        <v>362</v>
      </c>
      <c r="I60" s="46">
        <f>(0.62+0.64+0.62)/3</f>
        <v>0.62666666666666659</v>
      </c>
      <c r="J60" s="46">
        <f>(0.76+0.77+0.75)/3</f>
        <v>0.76000000000000012</v>
      </c>
      <c r="K60" s="46">
        <f>(1.1+1.2+1.1)/3</f>
        <v>1.1333333333333333</v>
      </c>
      <c r="M60" s="9" t="s">
        <v>990</v>
      </c>
      <c r="N60" s="9" t="s">
        <v>489</v>
      </c>
      <c r="O60" s="19" t="s">
        <v>466</v>
      </c>
      <c r="P60" s="9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</row>
    <row r="61" spans="1:54">
      <c r="A61" s="9">
        <v>37.742936</v>
      </c>
      <c r="B61" s="9">
        <v>140.473849</v>
      </c>
      <c r="C61" s="9">
        <v>132</v>
      </c>
      <c r="E61" s="9" t="s">
        <v>490</v>
      </c>
      <c r="F61" s="9" t="s">
        <v>883</v>
      </c>
      <c r="G61" s="19" t="s">
        <v>270</v>
      </c>
      <c r="H61" s="9" t="s">
        <v>362</v>
      </c>
      <c r="I61" s="46">
        <v>1.5669999999999999</v>
      </c>
      <c r="J61" s="46">
        <f>(1.8+1.8+1.8)/3</f>
        <v>1.8</v>
      </c>
      <c r="K61" s="46">
        <f>(1.6+1.9+1.6)/3</f>
        <v>1.7</v>
      </c>
      <c r="M61" s="9" t="s">
        <v>991</v>
      </c>
      <c r="N61" s="9" t="s">
        <v>992</v>
      </c>
      <c r="O61" s="19" t="s">
        <v>83</v>
      </c>
      <c r="P61" s="9" t="s">
        <v>993</v>
      </c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</row>
    <row r="62" spans="1:54">
      <c r="A62" s="9">
        <v>37.742936</v>
      </c>
      <c r="B62" s="9">
        <v>140.473849</v>
      </c>
      <c r="C62" s="9">
        <v>133</v>
      </c>
      <c r="E62" s="9" t="s">
        <v>491</v>
      </c>
      <c r="F62" s="9" t="s">
        <v>883</v>
      </c>
      <c r="G62" s="19" t="s">
        <v>270</v>
      </c>
      <c r="H62" s="9" t="s">
        <v>362</v>
      </c>
      <c r="I62" s="46">
        <f>(1.5+1.6+1.5)/3</f>
        <v>1.5333333333333332</v>
      </c>
      <c r="J62" s="46">
        <f>(1.7+1.7+1.7)/3</f>
        <v>1.7</v>
      </c>
      <c r="K62" s="46">
        <f>(2+2+2)/3</f>
        <v>2</v>
      </c>
      <c r="M62" s="9" t="s">
        <v>994</v>
      </c>
      <c r="N62" s="9" t="s">
        <v>995</v>
      </c>
      <c r="O62" s="19" t="s">
        <v>84</v>
      </c>
      <c r="P62" s="9" t="s">
        <v>492</v>
      </c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</row>
    <row r="63" spans="1:54">
      <c r="A63" s="9">
        <v>37.742820000000002</v>
      </c>
      <c r="B63" s="9">
        <v>140.474279</v>
      </c>
      <c r="C63" s="9">
        <v>134</v>
      </c>
      <c r="E63" s="9" t="s">
        <v>493</v>
      </c>
      <c r="F63" s="9" t="s">
        <v>883</v>
      </c>
      <c r="G63" s="19" t="s">
        <v>270</v>
      </c>
      <c r="H63" s="9" t="s">
        <v>362</v>
      </c>
      <c r="I63" s="46">
        <f>(1.6+1.6+1.6)/3</f>
        <v>1.6000000000000003</v>
      </c>
      <c r="J63" s="46">
        <f>(1.7+1.8+1.8)/3</f>
        <v>1.7666666666666666</v>
      </c>
      <c r="K63" s="46">
        <f>(2.1+2.2+2.2)/3</f>
        <v>2.166666666666667</v>
      </c>
      <c r="M63" s="9" t="s">
        <v>996</v>
      </c>
      <c r="N63" s="9" t="s">
        <v>997</v>
      </c>
      <c r="O63" s="19" t="s">
        <v>85</v>
      </c>
      <c r="P63" s="9" t="s">
        <v>494</v>
      </c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</row>
    <row r="64" spans="1:54">
      <c r="A64" s="9">
        <v>37.742820999999999</v>
      </c>
      <c r="B64" s="9">
        <v>140.47443200000001</v>
      </c>
      <c r="C64" s="9">
        <v>135</v>
      </c>
      <c r="E64" s="9" t="s">
        <v>495</v>
      </c>
      <c r="F64" s="9" t="s">
        <v>883</v>
      </c>
      <c r="G64" s="19" t="s">
        <v>270</v>
      </c>
      <c r="H64" s="9" t="s">
        <v>362</v>
      </c>
      <c r="I64" s="46">
        <f>(1.6+1.6+1.5)/3</f>
        <v>1.5666666666666667</v>
      </c>
      <c r="J64" s="46">
        <f>(1.7+1.8+1.7)/3</f>
        <v>1.7333333333333334</v>
      </c>
      <c r="K64" s="46">
        <f>(1.9+2+2)/3</f>
        <v>1.9666666666666668</v>
      </c>
      <c r="M64" s="9" t="s">
        <v>998</v>
      </c>
      <c r="N64" s="9" t="s">
        <v>496</v>
      </c>
      <c r="O64" s="19" t="s">
        <v>86</v>
      </c>
      <c r="P64" s="9" t="s">
        <v>497</v>
      </c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</row>
    <row r="65" spans="1:54">
      <c r="A65" s="9">
        <v>37.743434000000001</v>
      </c>
      <c r="B65" s="9">
        <v>140.47461999999999</v>
      </c>
      <c r="C65" s="9">
        <v>136</v>
      </c>
      <c r="E65" s="9" t="s">
        <v>498</v>
      </c>
      <c r="F65" s="9" t="s">
        <v>883</v>
      </c>
      <c r="G65" s="19" t="s">
        <v>270</v>
      </c>
      <c r="H65" s="9" t="s">
        <v>362</v>
      </c>
      <c r="I65" s="46">
        <f>(1.6+1.7+1.7)/3</f>
        <v>1.6666666666666667</v>
      </c>
      <c r="J65" s="46">
        <f>(1.8+1.8+1.9)/3</f>
        <v>1.8333333333333333</v>
      </c>
      <c r="K65" s="46">
        <f>(1.8+1.8+1.8)/3</f>
        <v>1.8</v>
      </c>
      <c r="M65" s="9" t="s">
        <v>999</v>
      </c>
      <c r="N65" s="9" t="s">
        <v>499</v>
      </c>
      <c r="O65" s="19" t="s">
        <v>87</v>
      </c>
      <c r="P65" s="9" t="s">
        <v>500</v>
      </c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</row>
    <row r="66" spans="1:54">
      <c r="A66" s="9">
        <v>37.743603</v>
      </c>
      <c r="B66" s="9">
        <v>140.474605</v>
      </c>
      <c r="C66" s="9">
        <v>137</v>
      </c>
      <c r="E66" s="9" t="s">
        <v>501</v>
      </c>
      <c r="F66" s="9" t="s">
        <v>883</v>
      </c>
      <c r="G66" s="19" t="s">
        <v>270</v>
      </c>
      <c r="H66" s="9" t="s">
        <v>362</v>
      </c>
      <c r="I66" s="46">
        <f>(1.2+1.2+1.2)/3</f>
        <v>1.2</v>
      </c>
      <c r="J66" s="46">
        <f>(1.3+1.3+1.3)/3</f>
        <v>1.3</v>
      </c>
      <c r="K66" s="46">
        <f>(1.7+1.9+1.8)/3</f>
        <v>1.7999999999999998</v>
      </c>
      <c r="M66" s="9" t="s">
        <v>1000</v>
      </c>
      <c r="N66" s="9" t="s">
        <v>1001</v>
      </c>
      <c r="O66" s="19" t="s">
        <v>88</v>
      </c>
      <c r="P66" s="9" t="s">
        <v>1002</v>
      </c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</row>
    <row r="67" spans="1:54">
      <c r="A67" s="9">
        <v>37.743664000000003</v>
      </c>
      <c r="B67" s="9">
        <v>140.474829</v>
      </c>
      <c r="C67" s="9">
        <v>138</v>
      </c>
      <c r="E67" s="9" t="s">
        <v>502</v>
      </c>
      <c r="F67" s="9" t="s">
        <v>1003</v>
      </c>
      <c r="G67" s="19" t="s">
        <v>270</v>
      </c>
      <c r="H67" s="9" t="s">
        <v>362</v>
      </c>
      <c r="I67" s="46">
        <v>0.81333333333333335</v>
      </c>
      <c r="J67" s="46">
        <v>1</v>
      </c>
      <c r="K67" s="46">
        <v>1.1000000000000001</v>
      </c>
      <c r="M67" s="9" t="s">
        <v>1004</v>
      </c>
      <c r="N67" s="9" t="s">
        <v>503</v>
      </c>
      <c r="O67" s="19" t="s">
        <v>89</v>
      </c>
      <c r="P67" s="9" t="s">
        <v>504</v>
      </c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</row>
    <row r="68" spans="1:54">
      <c r="A68" s="9">
        <v>37.743718999999999</v>
      </c>
      <c r="B68" s="9">
        <v>140.47484499999999</v>
      </c>
      <c r="C68" s="9">
        <v>139</v>
      </c>
      <c r="E68" s="9" t="s">
        <v>505</v>
      </c>
      <c r="F68" s="9" t="s">
        <v>1003</v>
      </c>
      <c r="G68" s="19" t="s">
        <v>271</v>
      </c>
      <c r="H68" s="9" t="s">
        <v>362</v>
      </c>
      <c r="I68" s="46">
        <v>1.3</v>
      </c>
      <c r="J68" s="46">
        <v>1.3999999999999997</v>
      </c>
      <c r="K68" s="46">
        <v>1.6333333333333335</v>
      </c>
      <c r="M68" s="9" t="s">
        <v>1005</v>
      </c>
      <c r="N68" s="9" t="s">
        <v>503</v>
      </c>
      <c r="O68" s="19" t="s">
        <v>89</v>
      </c>
      <c r="P68" s="9" t="s">
        <v>504</v>
      </c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</row>
    <row r="69" spans="1:54">
      <c r="A69" s="9">
        <v>37.776349000000003</v>
      </c>
      <c r="B69" s="9">
        <v>140.48834400000001</v>
      </c>
      <c r="C69" s="9">
        <v>140</v>
      </c>
      <c r="E69" s="9" t="s">
        <v>506</v>
      </c>
      <c r="F69" s="9" t="s">
        <v>1003</v>
      </c>
      <c r="G69" s="19" t="s">
        <v>271</v>
      </c>
      <c r="H69" s="9" t="s">
        <v>366</v>
      </c>
      <c r="I69" s="46">
        <v>0.95333333333333325</v>
      </c>
      <c r="J69" s="46">
        <v>0.88666666666666671</v>
      </c>
      <c r="K69" s="46">
        <v>0.90666666666666673</v>
      </c>
      <c r="M69" s="9" t="s">
        <v>1006</v>
      </c>
      <c r="N69" s="9" t="s">
        <v>1007</v>
      </c>
      <c r="O69" s="19" t="s">
        <v>89</v>
      </c>
      <c r="P69" s="9" t="s">
        <v>504</v>
      </c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</row>
    <row r="70" spans="1:54">
      <c r="A70" s="9">
        <v>37.776372000000002</v>
      </c>
      <c r="B70" s="9">
        <v>140.488394</v>
      </c>
      <c r="C70" s="9">
        <v>141</v>
      </c>
      <c r="E70" s="9" t="s">
        <v>507</v>
      </c>
      <c r="F70" s="9" t="s">
        <v>1003</v>
      </c>
      <c r="G70" s="19" t="s">
        <v>271</v>
      </c>
      <c r="H70" s="9" t="s">
        <v>366</v>
      </c>
      <c r="I70" s="46">
        <v>0.87333333333333341</v>
      </c>
      <c r="J70" s="46">
        <v>0.93</v>
      </c>
      <c r="K70" s="46">
        <v>0.94333333333333336</v>
      </c>
      <c r="M70" s="9" t="s">
        <v>1008</v>
      </c>
      <c r="N70" s="9" t="s">
        <v>1009</v>
      </c>
      <c r="O70" s="19" t="s">
        <v>90</v>
      </c>
      <c r="P70" s="9" t="s">
        <v>1010</v>
      </c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</row>
    <row r="71" spans="1:54">
      <c r="A71" s="9">
        <v>37.776367999999998</v>
      </c>
      <c r="B71" s="9">
        <v>140.48855800000001</v>
      </c>
      <c r="C71" s="9">
        <v>142</v>
      </c>
      <c r="E71" s="9" t="s">
        <v>508</v>
      </c>
      <c r="F71" s="9" t="s">
        <v>1003</v>
      </c>
      <c r="G71" s="19" t="s">
        <v>271</v>
      </c>
      <c r="H71" s="9" t="s">
        <v>366</v>
      </c>
      <c r="I71" s="46">
        <v>0.69666666666666666</v>
      </c>
      <c r="J71" s="46">
        <v>0.76666666666666661</v>
      </c>
      <c r="K71" s="46">
        <v>0.78333333333333333</v>
      </c>
      <c r="M71" s="9" t="s">
        <v>1011</v>
      </c>
      <c r="N71" s="9" t="s">
        <v>1012</v>
      </c>
      <c r="O71" s="19" t="s">
        <v>90</v>
      </c>
      <c r="P71" s="9" t="s">
        <v>1010</v>
      </c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</row>
    <row r="72" spans="1:54">
      <c r="A72" s="9">
        <v>37.776364000000001</v>
      </c>
      <c r="B72" s="9">
        <v>140.48867799999999</v>
      </c>
      <c r="C72" s="9">
        <v>143</v>
      </c>
      <c r="E72" s="9" t="s">
        <v>509</v>
      </c>
      <c r="F72" s="9" t="s">
        <v>1003</v>
      </c>
      <c r="G72" s="19" t="s">
        <v>271</v>
      </c>
      <c r="H72" s="9" t="s">
        <v>366</v>
      </c>
      <c r="I72" s="46">
        <v>0.98666666666666669</v>
      </c>
      <c r="J72" s="46">
        <v>1.1000000000000001</v>
      </c>
      <c r="K72" s="46">
        <v>1.1000000000000001</v>
      </c>
      <c r="M72" s="9" t="s">
        <v>1013</v>
      </c>
      <c r="N72" s="9" t="s">
        <v>1014</v>
      </c>
      <c r="O72" s="19" t="s">
        <v>241</v>
      </c>
      <c r="P72" s="9" t="s">
        <v>510</v>
      </c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</row>
    <row r="73" spans="1:54">
      <c r="A73" s="9">
        <v>37.776389000000002</v>
      </c>
      <c r="B73" s="9">
        <v>140.48887400000001</v>
      </c>
      <c r="C73" s="9">
        <v>144</v>
      </c>
      <c r="E73" s="9" t="s">
        <v>511</v>
      </c>
      <c r="F73" s="9" t="s">
        <v>1003</v>
      </c>
      <c r="G73" s="19" t="s">
        <v>271</v>
      </c>
      <c r="H73" s="9" t="s">
        <v>366</v>
      </c>
      <c r="I73" s="46">
        <v>0.66666666666666663</v>
      </c>
      <c r="J73" s="46">
        <v>0.75666666666666671</v>
      </c>
      <c r="K73" s="46">
        <v>0.85</v>
      </c>
      <c r="M73" s="9" t="s">
        <v>1015</v>
      </c>
      <c r="N73" s="9" t="s">
        <v>512</v>
      </c>
      <c r="O73" s="19" t="s">
        <v>241</v>
      </c>
      <c r="P73" s="9" t="s">
        <v>510</v>
      </c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</row>
    <row r="74" spans="1:54">
      <c r="A74" s="9">
        <v>37.776589000000001</v>
      </c>
      <c r="B74" s="9">
        <v>140.48935599999999</v>
      </c>
      <c r="C74" s="9">
        <v>145</v>
      </c>
      <c r="E74" s="9" t="s">
        <v>513</v>
      </c>
      <c r="F74" s="9" t="s">
        <v>1003</v>
      </c>
      <c r="G74" s="19" t="s">
        <v>271</v>
      </c>
      <c r="H74" s="9" t="s">
        <v>366</v>
      </c>
      <c r="I74" s="46">
        <v>0.67666666666666675</v>
      </c>
      <c r="J74" s="46">
        <v>0.79333333333333333</v>
      </c>
      <c r="K74" s="46">
        <v>0.79666666666666675</v>
      </c>
      <c r="M74" s="9" t="s">
        <v>1016</v>
      </c>
      <c r="N74" s="9" t="s">
        <v>1017</v>
      </c>
      <c r="O74" s="19" t="s">
        <v>242</v>
      </c>
      <c r="P74" s="9" t="s">
        <v>514</v>
      </c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</row>
    <row r="75" spans="1:54">
      <c r="A75" s="9">
        <v>37.776654999999998</v>
      </c>
      <c r="B75" s="9">
        <v>140.489484</v>
      </c>
      <c r="C75" s="9">
        <v>146</v>
      </c>
      <c r="E75" s="9" t="s">
        <v>515</v>
      </c>
      <c r="F75" s="9" t="s">
        <v>1003</v>
      </c>
      <c r="G75" s="19" t="s">
        <v>271</v>
      </c>
      <c r="H75" s="9" t="s">
        <v>366</v>
      </c>
      <c r="I75" s="46">
        <v>0.25333333333333335</v>
      </c>
      <c r="J75" s="46">
        <v>0.28666666666666668</v>
      </c>
      <c r="K75" s="46">
        <v>0.34999999999999992</v>
      </c>
      <c r="M75" s="9" t="s">
        <v>1018</v>
      </c>
      <c r="N75" s="9" t="s">
        <v>1019</v>
      </c>
      <c r="O75" s="19" t="s">
        <v>91</v>
      </c>
      <c r="P75" s="9" t="s">
        <v>516</v>
      </c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</row>
    <row r="76" spans="1:54">
      <c r="A76" s="9">
        <v>37.776693000000002</v>
      </c>
      <c r="B76" s="9">
        <v>140.48960199999999</v>
      </c>
      <c r="C76" s="9">
        <v>147</v>
      </c>
      <c r="E76" s="9" t="s">
        <v>517</v>
      </c>
      <c r="F76" s="9" t="s">
        <v>1003</v>
      </c>
      <c r="G76" s="19" t="s">
        <v>271</v>
      </c>
      <c r="H76" s="9" t="s">
        <v>366</v>
      </c>
      <c r="I76" s="46">
        <v>0.49666666666666665</v>
      </c>
      <c r="J76" s="46">
        <v>0.43666666666666659</v>
      </c>
      <c r="K76" s="46">
        <v>0.34</v>
      </c>
      <c r="M76" s="9" t="s">
        <v>1020</v>
      </c>
      <c r="N76" s="9" t="s">
        <v>1021</v>
      </c>
      <c r="O76" s="19" t="s">
        <v>92</v>
      </c>
      <c r="P76" s="9" t="s">
        <v>1022</v>
      </c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</row>
    <row r="77" spans="1:54">
      <c r="A77" s="9">
        <v>37.776780000000002</v>
      </c>
      <c r="B77" s="9">
        <v>140.48966799999999</v>
      </c>
      <c r="C77" s="9">
        <v>148</v>
      </c>
      <c r="E77" s="9" t="s">
        <v>518</v>
      </c>
      <c r="F77" s="9" t="s">
        <v>1003</v>
      </c>
      <c r="G77" s="19" t="s">
        <v>271</v>
      </c>
      <c r="H77" s="9" t="s">
        <v>366</v>
      </c>
      <c r="I77" s="46">
        <v>0.90333333333333332</v>
      </c>
      <c r="J77" s="46">
        <v>1.1000000000000001</v>
      </c>
      <c r="K77" s="46">
        <v>1.1333333333333333</v>
      </c>
      <c r="M77" s="9" t="s">
        <v>1023</v>
      </c>
      <c r="N77" s="9" t="s">
        <v>1024</v>
      </c>
      <c r="O77" s="19" t="s">
        <v>93</v>
      </c>
      <c r="P77" s="9" t="s">
        <v>519</v>
      </c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</row>
    <row r="78" spans="1:54">
      <c r="A78" s="9">
        <v>37.776668000000001</v>
      </c>
      <c r="B78" s="9">
        <v>140.48927599999999</v>
      </c>
      <c r="C78" s="9">
        <v>149</v>
      </c>
      <c r="E78" s="9" t="s">
        <v>520</v>
      </c>
      <c r="F78" s="9" t="s">
        <v>1003</v>
      </c>
      <c r="G78" s="19" t="s">
        <v>271</v>
      </c>
      <c r="H78" s="9" t="s">
        <v>366</v>
      </c>
      <c r="I78" s="46">
        <v>0.39666666666666667</v>
      </c>
      <c r="J78" s="46">
        <v>0.49666666666666665</v>
      </c>
      <c r="K78" s="46">
        <v>0.62666666666666659</v>
      </c>
      <c r="M78" s="9" t="s">
        <v>1025</v>
      </c>
      <c r="N78" s="9" t="s">
        <v>1026</v>
      </c>
      <c r="O78" s="19" t="s">
        <v>94</v>
      </c>
      <c r="P78" s="9" t="s">
        <v>521</v>
      </c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</row>
    <row r="79" spans="1:54">
      <c r="A79" s="9">
        <v>37.776536</v>
      </c>
      <c r="B79" s="9">
        <v>140.488607</v>
      </c>
      <c r="C79" s="9">
        <v>150</v>
      </c>
      <c r="E79" s="9" t="s">
        <v>522</v>
      </c>
      <c r="F79" s="9" t="s">
        <v>1003</v>
      </c>
      <c r="G79" s="19" t="s">
        <v>271</v>
      </c>
      <c r="H79" s="9" t="s">
        <v>366</v>
      </c>
      <c r="I79" s="46">
        <v>1.0666666666666667</v>
      </c>
      <c r="J79" s="46">
        <v>1.3</v>
      </c>
      <c r="K79" s="46">
        <v>1.5666666666666667</v>
      </c>
      <c r="M79" s="9" t="s">
        <v>1027</v>
      </c>
      <c r="N79" s="9" t="s">
        <v>1028</v>
      </c>
      <c r="O79" s="19" t="s">
        <v>95</v>
      </c>
      <c r="P79" s="9" t="s">
        <v>523</v>
      </c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</row>
    <row r="80" spans="1:54">
      <c r="A80" s="9">
        <v>37.776176</v>
      </c>
      <c r="B80" s="9">
        <v>140.48829900000001</v>
      </c>
      <c r="C80" s="9">
        <v>151</v>
      </c>
      <c r="E80" s="9" t="s">
        <v>524</v>
      </c>
      <c r="F80" s="9" t="s">
        <v>1003</v>
      </c>
      <c r="G80" s="19" t="s">
        <v>271</v>
      </c>
      <c r="H80" s="9" t="s">
        <v>366</v>
      </c>
      <c r="I80" s="46">
        <v>0.81</v>
      </c>
      <c r="J80" s="46">
        <v>0.9</v>
      </c>
      <c r="K80" s="46">
        <v>0.92666666666666675</v>
      </c>
      <c r="M80" s="9" t="s">
        <v>1029</v>
      </c>
      <c r="N80" s="9" t="s">
        <v>1030</v>
      </c>
      <c r="O80" s="19" t="s">
        <v>96</v>
      </c>
      <c r="P80" s="9" t="s">
        <v>525</v>
      </c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</row>
    <row r="81" spans="1:54">
      <c r="A81" s="9">
        <v>37.775841</v>
      </c>
      <c r="B81" s="9">
        <v>140.487773</v>
      </c>
      <c r="C81" s="9">
        <v>152</v>
      </c>
      <c r="E81" s="9" t="s">
        <v>526</v>
      </c>
      <c r="F81" s="9" t="s">
        <v>1003</v>
      </c>
      <c r="G81" s="19" t="s">
        <v>271</v>
      </c>
      <c r="H81" s="9" t="s">
        <v>366</v>
      </c>
      <c r="I81" s="46">
        <v>0.97333333333333327</v>
      </c>
      <c r="J81" s="46">
        <v>1.1333333333333333</v>
      </c>
      <c r="K81" s="46">
        <v>1.2333333333333334</v>
      </c>
      <c r="M81" s="9" t="s">
        <v>1031</v>
      </c>
      <c r="N81" s="9" t="s">
        <v>1032</v>
      </c>
      <c r="O81" s="19" t="s">
        <v>97</v>
      </c>
      <c r="P81" s="9" t="s">
        <v>527</v>
      </c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</row>
    <row r="82" spans="1:54">
      <c r="A82" s="9">
        <v>37.776014000000004</v>
      </c>
      <c r="B82" s="9">
        <v>140.48755700000001</v>
      </c>
      <c r="C82" s="9">
        <v>153</v>
      </c>
      <c r="E82" s="9" t="s">
        <v>528</v>
      </c>
      <c r="F82" s="9" t="s">
        <v>1003</v>
      </c>
      <c r="G82" s="19" t="s">
        <v>271</v>
      </c>
      <c r="H82" s="9" t="s">
        <v>366</v>
      </c>
      <c r="I82" s="46">
        <v>0.86</v>
      </c>
      <c r="J82" s="46">
        <v>0.96666666666666667</v>
      </c>
      <c r="K82" s="46">
        <v>0.98666666666666669</v>
      </c>
      <c r="M82" s="9" t="s">
        <v>1033</v>
      </c>
      <c r="N82" s="9" t="s">
        <v>1034</v>
      </c>
      <c r="O82" s="19" t="s">
        <v>98</v>
      </c>
      <c r="P82" s="9" t="s">
        <v>529</v>
      </c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</row>
    <row r="83" spans="1:54">
      <c r="A83" s="9">
        <v>37.775953999999999</v>
      </c>
      <c r="B83" s="9">
        <v>140.48754099999999</v>
      </c>
      <c r="C83" s="9">
        <v>154</v>
      </c>
      <c r="E83" s="9" t="s">
        <v>530</v>
      </c>
      <c r="F83" s="9" t="s">
        <v>1003</v>
      </c>
      <c r="G83" s="19" t="s">
        <v>271</v>
      </c>
      <c r="H83" s="9" t="s">
        <v>366</v>
      </c>
      <c r="I83" s="46">
        <v>1.0666666666666667</v>
      </c>
      <c r="J83" s="46">
        <v>1.2666666666666666</v>
      </c>
      <c r="K83" s="46">
        <v>1.7333333333333334</v>
      </c>
      <c r="M83" s="9" t="s">
        <v>1035</v>
      </c>
      <c r="N83" s="9" t="s">
        <v>1036</v>
      </c>
      <c r="O83" s="19" t="s">
        <v>99</v>
      </c>
      <c r="P83" s="9" t="s">
        <v>531</v>
      </c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</row>
    <row r="84" spans="1:54">
      <c r="A84" s="9">
        <v>37.775924000000003</v>
      </c>
      <c r="B84" s="9">
        <v>140.487537</v>
      </c>
      <c r="C84" s="9">
        <v>155</v>
      </c>
      <c r="E84" s="9" t="s">
        <v>532</v>
      </c>
      <c r="F84" s="9" t="s">
        <v>1003</v>
      </c>
      <c r="G84" s="19" t="s">
        <v>271</v>
      </c>
      <c r="H84" s="9" t="s">
        <v>366</v>
      </c>
      <c r="I84" s="46">
        <v>0.68333333333333324</v>
      </c>
      <c r="J84" s="46">
        <v>0.83</v>
      </c>
      <c r="K84" s="46">
        <v>1</v>
      </c>
      <c r="M84" s="9" t="s">
        <v>1037</v>
      </c>
      <c r="N84" s="9" t="s">
        <v>1038</v>
      </c>
      <c r="O84" s="19" t="s">
        <v>100</v>
      </c>
      <c r="P84" s="9" t="s">
        <v>533</v>
      </c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</row>
    <row r="85" spans="1:54">
      <c r="A85" s="9">
        <v>37.775910000000003</v>
      </c>
      <c r="B85" s="9">
        <v>140.48756499999999</v>
      </c>
      <c r="C85" s="9">
        <v>156</v>
      </c>
      <c r="E85" s="9" t="s">
        <v>534</v>
      </c>
      <c r="F85" s="9" t="s">
        <v>1003</v>
      </c>
      <c r="G85" s="19" t="s">
        <v>271</v>
      </c>
      <c r="H85" s="9" t="s">
        <v>366</v>
      </c>
      <c r="I85" s="46">
        <v>1.0333333333333334</v>
      </c>
      <c r="J85" s="46">
        <v>1.2</v>
      </c>
      <c r="K85" s="46">
        <v>1.4666666666666668</v>
      </c>
      <c r="M85" s="9" t="s">
        <v>1039</v>
      </c>
      <c r="N85" s="9" t="s">
        <v>1040</v>
      </c>
      <c r="O85" s="19" t="s">
        <v>101</v>
      </c>
      <c r="P85" s="9" t="s">
        <v>535</v>
      </c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</row>
    <row r="86" spans="1:54">
      <c r="A86" s="9">
        <v>37.775883</v>
      </c>
      <c r="B86" s="9">
        <v>140.48750799999999</v>
      </c>
      <c r="C86" s="9">
        <v>157</v>
      </c>
      <c r="E86" s="9" t="s">
        <v>536</v>
      </c>
      <c r="F86" s="9" t="s">
        <v>1003</v>
      </c>
      <c r="G86" s="19" t="s">
        <v>271</v>
      </c>
      <c r="H86" s="9" t="s">
        <v>366</v>
      </c>
      <c r="I86" s="46">
        <v>1.0333333333333334</v>
      </c>
      <c r="J86" s="46">
        <v>1.1666666666666667</v>
      </c>
      <c r="K86" s="46">
        <v>1.1333333333333333</v>
      </c>
      <c r="M86" s="9" t="s">
        <v>1041</v>
      </c>
      <c r="N86" s="9" t="s">
        <v>1042</v>
      </c>
      <c r="O86" s="19" t="s">
        <v>102</v>
      </c>
      <c r="P86" s="9" t="s">
        <v>537</v>
      </c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</row>
    <row r="87" spans="1:54">
      <c r="A87" s="9">
        <v>37.775812000000002</v>
      </c>
      <c r="B87" s="9">
        <v>140.48771199999999</v>
      </c>
      <c r="C87" s="9">
        <v>158</v>
      </c>
      <c r="E87" s="9" t="s">
        <v>538</v>
      </c>
      <c r="F87" s="9" t="s">
        <v>1003</v>
      </c>
      <c r="G87" s="19" t="s">
        <v>271</v>
      </c>
      <c r="H87" s="9" t="s">
        <v>366</v>
      </c>
      <c r="I87" s="46">
        <v>0.89</v>
      </c>
      <c r="J87" s="46">
        <v>1.1333333333333333</v>
      </c>
      <c r="K87" s="46">
        <v>1.1666666666666667</v>
      </c>
      <c r="M87" s="9" t="s">
        <v>1043</v>
      </c>
      <c r="N87" s="9" t="s">
        <v>1044</v>
      </c>
      <c r="O87" s="19" t="s">
        <v>103</v>
      </c>
      <c r="P87" s="9" t="s">
        <v>539</v>
      </c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</row>
    <row r="88" spans="1:54">
      <c r="A88" s="9">
        <v>37.775855</v>
      </c>
      <c r="B88" s="9">
        <v>140.48774900000001</v>
      </c>
      <c r="C88" s="9">
        <v>159</v>
      </c>
      <c r="E88" s="9" t="s">
        <v>540</v>
      </c>
      <c r="F88" s="9" t="s">
        <v>1003</v>
      </c>
      <c r="G88" s="19" t="s">
        <v>271</v>
      </c>
      <c r="H88" s="9" t="s">
        <v>366</v>
      </c>
      <c r="I88" s="46">
        <v>1.1666666666666667</v>
      </c>
      <c r="J88" s="46">
        <v>1.3666666666666665</v>
      </c>
      <c r="K88" s="46">
        <v>1.3</v>
      </c>
      <c r="M88" s="9" t="s">
        <v>1045</v>
      </c>
      <c r="N88" s="9" t="s">
        <v>1046</v>
      </c>
      <c r="O88" s="19" t="s">
        <v>104</v>
      </c>
      <c r="P88" s="9" t="s">
        <v>541</v>
      </c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</row>
    <row r="89" spans="1:54">
      <c r="A89" s="9">
        <v>37.775893000000003</v>
      </c>
      <c r="B89" s="9">
        <v>140.48776599999999</v>
      </c>
      <c r="C89" s="9">
        <v>160</v>
      </c>
      <c r="E89" s="9" t="s">
        <v>542</v>
      </c>
      <c r="F89" s="9" t="s">
        <v>1003</v>
      </c>
      <c r="G89" s="19" t="s">
        <v>271</v>
      </c>
      <c r="H89" s="9" t="s">
        <v>366</v>
      </c>
      <c r="I89" s="46">
        <v>0.89</v>
      </c>
      <c r="J89" s="46">
        <v>1.17</v>
      </c>
      <c r="K89" s="46">
        <v>1.167</v>
      </c>
      <c r="M89" s="9" t="s">
        <v>1047</v>
      </c>
      <c r="N89" s="9" t="s">
        <v>20</v>
      </c>
      <c r="O89" s="19" t="s">
        <v>105</v>
      </c>
      <c r="P89" s="9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</row>
    <row r="90" spans="1:54">
      <c r="A90" s="9">
        <v>37.775908000000001</v>
      </c>
      <c r="B90" s="9">
        <v>140.48770400000001</v>
      </c>
      <c r="C90" s="9">
        <v>161</v>
      </c>
      <c r="E90" s="9" t="s">
        <v>543</v>
      </c>
      <c r="F90" s="9" t="s">
        <v>1003</v>
      </c>
      <c r="G90" s="19" t="s">
        <v>271</v>
      </c>
      <c r="H90" s="9" t="s">
        <v>366</v>
      </c>
      <c r="I90" s="46">
        <v>1.17</v>
      </c>
      <c r="J90" s="46">
        <v>1.37</v>
      </c>
      <c r="K90" s="46">
        <v>1.3</v>
      </c>
      <c r="M90" s="9" t="s">
        <v>1048</v>
      </c>
      <c r="N90" s="9" t="s">
        <v>544</v>
      </c>
      <c r="O90" s="19" t="s">
        <v>105</v>
      </c>
      <c r="P90" s="9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</row>
    <row r="91" spans="1:54">
      <c r="A91" s="9">
        <v>37.758192000000001</v>
      </c>
      <c r="B91" s="9">
        <v>140.468197</v>
      </c>
      <c r="C91" s="9">
        <v>162</v>
      </c>
      <c r="E91" s="9" t="s">
        <v>545</v>
      </c>
      <c r="F91" s="9" t="s">
        <v>1049</v>
      </c>
      <c r="G91" s="19" t="s">
        <v>271</v>
      </c>
      <c r="H91" s="9" t="s">
        <v>370</v>
      </c>
      <c r="I91" s="46">
        <f>(0.23+0.22+0.22)/3</f>
        <v>0.22333333333333336</v>
      </c>
      <c r="J91" s="46">
        <f>(0.23+0.23+0.23)/3</f>
        <v>0.23</v>
      </c>
      <c r="K91" s="46">
        <f>(0.2+0.23+0.2)/3</f>
        <v>0.21000000000000005</v>
      </c>
      <c r="L91" s="9" t="s">
        <v>356</v>
      </c>
      <c r="M91" s="9" t="s">
        <v>1050</v>
      </c>
      <c r="N91" s="9" t="s">
        <v>546</v>
      </c>
      <c r="O91" s="18" t="s">
        <v>106</v>
      </c>
      <c r="P91" s="9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</row>
    <row r="92" spans="1:54">
      <c r="A92" s="9">
        <v>37.758277999999997</v>
      </c>
      <c r="B92" s="9">
        <v>140.46820500000001</v>
      </c>
      <c r="C92" s="9">
        <v>163</v>
      </c>
      <c r="E92" s="9" t="s">
        <v>547</v>
      </c>
      <c r="F92" s="9" t="s">
        <v>1049</v>
      </c>
      <c r="G92" s="19" t="s">
        <v>272</v>
      </c>
      <c r="H92" s="9" t="s">
        <v>370</v>
      </c>
      <c r="I92" s="46">
        <f>(0.31+0.28+0.29)/3</f>
        <v>0.29333333333333339</v>
      </c>
      <c r="J92" s="46">
        <f>(0.37+0.36+0.37)/3</f>
        <v>0.3666666666666667</v>
      </c>
      <c r="K92" s="46">
        <f>(0.41+0.39+0.38)/3</f>
        <v>0.39333333333333337</v>
      </c>
      <c r="L92" s="9" t="s">
        <v>360</v>
      </c>
      <c r="M92" s="9" t="s">
        <v>1051</v>
      </c>
      <c r="N92" s="9" t="s">
        <v>782</v>
      </c>
      <c r="O92" s="18" t="s">
        <v>107</v>
      </c>
      <c r="P92" s="9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</row>
    <row r="93" spans="1:54">
      <c r="A93" s="9">
        <v>37.758274</v>
      </c>
      <c r="B93" s="9">
        <v>140.46815599999999</v>
      </c>
      <c r="C93" s="9">
        <v>164</v>
      </c>
      <c r="E93" s="9" t="s">
        <v>548</v>
      </c>
      <c r="F93" s="9" t="s">
        <v>1049</v>
      </c>
      <c r="G93" s="19" t="s">
        <v>272</v>
      </c>
      <c r="H93" s="9" t="s">
        <v>370</v>
      </c>
      <c r="I93" s="46">
        <f>(0.29+0.27+0.28)/3</f>
        <v>0.28000000000000003</v>
      </c>
      <c r="J93" s="46">
        <f>(0.32+0.31+0.33)/3</f>
        <v>0.32</v>
      </c>
      <c r="K93" s="46">
        <f>(0.35+0.34+0.033)/3</f>
        <v>0.24099999999999999</v>
      </c>
      <c r="L93" s="9" t="s">
        <v>364</v>
      </c>
      <c r="M93" s="9" t="s">
        <v>1052</v>
      </c>
      <c r="N93" s="9" t="s">
        <v>784</v>
      </c>
      <c r="O93" s="18" t="s">
        <v>108</v>
      </c>
      <c r="P93" s="9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</row>
    <row r="94" spans="1:54" ht="18.75">
      <c r="A94" s="9">
        <v>37.758285999999998</v>
      </c>
      <c r="B94" s="9">
        <v>140.46809099999999</v>
      </c>
      <c r="C94" s="9">
        <v>165</v>
      </c>
      <c r="E94" s="9" t="s">
        <v>549</v>
      </c>
      <c r="F94" s="9" t="s">
        <v>1049</v>
      </c>
      <c r="G94" s="19" t="s">
        <v>272</v>
      </c>
      <c r="H94" s="9" t="s">
        <v>370</v>
      </c>
      <c r="I94" s="46">
        <f>(0.35+0.33+0.36)/3</f>
        <v>0.34666666666666668</v>
      </c>
      <c r="J94" s="46">
        <f>(0.37+0.33+0.38)/3</f>
        <v>0.36000000000000004</v>
      </c>
      <c r="K94" s="46">
        <f>(0.34+0.34+0.35)/3</f>
        <v>0.34333333333333332</v>
      </c>
      <c r="L94" s="9" t="s">
        <v>387</v>
      </c>
      <c r="M94" s="9" t="s">
        <v>1053</v>
      </c>
      <c r="N94" s="9" t="s">
        <v>785</v>
      </c>
      <c r="O94" s="18" t="s">
        <v>243</v>
      </c>
      <c r="P94" s="9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</row>
    <row r="95" spans="1:54" ht="18.75">
      <c r="A95" s="9">
        <v>37.758308</v>
      </c>
      <c r="B95" s="9">
        <v>140.46806000000001</v>
      </c>
      <c r="C95" s="9">
        <v>166</v>
      </c>
      <c r="E95" s="9" t="s">
        <v>550</v>
      </c>
      <c r="F95" s="9" t="s">
        <v>1049</v>
      </c>
      <c r="G95" s="19" t="s">
        <v>272</v>
      </c>
      <c r="H95" s="9" t="s">
        <v>370</v>
      </c>
      <c r="I95" s="46">
        <f>(0.4+0.43+0.42)/3</f>
        <v>0.41666666666666669</v>
      </c>
      <c r="J95" s="46">
        <f>(0.46+0.41+0.42)/3</f>
        <v>0.43</v>
      </c>
      <c r="K95" s="46">
        <f>(0.4+0.4+0.4)/3</f>
        <v>0.40000000000000008</v>
      </c>
      <c r="L95" s="9" t="s">
        <v>387</v>
      </c>
      <c r="M95" s="9" t="s">
        <v>1054</v>
      </c>
      <c r="N95" s="9" t="s">
        <v>786</v>
      </c>
      <c r="O95" s="18" t="s">
        <v>244</v>
      </c>
      <c r="P95" s="9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</row>
    <row r="96" spans="1:54">
      <c r="A96" s="9">
        <v>37.758271000000001</v>
      </c>
      <c r="B96" s="9">
        <v>140.46793500000001</v>
      </c>
      <c r="C96" s="9">
        <v>167</v>
      </c>
      <c r="E96" s="9" t="s">
        <v>551</v>
      </c>
      <c r="F96" s="9" t="s">
        <v>1049</v>
      </c>
      <c r="G96" s="19" t="s">
        <v>272</v>
      </c>
      <c r="H96" s="9" t="s">
        <v>370</v>
      </c>
      <c r="I96" s="46">
        <f>(1+1+1.1)/3</f>
        <v>1.0333333333333334</v>
      </c>
      <c r="J96" s="46">
        <f>(1.2+1.2+1.3)/3</f>
        <v>1.2333333333333334</v>
      </c>
      <c r="K96" s="46">
        <f>(1.9+2+1.9)/3</f>
        <v>1.9333333333333333</v>
      </c>
      <c r="M96" s="9" t="s">
        <v>1055</v>
      </c>
      <c r="N96" s="9" t="s">
        <v>552</v>
      </c>
      <c r="O96" s="18" t="s">
        <v>109</v>
      </c>
      <c r="P96" s="9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</row>
    <row r="97" spans="1:54">
      <c r="A97" s="9">
        <v>37.758502</v>
      </c>
      <c r="B97" s="9">
        <v>140.46796399999999</v>
      </c>
      <c r="C97" s="9">
        <v>168</v>
      </c>
      <c r="E97" s="9" t="s">
        <v>553</v>
      </c>
      <c r="F97" s="9" t="s">
        <v>1049</v>
      </c>
      <c r="G97" s="19" t="s">
        <v>272</v>
      </c>
      <c r="H97" s="9" t="s">
        <v>370</v>
      </c>
      <c r="I97" s="46">
        <f>(0.56+0.52+0.55)/3</f>
        <v>0.54333333333333333</v>
      </c>
      <c r="J97" s="46">
        <f>(0.57+0.58+0.59)/3</f>
        <v>0.57999999999999996</v>
      </c>
      <c r="K97" s="46">
        <f>(0.52+0.56+0.54)/3</f>
        <v>0.54</v>
      </c>
      <c r="M97" s="9" t="s">
        <v>1056</v>
      </c>
      <c r="N97" s="9" t="s">
        <v>554</v>
      </c>
      <c r="O97" s="18" t="s">
        <v>110</v>
      </c>
      <c r="P97" s="9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</row>
    <row r="98" spans="1:54">
      <c r="A98" s="9">
        <v>37.757814000000003</v>
      </c>
      <c r="B98" s="9">
        <v>140.46879999999999</v>
      </c>
      <c r="C98" s="9">
        <v>169</v>
      </c>
      <c r="E98" s="9" t="s">
        <v>555</v>
      </c>
      <c r="F98" s="9" t="s">
        <v>1049</v>
      </c>
      <c r="G98" s="19" t="s">
        <v>272</v>
      </c>
      <c r="H98" s="9" t="s">
        <v>370</v>
      </c>
      <c r="I98" s="46">
        <f>(0.15+0.13+0.14)/3</f>
        <v>0.14000000000000001</v>
      </c>
      <c r="J98" s="46">
        <f>(0.15+0.15+0.13)/3</f>
        <v>0.14333333333333334</v>
      </c>
      <c r="K98" s="46">
        <f>(0.15+0.16+0.14)/3</f>
        <v>0.15</v>
      </c>
      <c r="M98" s="9" t="s">
        <v>1057</v>
      </c>
      <c r="N98" s="9" t="s">
        <v>783</v>
      </c>
      <c r="O98" s="18" t="s">
        <v>111</v>
      </c>
      <c r="P98" s="9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</row>
    <row r="99" spans="1:54">
      <c r="A99" s="9">
        <v>37.756413000000002</v>
      </c>
      <c r="B99" s="9">
        <v>140.46826899999999</v>
      </c>
      <c r="C99" s="9">
        <v>170</v>
      </c>
      <c r="E99" s="9" t="s">
        <v>556</v>
      </c>
      <c r="F99" s="9" t="s">
        <v>1058</v>
      </c>
      <c r="G99" s="19" t="s">
        <v>272</v>
      </c>
      <c r="H99" s="9" t="s">
        <v>370</v>
      </c>
      <c r="I99" s="46">
        <f>(1+0.98+0.95)/3</f>
        <v>0.97666666666666657</v>
      </c>
      <c r="J99" s="46">
        <f>(1.5+1.2+1.3)/3</f>
        <v>1.3333333333333333</v>
      </c>
      <c r="K99" s="46">
        <f>(1.6+1.7+1.6)/3</f>
        <v>1.6333333333333335</v>
      </c>
      <c r="M99" s="9" t="s">
        <v>1059</v>
      </c>
      <c r="N99" s="9" t="s">
        <v>557</v>
      </c>
      <c r="O99" s="18" t="s">
        <v>112</v>
      </c>
      <c r="P99" s="9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</row>
    <row r="100" spans="1:54">
      <c r="A100" s="9">
        <v>37.763390999999999</v>
      </c>
      <c r="B100" s="9">
        <v>140.462771</v>
      </c>
      <c r="C100" s="9">
        <v>171</v>
      </c>
      <c r="E100" s="9" t="s">
        <v>558</v>
      </c>
      <c r="F100" s="9" t="s">
        <v>1060</v>
      </c>
      <c r="G100" s="19" t="s">
        <v>273</v>
      </c>
      <c r="H100" s="9" t="s">
        <v>370</v>
      </c>
      <c r="I100" s="46">
        <f>(0.21+0.22+0.23)/3</f>
        <v>0.22</v>
      </c>
      <c r="J100" s="46">
        <f>(0.24+0.24+0.23)/3</f>
        <v>0.23666666666666666</v>
      </c>
      <c r="K100" s="46">
        <f>(0.19+0.19+0.18)/3</f>
        <v>0.18666666666666668</v>
      </c>
      <c r="L100" s="9" t="s">
        <v>356</v>
      </c>
      <c r="M100" s="9" t="s">
        <v>1061</v>
      </c>
      <c r="N100" s="9" t="s">
        <v>787</v>
      </c>
      <c r="O100" s="18" t="s">
        <v>113</v>
      </c>
      <c r="P100" s="9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</row>
    <row r="101" spans="1:54">
      <c r="A101" s="9">
        <v>37.763399</v>
      </c>
      <c r="B101" s="9">
        <v>140.46278100000001</v>
      </c>
      <c r="C101" s="9">
        <v>172</v>
      </c>
      <c r="E101" s="9" t="s">
        <v>559</v>
      </c>
      <c r="F101" s="9" t="s">
        <v>1060</v>
      </c>
      <c r="G101" s="19" t="s">
        <v>274</v>
      </c>
      <c r="H101" s="9" t="s">
        <v>370</v>
      </c>
      <c r="I101" s="46">
        <f>(0.2+0.21+0.19)/3</f>
        <v>0.20000000000000004</v>
      </c>
      <c r="J101" s="46">
        <f>(0.21+0.22+0.21)/3</f>
        <v>0.21333333333333335</v>
      </c>
      <c r="K101" s="46">
        <f>(0.19+0.19+0.18)/3</f>
        <v>0.18666666666666668</v>
      </c>
      <c r="L101" s="9" t="s">
        <v>360</v>
      </c>
      <c r="M101" s="9" t="s">
        <v>1062</v>
      </c>
      <c r="N101" s="9" t="s">
        <v>788</v>
      </c>
      <c r="O101" s="18" t="s">
        <v>114</v>
      </c>
      <c r="P101" s="9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</row>
    <row r="102" spans="1:54">
      <c r="A102" s="9">
        <v>37.763367000000002</v>
      </c>
      <c r="B102" s="9">
        <v>140.462785</v>
      </c>
      <c r="C102" s="9">
        <v>173</v>
      </c>
      <c r="E102" s="9" t="s">
        <v>560</v>
      </c>
      <c r="F102" s="9" t="s">
        <v>1060</v>
      </c>
      <c r="G102" s="19" t="s">
        <v>274</v>
      </c>
      <c r="H102" s="9" t="s">
        <v>370</v>
      </c>
      <c r="I102" s="46">
        <f>(0.27+0.28+0.26)/3</f>
        <v>0.27</v>
      </c>
      <c r="J102" s="46">
        <f>(0.27+0.28+0.29)/3</f>
        <v>0.28000000000000003</v>
      </c>
      <c r="K102" s="46">
        <f>(0.27+0.28+0.26)/3</f>
        <v>0.27</v>
      </c>
      <c r="L102" s="9" t="s">
        <v>364</v>
      </c>
      <c r="M102" s="9" t="s">
        <v>1063</v>
      </c>
      <c r="N102" s="9" t="s">
        <v>789</v>
      </c>
      <c r="O102" s="18" t="s">
        <v>115</v>
      </c>
      <c r="P102" s="9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</row>
    <row r="103" spans="1:54">
      <c r="A103" s="9">
        <v>37.763367000000002</v>
      </c>
      <c r="B103" s="9">
        <v>140.462785</v>
      </c>
      <c r="C103" s="9">
        <v>174</v>
      </c>
      <c r="E103" s="9" t="s">
        <v>561</v>
      </c>
      <c r="F103" s="9" t="s">
        <v>1060</v>
      </c>
      <c r="G103" s="19" t="s">
        <v>274</v>
      </c>
      <c r="H103" s="9" t="s">
        <v>370</v>
      </c>
      <c r="I103" s="46">
        <f>(0.32+0.33+0.32)/3</f>
        <v>0.32333333333333331</v>
      </c>
      <c r="J103" s="46">
        <f>(0.35+0.38+0.36)/3</f>
        <v>0.36333333333333329</v>
      </c>
      <c r="K103" s="46">
        <f>(0.32+0.33+0.34)/3</f>
        <v>0.33</v>
      </c>
      <c r="L103" s="9" t="s">
        <v>791</v>
      </c>
      <c r="M103" s="9" t="s">
        <v>1064</v>
      </c>
      <c r="N103" s="9" t="s">
        <v>790</v>
      </c>
      <c r="O103" s="18" t="s">
        <v>116</v>
      </c>
      <c r="P103" s="9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</row>
    <row r="104" spans="1:54">
      <c r="A104" s="9">
        <v>37.763249999999999</v>
      </c>
      <c r="B104" s="9">
        <v>140.46267</v>
      </c>
      <c r="C104" s="9">
        <v>175</v>
      </c>
      <c r="E104" s="9" t="s">
        <v>562</v>
      </c>
      <c r="F104" s="9" t="s">
        <v>1060</v>
      </c>
      <c r="G104" s="19" t="s">
        <v>274</v>
      </c>
      <c r="H104" s="9" t="s">
        <v>370</v>
      </c>
      <c r="I104" s="46">
        <f>(0.85+0.87+0.85)/3</f>
        <v>0.85666666666666658</v>
      </c>
      <c r="J104" s="46">
        <f>(1.1+1.1+1.1)/3</f>
        <v>1.1000000000000001</v>
      </c>
      <c r="K104" s="46">
        <f>(1.5+1.4+1.5)/3</f>
        <v>1.4666666666666668</v>
      </c>
      <c r="L104" s="9" t="s">
        <v>792</v>
      </c>
      <c r="M104" s="9" t="s">
        <v>1065</v>
      </c>
      <c r="N104" s="9" t="s">
        <v>793</v>
      </c>
      <c r="O104" s="18" t="s">
        <v>117</v>
      </c>
      <c r="P104" s="9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</row>
    <row r="105" spans="1:54">
      <c r="A105" s="9">
        <v>37.763140999999997</v>
      </c>
      <c r="B105" s="9">
        <v>140.46257299999999</v>
      </c>
      <c r="C105" s="9">
        <v>176</v>
      </c>
      <c r="E105" s="9" t="s">
        <v>563</v>
      </c>
      <c r="F105" s="9" t="s">
        <v>1060</v>
      </c>
      <c r="G105" s="19" t="s">
        <v>274</v>
      </c>
      <c r="H105" s="9" t="s">
        <v>370</v>
      </c>
      <c r="I105" s="46">
        <f>(1.4+1.3+1.4)/3</f>
        <v>1.3666666666666665</v>
      </c>
      <c r="J105" s="46">
        <f>(1.5+1.5+1.5)/3</f>
        <v>1.5</v>
      </c>
      <c r="K105" s="46">
        <f>(1.5+1.5+1.5)/3</f>
        <v>1.5</v>
      </c>
      <c r="L105" s="9" t="s">
        <v>792</v>
      </c>
      <c r="M105" s="9" t="s">
        <v>1066</v>
      </c>
      <c r="N105" s="9" t="s">
        <v>794</v>
      </c>
      <c r="O105" s="18" t="s">
        <v>118</v>
      </c>
      <c r="P105" s="9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</row>
    <row r="106" spans="1:54">
      <c r="A106" s="9">
        <v>37.763103999999998</v>
      </c>
      <c r="B106" s="9">
        <v>140.46255099999999</v>
      </c>
      <c r="C106" s="9">
        <v>177</v>
      </c>
      <c r="E106" s="9" t="s">
        <v>564</v>
      </c>
      <c r="F106" s="9" t="s">
        <v>1060</v>
      </c>
      <c r="G106" s="19" t="s">
        <v>274</v>
      </c>
      <c r="H106" s="9" t="s">
        <v>370</v>
      </c>
      <c r="I106" s="46">
        <f>(2.1+1.8+1.9)/3</f>
        <v>1.9333333333333336</v>
      </c>
      <c r="J106" s="46">
        <f>(3.67+3.8+3.7)/3</f>
        <v>3.7233333333333332</v>
      </c>
      <c r="K106" s="46">
        <f>(4.8+5+4.9)/3</f>
        <v>4.9000000000000004</v>
      </c>
      <c r="M106" s="9" t="s">
        <v>1067</v>
      </c>
      <c r="N106" s="9" t="s">
        <v>565</v>
      </c>
      <c r="O106" s="18" t="s">
        <v>119</v>
      </c>
      <c r="P106" s="9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</row>
    <row r="107" spans="1:54">
      <c r="A107" s="9">
        <v>37.763278</v>
      </c>
      <c r="B107" s="9">
        <v>140.46198200000001</v>
      </c>
      <c r="C107" s="9">
        <v>178</v>
      </c>
      <c r="E107" s="9" t="s">
        <v>566</v>
      </c>
      <c r="F107" s="9" t="s">
        <v>1060</v>
      </c>
      <c r="G107" s="19" t="s">
        <v>274</v>
      </c>
      <c r="H107" s="9" t="s">
        <v>370</v>
      </c>
      <c r="I107" s="46">
        <f>(1.1+1.1+1.1)/3</f>
        <v>1.1000000000000001</v>
      </c>
      <c r="J107" s="46">
        <f>(1.3+1.3+1.3)/3</f>
        <v>1.3</v>
      </c>
      <c r="K107" s="46">
        <f>(1.4+1.4+1.4)/3</f>
        <v>1.3999999999999997</v>
      </c>
      <c r="M107" s="9" t="s">
        <v>1068</v>
      </c>
      <c r="N107" s="9" t="s">
        <v>567</v>
      </c>
      <c r="O107" s="18" t="s">
        <v>120</v>
      </c>
      <c r="P107" s="9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</row>
    <row r="108" spans="1:54">
      <c r="A108" s="9">
        <v>37.76361</v>
      </c>
      <c r="B108" s="9">
        <v>140.46184</v>
      </c>
      <c r="C108" s="9">
        <v>179</v>
      </c>
      <c r="E108" s="9" t="s">
        <v>568</v>
      </c>
      <c r="F108" s="9" t="s">
        <v>1060</v>
      </c>
      <c r="G108" s="19" t="s">
        <v>274</v>
      </c>
      <c r="H108" s="9" t="s">
        <v>370</v>
      </c>
      <c r="I108" s="46">
        <f>(0.86+0.84+0.85)/3</f>
        <v>0.85</v>
      </c>
      <c r="J108" s="46">
        <f>(0.83+0.89+0.87)/3</f>
        <v>0.86333333333333329</v>
      </c>
      <c r="K108" s="46">
        <f>(1+0.9+1)/3</f>
        <v>0.96666666666666667</v>
      </c>
      <c r="M108" s="9" t="s">
        <v>1069</v>
      </c>
      <c r="N108" s="9" t="s">
        <v>567</v>
      </c>
      <c r="O108" s="20" t="s">
        <v>121</v>
      </c>
      <c r="P108" s="9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</row>
    <row r="109" spans="1:54">
      <c r="A109" s="9">
        <v>37.763706999999997</v>
      </c>
      <c r="B109" s="9">
        <v>140.46188699999999</v>
      </c>
      <c r="C109" s="9">
        <v>180</v>
      </c>
      <c r="E109" s="9" t="s">
        <v>569</v>
      </c>
      <c r="F109" s="9" t="s">
        <v>1060</v>
      </c>
      <c r="G109" s="19" t="s">
        <v>274</v>
      </c>
      <c r="H109" s="9" t="s">
        <v>370</v>
      </c>
      <c r="I109" s="46">
        <f>(1.4+1.1+1.1)/3</f>
        <v>1.2</v>
      </c>
      <c r="J109" s="46">
        <f>(1.3+1.3+1.3)/3</f>
        <v>1.3</v>
      </c>
      <c r="K109" s="46">
        <f>(1.7+1.7+1.7)/3</f>
        <v>1.7</v>
      </c>
      <c r="M109" s="9" t="s">
        <v>1070</v>
      </c>
      <c r="N109" s="9" t="s">
        <v>570</v>
      </c>
      <c r="O109" s="18" t="s">
        <v>122</v>
      </c>
      <c r="P109" s="9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</row>
    <row r="110" spans="1:54" ht="18.75">
      <c r="A110" s="9">
        <v>37.762521</v>
      </c>
      <c r="B110" s="9">
        <v>140.464001</v>
      </c>
      <c r="C110" s="9">
        <v>182</v>
      </c>
      <c r="E110" s="9" t="s">
        <v>571</v>
      </c>
      <c r="F110" s="9" t="s">
        <v>1060</v>
      </c>
      <c r="G110" s="19" t="s">
        <v>274</v>
      </c>
      <c r="H110" s="9" t="s">
        <v>370</v>
      </c>
      <c r="I110" s="46">
        <f>(0.33+0.35+0.34)/3</f>
        <v>0.34</v>
      </c>
      <c r="J110" s="46">
        <f>(0.34+0.31+0.3)/3</f>
        <v>0.31666666666666665</v>
      </c>
      <c r="K110" s="46">
        <f>(0.23+0.23+0.24)/3</f>
        <v>0.23333333333333331</v>
      </c>
      <c r="L110" s="9" t="s">
        <v>356</v>
      </c>
      <c r="M110" s="9" t="s">
        <v>1071</v>
      </c>
      <c r="N110" s="9" t="s">
        <v>1072</v>
      </c>
      <c r="O110" s="18" t="s">
        <v>245</v>
      </c>
      <c r="P110" s="9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</row>
    <row r="111" spans="1:54" ht="18.75">
      <c r="A111" s="9">
        <v>37.762523000000002</v>
      </c>
      <c r="B111" s="9">
        <v>140.464034</v>
      </c>
      <c r="C111" s="9">
        <v>183</v>
      </c>
      <c r="E111" s="9" t="s">
        <v>572</v>
      </c>
      <c r="F111" s="9" t="s">
        <v>1060</v>
      </c>
      <c r="G111" s="19" t="s">
        <v>274</v>
      </c>
      <c r="H111" s="9" t="s">
        <v>370</v>
      </c>
      <c r="I111" s="46">
        <f>(0.6+0.61+0.59)/3</f>
        <v>0.6</v>
      </c>
      <c r="J111" s="46">
        <f>(0.8+0.81+0.81)/3</f>
        <v>0.80666666666666664</v>
      </c>
      <c r="K111" s="46">
        <f>(1.1+1.1+1.1)/3</f>
        <v>1.1000000000000001</v>
      </c>
      <c r="L111" s="9" t="s">
        <v>360</v>
      </c>
      <c r="M111" s="9" t="s">
        <v>1073</v>
      </c>
      <c r="N111" s="9" t="s">
        <v>795</v>
      </c>
      <c r="O111" s="21" t="s">
        <v>246</v>
      </c>
      <c r="P111" s="9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</row>
    <row r="112" spans="1:54" ht="18.75">
      <c r="A112" s="9">
        <v>37.762523000000002</v>
      </c>
      <c r="B112" s="9">
        <v>140.46404000000001</v>
      </c>
      <c r="C112" s="9">
        <v>184</v>
      </c>
      <c r="E112" s="9" t="s">
        <v>573</v>
      </c>
      <c r="F112" s="9" t="s">
        <v>1060</v>
      </c>
      <c r="G112" s="19" t="s">
        <v>274</v>
      </c>
      <c r="H112" s="9" t="s">
        <v>370</v>
      </c>
      <c r="I112" s="46">
        <f>(0.5+0.54+0.54)/3</f>
        <v>0.52666666666666673</v>
      </c>
      <c r="J112" s="46">
        <f>(0.7+0.75+0.73)/3</f>
        <v>0.72666666666666657</v>
      </c>
      <c r="K112" s="46">
        <f>(0.95+0.92+0.96)/3</f>
        <v>0.94333333333333336</v>
      </c>
      <c r="L112" s="9" t="s">
        <v>364</v>
      </c>
      <c r="M112" s="9" t="s">
        <v>1074</v>
      </c>
      <c r="N112" s="9" t="s">
        <v>574</v>
      </c>
      <c r="O112" s="21" t="s">
        <v>247</v>
      </c>
      <c r="P112" s="9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</row>
    <row r="113" spans="1:54" ht="18.75">
      <c r="A113" s="9">
        <v>37.762394</v>
      </c>
      <c r="B113" s="9">
        <v>140.46412699999999</v>
      </c>
      <c r="C113" s="9">
        <v>185</v>
      </c>
      <c r="E113" s="9" t="s">
        <v>575</v>
      </c>
      <c r="F113" s="9" t="s">
        <v>1060</v>
      </c>
      <c r="G113" s="19" t="s">
        <v>274</v>
      </c>
      <c r="H113" s="9" t="s">
        <v>370</v>
      </c>
      <c r="I113" s="46">
        <f>(0.25+0.25+0.24)/3</f>
        <v>0.24666666666666667</v>
      </c>
      <c r="J113" s="46">
        <f>(0.25+0.24+0.24)/3</f>
        <v>0.24333333333333332</v>
      </c>
      <c r="K113" s="46">
        <f>(0.21+0.21+0.2)/3</f>
        <v>0.20666666666666667</v>
      </c>
      <c r="L113" s="9" t="s">
        <v>796</v>
      </c>
      <c r="M113" s="9" t="s">
        <v>1075</v>
      </c>
      <c r="N113" s="9" t="s">
        <v>1076</v>
      </c>
      <c r="O113" s="21" t="s">
        <v>248</v>
      </c>
      <c r="P113" s="9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</row>
    <row r="114" spans="1:54">
      <c r="A114" s="9">
        <v>37.762315999999998</v>
      </c>
      <c r="B114" s="9">
        <v>140.46383</v>
      </c>
      <c r="C114" s="9">
        <v>186</v>
      </c>
      <c r="E114" s="9" t="s">
        <v>576</v>
      </c>
      <c r="F114" s="9" t="s">
        <v>1060</v>
      </c>
      <c r="G114" s="19" t="s">
        <v>274</v>
      </c>
      <c r="H114" s="9" t="s">
        <v>370</v>
      </c>
      <c r="I114" s="46">
        <f>(0.75+0.76+0.74)/3</f>
        <v>0.75</v>
      </c>
      <c r="J114" s="46">
        <f>(0.83+0.87+0.85)/3</f>
        <v>0.85</v>
      </c>
      <c r="K114" s="46">
        <f>(0.78+0.77+0.8)/3</f>
        <v>0.78333333333333333</v>
      </c>
      <c r="L114" s="9" t="s">
        <v>797</v>
      </c>
      <c r="M114" s="9" t="s">
        <v>1077</v>
      </c>
      <c r="N114" s="9" t="s">
        <v>798</v>
      </c>
      <c r="O114" s="18" t="s">
        <v>123</v>
      </c>
      <c r="P114" s="9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</row>
    <row r="115" spans="1:54">
      <c r="A115" s="9">
        <v>37.762293999999997</v>
      </c>
      <c r="B115" s="9">
        <v>140.46386699999999</v>
      </c>
      <c r="C115" s="9">
        <v>187</v>
      </c>
      <c r="E115" s="9" t="s">
        <v>577</v>
      </c>
      <c r="F115" s="9" t="s">
        <v>1060</v>
      </c>
      <c r="G115" s="19" t="s">
        <v>274</v>
      </c>
      <c r="H115" s="9" t="s">
        <v>370</v>
      </c>
      <c r="I115" s="46">
        <f>(1+1+1)/3</f>
        <v>1</v>
      </c>
      <c r="J115" s="46">
        <f>(1.2+1.2+1.2)/3</f>
        <v>1.2</v>
      </c>
      <c r="K115" s="46">
        <f>(1.4+1.5+1.5)/3</f>
        <v>1.4666666666666668</v>
      </c>
      <c r="M115" s="9" t="s">
        <v>1078</v>
      </c>
      <c r="N115" s="9" t="s">
        <v>578</v>
      </c>
      <c r="O115" s="18" t="s">
        <v>124</v>
      </c>
      <c r="P115" s="9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</row>
    <row r="116" spans="1:54">
      <c r="A116" s="9">
        <v>37.748117999999998</v>
      </c>
      <c r="B116" s="9">
        <v>140.473026</v>
      </c>
      <c r="C116" s="9">
        <v>188</v>
      </c>
      <c r="E116" s="9" t="s">
        <v>579</v>
      </c>
      <c r="F116" s="9" t="s">
        <v>1079</v>
      </c>
      <c r="G116" s="19" t="s">
        <v>274</v>
      </c>
      <c r="H116" s="9" t="s">
        <v>370</v>
      </c>
      <c r="I116" s="46">
        <f>(0.95+0.95+0.99)/3</f>
        <v>0.96333333333333326</v>
      </c>
      <c r="J116" s="46">
        <f>(1.1+1.1+1.1)/3</f>
        <v>1.1000000000000001</v>
      </c>
      <c r="K116" s="46">
        <f>(1.4+1.4+1.4)/3</f>
        <v>1.3999999999999997</v>
      </c>
      <c r="M116" s="9" t="s">
        <v>1080</v>
      </c>
      <c r="N116" s="9" t="s">
        <v>1081</v>
      </c>
      <c r="O116" s="18" t="s">
        <v>125</v>
      </c>
      <c r="P116" s="9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</row>
    <row r="117" spans="1:54">
      <c r="A117" s="9">
        <v>37.748131999999998</v>
      </c>
      <c r="B117" s="9">
        <v>140.472981</v>
      </c>
      <c r="C117" s="9">
        <v>189</v>
      </c>
      <c r="E117" s="9" t="s">
        <v>580</v>
      </c>
      <c r="F117" s="9" t="s">
        <v>1079</v>
      </c>
      <c r="G117" s="19" t="s">
        <v>275</v>
      </c>
      <c r="H117" s="9" t="s">
        <v>370</v>
      </c>
      <c r="I117" s="46">
        <f>(1.5+1.5+1.6)/3</f>
        <v>1.5333333333333332</v>
      </c>
      <c r="J117" s="46">
        <f>(2.3+2.2+2.3)/3</f>
        <v>2.2666666666666666</v>
      </c>
      <c r="K117" s="46">
        <f>(3.2+3.2+3.2)/3</f>
        <v>3.2000000000000006</v>
      </c>
      <c r="M117" s="9" t="s">
        <v>1082</v>
      </c>
      <c r="N117" s="9" t="s">
        <v>818</v>
      </c>
      <c r="O117" s="18" t="s">
        <v>126</v>
      </c>
      <c r="P117" s="9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</row>
    <row r="118" spans="1:54">
      <c r="A118" s="9">
        <v>37.748190999999998</v>
      </c>
      <c r="B118" s="9">
        <v>140.47289000000001</v>
      </c>
      <c r="C118" s="9">
        <v>190</v>
      </c>
      <c r="E118" s="9" t="s">
        <v>581</v>
      </c>
      <c r="F118" s="9" t="s">
        <v>1079</v>
      </c>
      <c r="G118" s="19" t="s">
        <v>275</v>
      </c>
      <c r="H118" s="9" t="s">
        <v>370</v>
      </c>
      <c r="I118" s="46">
        <f>(0.35+0.34+0.37)/3</f>
        <v>0.35333333333333333</v>
      </c>
      <c r="J118" s="46">
        <f>(0.28+0.28+0.3)/3</f>
        <v>0.28666666666666668</v>
      </c>
      <c r="K118" s="46">
        <f>(0.21+0.2+0.22)/3</f>
        <v>0.21</v>
      </c>
      <c r="M118" s="9" t="s">
        <v>1083</v>
      </c>
      <c r="N118" s="9" t="s">
        <v>21</v>
      </c>
      <c r="O118" s="18" t="s">
        <v>127</v>
      </c>
      <c r="P118" s="9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</row>
    <row r="119" spans="1:54">
      <c r="A119" s="9">
        <v>37.748170999999999</v>
      </c>
      <c r="B119" s="9">
        <v>140.47290899999999</v>
      </c>
      <c r="C119" s="9">
        <v>191</v>
      </c>
      <c r="E119" s="9" t="s">
        <v>582</v>
      </c>
      <c r="F119" s="9" t="s">
        <v>1079</v>
      </c>
      <c r="G119" s="19" t="s">
        <v>275</v>
      </c>
      <c r="H119" s="9" t="s">
        <v>370</v>
      </c>
      <c r="I119" s="46">
        <f>(0.55+0.57+0.56)/3</f>
        <v>0.56000000000000005</v>
      </c>
      <c r="J119" s="46">
        <f>(0.55+0.57+0.53)/3</f>
        <v>0.55000000000000004</v>
      </c>
      <c r="K119" s="46">
        <f>(0.38+0.39+0.4)/3</f>
        <v>0.38999999999999996</v>
      </c>
      <c r="M119" s="9" t="s">
        <v>1084</v>
      </c>
      <c r="N119" s="9" t="s">
        <v>21</v>
      </c>
      <c r="O119" s="18" t="s">
        <v>127</v>
      </c>
      <c r="P119" s="9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</row>
    <row r="120" spans="1:54">
      <c r="A120" s="9">
        <v>37.748159000000001</v>
      </c>
      <c r="B120" s="9">
        <v>140.472914</v>
      </c>
      <c r="C120" s="9">
        <v>192</v>
      </c>
      <c r="E120" s="9" t="s">
        <v>583</v>
      </c>
      <c r="F120" s="9" t="s">
        <v>1079</v>
      </c>
      <c r="G120" s="19" t="s">
        <v>275</v>
      </c>
      <c r="H120" s="9" t="s">
        <v>370</v>
      </c>
      <c r="I120" s="46">
        <f>(0.76+0.77+0.75)/3</f>
        <v>0.76000000000000012</v>
      </c>
      <c r="J120" s="46">
        <f>(0.77+0.73+0.75)/3</f>
        <v>0.75</v>
      </c>
      <c r="K120" s="46">
        <f>(0.73+0.77+0.76)/3</f>
        <v>0.7533333333333333</v>
      </c>
      <c r="M120" s="9" t="s">
        <v>1085</v>
      </c>
      <c r="N120" s="9" t="s">
        <v>22</v>
      </c>
      <c r="O120" s="18" t="s">
        <v>128</v>
      </c>
      <c r="P120" s="9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</row>
    <row r="121" spans="1:54">
      <c r="A121" s="9">
        <v>37.748075999999998</v>
      </c>
      <c r="B121" s="9">
        <v>140.47296299999999</v>
      </c>
      <c r="C121" s="9">
        <v>193</v>
      </c>
      <c r="E121" s="9" t="s">
        <v>584</v>
      </c>
      <c r="F121" s="9" t="s">
        <v>1079</v>
      </c>
      <c r="G121" s="19" t="s">
        <v>275</v>
      </c>
      <c r="H121" s="9" t="s">
        <v>370</v>
      </c>
      <c r="I121" s="46">
        <f>AVERAGE(1.4,1.4,1.4)</f>
        <v>1.3999999999999997</v>
      </c>
      <c r="J121" s="46">
        <f>AVERAGE(1.7,1.7,1.7)</f>
        <v>1.7</v>
      </c>
      <c r="K121" s="46">
        <f>AVERAGE(2.6,2.6,2.6)</f>
        <v>2.6</v>
      </c>
      <c r="M121" s="9" t="s">
        <v>1086</v>
      </c>
      <c r="N121" s="9" t="s">
        <v>799</v>
      </c>
      <c r="O121" s="18" t="s">
        <v>129</v>
      </c>
      <c r="P121" s="9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</row>
    <row r="122" spans="1:54">
      <c r="A122" s="9">
        <v>37.748147000000003</v>
      </c>
      <c r="B122" s="9">
        <v>140.47289499999999</v>
      </c>
      <c r="C122" s="9">
        <v>194</v>
      </c>
      <c r="E122" s="9" t="s">
        <v>585</v>
      </c>
      <c r="F122" s="9" t="s">
        <v>1079</v>
      </c>
      <c r="G122" s="19" t="s">
        <v>275</v>
      </c>
      <c r="H122" s="9" t="s">
        <v>370</v>
      </c>
      <c r="I122" s="46">
        <f>AVERAGE(0.91,0.91,0.91)</f>
        <v>0.91</v>
      </c>
      <c r="J122" s="46">
        <f>AVERAGE(1,1.1,1.1)</f>
        <v>1.0666666666666667</v>
      </c>
      <c r="K122" s="46">
        <f>AVERAGE(0.87,0.83,0.89)</f>
        <v>0.86333333333333329</v>
      </c>
      <c r="M122" s="9" t="s">
        <v>1087</v>
      </c>
      <c r="N122" s="9" t="s">
        <v>799</v>
      </c>
      <c r="O122" s="18" t="s">
        <v>129</v>
      </c>
      <c r="P122" s="9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</row>
    <row r="123" spans="1:54">
      <c r="A123" s="9">
        <v>37.748131999999998</v>
      </c>
      <c r="B123" s="9">
        <v>140.47290100000001</v>
      </c>
      <c r="C123" s="9">
        <v>195</v>
      </c>
      <c r="E123" s="9" t="s">
        <v>586</v>
      </c>
      <c r="F123" s="9" t="s">
        <v>1079</v>
      </c>
      <c r="G123" s="19" t="s">
        <v>275</v>
      </c>
      <c r="H123" s="9" t="s">
        <v>370</v>
      </c>
      <c r="I123" s="46">
        <f>AVERAGE(1.1,1,1)</f>
        <v>1.0333333333333334</v>
      </c>
      <c r="J123" s="46">
        <f>AVERAGE(1.2,1.2,1.2)</f>
        <v>1.2</v>
      </c>
      <c r="K123" s="46">
        <f>AVERAGE(1.2,1.2,1.2)</f>
        <v>1.2</v>
      </c>
      <c r="M123" s="9" t="s">
        <v>1088</v>
      </c>
      <c r="N123" s="9" t="s">
        <v>799</v>
      </c>
      <c r="O123" s="18" t="s">
        <v>129</v>
      </c>
      <c r="P123" s="9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</row>
    <row r="124" spans="1:54">
      <c r="A124" s="9">
        <v>37.748210999999998</v>
      </c>
      <c r="B124" s="9">
        <v>140.47279900000001</v>
      </c>
      <c r="C124" s="9">
        <v>196</v>
      </c>
      <c r="E124" s="9" t="s">
        <v>587</v>
      </c>
      <c r="F124" s="9" t="s">
        <v>1079</v>
      </c>
      <c r="G124" s="19" t="s">
        <v>275</v>
      </c>
      <c r="H124" s="9" t="s">
        <v>370</v>
      </c>
      <c r="I124" s="46">
        <f>AVERAGE(1.1,1.1,1.1)</f>
        <v>1.1000000000000001</v>
      </c>
      <c r="J124" s="46">
        <f>AVERAGE(1.2,1.2,1.2)</f>
        <v>1.2</v>
      </c>
      <c r="K124" s="46">
        <f>AVERAGE(0.8,0.82,0.81)</f>
        <v>0.81</v>
      </c>
      <c r="M124" s="9" t="s">
        <v>1089</v>
      </c>
      <c r="N124" s="9" t="s">
        <v>1090</v>
      </c>
      <c r="O124" s="18" t="s">
        <v>130</v>
      </c>
      <c r="P124" s="9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</row>
    <row r="125" spans="1:54">
      <c r="A125" s="9">
        <v>37.748210999999998</v>
      </c>
      <c r="B125" s="9">
        <v>140.47274400000001</v>
      </c>
      <c r="C125" s="9">
        <v>197</v>
      </c>
      <c r="E125" s="9" t="s">
        <v>588</v>
      </c>
      <c r="F125" s="9" t="s">
        <v>1079</v>
      </c>
      <c r="G125" s="19" t="s">
        <v>275</v>
      </c>
      <c r="H125" s="9" t="s">
        <v>370</v>
      </c>
      <c r="I125" s="46">
        <f>AVERAGE(1.3,1.3,1.2)</f>
        <v>1.2666666666666666</v>
      </c>
      <c r="J125" s="46">
        <f>AVERAGE(1.6,1.6,1.6)</f>
        <v>1.6000000000000003</v>
      </c>
      <c r="K125" s="46">
        <f>AVERAGE(1.8,1.8,1.8)</f>
        <v>1.8</v>
      </c>
      <c r="M125" s="9" t="s">
        <v>1091</v>
      </c>
      <c r="N125" s="9" t="s">
        <v>1090</v>
      </c>
      <c r="O125" s="18" t="s">
        <v>130</v>
      </c>
      <c r="P125" s="9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</row>
    <row r="126" spans="1:54">
      <c r="A126" s="9">
        <v>37.747979000000001</v>
      </c>
      <c r="B126" s="9">
        <v>140.47296800000001</v>
      </c>
      <c r="C126" s="9">
        <v>198</v>
      </c>
      <c r="E126" s="9" t="s">
        <v>589</v>
      </c>
      <c r="F126" s="9" t="s">
        <v>1079</v>
      </c>
      <c r="G126" s="19" t="s">
        <v>275</v>
      </c>
      <c r="H126" s="9" t="s">
        <v>370</v>
      </c>
      <c r="I126" s="46">
        <f>AVERAGE(2.6,2.6,2.6)</f>
        <v>2.6</v>
      </c>
      <c r="J126" s="46">
        <f>AVERAGE(5.2,5.2,5.2)</f>
        <v>5.2</v>
      </c>
      <c r="K126" s="46">
        <f>AVERAGE(11.3,11.2,11.3)</f>
        <v>11.266666666666666</v>
      </c>
      <c r="M126" s="9" t="s">
        <v>1092</v>
      </c>
      <c r="N126" s="9" t="s">
        <v>23</v>
      </c>
      <c r="O126" s="18" t="s">
        <v>131</v>
      </c>
      <c r="P126" s="9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</row>
    <row r="127" spans="1:54">
      <c r="A127" s="9">
        <v>37.747973000000002</v>
      </c>
      <c r="B127" s="9">
        <v>140.47297599999999</v>
      </c>
      <c r="C127" s="9">
        <v>199</v>
      </c>
      <c r="E127" s="9" t="s">
        <v>590</v>
      </c>
      <c r="F127" s="9" t="s">
        <v>1079</v>
      </c>
      <c r="G127" s="19" t="s">
        <v>275</v>
      </c>
      <c r="H127" s="9" t="s">
        <v>370</v>
      </c>
      <c r="I127" s="46">
        <f>AVERAGE(1.8,1.8,1.8)</f>
        <v>1.8</v>
      </c>
      <c r="J127" s="46">
        <f>AVERAGE(4.7,4.7,4.7)</f>
        <v>4.7</v>
      </c>
      <c r="K127" s="46">
        <f>AVERAGE(10.1,9.7,9.5)</f>
        <v>9.7666666666666657</v>
      </c>
      <c r="M127" s="9" t="s">
        <v>1093</v>
      </c>
      <c r="N127" s="9" t="s">
        <v>24</v>
      </c>
      <c r="O127" s="18" t="s">
        <v>132</v>
      </c>
      <c r="P127" s="9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</row>
    <row r="128" spans="1:54">
      <c r="A128" s="9">
        <v>37.748071000000003</v>
      </c>
      <c r="B128" s="9">
        <v>140.47239999999999</v>
      </c>
      <c r="C128" s="9">
        <v>200</v>
      </c>
      <c r="E128" s="9" t="s">
        <v>591</v>
      </c>
      <c r="F128" s="9" t="s">
        <v>1079</v>
      </c>
      <c r="G128" s="19" t="s">
        <v>275</v>
      </c>
      <c r="H128" s="9" t="s">
        <v>370</v>
      </c>
      <c r="I128" s="46">
        <f>AVERAGE(0.82,0.82,0.83)</f>
        <v>0.82333333333333325</v>
      </c>
      <c r="J128" s="46">
        <f>AVERAGE(1.1,1.1,1)</f>
        <v>1.0666666666666667</v>
      </c>
      <c r="K128" s="46">
        <f>AVERAGE(1.3,1.3,1.3)</f>
        <v>1.3</v>
      </c>
      <c r="M128" s="9" t="s">
        <v>1094</v>
      </c>
      <c r="N128" s="9" t="s">
        <v>1095</v>
      </c>
      <c r="O128" s="18" t="s">
        <v>133</v>
      </c>
      <c r="P128" s="9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</row>
    <row r="129" spans="1:54">
      <c r="A129" s="9">
        <v>37.748133000000003</v>
      </c>
      <c r="B129" s="9">
        <v>140.47263599999999</v>
      </c>
      <c r="C129" s="9">
        <v>201</v>
      </c>
      <c r="E129" s="9" t="s">
        <v>592</v>
      </c>
      <c r="F129" s="9" t="s">
        <v>1079</v>
      </c>
      <c r="G129" s="19" t="s">
        <v>275</v>
      </c>
      <c r="H129" s="9" t="s">
        <v>370</v>
      </c>
      <c r="I129" s="46">
        <f>AVERAGE(1.3,1.3,1.3)</f>
        <v>1.3</v>
      </c>
      <c r="J129" s="46">
        <f>AVERAGE(1.9,1.9,2)</f>
        <v>1.9333333333333333</v>
      </c>
      <c r="K129" s="46">
        <f>AVERAGE(3.2,3.2,3.3)</f>
        <v>3.2333333333333329</v>
      </c>
      <c r="M129" s="9" t="s">
        <v>1096</v>
      </c>
      <c r="N129" s="9" t="s">
        <v>800</v>
      </c>
      <c r="O129" s="18" t="s">
        <v>134</v>
      </c>
      <c r="P129" s="9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</row>
    <row r="130" spans="1:54">
      <c r="A130" s="9">
        <v>37.763069999999999</v>
      </c>
      <c r="B130" s="9">
        <v>140.468468</v>
      </c>
      <c r="C130" s="9">
        <v>202</v>
      </c>
      <c r="E130" s="9" t="s">
        <v>593</v>
      </c>
      <c r="F130" s="9" t="s">
        <v>1219</v>
      </c>
      <c r="G130" s="19" t="s">
        <v>275</v>
      </c>
      <c r="H130" s="9" t="s">
        <v>370</v>
      </c>
      <c r="I130" s="46">
        <f>AVERAGE(0.22,0.23,0.21)</f>
        <v>0.22</v>
      </c>
      <c r="J130" s="46">
        <f>AVERAGE(0.21,0.21,0.2)</f>
        <v>0.20666666666666667</v>
      </c>
      <c r="K130" s="46">
        <f>AVERAGE(0.22,0.21,0.22)</f>
        <v>0.21666666666666667</v>
      </c>
      <c r="L130" s="9" t="s">
        <v>356</v>
      </c>
      <c r="M130" s="9" t="s">
        <v>1097</v>
      </c>
      <c r="N130" s="9" t="s">
        <v>1098</v>
      </c>
      <c r="O130" s="22" t="s">
        <v>249</v>
      </c>
      <c r="P130" s="9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</row>
    <row r="131" spans="1:54">
      <c r="A131" s="9">
        <v>37.763193000000001</v>
      </c>
      <c r="B131" s="9">
        <v>140.468414</v>
      </c>
      <c r="C131" s="9">
        <v>203</v>
      </c>
      <c r="E131" s="9" t="s">
        <v>594</v>
      </c>
      <c r="F131" s="9" t="s">
        <v>1219</v>
      </c>
      <c r="G131" s="27" t="s">
        <v>276</v>
      </c>
      <c r="H131" s="9" t="s">
        <v>370</v>
      </c>
      <c r="I131" s="46">
        <f>AVERAGE(0.32,0.31,0.38)</f>
        <v>0.33666666666666667</v>
      </c>
      <c r="J131" s="46">
        <f>AVERAGE(0.342,0.34,0.35)</f>
        <v>0.34400000000000003</v>
      </c>
      <c r="K131" s="46">
        <f>AVERAGE(0.35,0.36,0.37)</f>
        <v>0.36000000000000004</v>
      </c>
      <c r="L131" s="9" t="s">
        <v>360</v>
      </c>
      <c r="M131" s="9" t="s">
        <v>1099</v>
      </c>
      <c r="N131" s="9" t="s">
        <v>25</v>
      </c>
      <c r="O131" s="22" t="s">
        <v>135</v>
      </c>
      <c r="P131" s="9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</row>
    <row r="132" spans="1:54">
      <c r="A132" s="9">
        <v>37.763193000000001</v>
      </c>
      <c r="B132" s="9">
        <v>140.468446</v>
      </c>
      <c r="C132" s="9">
        <v>204</v>
      </c>
      <c r="E132" s="9" t="s">
        <v>596</v>
      </c>
      <c r="F132" s="9" t="s">
        <v>1219</v>
      </c>
      <c r="G132" s="27" t="s">
        <v>276</v>
      </c>
      <c r="H132" s="9" t="s">
        <v>370</v>
      </c>
      <c r="I132" s="46">
        <f>AVERAGE(0.39,0.4,0.4)</f>
        <v>0.39666666666666667</v>
      </c>
      <c r="J132" s="46">
        <f>AVERAGE(0.48,0.5,0.49)</f>
        <v>0.49</v>
      </c>
      <c r="K132" s="46">
        <f>AVERAGE(0.55,0.58,0.57)</f>
        <v>0.56666666666666654</v>
      </c>
      <c r="L132" s="9" t="s">
        <v>364</v>
      </c>
      <c r="M132" s="9" t="s">
        <v>1100</v>
      </c>
      <c r="N132" s="9" t="s">
        <v>801</v>
      </c>
      <c r="O132" s="22" t="s">
        <v>136</v>
      </c>
      <c r="P132" s="9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</row>
    <row r="133" spans="1:54">
      <c r="A133" s="9">
        <v>37.763137999999998</v>
      </c>
      <c r="B133" s="9">
        <v>140.46846199999999</v>
      </c>
      <c r="C133" s="9">
        <v>206</v>
      </c>
      <c r="E133" s="9" t="s">
        <v>597</v>
      </c>
      <c r="F133" s="9" t="s">
        <v>1219</v>
      </c>
      <c r="G133" s="27" t="s">
        <v>276</v>
      </c>
      <c r="H133" s="9" t="s">
        <v>370</v>
      </c>
      <c r="I133" s="46">
        <f>AVERAGE(0.6,0.58,0.6)</f>
        <v>0.59333333333333327</v>
      </c>
      <c r="J133" s="46">
        <f>AVERAGE(0.64,0.64,0.65)</f>
        <v>0.64333333333333342</v>
      </c>
      <c r="K133" s="46">
        <f>AVERAGE(0.95,1,0.95)</f>
        <v>0.96666666666666667</v>
      </c>
      <c r="L133" s="9" t="s">
        <v>387</v>
      </c>
      <c r="M133" s="9" t="s">
        <v>1101</v>
      </c>
      <c r="N133" s="9" t="s">
        <v>819</v>
      </c>
      <c r="O133" s="22" t="s">
        <v>137</v>
      </c>
      <c r="P133" s="9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</row>
    <row r="134" spans="1:54">
      <c r="A134" s="9">
        <v>37.763136000000003</v>
      </c>
      <c r="B134" s="9">
        <v>140.46846300000001</v>
      </c>
      <c r="C134" s="9">
        <v>207</v>
      </c>
      <c r="E134" s="9" t="s">
        <v>599</v>
      </c>
      <c r="F134" s="9" t="s">
        <v>1219</v>
      </c>
      <c r="G134" s="27" t="s">
        <v>276</v>
      </c>
      <c r="H134" s="9" t="s">
        <v>370</v>
      </c>
      <c r="I134" s="46">
        <f>AVERAGE(0.27,0.28,0.29)</f>
        <v>0.28000000000000003</v>
      </c>
      <c r="J134" s="46">
        <f>AVERAGE(0.6,0.58,0.6)</f>
        <v>0.59333333333333327</v>
      </c>
      <c r="K134" s="46">
        <f>AVERAGE(0.6,0.58,0.6)</f>
        <v>0.59333333333333327</v>
      </c>
      <c r="L134" s="9" t="s">
        <v>360</v>
      </c>
      <c r="M134" s="9" t="s">
        <v>1102</v>
      </c>
      <c r="N134" s="9" t="s">
        <v>1103</v>
      </c>
      <c r="O134" s="22" t="s">
        <v>138</v>
      </c>
      <c r="P134" s="9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</row>
    <row r="135" spans="1:54">
      <c r="A135" s="9">
        <v>37.764665000000001</v>
      </c>
      <c r="B135" s="9">
        <v>140.46770100000001</v>
      </c>
      <c r="C135" s="9">
        <v>214</v>
      </c>
      <c r="E135" s="9" t="s">
        <v>600</v>
      </c>
      <c r="F135" s="9" t="s">
        <v>1219</v>
      </c>
      <c r="G135" s="27" t="s">
        <v>276</v>
      </c>
      <c r="H135" s="9" t="s">
        <v>370</v>
      </c>
      <c r="I135" s="46">
        <f>AVERAGE(0.22,0.23,0.22)</f>
        <v>0.22333333333333336</v>
      </c>
      <c r="J135" s="46">
        <f>AVERAGE(0.26,0.25,0.24)</f>
        <v>0.25</v>
      </c>
      <c r="K135" s="46">
        <f>AVERAGE(0.3,0.28,0.29)</f>
        <v>0.29000000000000004</v>
      </c>
      <c r="L135" s="9" t="s">
        <v>356</v>
      </c>
      <c r="M135" s="9" t="s">
        <v>1104</v>
      </c>
      <c r="N135" s="9" t="s">
        <v>1105</v>
      </c>
      <c r="O135" s="19" t="s">
        <v>250</v>
      </c>
      <c r="P135" s="9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</row>
    <row r="136" spans="1:54">
      <c r="A136" s="9">
        <v>37.764642000000002</v>
      </c>
      <c r="B136" s="9">
        <v>140.46767399999999</v>
      </c>
      <c r="C136" s="9">
        <v>215</v>
      </c>
      <c r="E136" s="9" t="s">
        <v>601</v>
      </c>
      <c r="F136" s="9" t="s">
        <v>1219</v>
      </c>
      <c r="G136" s="27" t="s">
        <v>276</v>
      </c>
      <c r="H136" s="9" t="s">
        <v>370</v>
      </c>
      <c r="I136" s="46">
        <f>AVERAGE(0.23,0.24,0.24)</f>
        <v>0.23666666666666666</v>
      </c>
      <c r="J136" s="46">
        <f>AVERAGE(0.2,0.19,0.18)</f>
        <v>0.19000000000000003</v>
      </c>
      <c r="K136" s="46">
        <f>AVERAGE(0.19,0.19,0.18)</f>
        <v>0.18666666666666668</v>
      </c>
      <c r="L136" s="9" t="s">
        <v>360</v>
      </c>
      <c r="M136" s="9" t="s">
        <v>1106</v>
      </c>
      <c r="N136" s="9" t="s">
        <v>802</v>
      </c>
      <c r="O136" s="19" t="s">
        <v>139</v>
      </c>
      <c r="P136" s="9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</row>
    <row r="137" spans="1:54">
      <c r="A137" s="9">
        <v>37.764640999999997</v>
      </c>
      <c r="B137" s="9">
        <v>140.467669</v>
      </c>
      <c r="C137" s="9">
        <v>216</v>
      </c>
      <c r="E137" s="9" t="s">
        <v>602</v>
      </c>
      <c r="F137" s="9" t="s">
        <v>1219</v>
      </c>
      <c r="G137" s="27" t="s">
        <v>276</v>
      </c>
      <c r="H137" s="9" t="s">
        <v>370</v>
      </c>
      <c r="I137" s="46">
        <f>AVERAGE(0.22,0.23,0.24)</f>
        <v>0.22999999999999998</v>
      </c>
      <c r="J137" s="46">
        <f>AVERAGE(0.21,0.2,0.21)</f>
        <v>0.20666666666666667</v>
      </c>
      <c r="K137" s="46">
        <f>AVERAGE(0.2,0.2,0.21)</f>
        <v>0.20333333333333334</v>
      </c>
      <c r="L137" s="9" t="s">
        <v>364</v>
      </c>
      <c r="M137" s="9" t="s">
        <v>1107</v>
      </c>
      <c r="N137" s="9" t="s">
        <v>1108</v>
      </c>
      <c r="O137" s="19" t="s">
        <v>140</v>
      </c>
      <c r="P137" s="9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</row>
    <row r="138" spans="1:54">
      <c r="A138" s="9">
        <v>37.764816000000003</v>
      </c>
      <c r="B138" s="9">
        <v>140.46776700000001</v>
      </c>
      <c r="C138" s="9">
        <v>217</v>
      </c>
      <c r="E138" s="9" t="s">
        <v>603</v>
      </c>
      <c r="F138" s="9" t="s">
        <v>1219</v>
      </c>
      <c r="G138" s="27" t="s">
        <v>276</v>
      </c>
      <c r="H138" s="9" t="s">
        <v>370</v>
      </c>
      <c r="I138" s="46">
        <f>AVERAGE(0.54,0.55,0.54)</f>
        <v>0.54333333333333333</v>
      </c>
      <c r="J138" s="46">
        <f>AVERAGE(0.52,0.51,0.5)</f>
        <v>0.51</v>
      </c>
      <c r="K138" s="46">
        <f>AVERAGE(0.51,0.5,0.52)</f>
        <v>0.51</v>
      </c>
      <c r="L138" s="9" t="s">
        <v>364</v>
      </c>
      <c r="M138" s="9" t="s">
        <v>1109</v>
      </c>
      <c r="N138" s="9" t="s">
        <v>604</v>
      </c>
      <c r="O138" s="19" t="s">
        <v>141</v>
      </c>
      <c r="P138" s="9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</row>
    <row r="139" spans="1:54">
      <c r="A139" s="9">
        <v>37.764615999999997</v>
      </c>
      <c r="B139" s="9">
        <v>140.46887100000001</v>
      </c>
      <c r="C139" s="9">
        <v>221</v>
      </c>
      <c r="E139" s="9" t="s">
        <v>605</v>
      </c>
      <c r="F139" s="9" t="s">
        <v>1219</v>
      </c>
      <c r="G139" s="27" t="s">
        <v>276</v>
      </c>
      <c r="H139" s="9" t="s">
        <v>370</v>
      </c>
      <c r="I139" s="46">
        <f>AVERAGE(0.8,0.82,0.81)</f>
        <v>0.81</v>
      </c>
      <c r="J139" s="46">
        <f>AVERAGE(0.85,0.86,0.87)</f>
        <v>0.86</v>
      </c>
      <c r="K139" s="46">
        <f>AVERAGE(0.77,0.75,0.72)</f>
        <v>0.7466666666666667</v>
      </c>
      <c r="M139" s="9" t="s">
        <v>1110</v>
      </c>
      <c r="N139" s="9" t="s">
        <v>780</v>
      </c>
      <c r="O139" s="19" t="s">
        <v>142</v>
      </c>
      <c r="P139" s="9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</row>
    <row r="140" spans="1:54">
      <c r="A140" s="9">
        <v>37.763795000000002</v>
      </c>
      <c r="B140" s="9">
        <v>140.470257</v>
      </c>
      <c r="C140" s="9">
        <v>222</v>
      </c>
      <c r="E140" s="9" t="s">
        <v>606</v>
      </c>
      <c r="F140" s="9" t="s">
        <v>1219</v>
      </c>
      <c r="G140" s="27" t="s">
        <v>276</v>
      </c>
      <c r="H140" s="9" t="s">
        <v>370</v>
      </c>
      <c r="I140" s="46">
        <f>AVERAGE(1.1,1.1,1.1)</f>
        <v>1.1000000000000001</v>
      </c>
      <c r="J140" s="46">
        <f>AVERAGE(1.5,1.5,1.5)</f>
        <v>1.5</v>
      </c>
      <c r="K140" s="46">
        <f>AVERAGE(1.9,1.9,1.9)</f>
        <v>1.8999999999999997</v>
      </c>
      <c r="M140" s="9" t="s">
        <v>1111</v>
      </c>
      <c r="N140" s="9" t="s">
        <v>781</v>
      </c>
      <c r="O140" s="19" t="s">
        <v>143</v>
      </c>
      <c r="P140" s="9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</row>
    <row r="141" spans="1:54">
      <c r="A141" s="9">
        <v>37.763793999999997</v>
      </c>
      <c r="B141" s="9">
        <v>140.470113</v>
      </c>
      <c r="C141" s="9">
        <v>223</v>
      </c>
      <c r="E141" s="9" t="s">
        <v>607</v>
      </c>
      <c r="F141" s="9" t="s">
        <v>1219</v>
      </c>
      <c r="G141" s="27" t="s">
        <v>276</v>
      </c>
      <c r="H141" s="9" t="s">
        <v>370</v>
      </c>
      <c r="I141" s="46">
        <f>AVERAGE(1.2,1.2,1.2)</f>
        <v>1.2</v>
      </c>
      <c r="J141" s="46">
        <f>AVERAGE(1.4,1.4,1.3)</f>
        <v>1.3666666666666665</v>
      </c>
      <c r="K141" s="46">
        <f>AVERAGE(1.5,1.5,1.5)</f>
        <v>1.5</v>
      </c>
      <c r="M141" s="9" t="s">
        <v>1112</v>
      </c>
      <c r="N141" s="9" t="s">
        <v>822</v>
      </c>
      <c r="O141" s="19" t="s">
        <v>144</v>
      </c>
      <c r="P141" s="9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</row>
    <row r="142" spans="1:54">
      <c r="A142" s="9">
        <v>37.763812999999999</v>
      </c>
      <c r="B142" s="9">
        <v>140.46971300000001</v>
      </c>
      <c r="C142" s="9">
        <v>224</v>
      </c>
      <c r="E142" s="9" t="s">
        <v>608</v>
      </c>
      <c r="F142" s="9" t="s">
        <v>1219</v>
      </c>
      <c r="G142" s="27" t="s">
        <v>276</v>
      </c>
      <c r="H142" s="9" t="s">
        <v>370</v>
      </c>
      <c r="I142" s="46">
        <f>AVERAGE(0.7,0.69,0.7)</f>
        <v>0.69666666666666666</v>
      </c>
      <c r="J142" s="46">
        <f>AVERAGE(0.85,0.84,0.83)</f>
        <v>0.84</v>
      </c>
      <c r="K142" s="46">
        <f>AVERAGE(1.1,1.1,1.1)</f>
        <v>1.1000000000000001</v>
      </c>
      <c r="M142" s="9" t="s">
        <v>1113</v>
      </c>
      <c r="N142" s="9" t="s">
        <v>1114</v>
      </c>
      <c r="O142" s="19" t="s">
        <v>145</v>
      </c>
      <c r="P142" s="9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</row>
    <row r="143" spans="1:54">
      <c r="A143" s="9">
        <v>37.763790999999998</v>
      </c>
      <c r="B143" s="9">
        <v>140.469606</v>
      </c>
      <c r="C143" s="9">
        <v>225</v>
      </c>
      <c r="E143" s="9" t="s">
        <v>609</v>
      </c>
      <c r="F143" s="9" t="s">
        <v>1219</v>
      </c>
      <c r="G143" s="27" t="s">
        <v>276</v>
      </c>
      <c r="H143" s="9" t="s">
        <v>370</v>
      </c>
      <c r="I143" s="46">
        <f>AVERAGE(0.7,0.67,0.69)</f>
        <v>0.68666666666666665</v>
      </c>
      <c r="J143" s="46">
        <f>AVERAGE(0.73,0.72,0.7)</f>
        <v>0.71666666666666667</v>
      </c>
      <c r="K143" s="46">
        <f>AVERAGE(0.61,0.63,0.6)</f>
        <v>0.61333333333333329</v>
      </c>
      <c r="M143" s="9" t="s">
        <v>1115</v>
      </c>
      <c r="N143" s="9" t="s">
        <v>26</v>
      </c>
      <c r="O143" s="19" t="s">
        <v>146</v>
      </c>
      <c r="P143" s="9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</row>
    <row r="144" spans="1:54">
      <c r="A144" s="9">
        <v>37.763095</v>
      </c>
      <c r="B144" s="9">
        <v>140.46926099999999</v>
      </c>
      <c r="C144" s="9">
        <v>226</v>
      </c>
      <c r="E144" s="9" t="s">
        <v>610</v>
      </c>
      <c r="F144" s="9" t="s">
        <v>1219</v>
      </c>
      <c r="G144" s="27" t="s">
        <v>276</v>
      </c>
      <c r="H144" s="9" t="s">
        <v>370</v>
      </c>
      <c r="I144" s="46">
        <f>AVERAGE(1,1,0.99)</f>
        <v>0.9966666666666667</v>
      </c>
      <c r="J144" s="46">
        <f>AVERAGE(1.1,1.1,1.1)</f>
        <v>1.1000000000000001</v>
      </c>
      <c r="K144" s="46">
        <f>AVERAGE(1.1,1.1,1.1)</f>
        <v>1.1000000000000001</v>
      </c>
      <c r="M144" s="9" t="s">
        <v>1116</v>
      </c>
      <c r="N144" s="9" t="s">
        <v>27</v>
      </c>
      <c r="O144" s="19" t="s">
        <v>147</v>
      </c>
      <c r="P144" s="9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</row>
    <row r="145" spans="1:54">
      <c r="A145" s="9">
        <v>37.763097999999999</v>
      </c>
      <c r="B145" s="9">
        <v>140.47010599999999</v>
      </c>
      <c r="C145" s="9">
        <v>227</v>
      </c>
      <c r="E145" s="9" t="s">
        <v>611</v>
      </c>
      <c r="F145" s="9" t="s">
        <v>1219</v>
      </c>
      <c r="G145" s="27" t="s">
        <v>276</v>
      </c>
      <c r="H145" s="9" t="s">
        <v>370</v>
      </c>
      <c r="I145" s="46">
        <f>AVERAGE(0.78,0.75,0.76)</f>
        <v>0.76333333333333331</v>
      </c>
      <c r="J145" s="46">
        <f>AVERAGE(1.1,1.1,1.1)</f>
        <v>1.1000000000000001</v>
      </c>
      <c r="K145" s="46">
        <f>AVERAGE(1.6,1.6,1.6)</f>
        <v>1.6000000000000003</v>
      </c>
      <c r="M145" s="9" t="s">
        <v>1117</v>
      </c>
      <c r="N145" s="9" t="s">
        <v>826</v>
      </c>
      <c r="O145" s="19" t="s">
        <v>148</v>
      </c>
      <c r="P145" s="9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</row>
    <row r="146" spans="1:54">
      <c r="A146" s="9">
        <v>37.763162999999999</v>
      </c>
      <c r="B146" s="9">
        <v>140.46930499999999</v>
      </c>
      <c r="C146" s="9">
        <v>228</v>
      </c>
      <c r="E146" s="9" t="s">
        <v>612</v>
      </c>
      <c r="F146" s="9" t="s">
        <v>1219</v>
      </c>
      <c r="G146" s="27" t="s">
        <v>276</v>
      </c>
      <c r="H146" s="9" t="s">
        <v>370</v>
      </c>
      <c r="I146" s="46">
        <f>AVERAGE(1.5,1.5,1.5)</f>
        <v>1.5</v>
      </c>
      <c r="J146" s="46">
        <f>AVERAGE(2.1,2.1,2.1)</f>
        <v>2.1</v>
      </c>
      <c r="K146" s="46">
        <f>AVERAGE(2.9,2.9,2.9)</f>
        <v>2.9</v>
      </c>
      <c r="M146" s="9" t="s">
        <v>1118</v>
      </c>
      <c r="N146" s="9" t="s">
        <v>1119</v>
      </c>
      <c r="O146" s="19" t="s">
        <v>149</v>
      </c>
      <c r="P146" s="9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</row>
    <row r="147" spans="1:54">
      <c r="A147" s="9">
        <v>37.767032</v>
      </c>
      <c r="B147" s="9">
        <v>140.48669799999999</v>
      </c>
      <c r="C147" s="9">
        <v>229</v>
      </c>
      <c r="E147" s="9" t="s">
        <v>613</v>
      </c>
      <c r="F147" s="9" t="s">
        <v>1220</v>
      </c>
      <c r="G147" s="27" t="s">
        <v>276</v>
      </c>
      <c r="H147" s="9" t="s">
        <v>370</v>
      </c>
      <c r="I147" s="46">
        <f>AVERAGE(0.5,0.49,0.49)</f>
        <v>0.49333333333333335</v>
      </c>
      <c r="J147" s="46">
        <f>AVERAGE(0.6,0.64,0.63)</f>
        <v>0.62333333333333341</v>
      </c>
      <c r="K147" s="46">
        <f>AVERAGE(0.75,0.79,0.76)</f>
        <v>0.76666666666666661</v>
      </c>
      <c r="L147" s="9" t="s">
        <v>356</v>
      </c>
      <c r="M147" s="9" t="s">
        <v>1120</v>
      </c>
      <c r="N147" s="9" t="s">
        <v>614</v>
      </c>
      <c r="O147" s="18" t="s">
        <v>150</v>
      </c>
      <c r="P147" s="9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</row>
    <row r="148" spans="1:54">
      <c r="A148" s="9">
        <v>37.76708</v>
      </c>
      <c r="B148" s="9">
        <v>140.48662200000001</v>
      </c>
      <c r="C148" s="9">
        <v>230</v>
      </c>
      <c r="E148" s="9" t="s">
        <v>615</v>
      </c>
      <c r="F148" s="9" t="s">
        <v>1220</v>
      </c>
      <c r="G148" s="27" t="s">
        <v>276</v>
      </c>
      <c r="H148" s="9" t="s">
        <v>370</v>
      </c>
      <c r="I148" s="46">
        <f>AVERAGE(1.6,1.5,1.5)</f>
        <v>1.5333333333333332</v>
      </c>
      <c r="J148" s="46">
        <f>AVERAGE(1.8,1.9,1.9)</f>
        <v>1.8666666666666665</v>
      </c>
      <c r="K148" s="46">
        <f>AVERAGE(1.7,1.8,1.6)</f>
        <v>1.7</v>
      </c>
      <c r="L148" s="9" t="s">
        <v>399</v>
      </c>
      <c r="M148" s="9" t="s">
        <v>1121</v>
      </c>
      <c r="N148" s="9" t="s">
        <v>820</v>
      </c>
      <c r="O148" s="18" t="s">
        <v>251</v>
      </c>
      <c r="P148" s="9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</row>
    <row r="149" spans="1:54">
      <c r="A149" s="9">
        <v>37.767201999999997</v>
      </c>
      <c r="B149" s="9">
        <v>140.486591</v>
      </c>
      <c r="C149" s="9">
        <v>231</v>
      </c>
      <c r="E149" s="9" t="s">
        <v>616</v>
      </c>
      <c r="F149" s="9" t="s">
        <v>1220</v>
      </c>
      <c r="G149" s="27" t="s">
        <v>276</v>
      </c>
      <c r="H149" s="9" t="s">
        <v>370</v>
      </c>
      <c r="I149" s="46">
        <f>AVERAGE(1.3,1.3,1.3)</f>
        <v>1.3</v>
      </c>
      <c r="J149" s="46">
        <f>AVERAGE(1.4,1.4,1.4)</f>
        <v>1.3999999999999997</v>
      </c>
      <c r="K149" s="46">
        <f>AVERAGE(1.2,1.1,1.1)</f>
        <v>1.1333333333333333</v>
      </c>
      <c r="L149" s="9" t="s">
        <v>387</v>
      </c>
      <c r="M149" s="9" t="s">
        <v>1122</v>
      </c>
      <c r="N149" s="9" t="s">
        <v>821</v>
      </c>
      <c r="O149" s="18" t="s">
        <v>151</v>
      </c>
      <c r="P149" s="9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</row>
    <row r="150" spans="1:54">
      <c r="A150" s="9">
        <v>37.767226000000001</v>
      </c>
      <c r="B150" s="9">
        <v>140.48656800000001</v>
      </c>
      <c r="C150" s="9">
        <v>232</v>
      </c>
      <c r="E150" s="9" t="s">
        <v>617</v>
      </c>
      <c r="F150" s="9" t="s">
        <v>1220</v>
      </c>
      <c r="G150" s="27" t="s">
        <v>276</v>
      </c>
      <c r="H150" s="9" t="s">
        <v>370</v>
      </c>
      <c r="I150" s="46">
        <f>AVERAGE(1.5,1.5,1.5)</f>
        <v>1.5</v>
      </c>
      <c r="J150" s="46">
        <f>AVERAGE(1.8,1.8,1.9)</f>
        <v>1.8333333333333333</v>
      </c>
      <c r="K150" s="46">
        <f>AVERAGE(2.1,2.1,2.1)</f>
        <v>2.1</v>
      </c>
      <c r="M150" s="9" t="s">
        <v>1123</v>
      </c>
      <c r="N150" s="9" t="s">
        <v>618</v>
      </c>
      <c r="O150" s="18" t="s">
        <v>152</v>
      </c>
      <c r="P150" s="9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</row>
    <row r="151" spans="1:54">
      <c r="A151" s="9">
        <v>37.767073000000003</v>
      </c>
      <c r="B151" s="9">
        <v>140.48662999999999</v>
      </c>
      <c r="C151" s="9">
        <v>234</v>
      </c>
      <c r="E151" s="9" t="s">
        <v>619</v>
      </c>
      <c r="F151" s="9" t="s">
        <v>1220</v>
      </c>
      <c r="G151" s="27" t="s">
        <v>277</v>
      </c>
      <c r="H151" s="9" t="s">
        <v>370</v>
      </c>
      <c r="I151" s="46">
        <f>AVERAGE(0.45,0.4,0.45)</f>
        <v>0.43333333333333335</v>
      </c>
      <c r="J151" s="46">
        <f>AVERAGE(0.5,0.52,0.54)</f>
        <v>0.52</v>
      </c>
      <c r="K151" s="46">
        <f>AVERAGE(0.64,0.65,0.63)</f>
        <v>0.64</v>
      </c>
      <c r="L151" s="9" t="s">
        <v>360</v>
      </c>
      <c r="M151" s="9" t="s">
        <v>1124</v>
      </c>
      <c r="N151" s="9" t="s">
        <v>823</v>
      </c>
      <c r="O151" s="18" t="s">
        <v>153</v>
      </c>
      <c r="P151" s="9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</row>
    <row r="152" spans="1:54" ht="18.75">
      <c r="A152" s="9">
        <v>37.767069999999997</v>
      </c>
      <c r="B152" s="9">
        <v>140.486546</v>
      </c>
      <c r="C152" s="9">
        <v>235</v>
      </c>
      <c r="E152" s="9" t="s">
        <v>620</v>
      </c>
      <c r="F152" s="9" t="s">
        <v>1220</v>
      </c>
      <c r="G152" s="27" t="s">
        <v>277</v>
      </c>
      <c r="H152" s="9" t="s">
        <v>370</v>
      </c>
      <c r="I152" s="46">
        <f>AVERAGE(0.64,0.65,0.66)</f>
        <v>0.65</v>
      </c>
      <c r="J152" s="46">
        <f>AVERAGE(0.97,0.96,0.95)</f>
        <v>0.96</v>
      </c>
      <c r="K152" s="46">
        <f>AVERAGE(1.2,1.2,1.2)</f>
        <v>1.2</v>
      </c>
      <c r="L152" s="9" t="s">
        <v>364</v>
      </c>
      <c r="M152" s="9" t="s">
        <v>1125</v>
      </c>
      <c r="N152" s="9" t="s">
        <v>825</v>
      </c>
      <c r="O152" s="18" t="s">
        <v>252</v>
      </c>
      <c r="P152" s="9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</row>
    <row r="153" spans="1:54" ht="18.75">
      <c r="A153" s="9">
        <v>37.767079000000003</v>
      </c>
      <c r="B153" s="9">
        <v>140.486402</v>
      </c>
      <c r="C153" s="9">
        <v>236</v>
      </c>
      <c r="E153" s="9" t="s">
        <v>621</v>
      </c>
      <c r="F153" s="9" t="s">
        <v>1220</v>
      </c>
      <c r="G153" s="27" t="s">
        <v>277</v>
      </c>
      <c r="H153" s="9" t="s">
        <v>370</v>
      </c>
      <c r="I153" s="46">
        <f>AVERAGE(0.95,0.92,0.93)</f>
        <v>0.93333333333333346</v>
      </c>
      <c r="J153" s="46">
        <f>AVERAGE(1.1,1.1,1.1)</f>
        <v>1.1000000000000001</v>
      </c>
      <c r="K153" s="46">
        <f>AVERAGE(1.3,1.3,1.4)</f>
        <v>1.3333333333333333</v>
      </c>
      <c r="L153" s="9" t="s">
        <v>387</v>
      </c>
      <c r="M153" s="9" t="s">
        <v>1126</v>
      </c>
      <c r="N153" s="9" t="s">
        <v>825</v>
      </c>
      <c r="O153" s="18" t="s">
        <v>253</v>
      </c>
      <c r="P153" s="9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</row>
    <row r="154" spans="1:54">
      <c r="A154" s="9">
        <v>37.767238999999996</v>
      </c>
      <c r="B154" s="9">
        <v>140.48675299999999</v>
      </c>
      <c r="C154" s="9">
        <v>237</v>
      </c>
      <c r="E154" s="9" t="s">
        <v>622</v>
      </c>
      <c r="F154" s="9" t="s">
        <v>1220</v>
      </c>
      <c r="G154" s="27" t="s">
        <v>277</v>
      </c>
      <c r="H154" s="9" t="s">
        <v>370</v>
      </c>
      <c r="I154" s="46">
        <f>AVERAGE(0.81,0.8,0.79)</f>
        <v>0.80000000000000016</v>
      </c>
      <c r="J154" s="46">
        <f>AVERAGE(0.89,0.85,0.81)</f>
        <v>0.85</v>
      </c>
      <c r="K154" s="46">
        <f>AVERAGE(0.85,0.87,0.9)</f>
        <v>0.87333333333333341</v>
      </c>
      <c r="L154" s="9" t="s">
        <v>356</v>
      </c>
      <c r="M154" s="9" t="s">
        <v>1127</v>
      </c>
      <c r="N154" s="9" t="s">
        <v>803</v>
      </c>
      <c r="O154" s="19" t="s">
        <v>154</v>
      </c>
      <c r="P154" s="9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</row>
    <row r="155" spans="1:54">
      <c r="A155" s="9">
        <v>37.767263</v>
      </c>
      <c r="B155" s="9">
        <v>140.48681199999999</v>
      </c>
      <c r="C155" s="9">
        <v>238</v>
      </c>
      <c r="E155" s="9" t="s">
        <v>623</v>
      </c>
      <c r="F155" s="9" t="s">
        <v>1220</v>
      </c>
      <c r="G155" s="27" t="s">
        <v>277</v>
      </c>
      <c r="H155" s="9" t="s">
        <v>370</v>
      </c>
      <c r="I155" s="46">
        <f>AVERAGE(0.91,0.87,0.88)</f>
        <v>0.88666666666666671</v>
      </c>
      <c r="J155" s="46">
        <f>AVERAGE(0.93,0.94,1)</f>
        <v>0.95666666666666667</v>
      </c>
      <c r="K155" s="46">
        <f>AVERAGE(0.85,0.87,0.9)</f>
        <v>0.87333333333333341</v>
      </c>
      <c r="L155" s="9" t="s">
        <v>360</v>
      </c>
      <c r="M155" s="9" t="s">
        <v>1128</v>
      </c>
      <c r="N155" s="9" t="s">
        <v>1129</v>
      </c>
      <c r="O155" s="19" t="s">
        <v>155</v>
      </c>
      <c r="P155" s="9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</row>
    <row r="156" spans="1:54">
      <c r="A156" s="9">
        <v>37.767313000000001</v>
      </c>
      <c r="B156" s="9">
        <v>140.48686000000001</v>
      </c>
      <c r="C156" s="9">
        <v>239</v>
      </c>
      <c r="E156" s="9" t="s">
        <v>624</v>
      </c>
      <c r="F156" s="9" t="s">
        <v>1220</v>
      </c>
      <c r="G156" s="27" t="s">
        <v>277</v>
      </c>
      <c r="H156" s="9" t="s">
        <v>370</v>
      </c>
      <c r="I156" s="46">
        <f>AVERAGE(0.82,0.8,0.8)</f>
        <v>0.80666666666666664</v>
      </c>
      <c r="J156" s="46">
        <f>AVERAGE(1.1,1.1,1.1)</f>
        <v>1.1000000000000001</v>
      </c>
      <c r="K156" s="46">
        <f>AVERAGE(1.3,1.3,1.3)</f>
        <v>1.3</v>
      </c>
      <c r="L156" s="9" t="s">
        <v>364</v>
      </c>
      <c r="M156" s="9" t="s">
        <v>1130</v>
      </c>
      <c r="N156" s="9" t="s">
        <v>1131</v>
      </c>
      <c r="O156" s="19" t="s">
        <v>156</v>
      </c>
      <c r="P156" s="9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</row>
    <row r="157" spans="1:54">
      <c r="A157" s="9">
        <v>37.767451000000001</v>
      </c>
      <c r="B157" s="9">
        <v>140.48688799999999</v>
      </c>
      <c r="C157" s="9">
        <v>240</v>
      </c>
      <c r="E157" s="9" t="s">
        <v>625</v>
      </c>
      <c r="F157" s="9" t="s">
        <v>1220</v>
      </c>
      <c r="G157" s="27" t="s">
        <v>277</v>
      </c>
      <c r="H157" s="9" t="s">
        <v>370</v>
      </c>
      <c r="I157" s="46">
        <f>AVERAGE(1.4,1.5,1.4)</f>
        <v>1.4333333333333333</v>
      </c>
      <c r="J157" s="46">
        <f>AVERAGE(1.1,1.1,1.1)</f>
        <v>1.1000000000000001</v>
      </c>
      <c r="K157" s="46">
        <f>AVERAGE(1.2,1.2,1.2)</f>
        <v>1.2</v>
      </c>
      <c r="M157" s="9" t="s">
        <v>1132</v>
      </c>
      <c r="N157" s="9" t="s">
        <v>824</v>
      </c>
      <c r="O157" s="19" t="s">
        <v>157</v>
      </c>
      <c r="P157" s="9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</row>
    <row r="158" spans="1:54">
      <c r="A158" s="9">
        <v>37.767440000000001</v>
      </c>
      <c r="B158" s="9">
        <v>140.486887</v>
      </c>
      <c r="C158" s="9">
        <v>241</v>
      </c>
      <c r="E158" s="9" t="s">
        <v>626</v>
      </c>
      <c r="F158" s="9" t="s">
        <v>1220</v>
      </c>
      <c r="G158" s="27" t="s">
        <v>277</v>
      </c>
      <c r="H158" s="9" t="s">
        <v>370</v>
      </c>
      <c r="I158" s="46">
        <f>AVERAGE(0.86,0.83,0.87)</f>
        <v>0.85333333333333339</v>
      </c>
      <c r="J158" s="46">
        <f>AVERAGE(1.1,1.1,1.1)</f>
        <v>1.1000000000000001</v>
      </c>
      <c r="K158" s="46">
        <f>AVERAGE(1.3,1.3,1.3)</f>
        <v>1.3</v>
      </c>
      <c r="M158" s="9" t="s">
        <v>1133</v>
      </c>
      <c r="N158" s="9" t="s">
        <v>1134</v>
      </c>
      <c r="O158" s="19" t="s">
        <v>158</v>
      </c>
      <c r="P158" s="9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</row>
    <row r="159" spans="1:54">
      <c r="A159" s="9">
        <v>37.767135000000003</v>
      </c>
      <c r="B159" s="9">
        <v>140.486527</v>
      </c>
      <c r="C159" s="9">
        <v>243</v>
      </c>
      <c r="E159" s="9" t="s">
        <v>627</v>
      </c>
      <c r="F159" s="9" t="s">
        <v>1220</v>
      </c>
      <c r="G159" s="27" t="s">
        <v>277</v>
      </c>
      <c r="H159" s="9" t="s">
        <v>370</v>
      </c>
      <c r="I159" s="46">
        <f>AVERAGE(2.1,2.1,2)</f>
        <v>2.0666666666666669</v>
      </c>
      <c r="J159" s="46">
        <f>AVERAGE(3,3,3)</f>
        <v>3</v>
      </c>
      <c r="K159" s="46">
        <f>AVERAGE(7,7.2,7.6)</f>
        <v>7.2666666666666657</v>
      </c>
      <c r="M159" s="9" t="s">
        <v>1135</v>
      </c>
      <c r="N159" s="9" t="s">
        <v>827</v>
      </c>
      <c r="O159" s="19" t="s">
        <v>159</v>
      </c>
      <c r="P159" s="9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</row>
    <row r="160" spans="1:54">
      <c r="A160" s="9">
        <v>37.767980999999999</v>
      </c>
      <c r="B160" s="9">
        <v>140.48745400000001</v>
      </c>
      <c r="C160" s="9">
        <v>244</v>
      </c>
      <c r="E160" s="9" t="s">
        <v>628</v>
      </c>
      <c r="F160" s="9" t="s">
        <v>1220</v>
      </c>
      <c r="G160" s="27" t="s">
        <v>277</v>
      </c>
      <c r="H160" s="9" t="s">
        <v>370</v>
      </c>
      <c r="I160" s="46">
        <f>AVERAGE(1.4,1.4,1.3)</f>
        <v>1.3666666666666665</v>
      </c>
      <c r="J160" s="46">
        <f>AVERAGE(1.6,1.6,1.6)</f>
        <v>1.6000000000000003</v>
      </c>
      <c r="K160" s="46">
        <f>AVERAGE(1.9,1.9,1.9)</f>
        <v>1.8999999999999997</v>
      </c>
      <c r="M160" s="9" t="s">
        <v>1136</v>
      </c>
      <c r="N160" s="9" t="s">
        <v>804</v>
      </c>
      <c r="O160" s="19" t="s">
        <v>160</v>
      </c>
      <c r="P160" s="9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</row>
    <row r="161" spans="1:54">
      <c r="A161" s="9">
        <v>37.767964999999997</v>
      </c>
      <c r="B161" s="9">
        <v>140.48755800000001</v>
      </c>
      <c r="C161" s="9">
        <v>245</v>
      </c>
      <c r="E161" s="9" t="s">
        <v>629</v>
      </c>
      <c r="F161" s="9" t="s">
        <v>1220</v>
      </c>
      <c r="G161" s="27" t="s">
        <v>277</v>
      </c>
      <c r="H161" s="9" t="s">
        <v>370</v>
      </c>
      <c r="I161" s="46">
        <f>AVERAGE(1.4,1.3,1.3)</f>
        <v>1.3333333333333333</v>
      </c>
      <c r="J161" s="46">
        <f>AVERAGE(1.5,1.5,1.6)</f>
        <v>1.5333333333333332</v>
      </c>
      <c r="K161" s="46">
        <f>AVERAGE(1.7,1.7,1.8)</f>
        <v>1.7333333333333334</v>
      </c>
      <c r="M161" s="9" t="s">
        <v>1137</v>
      </c>
      <c r="N161" s="9" t="s">
        <v>805</v>
      </c>
      <c r="O161" s="19" t="s">
        <v>161</v>
      </c>
      <c r="P161" s="9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</row>
    <row r="162" spans="1:54">
      <c r="A162" s="9">
        <v>37.767549000000002</v>
      </c>
      <c r="B162" s="9">
        <v>140.48783299999999</v>
      </c>
      <c r="C162" s="9">
        <v>246</v>
      </c>
      <c r="E162" s="9" t="s">
        <v>630</v>
      </c>
      <c r="F162" s="9" t="s">
        <v>1220</v>
      </c>
      <c r="G162" s="27" t="s">
        <v>277</v>
      </c>
      <c r="H162" s="9" t="s">
        <v>370</v>
      </c>
      <c r="I162" s="46">
        <f>AVERAGE(1.6,1.6,1.7)</f>
        <v>1.6333333333333335</v>
      </c>
      <c r="J162" s="46">
        <f>AVERAGE(1.8,1.8,1.8)</f>
        <v>1.8</v>
      </c>
      <c r="K162" s="46">
        <f>AVERAGE(1.9,1.9,1.9)</f>
        <v>1.8999999999999997</v>
      </c>
      <c r="M162" s="9" t="s">
        <v>1138</v>
      </c>
      <c r="N162" s="9" t="s">
        <v>806</v>
      </c>
      <c r="O162" s="19" t="s">
        <v>161</v>
      </c>
      <c r="P162" s="9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</row>
    <row r="163" spans="1:54">
      <c r="A163" s="9">
        <v>37.767392000000001</v>
      </c>
      <c r="B163" s="9">
        <v>140.487787</v>
      </c>
      <c r="C163" s="9">
        <v>247</v>
      </c>
      <c r="E163" s="9" t="s">
        <v>631</v>
      </c>
      <c r="F163" s="9" t="s">
        <v>1220</v>
      </c>
      <c r="G163" s="27" t="s">
        <v>277</v>
      </c>
      <c r="H163" s="9" t="s">
        <v>370</v>
      </c>
      <c r="I163" s="46">
        <f>AVERAGE(1.6,1.6,1.7)</f>
        <v>1.6333333333333335</v>
      </c>
      <c r="J163" s="46">
        <f>AVERAGE(2.1,2.1,2.1)</f>
        <v>2.1</v>
      </c>
      <c r="K163" s="46">
        <f>AVERAGE(3,2.9,3.1)</f>
        <v>3</v>
      </c>
      <c r="M163" s="9" t="s">
        <v>1139</v>
      </c>
      <c r="N163" s="9" t="s">
        <v>1140</v>
      </c>
      <c r="O163" s="19" t="s">
        <v>162</v>
      </c>
      <c r="P163" s="9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</row>
    <row r="164" spans="1:54">
      <c r="A164" s="9">
        <v>37.74159959</v>
      </c>
      <c r="B164" s="9">
        <v>140.45727210000001</v>
      </c>
      <c r="C164" s="9">
        <v>276</v>
      </c>
      <c r="E164" s="9" t="s">
        <v>632</v>
      </c>
      <c r="F164" s="9" t="s">
        <v>633</v>
      </c>
      <c r="G164" s="27" t="s">
        <v>277</v>
      </c>
      <c r="H164" s="9" t="s">
        <v>374</v>
      </c>
      <c r="I164" s="46">
        <f>(0.09+0.08+0.08)/3</f>
        <v>8.3333333333333329E-2</v>
      </c>
      <c r="J164" s="46">
        <v>0.1</v>
      </c>
      <c r="K164" s="46">
        <v>0.1</v>
      </c>
      <c r="L164" s="9" t="s">
        <v>356</v>
      </c>
      <c r="M164" s="9" t="s">
        <v>1141</v>
      </c>
      <c r="N164" s="9" t="s">
        <v>1142</v>
      </c>
      <c r="O164" s="19" t="s">
        <v>163</v>
      </c>
      <c r="P164" s="9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</row>
    <row r="165" spans="1:54" ht="18.75">
      <c r="A165" s="9">
        <v>37.74154025</v>
      </c>
      <c r="B165" s="9">
        <v>140.45726303999999</v>
      </c>
      <c r="C165" s="9">
        <v>277</v>
      </c>
      <c r="E165" s="9" t="s">
        <v>634</v>
      </c>
      <c r="F165" s="9" t="s">
        <v>633</v>
      </c>
      <c r="G165" s="27" t="s">
        <v>277</v>
      </c>
      <c r="H165" s="9" t="s">
        <v>374</v>
      </c>
      <c r="I165" s="46">
        <v>0.08</v>
      </c>
      <c r="J165" s="46">
        <v>0.08</v>
      </c>
      <c r="K165" s="46">
        <v>0.1</v>
      </c>
      <c r="L165" s="9" t="s">
        <v>360</v>
      </c>
      <c r="M165" s="9" t="s">
        <v>1143</v>
      </c>
      <c r="N165" s="9" t="s">
        <v>595</v>
      </c>
      <c r="O165" s="17" t="s">
        <v>254</v>
      </c>
      <c r="P165" s="9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</row>
    <row r="166" spans="1:54" ht="18.75">
      <c r="A166" s="9">
        <v>37.741495229999998</v>
      </c>
      <c r="B166" s="9">
        <v>140.45724888000001</v>
      </c>
      <c r="C166" s="9">
        <v>278</v>
      </c>
      <c r="E166" s="9" t="s">
        <v>635</v>
      </c>
      <c r="F166" s="9" t="s">
        <v>633</v>
      </c>
      <c r="G166" s="27" t="s">
        <v>277</v>
      </c>
      <c r="H166" s="9" t="s">
        <v>374</v>
      </c>
      <c r="I166" s="46">
        <v>0.08</v>
      </c>
      <c r="J166" s="46">
        <v>0.08</v>
      </c>
      <c r="K166" s="46">
        <v>7.0000000000000007E-2</v>
      </c>
      <c r="L166" s="9" t="s">
        <v>364</v>
      </c>
      <c r="M166" s="9" t="s">
        <v>1144</v>
      </c>
      <c r="N166" s="9" t="s">
        <v>574</v>
      </c>
      <c r="O166" s="17" t="s">
        <v>255</v>
      </c>
      <c r="P166" s="9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</row>
    <row r="167" spans="1:54" ht="18.75">
      <c r="A167" s="9">
        <v>37.741346370000002</v>
      </c>
      <c r="B167" s="9">
        <v>140.45719095999999</v>
      </c>
      <c r="C167" s="9" t="s">
        <v>636</v>
      </c>
      <c r="E167" s="9" t="s">
        <v>637</v>
      </c>
      <c r="F167" s="9" t="s">
        <v>638</v>
      </c>
      <c r="G167" s="27" t="s">
        <v>277</v>
      </c>
      <c r="H167" s="9" t="s">
        <v>374</v>
      </c>
      <c r="I167" s="46">
        <v>0.09</v>
      </c>
      <c r="J167" s="46">
        <v>0.09</v>
      </c>
      <c r="K167" s="46">
        <v>0.08</v>
      </c>
      <c r="L167" s="9" t="s">
        <v>452</v>
      </c>
      <c r="M167" s="9" t="s">
        <v>1145</v>
      </c>
      <c r="N167" s="9" t="s">
        <v>639</v>
      </c>
      <c r="O167" s="17" t="s">
        <v>256</v>
      </c>
      <c r="P167" s="9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</row>
    <row r="168" spans="1:54">
      <c r="A168" s="9">
        <v>37.741225589999999</v>
      </c>
      <c r="B168" s="9">
        <v>140.45712592000001</v>
      </c>
      <c r="C168" s="9" t="s">
        <v>640</v>
      </c>
      <c r="E168" s="9" t="s">
        <v>641</v>
      </c>
      <c r="F168" s="9" t="s">
        <v>638</v>
      </c>
      <c r="G168" s="27" t="s">
        <v>278</v>
      </c>
      <c r="H168" s="9" t="s">
        <v>374</v>
      </c>
      <c r="I168" s="46">
        <f>(0.47+0.42+0.47)/3</f>
        <v>0.45333333333333337</v>
      </c>
      <c r="J168" s="46">
        <f>(0.65+0.71+0.68)/3</f>
        <v>0.68</v>
      </c>
      <c r="K168" s="46">
        <f>(0.79+0.8+0.77)/3</f>
        <v>0.78666666666666674</v>
      </c>
      <c r="M168" s="9" t="s">
        <v>1146</v>
      </c>
      <c r="N168" s="9" t="s">
        <v>1147</v>
      </c>
      <c r="O168" s="17" t="s">
        <v>257</v>
      </c>
      <c r="P168" s="9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</row>
    <row r="169" spans="1:54">
      <c r="A169" s="9">
        <v>37.741120979999998</v>
      </c>
      <c r="B169" s="9">
        <v>140.45715584000001</v>
      </c>
      <c r="C169" s="9" t="s">
        <v>642</v>
      </c>
      <c r="E169" s="9" t="s">
        <v>643</v>
      </c>
      <c r="F169" s="9" t="s">
        <v>638</v>
      </c>
      <c r="G169" s="27" t="s">
        <v>278</v>
      </c>
      <c r="H169" s="9" t="s">
        <v>374</v>
      </c>
      <c r="I169" s="46">
        <f>(0.6+0.6+0.57)/3</f>
        <v>0.59000000000000008</v>
      </c>
      <c r="J169" s="46">
        <f>(0.83+0.92+0.95)/3</f>
        <v>0.9</v>
      </c>
      <c r="K169" s="46">
        <f>(1.5+1.76+1.34)/3</f>
        <v>1.5333333333333332</v>
      </c>
      <c r="M169" s="9" t="s">
        <v>1148</v>
      </c>
      <c r="N169" s="9" t="s">
        <v>644</v>
      </c>
      <c r="O169" s="17" t="s">
        <v>258</v>
      </c>
      <c r="P169" s="9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</row>
    <row r="170" spans="1:54">
      <c r="A170" s="9">
        <v>37.741286109999997</v>
      </c>
      <c r="B170" s="9">
        <v>140.45668377000001</v>
      </c>
      <c r="C170" s="9" t="s">
        <v>645</v>
      </c>
      <c r="E170" s="9" t="s">
        <v>646</v>
      </c>
      <c r="F170" s="9" t="s">
        <v>638</v>
      </c>
      <c r="G170" s="27" t="s">
        <v>278</v>
      </c>
      <c r="H170" s="9" t="s">
        <v>374</v>
      </c>
      <c r="I170" s="46">
        <f>(0.45+0.33+0.3)/3</f>
        <v>0.36000000000000004</v>
      </c>
      <c r="J170" s="46">
        <f>(0.5+0.49+0.57)/3</f>
        <v>0.52</v>
      </c>
      <c r="K170" s="46">
        <f>(0.61+0.71+0.77)/3</f>
        <v>0.69666666666666666</v>
      </c>
      <c r="M170" s="9" t="s">
        <v>1149</v>
      </c>
      <c r="N170" s="9" t="s">
        <v>647</v>
      </c>
      <c r="O170" s="17" t="s">
        <v>259</v>
      </c>
      <c r="P170" s="9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</row>
    <row r="171" spans="1:54">
      <c r="A171" s="9">
        <v>37.741547709999999</v>
      </c>
      <c r="B171" s="9">
        <v>140.45696121</v>
      </c>
      <c r="C171" s="9" t="s">
        <v>648</v>
      </c>
      <c r="E171" s="9" t="s">
        <v>649</v>
      </c>
      <c r="F171" s="9" t="s">
        <v>638</v>
      </c>
      <c r="G171" s="27" t="s">
        <v>278</v>
      </c>
      <c r="H171" s="9" t="s">
        <v>374</v>
      </c>
      <c r="I171" s="46">
        <v>0.08</v>
      </c>
      <c r="J171" s="46">
        <v>7.0000000000000007E-2</v>
      </c>
      <c r="K171" s="46">
        <v>7.0000000000000007E-2</v>
      </c>
      <c r="M171" s="9" t="s">
        <v>1150</v>
      </c>
      <c r="N171" s="9" t="s">
        <v>650</v>
      </c>
      <c r="O171" s="17" t="s">
        <v>260</v>
      </c>
      <c r="P171" s="9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</row>
    <row r="172" spans="1:54">
      <c r="A172" s="9">
        <v>37.741251239999997</v>
      </c>
      <c r="B172" s="9">
        <v>140.45715274</v>
      </c>
      <c r="C172" s="9" t="s">
        <v>651</v>
      </c>
      <c r="E172" s="9" t="s">
        <v>652</v>
      </c>
      <c r="F172" s="9" t="s">
        <v>638</v>
      </c>
      <c r="G172" s="27" t="s">
        <v>278</v>
      </c>
      <c r="H172" s="9" t="s">
        <v>374</v>
      </c>
      <c r="I172" s="46">
        <f>(0.36+0.34+0.39)/3</f>
        <v>0.36333333333333329</v>
      </c>
      <c r="J172" s="46">
        <f>(0.35+0.42+0.46)/3</f>
        <v>0.41</v>
      </c>
      <c r="K172" s="46">
        <f>(0.54+0.55+0.47)/3</f>
        <v>0.52</v>
      </c>
      <c r="M172" s="9" t="s">
        <v>1151</v>
      </c>
      <c r="N172" s="9" t="s">
        <v>653</v>
      </c>
      <c r="O172" s="17" t="s">
        <v>261</v>
      </c>
      <c r="P172" s="9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</row>
    <row r="173" spans="1:54" ht="18.75">
      <c r="A173" s="9">
        <v>37.747550990000001</v>
      </c>
      <c r="B173" s="9">
        <v>140.44813238</v>
      </c>
      <c r="C173" s="9" t="s">
        <v>654</v>
      </c>
      <c r="E173" s="9" t="s">
        <v>655</v>
      </c>
      <c r="F173" s="9" t="s">
        <v>656</v>
      </c>
      <c r="G173" s="27" t="s">
        <v>278</v>
      </c>
      <c r="H173" s="9" t="s">
        <v>374</v>
      </c>
      <c r="I173" s="46">
        <v>0.13</v>
      </c>
      <c r="J173" s="46">
        <v>0.13</v>
      </c>
      <c r="K173" s="46">
        <v>0.15</v>
      </c>
      <c r="L173" s="9" t="s">
        <v>722</v>
      </c>
      <c r="M173" s="9" t="s">
        <v>1152</v>
      </c>
      <c r="N173" s="9" t="s">
        <v>657</v>
      </c>
      <c r="O173" s="23" t="s">
        <v>262</v>
      </c>
      <c r="P173" s="9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</row>
    <row r="174" spans="1:54" ht="18.75">
      <c r="A174" s="9">
        <v>37.747495000000001</v>
      </c>
      <c r="B174" s="9">
        <v>140.44824177000001</v>
      </c>
      <c r="C174" s="9" t="s">
        <v>658</v>
      </c>
      <c r="E174" s="9" t="s">
        <v>659</v>
      </c>
      <c r="F174" s="9" t="s">
        <v>656</v>
      </c>
      <c r="G174" s="27" t="s">
        <v>278</v>
      </c>
      <c r="H174" s="9" t="s">
        <v>374</v>
      </c>
      <c r="I174" s="46">
        <v>0.31</v>
      </c>
      <c r="J174" s="46">
        <v>0.35</v>
      </c>
      <c r="K174" s="46">
        <f>(0.78+0.7+0.68)/3</f>
        <v>0.72000000000000008</v>
      </c>
      <c r="L174" s="9" t="s">
        <v>807</v>
      </c>
      <c r="M174" s="9" t="s">
        <v>1153</v>
      </c>
      <c r="N174" s="9" t="s">
        <v>1154</v>
      </c>
      <c r="O174" s="23" t="s">
        <v>263</v>
      </c>
      <c r="P174" s="9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</row>
    <row r="175" spans="1:54" ht="18.75">
      <c r="A175" s="9">
        <v>37.747575300000001</v>
      </c>
      <c r="B175" s="9">
        <v>140.44817857000001</v>
      </c>
      <c r="C175" s="9" t="s">
        <v>660</v>
      </c>
      <c r="E175" s="9" t="s">
        <v>661</v>
      </c>
      <c r="F175" s="9" t="s">
        <v>656</v>
      </c>
      <c r="G175" s="27" t="s">
        <v>278</v>
      </c>
      <c r="H175" s="9" t="s">
        <v>374</v>
      </c>
      <c r="I175" s="46">
        <v>0.13</v>
      </c>
      <c r="J175" s="46">
        <v>0.12</v>
      </c>
      <c r="K175" s="46">
        <v>0.15</v>
      </c>
      <c r="L175" s="9" t="s">
        <v>360</v>
      </c>
      <c r="M175" s="9" t="s">
        <v>1155</v>
      </c>
      <c r="N175" s="9" t="s">
        <v>662</v>
      </c>
      <c r="O175" s="23" t="s">
        <v>264</v>
      </c>
      <c r="P175" s="9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</row>
    <row r="176" spans="1:54" ht="18.75">
      <c r="A176" s="9">
        <v>37.747648050000002</v>
      </c>
      <c r="B176" s="9">
        <v>140.44818427000001</v>
      </c>
      <c r="C176" s="9" t="s">
        <v>663</v>
      </c>
      <c r="E176" s="9" t="s">
        <v>664</v>
      </c>
      <c r="F176" s="9" t="s">
        <v>656</v>
      </c>
      <c r="G176" s="27" t="s">
        <v>278</v>
      </c>
      <c r="H176" s="9" t="s">
        <v>374</v>
      </c>
      <c r="I176" s="46">
        <v>0.16</v>
      </c>
      <c r="J176" s="46">
        <v>0.16</v>
      </c>
      <c r="K176" s="46">
        <v>0.17</v>
      </c>
      <c r="L176" s="9" t="s">
        <v>364</v>
      </c>
      <c r="M176" s="9" t="s">
        <v>1156</v>
      </c>
      <c r="N176" s="9" t="s">
        <v>574</v>
      </c>
      <c r="O176" s="23" t="s">
        <v>265</v>
      </c>
      <c r="P176" s="9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</row>
    <row r="177" spans="1:54">
      <c r="A177" s="9">
        <v>37.747677060000001</v>
      </c>
      <c r="B177" s="9">
        <v>140.44846681999999</v>
      </c>
      <c r="C177" s="9" t="s">
        <v>665</v>
      </c>
      <c r="E177" s="9" t="s">
        <v>666</v>
      </c>
      <c r="F177" s="9" t="s">
        <v>656</v>
      </c>
      <c r="G177" s="27" t="s">
        <v>279</v>
      </c>
      <c r="H177" s="9" t="s">
        <v>374</v>
      </c>
      <c r="I177" s="46">
        <f>(0.36+0.41+0.37)/3</f>
        <v>0.38000000000000006</v>
      </c>
      <c r="J177" s="46">
        <f>(0.42+0.3+0.39)/3</f>
        <v>0.36999999999999994</v>
      </c>
      <c r="K177" s="46">
        <f>(1.66+1.84+1.75)/3</f>
        <v>1.75</v>
      </c>
      <c r="M177" s="9" t="s">
        <v>1157</v>
      </c>
      <c r="N177" s="9" t="s">
        <v>667</v>
      </c>
      <c r="O177" s="23" t="s">
        <v>266</v>
      </c>
      <c r="P177" s="9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</row>
    <row r="178" spans="1:54">
      <c r="A178" s="9">
        <v>37.747665660000003</v>
      </c>
      <c r="B178" s="9">
        <v>140.44840916000001</v>
      </c>
      <c r="C178" s="9" t="s">
        <v>668</v>
      </c>
      <c r="E178" s="9" t="s">
        <v>669</v>
      </c>
      <c r="F178" s="9" t="s">
        <v>656</v>
      </c>
      <c r="G178" s="27" t="s">
        <v>279</v>
      </c>
      <c r="H178" s="9" t="s">
        <v>374</v>
      </c>
      <c r="I178" s="46">
        <f>(0.39+0.34+0.36)/3</f>
        <v>0.36333333333333329</v>
      </c>
      <c r="J178" s="46">
        <f>(0.45+0.55+0.49)/3</f>
        <v>0.49666666666666665</v>
      </c>
      <c r="K178" s="46">
        <f>(0.78+0.66+0.65)/3</f>
        <v>0.69666666666666666</v>
      </c>
      <c r="M178" s="9" t="s">
        <v>1158</v>
      </c>
      <c r="N178" s="9"/>
      <c r="O178" s="19" t="s">
        <v>164</v>
      </c>
      <c r="P178" s="9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</row>
    <row r="179" spans="1:54">
      <c r="A179" s="9">
        <v>37.741226849999997</v>
      </c>
      <c r="B179" s="9">
        <v>140.44672682000001</v>
      </c>
      <c r="C179" s="9" t="s">
        <v>670</v>
      </c>
      <c r="E179" s="9" t="s">
        <v>671</v>
      </c>
      <c r="F179" s="9" t="s">
        <v>672</v>
      </c>
      <c r="G179" s="27" t="s">
        <v>279</v>
      </c>
      <c r="H179" s="9" t="s">
        <v>374</v>
      </c>
      <c r="I179" s="46">
        <v>0.31</v>
      </c>
      <c r="J179" s="46">
        <f>(0.41+0.31+0.37)/3</f>
        <v>0.36333333333333329</v>
      </c>
      <c r="K179" s="46">
        <f>(0.48+0.46+0.51)/3</f>
        <v>0.48333333333333334</v>
      </c>
      <c r="M179" s="9" t="s">
        <v>1159</v>
      </c>
      <c r="N179" s="9"/>
      <c r="O179" s="19" t="s">
        <v>165</v>
      </c>
      <c r="P179" s="9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</row>
    <row r="180" spans="1:54">
      <c r="A180" s="9">
        <v>37.741744679999996</v>
      </c>
      <c r="B180" s="9">
        <v>140.47943871000001</v>
      </c>
      <c r="C180" s="9" t="s">
        <v>673</v>
      </c>
      <c r="E180" s="9" t="s">
        <v>674</v>
      </c>
      <c r="F180" s="9" t="s">
        <v>675</v>
      </c>
      <c r="G180" s="27" t="s">
        <v>279</v>
      </c>
      <c r="H180" s="9" t="s">
        <v>374</v>
      </c>
      <c r="I180" s="46">
        <f>(0.25+0.23+0.19)/3</f>
        <v>0.2233333333333333</v>
      </c>
      <c r="J180" s="46">
        <f>(0.24+0.28+0.24)/3</f>
        <v>0.25333333333333335</v>
      </c>
      <c r="K180" s="46">
        <f>(0.21+0.18+0.17)/3</f>
        <v>0.18666666666666668</v>
      </c>
      <c r="L180" s="9" t="s">
        <v>356</v>
      </c>
      <c r="M180" s="9" t="s">
        <v>1160</v>
      </c>
      <c r="N180" s="9" t="s">
        <v>676</v>
      </c>
      <c r="O180" s="19" t="s">
        <v>166</v>
      </c>
      <c r="P180" s="9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</row>
    <row r="181" spans="1:54">
      <c r="A181" s="9">
        <v>37.7415959</v>
      </c>
      <c r="B181" s="9">
        <v>140.47948522999999</v>
      </c>
      <c r="C181" s="9" t="s">
        <v>677</v>
      </c>
      <c r="E181" s="9" t="s">
        <v>678</v>
      </c>
      <c r="F181" s="9" t="s">
        <v>675</v>
      </c>
      <c r="G181" s="27" t="s">
        <v>279</v>
      </c>
      <c r="H181" s="9" t="s">
        <v>374</v>
      </c>
      <c r="I181" s="46">
        <f>(0.28+0.28+0.32)/3</f>
        <v>0.29333333333333339</v>
      </c>
      <c r="J181" s="46">
        <f>(0.32+0.37+0.37)/3</f>
        <v>0.35333333333333333</v>
      </c>
      <c r="K181" s="46">
        <f>(0.33+0.36+0.37)/3</f>
        <v>0.35333333333333333</v>
      </c>
      <c r="L181" s="9" t="s">
        <v>360</v>
      </c>
      <c r="M181" s="9" t="s">
        <v>1161</v>
      </c>
      <c r="N181" s="9" t="s">
        <v>679</v>
      </c>
      <c r="O181" s="19" t="s">
        <v>167</v>
      </c>
      <c r="P181" s="9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</row>
    <row r="182" spans="1:54">
      <c r="A182" s="9">
        <v>37.741675950000001</v>
      </c>
      <c r="B182" s="9">
        <v>140.47958647999999</v>
      </c>
      <c r="C182" s="9" t="s">
        <v>680</v>
      </c>
      <c r="E182" s="9" t="s">
        <v>681</v>
      </c>
      <c r="F182" s="9" t="s">
        <v>675</v>
      </c>
      <c r="G182" s="27" t="s">
        <v>279</v>
      </c>
      <c r="H182" s="9" t="s">
        <v>374</v>
      </c>
      <c r="I182" s="46">
        <v>0.56000000000000016</v>
      </c>
      <c r="J182" s="46">
        <f>(0.68+0.63+0.64)/3</f>
        <v>0.65</v>
      </c>
      <c r="K182" s="46">
        <f>(1.1+0.92+1.7)/3</f>
        <v>1.24</v>
      </c>
      <c r="L182" s="9" t="s">
        <v>364</v>
      </c>
      <c r="M182" s="9" t="s">
        <v>1162</v>
      </c>
      <c r="N182" s="9" t="s">
        <v>574</v>
      </c>
      <c r="O182" s="19" t="s">
        <v>168</v>
      </c>
      <c r="P182" s="9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</row>
    <row r="183" spans="1:54">
      <c r="A183" s="9">
        <v>37.741670249999999</v>
      </c>
      <c r="B183" s="9">
        <v>140.47960207</v>
      </c>
      <c r="C183" s="9" t="s">
        <v>682</v>
      </c>
      <c r="E183" s="9" t="s">
        <v>683</v>
      </c>
      <c r="F183" s="9" t="s">
        <v>675</v>
      </c>
      <c r="G183" s="27" t="s">
        <v>278</v>
      </c>
      <c r="H183" s="9" t="s">
        <v>374</v>
      </c>
      <c r="I183" s="46">
        <v>0.24</v>
      </c>
      <c r="J183" s="46">
        <v>0.23</v>
      </c>
      <c r="K183" s="46">
        <v>0.2</v>
      </c>
      <c r="L183" s="9" t="s">
        <v>387</v>
      </c>
      <c r="M183" s="9" t="s">
        <v>1163</v>
      </c>
      <c r="N183" s="9" t="s">
        <v>598</v>
      </c>
      <c r="O183" s="19" t="s">
        <v>169</v>
      </c>
      <c r="P183" s="9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</row>
    <row r="184" spans="1:54">
      <c r="A184" s="9">
        <v>37.741919359999997</v>
      </c>
      <c r="B184" s="9">
        <v>140.47957482999999</v>
      </c>
      <c r="C184" s="9" t="s">
        <v>684</v>
      </c>
      <c r="E184" s="9" t="s">
        <v>685</v>
      </c>
      <c r="F184" s="9" t="s">
        <v>675</v>
      </c>
      <c r="G184" s="27" t="s">
        <v>270</v>
      </c>
      <c r="H184" s="9" t="s">
        <v>374</v>
      </c>
      <c r="I184" s="46">
        <v>0.18</v>
      </c>
      <c r="J184" s="46">
        <f>(1.17+1.11+0.88)/3</f>
        <v>1.0533333333333335</v>
      </c>
      <c r="K184" s="46">
        <f>(2.22+2.35+2.47)/3</f>
        <v>2.3466666666666671</v>
      </c>
      <c r="M184" s="9" t="s">
        <v>1164</v>
      </c>
      <c r="N184" s="9" t="s">
        <v>808</v>
      </c>
      <c r="O184" s="17" t="s">
        <v>267</v>
      </c>
      <c r="P184" s="9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</row>
    <row r="185" spans="1:54">
      <c r="A185" s="9">
        <v>37.741923890000002</v>
      </c>
      <c r="B185" s="9">
        <v>140.47943233999999</v>
      </c>
      <c r="C185" s="9" t="s">
        <v>686</v>
      </c>
      <c r="E185" s="9" t="s">
        <v>687</v>
      </c>
      <c r="F185" s="9" t="s">
        <v>675</v>
      </c>
      <c r="G185" s="27" t="s">
        <v>270</v>
      </c>
      <c r="H185" s="9" t="s">
        <v>374</v>
      </c>
      <c r="I185" s="46">
        <f>(1.5+1.31+1.21)/3</f>
        <v>1.3399999999999999</v>
      </c>
      <c r="J185" s="46">
        <f>(1.91+1.79+1.86)/3</f>
        <v>1.8533333333333335</v>
      </c>
      <c r="K185" s="46">
        <f>(3.95+3.98+4.17)/3</f>
        <v>4.0333333333333332</v>
      </c>
      <c r="M185" s="9" t="s">
        <v>1165</v>
      </c>
      <c r="N185" s="9" t="s">
        <v>688</v>
      </c>
      <c r="O185" s="17" t="s">
        <v>268</v>
      </c>
      <c r="P185" s="9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</row>
    <row r="186" spans="1:54">
      <c r="A186" s="9">
        <v>37.741660609999997</v>
      </c>
      <c r="B186" s="9">
        <v>140.47937501000001</v>
      </c>
      <c r="C186" s="9" t="s">
        <v>689</v>
      </c>
      <c r="E186" s="9" t="s">
        <v>690</v>
      </c>
      <c r="F186" s="9" t="s">
        <v>675</v>
      </c>
      <c r="G186" s="27" t="s">
        <v>270</v>
      </c>
      <c r="H186" s="9" t="s">
        <v>374</v>
      </c>
      <c r="I186" s="46">
        <v>0.19</v>
      </c>
      <c r="J186" s="46">
        <v>0.19</v>
      </c>
      <c r="K186" s="46">
        <v>0.17</v>
      </c>
      <c r="M186" s="9" t="s">
        <v>1166</v>
      </c>
      <c r="N186" s="9" t="s">
        <v>29</v>
      </c>
      <c r="O186" s="17" t="s">
        <v>269</v>
      </c>
      <c r="P186" s="9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</row>
    <row r="187" spans="1:54">
      <c r="A187" s="16">
        <v>37.751399999999997</v>
      </c>
      <c r="B187" s="16">
        <v>140.46753000000001</v>
      </c>
      <c r="C187" s="16">
        <v>199</v>
      </c>
      <c r="D187" s="16"/>
      <c r="E187" s="16" t="s">
        <v>694</v>
      </c>
      <c r="F187" s="16" t="s">
        <v>1221</v>
      </c>
      <c r="G187" s="27" t="s">
        <v>270</v>
      </c>
      <c r="H187" s="16" t="s">
        <v>691</v>
      </c>
      <c r="I187" s="47">
        <f>(1.03+1.18+1.18)/3</f>
        <v>1.1299999999999999</v>
      </c>
      <c r="J187" s="47">
        <f>(1.72+2.07+1.65)/3</f>
        <v>1.8133333333333332</v>
      </c>
      <c r="K187" s="47">
        <f>(4.17+3.65+3.99)/3</f>
        <v>3.936666666666667</v>
      </c>
      <c r="L187" s="16" t="s">
        <v>811</v>
      </c>
      <c r="M187" s="16" t="s">
        <v>1167</v>
      </c>
      <c r="N187" s="16" t="s">
        <v>28</v>
      </c>
      <c r="O187" s="24" t="s">
        <v>170</v>
      </c>
      <c r="P187" s="9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</row>
    <row r="188" spans="1:54">
      <c r="A188" s="16">
        <v>37.751399999999997</v>
      </c>
      <c r="B188" s="16">
        <v>140.46753000000001</v>
      </c>
      <c r="C188" s="16">
        <v>199</v>
      </c>
      <c r="D188" s="16"/>
      <c r="E188" s="16" t="s">
        <v>695</v>
      </c>
      <c r="F188" s="16" t="s">
        <v>1221</v>
      </c>
      <c r="G188" s="27" t="s">
        <v>270</v>
      </c>
      <c r="H188" s="16" t="s">
        <v>691</v>
      </c>
      <c r="I188" s="47">
        <v>0.25</v>
      </c>
      <c r="J188" s="47">
        <v>0.21</v>
      </c>
      <c r="K188" s="47">
        <v>0.2</v>
      </c>
      <c r="L188" s="16" t="s">
        <v>812</v>
      </c>
      <c r="M188" s="16" t="s">
        <v>1167</v>
      </c>
      <c r="N188" s="16" t="s">
        <v>30</v>
      </c>
      <c r="O188" s="24" t="s">
        <v>171</v>
      </c>
      <c r="P188" s="9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</row>
    <row r="189" spans="1:54">
      <c r="A189" s="16">
        <v>37.749099999999999</v>
      </c>
      <c r="B189" s="16">
        <v>140.46717000000001</v>
      </c>
      <c r="C189" s="16">
        <v>200</v>
      </c>
      <c r="D189" s="16"/>
      <c r="E189" s="16" t="s">
        <v>696</v>
      </c>
      <c r="F189" s="16" t="s">
        <v>1221</v>
      </c>
      <c r="G189" s="27" t="s">
        <v>270</v>
      </c>
      <c r="H189" s="16" t="s">
        <v>691</v>
      </c>
      <c r="I189" s="47">
        <f>(1.22+1.01+1.39)/3</f>
        <v>1.2066666666666668</v>
      </c>
      <c r="J189" s="47">
        <f>(1.08+1.93+1.79)/3</f>
        <v>1.5999999999999999</v>
      </c>
      <c r="K189" s="47">
        <f>(6.61+6.82+7.23)/3</f>
        <v>6.8866666666666667</v>
      </c>
      <c r="L189" s="16"/>
      <c r="M189" s="16" t="s">
        <v>1167</v>
      </c>
      <c r="N189" s="16" t="s">
        <v>1168</v>
      </c>
      <c r="O189" s="24" t="s">
        <v>172</v>
      </c>
      <c r="P189" s="9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</row>
    <row r="190" spans="1:54">
      <c r="A190" s="16">
        <v>37.751989999999999</v>
      </c>
      <c r="B190" s="16">
        <v>140.46709999999999</v>
      </c>
      <c r="C190" s="16">
        <v>201</v>
      </c>
      <c r="D190" s="16"/>
      <c r="E190" s="16" t="s">
        <v>697</v>
      </c>
      <c r="F190" s="16" t="s">
        <v>1221</v>
      </c>
      <c r="G190" s="27" t="s">
        <v>270</v>
      </c>
      <c r="H190" s="16" t="s">
        <v>691</v>
      </c>
      <c r="I190" s="47">
        <f>(1.84+1.53+1.6)/3</f>
        <v>1.656666666666667</v>
      </c>
      <c r="J190" s="47">
        <f>(2.99+3.11+3.23)/3</f>
        <v>3.11</v>
      </c>
      <c r="K190" s="47">
        <f>(8.29+9.33+9.59)/3</f>
        <v>9.0699999999999985</v>
      </c>
      <c r="L190" s="16"/>
      <c r="M190" s="16" t="s">
        <v>1167</v>
      </c>
      <c r="N190" s="16" t="s">
        <v>1169</v>
      </c>
      <c r="O190" s="24" t="s">
        <v>173</v>
      </c>
      <c r="P190" s="9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</row>
    <row r="191" spans="1:54">
      <c r="A191" s="16">
        <v>37.757159999999999</v>
      </c>
      <c r="B191" s="16">
        <v>140.46926999999999</v>
      </c>
      <c r="C191" s="16">
        <v>202</v>
      </c>
      <c r="D191" s="16"/>
      <c r="E191" s="16" t="s">
        <v>698</v>
      </c>
      <c r="F191" s="16" t="s">
        <v>1221</v>
      </c>
      <c r="G191" s="19" t="s">
        <v>280</v>
      </c>
      <c r="H191" s="16" t="s">
        <v>691</v>
      </c>
      <c r="I191" s="47">
        <f>(0.66+0.76+0.8)/3</f>
        <v>0.73999999999999988</v>
      </c>
      <c r="J191" s="47">
        <f>(1.56+1.44+1.23)/3</f>
        <v>1.4100000000000001</v>
      </c>
      <c r="K191" s="47">
        <f>(3.55+3.56+3.61)/3</f>
        <v>3.5733333333333328</v>
      </c>
      <c r="L191" s="16" t="s">
        <v>812</v>
      </c>
      <c r="M191" s="16" t="s">
        <v>1167</v>
      </c>
      <c r="N191" s="16" t="s">
        <v>31</v>
      </c>
      <c r="O191" s="24" t="s">
        <v>174</v>
      </c>
      <c r="P191" s="9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</row>
    <row r="192" spans="1:54">
      <c r="A192" s="16">
        <v>37.758299999999998</v>
      </c>
      <c r="B192" s="16">
        <v>140.46829</v>
      </c>
      <c r="C192" s="16">
        <v>203</v>
      </c>
      <c r="D192" s="16"/>
      <c r="E192" s="16" t="s">
        <v>699</v>
      </c>
      <c r="F192" s="16" t="s">
        <v>1221</v>
      </c>
      <c r="G192" s="19" t="s">
        <v>281</v>
      </c>
      <c r="H192" s="16" t="s">
        <v>691</v>
      </c>
      <c r="I192" s="47">
        <f>(0.87+0.83+0.82)/3</f>
        <v>0.84</v>
      </c>
      <c r="J192" s="47">
        <f>(1.42+1.39+1.44)/3</f>
        <v>1.4166666666666667</v>
      </c>
      <c r="K192" s="47">
        <f>(4.72+4.87+4.53)/3</f>
        <v>4.706666666666667</v>
      </c>
      <c r="L192" s="16" t="s">
        <v>811</v>
      </c>
      <c r="M192" s="16" t="s">
        <v>1167</v>
      </c>
      <c r="N192" s="16" t="s">
        <v>32</v>
      </c>
      <c r="O192" s="24" t="s">
        <v>175</v>
      </c>
      <c r="P192" s="9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</row>
    <row r="193" spans="1:54">
      <c r="A193" s="16">
        <v>37.759250000000002</v>
      </c>
      <c r="B193" s="16">
        <v>140.47403</v>
      </c>
      <c r="C193" s="16">
        <v>204</v>
      </c>
      <c r="D193" s="16"/>
      <c r="E193" s="16" t="s">
        <v>700</v>
      </c>
      <c r="F193" s="16" t="s">
        <v>1221</v>
      </c>
      <c r="G193" s="19" t="s">
        <v>281</v>
      </c>
      <c r="H193" s="16" t="s">
        <v>691</v>
      </c>
      <c r="I193" s="47">
        <v>0.25</v>
      </c>
      <c r="J193" s="47">
        <f>(0.38+0.47+0.49)/3</f>
        <v>0.4466666666666666</v>
      </c>
      <c r="K193" s="47">
        <f>(2.11+2.06+2.27)/3</f>
        <v>2.1466666666666665</v>
      </c>
      <c r="L193" s="16" t="s">
        <v>813</v>
      </c>
      <c r="M193" s="16" t="s">
        <v>1167</v>
      </c>
      <c r="N193" s="16" t="s">
        <v>33</v>
      </c>
      <c r="O193" s="24" t="s">
        <v>176</v>
      </c>
      <c r="P193" s="9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</row>
    <row r="194" spans="1:54">
      <c r="A194" s="16">
        <v>37.758400000000002</v>
      </c>
      <c r="B194" s="16">
        <v>140.47323</v>
      </c>
      <c r="C194" s="16">
        <v>205</v>
      </c>
      <c r="D194" s="16"/>
      <c r="E194" s="16" t="s">
        <v>701</v>
      </c>
      <c r="F194" s="16" t="s">
        <v>1221</v>
      </c>
      <c r="G194" s="19" t="s">
        <v>281</v>
      </c>
      <c r="H194" s="16" t="s">
        <v>691</v>
      </c>
      <c r="I194" s="47">
        <f>(0.3+0.28+0.25)/3</f>
        <v>0.27666666666666667</v>
      </c>
      <c r="J194" s="47">
        <f>(0.25+0.3+0.29)/3</f>
        <v>0.28000000000000003</v>
      </c>
      <c r="K194" s="47">
        <f>(0.44+0.53+0.49)/3</f>
        <v>0.48666666666666664</v>
      </c>
      <c r="L194" s="16" t="s">
        <v>364</v>
      </c>
      <c r="M194" s="16" t="s">
        <v>1167</v>
      </c>
      <c r="N194" s="16" t="s">
        <v>34</v>
      </c>
      <c r="O194" s="24" t="s">
        <v>177</v>
      </c>
      <c r="P194" s="9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</row>
    <row r="195" spans="1:54">
      <c r="A195" s="16">
        <v>37.761200000000002</v>
      </c>
      <c r="B195" s="16">
        <v>140.46845999999999</v>
      </c>
      <c r="C195" s="16">
        <v>206</v>
      </c>
      <c r="D195" s="16"/>
      <c r="E195" s="16" t="s">
        <v>702</v>
      </c>
      <c r="F195" s="16" t="s">
        <v>1221</v>
      </c>
      <c r="G195" s="19" t="s">
        <v>287</v>
      </c>
      <c r="H195" s="16" t="s">
        <v>691</v>
      </c>
      <c r="I195" s="47">
        <f>(0.59+0.53+0.55)/3</f>
        <v>0.55666666666666675</v>
      </c>
      <c r="J195" s="47">
        <f>(1.08+0.88+0.9)/3</f>
        <v>0.95333333333333325</v>
      </c>
      <c r="K195" s="47">
        <f>(3.4+3.6+3.67)/3</f>
        <v>3.5566666666666666</v>
      </c>
      <c r="L195" s="16" t="s">
        <v>814</v>
      </c>
      <c r="M195" s="16" t="s">
        <v>1167</v>
      </c>
      <c r="N195" s="16" t="s">
        <v>25</v>
      </c>
      <c r="O195" s="24" t="s">
        <v>178</v>
      </c>
      <c r="P195" s="9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</row>
    <row r="196" spans="1:54">
      <c r="A196" s="16">
        <v>37.761200000000002</v>
      </c>
      <c r="B196" s="16">
        <v>140.46845999999999</v>
      </c>
      <c r="C196" s="16">
        <v>206</v>
      </c>
      <c r="D196" s="16"/>
      <c r="E196" s="16" t="s">
        <v>702</v>
      </c>
      <c r="F196" s="16" t="s">
        <v>1221</v>
      </c>
      <c r="G196" s="19" t="s">
        <v>288</v>
      </c>
      <c r="H196" s="16" t="s">
        <v>691</v>
      </c>
      <c r="I196" s="47">
        <f>(0.59+0.53+0.55)/3</f>
        <v>0.55666666666666675</v>
      </c>
      <c r="J196" s="47">
        <f>(1.08+0.88+0.9)/3</f>
        <v>0.95333333333333325</v>
      </c>
      <c r="K196" s="47">
        <f>(3.4+3.6+3.67)/3</f>
        <v>3.5566666666666666</v>
      </c>
      <c r="L196" s="16" t="s">
        <v>814</v>
      </c>
      <c r="M196" s="16" t="s">
        <v>1167</v>
      </c>
      <c r="N196" s="16" t="s">
        <v>25</v>
      </c>
      <c r="O196" s="24" t="s">
        <v>178</v>
      </c>
      <c r="P196" s="9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</row>
    <row r="197" spans="1:54">
      <c r="A197" s="9">
        <v>37.751612523570657</v>
      </c>
      <c r="B197" s="9">
        <v>140.45396039262414</v>
      </c>
      <c r="C197" s="9">
        <v>208</v>
      </c>
      <c r="E197" s="9" t="s">
        <v>703</v>
      </c>
      <c r="F197" s="9" t="s">
        <v>1221</v>
      </c>
      <c r="G197" s="19" t="s">
        <v>288</v>
      </c>
      <c r="H197" s="9" t="s">
        <v>692</v>
      </c>
      <c r="I197" s="46">
        <v>0.16</v>
      </c>
      <c r="J197" s="46">
        <v>0.14000000000000001</v>
      </c>
      <c r="K197" s="46">
        <v>0.15</v>
      </c>
      <c r="L197" s="9" t="s">
        <v>356</v>
      </c>
      <c r="M197" s="16" t="s">
        <v>1167</v>
      </c>
      <c r="N197" s="9" t="s">
        <v>1170</v>
      </c>
      <c r="O197" s="25" t="s">
        <v>179</v>
      </c>
      <c r="P197" s="9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</row>
    <row r="198" spans="1:54">
      <c r="A198" s="9">
        <v>37.751624761149287</v>
      </c>
      <c r="B198" s="9">
        <v>140.4539037309587</v>
      </c>
      <c r="C198" s="9">
        <v>209</v>
      </c>
      <c r="E198" s="9" t="s">
        <v>704</v>
      </c>
      <c r="F198" s="9" t="s">
        <v>1221</v>
      </c>
      <c r="G198" s="19" t="s">
        <v>288</v>
      </c>
      <c r="H198" s="9" t="s">
        <v>692</v>
      </c>
      <c r="I198" s="46">
        <f>(0.25+0.27+0.34)/3</f>
        <v>0.28666666666666668</v>
      </c>
      <c r="J198" s="46">
        <f>(0.5+0.4+0.37)/3</f>
        <v>0.42333333333333334</v>
      </c>
      <c r="K198" s="46">
        <f>(0.51+0.44+0.5)/3</f>
        <v>0.48333333333333334</v>
      </c>
      <c r="L198" s="9" t="s">
        <v>705</v>
      </c>
      <c r="M198" s="16" t="s">
        <v>1167</v>
      </c>
      <c r="N198" s="9" t="s">
        <v>35</v>
      </c>
      <c r="O198" s="25" t="s">
        <v>180</v>
      </c>
      <c r="P198" s="9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</row>
    <row r="199" spans="1:54">
      <c r="A199" s="9">
        <v>37.751843277364969</v>
      </c>
      <c r="B199" s="9">
        <v>140.45409064739943</v>
      </c>
      <c r="C199" s="9">
        <v>210</v>
      </c>
      <c r="E199" s="9" t="s">
        <v>706</v>
      </c>
      <c r="F199" s="9" t="s">
        <v>1221</v>
      </c>
      <c r="G199" s="19" t="s">
        <v>288</v>
      </c>
      <c r="H199" s="9" t="s">
        <v>692</v>
      </c>
      <c r="I199" s="46">
        <f>(0.45+0.5+0.51)/3</f>
        <v>0.48666666666666664</v>
      </c>
      <c r="J199" s="46">
        <f>(0.7+0.67+0.69)/3</f>
        <v>0.68666666666666665</v>
      </c>
      <c r="K199" s="46">
        <f>(1.45+1.3+1.58)/3</f>
        <v>1.4433333333333334</v>
      </c>
      <c r="L199" s="9" t="s">
        <v>447</v>
      </c>
      <c r="M199" s="16" t="s">
        <v>1167</v>
      </c>
      <c r="N199" s="9" t="s">
        <v>35</v>
      </c>
      <c r="O199" s="25" t="s">
        <v>181</v>
      </c>
      <c r="P199" s="9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</row>
    <row r="200" spans="1:54">
      <c r="A200" s="9">
        <v>37.751475227996707</v>
      </c>
      <c r="B200" s="9">
        <v>140.45316159725189</v>
      </c>
      <c r="C200" s="9">
        <v>211</v>
      </c>
      <c r="E200" s="9" t="s">
        <v>707</v>
      </c>
      <c r="F200" s="9" t="s">
        <v>1221</v>
      </c>
      <c r="G200" s="19" t="s">
        <v>288</v>
      </c>
      <c r="H200" s="9" t="s">
        <v>692</v>
      </c>
      <c r="I200" s="46">
        <v>0.2</v>
      </c>
      <c r="J200" s="46">
        <v>0.17</v>
      </c>
      <c r="K200" s="46">
        <v>0.17</v>
      </c>
      <c r="L200" s="9" t="s">
        <v>356</v>
      </c>
      <c r="M200" s="16" t="s">
        <v>1167</v>
      </c>
      <c r="N200" s="9" t="s">
        <v>1171</v>
      </c>
      <c r="O200" s="25" t="s">
        <v>182</v>
      </c>
      <c r="P200" s="9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</row>
    <row r="201" spans="1:54">
      <c r="A201" s="9">
        <v>37.751399287953973</v>
      </c>
      <c r="B201" s="9">
        <v>140.45315958559513</v>
      </c>
      <c r="C201" s="9">
        <v>212</v>
      </c>
      <c r="E201" s="9" t="s">
        <v>708</v>
      </c>
      <c r="F201" s="9" t="s">
        <v>1221</v>
      </c>
      <c r="G201" s="19" t="s">
        <v>289</v>
      </c>
      <c r="H201" s="9" t="s">
        <v>692</v>
      </c>
      <c r="I201" s="46">
        <f>(0.56+0.53+0.51)/3</f>
        <v>0.53333333333333333</v>
      </c>
      <c r="J201" s="46">
        <f>(0.65+0.73+0.68)/3</f>
        <v>0.68666666666666665</v>
      </c>
      <c r="K201" s="46">
        <f>(1.3+1.33+1.25)/3</f>
        <v>1.2933333333333332</v>
      </c>
      <c r="L201" s="9" t="s">
        <v>384</v>
      </c>
      <c r="M201" s="16" t="s">
        <v>1167</v>
      </c>
      <c r="N201" s="9" t="s">
        <v>36</v>
      </c>
      <c r="O201" s="25" t="s">
        <v>183</v>
      </c>
      <c r="P201" s="9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</row>
    <row r="202" spans="1:54">
      <c r="A202" s="9">
        <v>37.751383613795042</v>
      </c>
      <c r="B202" s="9">
        <v>140.45314298942685</v>
      </c>
      <c r="C202" s="9">
        <v>213</v>
      </c>
      <c r="E202" s="9" t="s">
        <v>709</v>
      </c>
      <c r="F202" s="9" t="s">
        <v>1221</v>
      </c>
      <c r="G202" s="19" t="s">
        <v>289</v>
      </c>
      <c r="H202" s="9" t="s">
        <v>692</v>
      </c>
      <c r="I202" s="46">
        <f>(0.24+0.5+0.34)/3</f>
        <v>0.36000000000000004</v>
      </c>
      <c r="J202" s="46">
        <f>(0.35+0.47+0.47)/3</f>
        <v>0.43</v>
      </c>
      <c r="K202" s="46">
        <f>(0.74+0.82+0.81)/3</f>
        <v>0.79</v>
      </c>
      <c r="L202" s="9" t="s">
        <v>360</v>
      </c>
      <c r="M202" s="16" t="s">
        <v>1167</v>
      </c>
      <c r="N202" s="9" t="s">
        <v>36</v>
      </c>
      <c r="O202" s="25" t="s">
        <v>184</v>
      </c>
      <c r="P202" s="9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</row>
    <row r="203" spans="1:54">
      <c r="A203" s="9">
        <v>37.751356791704893</v>
      </c>
      <c r="B203" s="9">
        <v>140.45304508879781</v>
      </c>
      <c r="C203" s="9">
        <v>214</v>
      </c>
      <c r="E203" s="9" t="s">
        <v>710</v>
      </c>
      <c r="F203" s="9" t="s">
        <v>1221</v>
      </c>
      <c r="G203" s="19" t="s">
        <v>289</v>
      </c>
      <c r="H203" s="9" t="s">
        <v>692</v>
      </c>
      <c r="I203" s="46">
        <v>0.36</v>
      </c>
      <c r="J203" s="46">
        <f>(0.39+0.39+0.44)/3</f>
        <v>0.40666666666666668</v>
      </c>
      <c r="K203" s="46">
        <f>(0.48+0.47+0.52)/3</f>
        <v>0.49</v>
      </c>
      <c r="L203" s="9" t="s">
        <v>364</v>
      </c>
      <c r="M203" s="16" t="s">
        <v>1167</v>
      </c>
      <c r="N203" s="9" t="s">
        <v>36</v>
      </c>
      <c r="O203" s="25" t="s">
        <v>185</v>
      </c>
      <c r="P203" s="9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</row>
    <row r="204" spans="1:54">
      <c r="A204" s="9">
        <v>37.751430720090866</v>
      </c>
      <c r="B204" s="9">
        <v>140.45296571217477</v>
      </c>
      <c r="C204" s="9">
        <v>215</v>
      </c>
      <c r="E204" s="9" t="s">
        <v>711</v>
      </c>
      <c r="F204" s="9" t="s">
        <v>1221</v>
      </c>
      <c r="G204" s="19" t="s">
        <v>289</v>
      </c>
      <c r="H204" s="9" t="s">
        <v>692</v>
      </c>
      <c r="I204" s="46">
        <f>(0.55+0.6+0.66)/3</f>
        <v>0.60333333333333339</v>
      </c>
      <c r="J204" s="46">
        <f>(0.62+0.71+0.74)/3</f>
        <v>0.69000000000000006</v>
      </c>
      <c r="K204" s="46">
        <f>(1.17+1.14+1.15)/3</f>
        <v>1.1533333333333331</v>
      </c>
      <c r="L204" s="9" t="s">
        <v>447</v>
      </c>
      <c r="M204" s="16" t="s">
        <v>1167</v>
      </c>
      <c r="N204" s="9" t="s">
        <v>36</v>
      </c>
      <c r="O204" s="25" t="s">
        <v>186</v>
      </c>
      <c r="P204" s="9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</row>
    <row r="205" spans="1:54">
      <c r="A205" s="9">
        <v>37.75567171163857</v>
      </c>
      <c r="B205" s="9">
        <v>140.4525360558182</v>
      </c>
      <c r="C205" s="9">
        <v>216</v>
      </c>
      <c r="E205" s="9" t="s">
        <v>712</v>
      </c>
      <c r="F205" s="9" t="s">
        <v>1221</v>
      </c>
      <c r="G205" s="19" t="s">
        <v>289</v>
      </c>
      <c r="H205" s="9" t="s">
        <v>692</v>
      </c>
      <c r="I205" s="46">
        <v>0.17</v>
      </c>
      <c r="J205" s="46">
        <v>0.17</v>
      </c>
      <c r="K205" s="46">
        <f>(0.2+0.15+0.16)/3</f>
        <v>0.17</v>
      </c>
      <c r="L205" s="9" t="s">
        <v>356</v>
      </c>
      <c r="M205" s="16" t="s">
        <v>1167</v>
      </c>
      <c r="N205" s="9" t="s">
        <v>1172</v>
      </c>
      <c r="O205" s="25" t="s">
        <v>187</v>
      </c>
      <c r="P205" s="9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</row>
    <row r="206" spans="1:54">
      <c r="A206" s="9">
        <v>37.755569452419877</v>
      </c>
      <c r="B206" s="9">
        <v>140.45246195979416</v>
      </c>
      <c r="C206" s="9">
        <v>217</v>
      </c>
      <c r="E206" s="9" t="s">
        <v>714</v>
      </c>
      <c r="F206" s="9" t="s">
        <v>1221</v>
      </c>
      <c r="G206" s="19" t="s">
        <v>289</v>
      </c>
      <c r="H206" s="9" t="s">
        <v>692</v>
      </c>
      <c r="I206" s="46">
        <v>0.09</v>
      </c>
      <c r="J206" s="46">
        <v>0.1</v>
      </c>
      <c r="K206" s="46">
        <v>0.1</v>
      </c>
      <c r="L206" s="9" t="s">
        <v>360</v>
      </c>
      <c r="M206" s="16" t="s">
        <v>1167</v>
      </c>
      <c r="N206" s="9" t="s">
        <v>713</v>
      </c>
      <c r="O206" s="25" t="s">
        <v>188</v>
      </c>
      <c r="P206" s="9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</row>
    <row r="207" spans="1:54">
      <c r="A207" s="9">
        <v>37.755524441599846</v>
      </c>
      <c r="B207" s="9">
        <v>140.45253194868565</v>
      </c>
      <c r="C207" s="9">
        <v>218</v>
      </c>
      <c r="E207" s="9" t="s">
        <v>715</v>
      </c>
      <c r="F207" s="9" t="s">
        <v>1221</v>
      </c>
      <c r="G207" s="19" t="s">
        <v>289</v>
      </c>
      <c r="H207" s="9" t="s">
        <v>692</v>
      </c>
      <c r="I207" s="46">
        <f>(0.09+0.08+0.11)/3</f>
        <v>9.3333333333333324E-2</v>
      </c>
      <c r="J207" s="46">
        <v>0.13</v>
      </c>
      <c r="K207" s="46">
        <v>0.12</v>
      </c>
      <c r="L207" s="9" t="s">
        <v>364</v>
      </c>
      <c r="M207" s="16" t="s">
        <v>1167</v>
      </c>
      <c r="N207" s="9" t="s">
        <v>713</v>
      </c>
      <c r="O207" s="25" t="s">
        <v>189</v>
      </c>
      <c r="P207" s="9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</row>
    <row r="208" spans="1:54">
      <c r="A208" s="9">
        <v>37.755689984187484</v>
      </c>
      <c r="B208" s="9">
        <v>140.45257662422955</v>
      </c>
      <c r="C208" s="9">
        <v>219</v>
      </c>
      <c r="E208" s="9" t="s">
        <v>716</v>
      </c>
      <c r="F208" s="9" t="s">
        <v>1221</v>
      </c>
      <c r="G208" s="19" t="s">
        <v>289</v>
      </c>
      <c r="H208" s="9" t="s">
        <v>692</v>
      </c>
      <c r="I208" s="46">
        <v>0.28999999999999998</v>
      </c>
      <c r="J208" s="46">
        <v>0.3</v>
      </c>
      <c r="K208" s="46">
        <f>(0.25+0.27+0.23)/3</f>
        <v>0.25</v>
      </c>
      <c r="L208" s="9" t="s">
        <v>360</v>
      </c>
      <c r="M208" s="16" t="s">
        <v>1167</v>
      </c>
      <c r="N208" s="9" t="s">
        <v>713</v>
      </c>
      <c r="O208" s="25" t="s">
        <v>188</v>
      </c>
      <c r="P208" s="9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</row>
    <row r="209" spans="1:54">
      <c r="A209" s="9">
        <v>37.755689599999997</v>
      </c>
      <c r="B209" s="9">
        <v>140.45260889455676</v>
      </c>
      <c r="C209" s="9">
        <v>220</v>
      </c>
      <c r="E209" s="9" t="s">
        <v>717</v>
      </c>
      <c r="F209" s="9" t="s">
        <v>1221</v>
      </c>
      <c r="G209" s="19" t="s">
        <v>290</v>
      </c>
      <c r="H209" s="9" t="s">
        <v>692</v>
      </c>
      <c r="I209" s="46">
        <f>(0.8+0.76+0.82)/3</f>
        <v>0.79333333333333333</v>
      </c>
      <c r="J209" s="46">
        <f>(1.25+1.48+1.34)/3</f>
        <v>1.3566666666666667</v>
      </c>
      <c r="K209" s="46">
        <f>(1.34+2.8+2.66)/3</f>
        <v>2.2666666666666666</v>
      </c>
      <c r="L209" s="9" t="s">
        <v>458</v>
      </c>
      <c r="M209" s="16" t="s">
        <v>1167</v>
      </c>
      <c r="N209" s="9" t="s">
        <v>713</v>
      </c>
      <c r="O209" s="25" t="s">
        <v>190</v>
      </c>
      <c r="P209" s="9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</row>
    <row r="210" spans="1:54">
      <c r="A210" s="9">
        <v>37.755732480436563</v>
      </c>
      <c r="B210" s="9">
        <v>140.45260889455676</v>
      </c>
      <c r="C210" s="9">
        <v>220</v>
      </c>
      <c r="E210" s="9" t="s">
        <v>717</v>
      </c>
      <c r="F210" s="9" t="s">
        <v>1221</v>
      </c>
      <c r="G210" s="19" t="s">
        <v>290</v>
      </c>
      <c r="H210" s="9" t="s">
        <v>692</v>
      </c>
      <c r="I210" s="46">
        <f>(0.4+0.37+0.44)/3</f>
        <v>0.40333333333333332</v>
      </c>
      <c r="J210" s="46">
        <f>(0.46+0.53+0.47)/3</f>
        <v>0.48666666666666664</v>
      </c>
      <c r="K210" s="46">
        <f>(0.54+0.59+0.62)/3</f>
        <v>0.58333333333333337</v>
      </c>
      <c r="L210" s="9" t="s">
        <v>364</v>
      </c>
      <c r="M210" s="16" t="s">
        <v>1167</v>
      </c>
      <c r="N210" s="9" t="s">
        <v>713</v>
      </c>
      <c r="O210" s="25" t="s">
        <v>189</v>
      </c>
      <c r="P210" s="9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</row>
    <row r="211" spans="1:54">
      <c r="A211" s="9">
        <v>37.756344527006149</v>
      </c>
      <c r="B211" s="9">
        <v>140.44968880712986</v>
      </c>
      <c r="C211" s="9">
        <v>221</v>
      </c>
      <c r="E211" s="9" t="s">
        <v>718</v>
      </c>
      <c r="F211" s="9" t="s">
        <v>1221</v>
      </c>
      <c r="G211" s="19" t="s">
        <v>290</v>
      </c>
      <c r="H211" s="9" t="s">
        <v>692</v>
      </c>
      <c r="I211" s="46">
        <v>0.16</v>
      </c>
      <c r="J211" s="46">
        <v>0.15</v>
      </c>
      <c r="K211" s="46">
        <f>(0.17+0.15+0.13)/3</f>
        <v>0.15</v>
      </c>
      <c r="L211" s="9" t="s">
        <v>356</v>
      </c>
      <c r="M211" s="16" t="s">
        <v>1167</v>
      </c>
      <c r="N211" s="9" t="s">
        <v>1173</v>
      </c>
      <c r="O211" s="25" t="s">
        <v>191</v>
      </c>
      <c r="P211" s="9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</row>
    <row r="212" spans="1:54">
      <c r="A212" s="9">
        <v>37.756317872554064</v>
      </c>
      <c r="B212" s="9">
        <v>140.44972040690482</v>
      </c>
      <c r="C212" s="9">
        <v>222</v>
      </c>
      <c r="E212" s="9" t="s">
        <v>719</v>
      </c>
      <c r="F212" s="9" t="s">
        <v>1221</v>
      </c>
      <c r="G212" s="19" t="s">
        <v>290</v>
      </c>
      <c r="H212" s="9" t="s">
        <v>692</v>
      </c>
      <c r="I212" s="46">
        <f>(0.3+0.8)/2</f>
        <v>0.55000000000000004</v>
      </c>
      <c r="J212" s="46">
        <v>0.27</v>
      </c>
      <c r="K212" s="46">
        <f>(0.3+0.27+0.28)/3</f>
        <v>0.28333333333333338</v>
      </c>
      <c r="L212" s="9" t="s">
        <v>360</v>
      </c>
      <c r="M212" s="16" t="s">
        <v>1167</v>
      </c>
      <c r="N212" s="9" t="s">
        <v>37</v>
      </c>
      <c r="O212" s="25" t="s">
        <v>192</v>
      </c>
      <c r="P212" s="9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</row>
    <row r="213" spans="1:54">
      <c r="A213" s="9">
        <v>37.756289876997471</v>
      </c>
      <c r="B213" s="9">
        <v>140.44984051957726</v>
      </c>
      <c r="C213" s="9">
        <v>223</v>
      </c>
      <c r="E213" s="9" t="s">
        <v>720</v>
      </c>
      <c r="F213" s="9" t="s">
        <v>1221</v>
      </c>
      <c r="G213" s="19" t="s">
        <v>290</v>
      </c>
      <c r="H213" s="9" t="s">
        <v>692</v>
      </c>
      <c r="I213" s="46">
        <f>(0.72+0.78+0.84)/3</f>
        <v>0.77999999999999992</v>
      </c>
      <c r="J213" s="46">
        <f>(1.58+1.72+1.87)/3</f>
        <v>1.7233333333333334</v>
      </c>
      <c r="K213" s="46">
        <f>(7.03+7.09+7.43)/3</f>
        <v>7.1833333333333336</v>
      </c>
      <c r="L213" s="9" t="s">
        <v>364</v>
      </c>
      <c r="M213" s="16" t="s">
        <v>1167</v>
      </c>
      <c r="N213" s="9" t="s">
        <v>37</v>
      </c>
      <c r="O213" s="25" t="s">
        <v>193</v>
      </c>
      <c r="P213" s="9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</row>
    <row r="214" spans="1:54">
      <c r="A214" s="16">
        <v>37.757570459999997</v>
      </c>
      <c r="B214" s="16">
        <v>140.44051632285118</v>
      </c>
      <c r="C214" s="16">
        <v>227</v>
      </c>
      <c r="D214" s="16"/>
      <c r="E214" s="16" t="s">
        <v>721</v>
      </c>
      <c r="F214" s="16" t="s">
        <v>1221</v>
      </c>
      <c r="G214" s="18" t="s">
        <v>290</v>
      </c>
      <c r="H214" s="16" t="s">
        <v>692</v>
      </c>
      <c r="I214" s="47">
        <f>(0.14+0.15+0.17)/3</f>
        <v>0.15333333333333335</v>
      </c>
      <c r="J214" s="47">
        <f>(0.15+0.16+0.18)/3</f>
        <v>0.16333333333333333</v>
      </c>
      <c r="K214" s="47">
        <f>(0.24+0.29+0.27)/3</f>
        <v>0.26666666666666666</v>
      </c>
      <c r="L214" s="16" t="s">
        <v>356</v>
      </c>
      <c r="M214" s="16" t="s">
        <v>1167</v>
      </c>
      <c r="N214" s="16" t="s">
        <v>1174</v>
      </c>
      <c r="O214" s="28" t="s">
        <v>194</v>
      </c>
      <c r="P214" s="9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</row>
    <row r="215" spans="1:54">
      <c r="A215" s="16">
        <v>37.757570464164019</v>
      </c>
      <c r="B215" s="16">
        <v>140.44051632285118</v>
      </c>
      <c r="C215" s="16">
        <v>227</v>
      </c>
      <c r="D215" s="16"/>
      <c r="E215" s="16" t="s">
        <v>721</v>
      </c>
      <c r="F215" s="16" t="s">
        <v>1221</v>
      </c>
      <c r="G215" s="18"/>
      <c r="H215" s="16" t="s">
        <v>692</v>
      </c>
      <c r="I215" s="47">
        <f>(0.64+0.67+0.5)/3</f>
        <v>0.60333333333333339</v>
      </c>
      <c r="J215" s="47">
        <f>(0.96+1.1+1.05)/3</f>
        <v>1.0366666666666668</v>
      </c>
      <c r="K215" s="47">
        <f>(7.65+9.11+8.72)/3</f>
        <v>8.4933333333333323</v>
      </c>
      <c r="L215" s="16" t="s">
        <v>722</v>
      </c>
      <c r="M215" s="16" t="s">
        <v>1167</v>
      </c>
      <c r="N215" s="16" t="s">
        <v>292</v>
      </c>
      <c r="O215" s="28" t="s">
        <v>195</v>
      </c>
      <c r="P215" s="9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</row>
    <row r="216" spans="1:54">
      <c r="A216" s="16">
        <v>37.757532494142652</v>
      </c>
      <c r="B216" s="16">
        <v>140.44040735810995</v>
      </c>
      <c r="C216" s="16">
        <v>228</v>
      </c>
      <c r="D216" s="16"/>
      <c r="E216" s="16" t="s">
        <v>723</v>
      </c>
      <c r="F216" s="16" t="s">
        <v>1221</v>
      </c>
      <c r="G216" s="18"/>
      <c r="H216" s="16" t="s">
        <v>692</v>
      </c>
      <c r="I216" s="47">
        <v>0.34</v>
      </c>
      <c r="J216" s="47">
        <f>(0.41+0.47+0.44)/3</f>
        <v>0.43999999999999995</v>
      </c>
      <c r="K216" s="47">
        <f>(0.57+0.48+0.52)/3</f>
        <v>0.52333333333333332</v>
      </c>
      <c r="L216" s="16" t="s">
        <v>360</v>
      </c>
      <c r="M216" s="16" t="s">
        <v>1167</v>
      </c>
      <c r="N216" s="16" t="s">
        <v>292</v>
      </c>
      <c r="O216" s="28" t="s">
        <v>196</v>
      </c>
      <c r="P216" s="9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</row>
    <row r="217" spans="1:54">
      <c r="A217" s="16">
        <v>37.757563507184386</v>
      </c>
      <c r="B217" s="16">
        <v>140.44040635228157</v>
      </c>
      <c r="C217" s="16">
        <v>229</v>
      </c>
      <c r="D217" s="16"/>
      <c r="E217" s="16" t="s">
        <v>724</v>
      </c>
      <c r="F217" s="16" t="s">
        <v>1221</v>
      </c>
      <c r="G217" s="18"/>
      <c r="H217" s="16" t="s">
        <v>692</v>
      </c>
      <c r="I217" s="47">
        <f>(0.68+0.53+0.57)/3</f>
        <v>0.59333333333333327</v>
      </c>
      <c r="J217" s="47">
        <f>(0.72+0.8+0.77)/3</f>
        <v>0.76333333333333331</v>
      </c>
      <c r="K217" s="47">
        <f>(1.6+2+1.79)/3</f>
        <v>1.7966666666666669</v>
      </c>
      <c r="L217" s="16" t="s">
        <v>364</v>
      </c>
      <c r="M217" s="16" t="s">
        <v>1167</v>
      </c>
      <c r="N217" s="16" t="s">
        <v>292</v>
      </c>
      <c r="O217" s="28" t="s">
        <v>197</v>
      </c>
      <c r="P217" s="9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</row>
    <row r="218" spans="1:54">
      <c r="A218" s="16">
        <v>37.757564596831799</v>
      </c>
      <c r="B218" s="16">
        <v>140.44049209915102</v>
      </c>
      <c r="C218" s="16">
        <v>230</v>
      </c>
      <c r="D218" s="16"/>
      <c r="E218" s="16" t="s">
        <v>725</v>
      </c>
      <c r="F218" s="16" t="s">
        <v>1221</v>
      </c>
      <c r="G218" s="18" t="s">
        <v>282</v>
      </c>
      <c r="H218" s="16" t="s">
        <v>692</v>
      </c>
      <c r="I218" s="47">
        <f>(0.57+0.61+0.66)/3</f>
        <v>0.61333333333333329</v>
      </c>
      <c r="J218" s="47">
        <f>(0.75+0.91+0.86)/3</f>
        <v>0.84</v>
      </c>
      <c r="K218" s="47">
        <f>(3.31+3.13+3.03)/3</f>
        <v>3.1566666666666663</v>
      </c>
      <c r="L218" s="16" t="s">
        <v>384</v>
      </c>
      <c r="M218" s="16" t="s">
        <v>1167</v>
      </c>
      <c r="N218" s="16" t="s">
        <v>292</v>
      </c>
      <c r="O218" s="28" t="s">
        <v>198</v>
      </c>
      <c r="P218" s="9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</row>
    <row r="219" spans="1:54">
      <c r="A219" s="16">
        <v>37.757545653730631</v>
      </c>
      <c r="B219" s="16">
        <v>140.44059251435101</v>
      </c>
      <c r="C219" s="16">
        <v>231</v>
      </c>
      <c r="D219" s="16"/>
      <c r="E219" s="16" t="s">
        <v>726</v>
      </c>
      <c r="F219" s="16" t="s">
        <v>1221</v>
      </c>
      <c r="G219" s="18" t="s">
        <v>282</v>
      </c>
      <c r="H219" s="16" t="s">
        <v>692</v>
      </c>
      <c r="I219" s="47">
        <v>0.69</v>
      </c>
      <c r="J219" s="47">
        <f>(1.24+1.11+1.22)/3</f>
        <v>1.1900000000000002</v>
      </c>
      <c r="K219" s="47">
        <f>(3.89+4.06+4.46)/3</f>
        <v>4.1366666666666667</v>
      </c>
      <c r="L219" s="16" t="s">
        <v>360</v>
      </c>
      <c r="M219" s="16" t="s">
        <v>1167</v>
      </c>
      <c r="N219" s="16" t="s">
        <v>292</v>
      </c>
      <c r="O219" s="28" t="s">
        <v>199</v>
      </c>
      <c r="P219" s="9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</row>
    <row r="220" spans="1:54" ht="52.5">
      <c r="A220" s="9">
        <v>37.757296627387404</v>
      </c>
      <c r="B220" s="9">
        <v>140.43142405338585</v>
      </c>
      <c r="C220" s="9">
        <v>232</v>
      </c>
      <c r="E220" s="9" t="s">
        <v>727</v>
      </c>
      <c r="F220" s="9" t="s">
        <v>1221</v>
      </c>
      <c r="G220" s="19" t="s">
        <v>282</v>
      </c>
      <c r="H220" s="9" t="s">
        <v>692</v>
      </c>
      <c r="I220" s="46">
        <f>(0.56+0.55+0.53)/3</f>
        <v>0.54666666666666675</v>
      </c>
      <c r="J220" s="46">
        <f>(0.62+0.57+0.59)/3</f>
        <v>0.59333333333333327</v>
      </c>
      <c r="K220" s="46">
        <v>0.44</v>
      </c>
      <c r="L220" s="9" t="s">
        <v>356</v>
      </c>
      <c r="M220" s="16" t="s">
        <v>1167</v>
      </c>
      <c r="N220" s="9" t="s">
        <v>1175</v>
      </c>
      <c r="O220" s="26" t="s">
        <v>200</v>
      </c>
      <c r="P220" s="9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</row>
    <row r="221" spans="1:54" ht="35.25">
      <c r="A221" s="9">
        <v>37.757254214957356</v>
      </c>
      <c r="B221" s="9">
        <v>140.431445594877</v>
      </c>
      <c r="C221" s="9">
        <v>233</v>
      </c>
      <c r="E221" s="9" t="s">
        <v>729</v>
      </c>
      <c r="F221" s="9" t="s">
        <v>1221</v>
      </c>
      <c r="G221" s="19" t="s">
        <v>282</v>
      </c>
      <c r="H221" s="9" t="s">
        <v>692</v>
      </c>
      <c r="I221" s="46">
        <f>(0.65+0.53+0.69)/3</f>
        <v>0.62333333333333341</v>
      </c>
      <c r="J221" s="46">
        <f>(0.61+0.88+0.67)/3</f>
        <v>0.72000000000000008</v>
      </c>
      <c r="K221" s="46">
        <f>(1.13+0.9+1.01)/3</f>
        <v>1.0133333333333334</v>
      </c>
      <c r="L221" s="9" t="s">
        <v>360</v>
      </c>
      <c r="M221" s="16" t="s">
        <v>1167</v>
      </c>
      <c r="N221" s="9" t="s">
        <v>728</v>
      </c>
      <c r="O221" s="26" t="s">
        <v>201</v>
      </c>
      <c r="P221" s="9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</row>
    <row r="222" spans="1:54" ht="35.25">
      <c r="A222" s="9">
        <v>37.757200067862868</v>
      </c>
      <c r="B222" s="9">
        <v>140.431411229074</v>
      </c>
      <c r="C222" s="9">
        <v>234</v>
      </c>
      <c r="E222" s="9" t="s">
        <v>730</v>
      </c>
      <c r="F222" s="9" t="s">
        <v>1221</v>
      </c>
      <c r="G222" s="19" t="s">
        <v>282</v>
      </c>
      <c r="H222" s="9" t="s">
        <v>692</v>
      </c>
      <c r="I222" s="46">
        <f>(0.84+0.79+0.87)/3</f>
        <v>0.83333333333333337</v>
      </c>
      <c r="J222" s="46">
        <f>(1.22+1+0.94)/3</f>
        <v>1.0533333333333332</v>
      </c>
      <c r="K222" s="46">
        <f>(4.25+3.96+4.16)/3</f>
        <v>4.123333333333334</v>
      </c>
      <c r="L222" s="9" t="s">
        <v>364</v>
      </c>
      <c r="M222" s="16" t="s">
        <v>1167</v>
      </c>
      <c r="N222" s="9" t="s">
        <v>728</v>
      </c>
      <c r="O222" s="26" t="s">
        <v>202</v>
      </c>
      <c r="P222" s="9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</row>
    <row r="223" spans="1:54" ht="35.25">
      <c r="A223" s="9">
        <v>37.757187495008111</v>
      </c>
      <c r="B223" s="9">
        <v>140.43164634145796</v>
      </c>
      <c r="C223" s="9">
        <v>235</v>
      </c>
      <c r="E223" s="9" t="s">
        <v>731</v>
      </c>
      <c r="F223" s="9" t="s">
        <v>1221</v>
      </c>
      <c r="G223" s="19" t="s">
        <v>282</v>
      </c>
      <c r="H223" s="9" t="s">
        <v>692</v>
      </c>
      <c r="I223" s="46">
        <f>(0.73+0.77+0.69)/3</f>
        <v>0.73</v>
      </c>
      <c r="J223" s="46">
        <f>(0.85+0.91+0.94)/3</f>
        <v>0.9</v>
      </c>
      <c r="K223" s="46">
        <f>(4.13+3.93+3.99)/3</f>
        <v>4.0166666666666666</v>
      </c>
      <c r="L223" s="9" t="s">
        <v>387</v>
      </c>
      <c r="M223" s="16" t="s">
        <v>1167</v>
      </c>
      <c r="N223" s="9" t="s">
        <v>728</v>
      </c>
      <c r="O223" s="26" t="s">
        <v>203</v>
      </c>
      <c r="P223" s="9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</row>
    <row r="224" spans="1:54">
      <c r="A224" s="9">
        <v>37.760135661810637</v>
      </c>
      <c r="B224" s="9">
        <v>140.43703816831112</v>
      </c>
      <c r="C224" s="9">
        <v>236</v>
      </c>
      <c r="E224" s="9" t="s">
        <v>732</v>
      </c>
      <c r="F224" s="9" t="s">
        <v>1221</v>
      </c>
      <c r="G224" s="19" t="s">
        <v>283</v>
      </c>
      <c r="H224" s="9" t="s">
        <v>692</v>
      </c>
      <c r="I224" s="46">
        <v>0.19</v>
      </c>
      <c r="J224" s="46">
        <v>0.18</v>
      </c>
      <c r="K224" s="46">
        <v>0.16</v>
      </c>
      <c r="L224" s="9" t="s">
        <v>356</v>
      </c>
      <c r="M224" s="16" t="s">
        <v>1167</v>
      </c>
      <c r="N224" s="9" t="s">
        <v>1176</v>
      </c>
      <c r="O224" s="25" t="s">
        <v>204</v>
      </c>
      <c r="P224" s="9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</row>
    <row r="225" spans="1:54">
      <c r="A225" s="9">
        <v>37.760135661810637</v>
      </c>
      <c r="B225" s="9">
        <v>140.43703816831112</v>
      </c>
      <c r="C225" s="9">
        <v>236</v>
      </c>
      <c r="E225" s="9" t="s">
        <v>732</v>
      </c>
      <c r="F225" s="9" t="s">
        <v>1221</v>
      </c>
      <c r="G225" s="19" t="s">
        <v>283</v>
      </c>
      <c r="H225" s="9" t="s">
        <v>692</v>
      </c>
      <c r="I225" s="46">
        <f>(0.15+0.18+0.24)/3</f>
        <v>0.18999999999999997</v>
      </c>
      <c r="J225" s="46">
        <f>(0.3+0.39+0.4)/3</f>
        <v>0.36333333333333329</v>
      </c>
      <c r="K225" s="46">
        <f>(2.37+2.03+2.18)/3</f>
        <v>2.1933333333333334</v>
      </c>
      <c r="L225" s="9" t="s">
        <v>722</v>
      </c>
      <c r="M225" s="16" t="s">
        <v>1167</v>
      </c>
      <c r="N225" s="9" t="s">
        <v>733</v>
      </c>
      <c r="O225" s="25" t="s">
        <v>205</v>
      </c>
      <c r="P225" s="9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</row>
    <row r="226" spans="1:54">
      <c r="A226" s="9">
        <v>37.760186456143856</v>
      </c>
      <c r="B226" s="9">
        <v>140.43706155382097</v>
      </c>
      <c r="C226" s="9">
        <v>237</v>
      </c>
      <c r="E226" s="9" t="s">
        <v>734</v>
      </c>
      <c r="F226" s="9" t="s">
        <v>1221</v>
      </c>
      <c r="G226" s="19" t="s">
        <v>283</v>
      </c>
      <c r="H226" s="9" t="s">
        <v>692</v>
      </c>
      <c r="I226" s="46">
        <f>(0.13+0.13+0.14)/3</f>
        <v>0.13333333333333333</v>
      </c>
      <c r="J226" s="46">
        <v>0.12</v>
      </c>
      <c r="K226" s="46">
        <f>(0.1+0.12+0.09)/3</f>
        <v>0.10333333333333333</v>
      </c>
      <c r="L226" s="9" t="s">
        <v>360</v>
      </c>
      <c r="M226" s="16" t="s">
        <v>1167</v>
      </c>
      <c r="N226" s="9" t="s">
        <v>733</v>
      </c>
      <c r="O226" s="25" t="s">
        <v>206</v>
      </c>
      <c r="P226" s="9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</row>
    <row r="227" spans="1:54">
      <c r="A227" s="9">
        <v>37.760193329304457</v>
      </c>
      <c r="B227" s="9">
        <v>140.4370428621769</v>
      </c>
      <c r="C227" s="9">
        <v>238</v>
      </c>
      <c r="E227" s="9" t="s">
        <v>735</v>
      </c>
      <c r="F227" s="9" t="s">
        <v>1221</v>
      </c>
      <c r="G227" s="19" t="s">
        <v>283</v>
      </c>
      <c r="H227" s="9" t="s">
        <v>692</v>
      </c>
      <c r="I227" s="46">
        <f>(0.19+0.2+0.22)/3</f>
        <v>0.20333333333333334</v>
      </c>
      <c r="J227" s="46">
        <f>(0.35+0.31+0.25)/3</f>
        <v>0.30333333333333329</v>
      </c>
      <c r="K227" s="46">
        <f>(1.52+1.84+1.76)/3</f>
        <v>1.7066666666666668</v>
      </c>
      <c r="L227" s="9" t="s">
        <v>458</v>
      </c>
      <c r="M227" s="16" t="s">
        <v>1167</v>
      </c>
      <c r="N227" s="9" t="s">
        <v>733</v>
      </c>
      <c r="O227" s="25" t="s">
        <v>207</v>
      </c>
      <c r="P227" s="9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</row>
    <row r="228" spans="1:54">
      <c r="A228" s="9">
        <v>37.760193580761552</v>
      </c>
      <c r="B228" s="9">
        <v>140.437051076442</v>
      </c>
      <c r="C228" s="9">
        <v>239</v>
      </c>
      <c r="E228" s="9" t="s">
        <v>736</v>
      </c>
      <c r="F228" s="9" t="s">
        <v>1221</v>
      </c>
      <c r="G228" s="19" t="s">
        <v>282</v>
      </c>
      <c r="H228" s="9" t="s">
        <v>692</v>
      </c>
      <c r="I228" s="46">
        <f>(0.2+0.16+0.13)/3</f>
        <v>0.16333333333333333</v>
      </c>
      <c r="J228" s="46">
        <v>0.13</v>
      </c>
      <c r="K228" s="46">
        <v>0.13</v>
      </c>
      <c r="L228" s="9" t="s">
        <v>364</v>
      </c>
      <c r="M228" s="16" t="s">
        <v>1167</v>
      </c>
      <c r="N228" s="9" t="s">
        <v>733</v>
      </c>
      <c r="O228" s="25" t="s">
        <v>208</v>
      </c>
      <c r="P228" s="9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</row>
    <row r="229" spans="1:54">
      <c r="A229" s="9">
        <v>37.763178627938032</v>
      </c>
      <c r="B229" s="9">
        <v>140.43616058304906</v>
      </c>
      <c r="C229" s="9">
        <v>240</v>
      </c>
      <c r="E229" s="9" t="s">
        <v>737</v>
      </c>
      <c r="F229" s="9" t="s">
        <v>1221</v>
      </c>
      <c r="G229" s="19" t="s">
        <v>282</v>
      </c>
      <c r="H229" s="9" t="s">
        <v>692</v>
      </c>
      <c r="I229" s="46">
        <f>(0.51+0.53+0.43)/3</f>
        <v>0.49</v>
      </c>
      <c r="J229" s="46">
        <f>(0.6+0.49+0.64)/3</f>
        <v>0.57666666666666666</v>
      </c>
      <c r="K229" s="46">
        <f>(0.66+0.57+0.67)/3</f>
        <v>0.6333333333333333</v>
      </c>
      <c r="L229" s="9" t="s">
        <v>356</v>
      </c>
      <c r="M229" s="16" t="s">
        <v>1167</v>
      </c>
      <c r="N229" s="9" t="s">
        <v>1177</v>
      </c>
      <c r="O229" s="25" t="s">
        <v>209</v>
      </c>
      <c r="P229" s="9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</row>
    <row r="230" spans="1:54">
      <c r="A230" s="9">
        <v>37.76311551220715</v>
      </c>
      <c r="B230" s="9">
        <v>140.43616242706776</v>
      </c>
      <c r="C230" s="9">
        <v>241</v>
      </c>
      <c r="E230" s="9" t="s">
        <v>739</v>
      </c>
      <c r="F230" s="9" t="s">
        <v>1221</v>
      </c>
      <c r="G230" s="19" t="s">
        <v>282</v>
      </c>
      <c r="H230" s="9" t="s">
        <v>692</v>
      </c>
      <c r="I230" s="46">
        <v>0.53</v>
      </c>
      <c r="J230" s="46">
        <f>(0.71+0.83+0.68)/3</f>
        <v>0.7400000000000001</v>
      </c>
      <c r="K230" s="46">
        <f>(1.1+1.07+1.16)/3</f>
        <v>1.1100000000000001</v>
      </c>
      <c r="L230" s="9" t="s">
        <v>360</v>
      </c>
      <c r="M230" s="16" t="s">
        <v>1167</v>
      </c>
      <c r="N230" s="9" t="s">
        <v>738</v>
      </c>
      <c r="O230" s="25" t="s">
        <v>210</v>
      </c>
      <c r="P230" s="9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</row>
    <row r="231" spans="1:54">
      <c r="A231" s="9">
        <v>37.76311551220715</v>
      </c>
      <c r="B231" s="9">
        <v>140.43616242706776</v>
      </c>
      <c r="C231" s="9">
        <v>241</v>
      </c>
      <c r="E231" s="9" t="s">
        <v>739</v>
      </c>
      <c r="F231" s="9" t="s">
        <v>1221</v>
      </c>
      <c r="G231" s="19" t="s">
        <v>282</v>
      </c>
      <c r="H231" s="9" t="s">
        <v>692</v>
      </c>
      <c r="I231" s="46">
        <f>(0.59+0.71+0.74)/3</f>
        <v>0.68</v>
      </c>
      <c r="J231" s="46">
        <f>(0.78+0.9+0.99)/3</f>
        <v>0.89</v>
      </c>
      <c r="K231" s="46">
        <f>(2.19+2.13+2.03)/3</f>
        <v>2.1166666666666667</v>
      </c>
      <c r="L231" s="9" t="s">
        <v>740</v>
      </c>
      <c r="M231" s="16" t="s">
        <v>1167</v>
      </c>
      <c r="N231" s="9" t="s">
        <v>738</v>
      </c>
      <c r="O231" s="25" t="s">
        <v>211</v>
      </c>
      <c r="P231" s="9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</row>
    <row r="232" spans="1:54">
      <c r="A232" s="9">
        <v>37.763133114203811</v>
      </c>
      <c r="B232" s="9">
        <v>140.43616678565741</v>
      </c>
      <c r="C232" s="9">
        <v>242</v>
      </c>
      <c r="E232" s="9" t="s">
        <v>741</v>
      </c>
      <c r="F232" s="9" t="s">
        <v>1221</v>
      </c>
      <c r="G232" s="19" t="s">
        <v>282</v>
      </c>
      <c r="H232" s="9" t="s">
        <v>692</v>
      </c>
      <c r="I232" s="46">
        <v>0.28000000000000003</v>
      </c>
      <c r="J232" s="46">
        <v>0.27</v>
      </c>
      <c r="K232" s="46">
        <v>0.28999999999999998</v>
      </c>
      <c r="L232" s="9" t="s">
        <v>364</v>
      </c>
      <c r="M232" s="16" t="s">
        <v>1167</v>
      </c>
      <c r="N232" s="9" t="s">
        <v>738</v>
      </c>
      <c r="O232" s="25" t="s">
        <v>212</v>
      </c>
      <c r="P232" s="9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</row>
    <row r="233" spans="1:54">
      <c r="A233" s="9">
        <v>37.763111907988787</v>
      </c>
      <c r="B233" s="9">
        <v>140.43596461415291</v>
      </c>
      <c r="C233" s="9">
        <v>243</v>
      </c>
      <c r="E233" s="9" t="s">
        <v>742</v>
      </c>
      <c r="F233" s="9" t="s">
        <v>1221</v>
      </c>
      <c r="G233" s="19" t="s">
        <v>284</v>
      </c>
      <c r="H233" s="9" t="s">
        <v>692</v>
      </c>
      <c r="I233" s="46">
        <f>(0.66+0.69+0.72)/3</f>
        <v>0.69000000000000006</v>
      </c>
      <c r="J233" s="46">
        <f>(0.87+0.82+0.91)/3</f>
        <v>0.8666666666666667</v>
      </c>
      <c r="K233" s="46">
        <f>(3.73+3.65+4.03)/3</f>
        <v>3.8033333333333332</v>
      </c>
      <c r="M233" s="16" t="s">
        <v>1167</v>
      </c>
      <c r="N233" s="9" t="s">
        <v>1178</v>
      </c>
      <c r="O233" s="25" t="s">
        <v>213</v>
      </c>
      <c r="P233" s="9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</row>
    <row r="234" spans="1:54">
      <c r="A234" s="9">
        <v>37.763751028105617</v>
      </c>
      <c r="B234" s="9">
        <v>140.43385304510593</v>
      </c>
      <c r="C234" s="9">
        <v>244</v>
      </c>
      <c r="E234" s="9" t="s">
        <v>743</v>
      </c>
      <c r="F234" s="9" t="s">
        <v>1221</v>
      </c>
      <c r="G234" s="19" t="s">
        <v>284</v>
      </c>
      <c r="H234" s="9" t="s">
        <v>692</v>
      </c>
      <c r="I234" s="46">
        <f>(0.17+0.14+0.12)/3</f>
        <v>0.14333333333333334</v>
      </c>
      <c r="J234" s="46">
        <v>0.11</v>
      </c>
      <c r="K234" s="46">
        <v>0.1</v>
      </c>
      <c r="L234" s="9" t="s">
        <v>356</v>
      </c>
      <c r="M234" s="16" t="s">
        <v>1167</v>
      </c>
      <c r="N234" s="9" t="s">
        <v>1179</v>
      </c>
      <c r="O234" s="25" t="s">
        <v>214</v>
      </c>
      <c r="P234" s="9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</row>
    <row r="235" spans="1:54">
      <c r="A235" s="9">
        <v>37.763791345059872</v>
      </c>
      <c r="B235" s="9">
        <v>140.43383033014834</v>
      </c>
      <c r="C235" s="9">
        <v>245</v>
      </c>
      <c r="E235" s="9" t="s">
        <v>745</v>
      </c>
      <c r="F235" s="9" t="s">
        <v>1221</v>
      </c>
      <c r="G235" s="19" t="s">
        <v>284</v>
      </c>
      <c r="H235" s="9" t="s">
        <v>692</v>
      </c>
      <c r="I235" s="46">
        <f>(0.2+0.3+0.2)/3</f>
        <v>0.23333333333333331</v>
      </c>
      <c r="J235" s="46">
        <v>0.24</v>
      </c>
      <c r="K235" s="46">
        <f>(1.08+0.99+1.18)/3</f>
        <v>1.0833333333333333</v>
      </c>
      <c r="L235" s="9" t="s">
        <v>360</v>
      </c>
      <c r="M235" s="16" t="s">
        <v>1167</v>
      </c>
      <c r="N235" s="9" t="s">
        <v>744</v>
      </c>
      <c r="O235" s="25" t="s">
        <v>215</v>
      </c>
      <c r="P235" s="9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</row>
    <row r="236" spans="1:54">
      <c r="A236" s="9">
        <v>37.763890419155359</v>
      </c>
      <c r="B236" s="9">
        <v>140.43384801596403</v>
      </c>
      <c r="C236" s="9">
        <v>245</v>
      </c>
      <c r="E236" s="9" t="s">
        <v>746</v>
      </c>
      <c r="F236" s="9" t="s">
        <v>1221</v>
      </c>
      <c r="G236" s="19" t="s">
        <v>284</v>
      </c>
      <c r="H236" s="9" t="s">
        <v>692</v>
      </c>
      <c r="I236" s="46">
        <v>0.21</v>
      </c>
      <c r="J236" s="46">
        <v>0.21</v>
      </c>
      <c r="K236" s="46">
        <f>(0.32+0.27+0.29)/3</f>
        <v>0.29333333333333339</v>
      </c>
      <c r="L236" s="9" t="s">
        <v>364</v>
      </c>
      <c r="M236" s="16" t="s">
        <v>1167</v>
      </c>
      <c r="N236" s="9" t="s">
        <v>744</v>
      </c>
      <c r="O236" s="25" t="s">
        <v>216</v>
      </c>
      <c r="P236" s="9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</row>
    <row r="237" spans="1:54">
      <c r="A237" s="9">
        <v>37.764358464628458</v>
      </c>
      <c r="B237" s="9">
        <v>140.43342213146389</v>
      </c>
      <c r="C237" s="9">
        <v>247</v>
      </c>
      <c r="E237" s="9" t="s">
        <v>747</v>
      </c>
      <c r="F237" s="9" t="s">
        <v>1221</v>
      </c>
      <c r="G237" s="19" t="s">
        <v>284</v>
      </c>
      <c r="H237" s="9" t="s">
        <v>692</v>
      </c>
      <c r="I237" s="46">
        <f>(0.59+0.55+0.56)/3</f>
        <v>0.56666666666666676</v>
      </c>
      <c r="J237" s="46">
        <f>(0.73+0.76+0.7)/3</f>
        <v>0.73</v>
      </c>
      <c r="K237" s="46">
        <f>(0.48+0.44+0.39)/3</f>
        <v>0.4366666666666667</v>
      </c>
      <c r="L237" s="9" t="s">
        <v>356</v>
      </c>
      <c r="M237" s="16" t="s">
        <v>1167</v>
      </c>
      <c r="N237" s="9" t="s">
        <v>1180</v>
      </c>
      <c r="O237" s="25" t="s">
        <v>217</v>
      </c>
      <c r="P237" s="9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</row>
    <row r="238" spans="1:54">
      <c r="A238" s="9">
        <v>37.764303982257843</v>
      </c>
      <c r="B238" s="9">
        <v>140.43334443122149</v>
      </c>
      <c r="C238" s="9">
        <v>248</v>
      </c>
      <c r="E238" s="9" t="s">
        <v>749</v>
      </c>
      <c r="F238" s="9" t="s">
        <v>1221</v>
      </c>
      <c r="G238" s="19" t="s">
        <v>284</v>
      </c>
      <c r="H238" s="9" t="s">
        <v>692</v>
      </c>
      <c r="I238" s="46">
        <f>(0.5+0.58+0.6)/3</f>
        <v>0.56000000000000005</v>
      </c>
      <c r="J238" s="46">
        <f>(0.67+0.63+0.62)/3</f>
        <v>0.64</v>
      </c>
      <c r="K238" s="46">
        <f>(2.93+3.26+3.04)/4</f>
        <v>2.3075000000000001</v>
      </c>
      <c r="L238" s="9" t="s">
        <v>360</v>
      </c>
      <c r="M238" s="16" t="s">
        <v>1167</v>
      </c>
      <c r="N238" s="9" t="s">
        <v>748</v>
      </c>
      <c r="O238" s="25" t="s">
        <v>218</v>
      </c>
      <c r="P238" s="9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</row>
    <row r="239" spans="1:54">
      <c r="A239" s="9">
        <v>37.764444965869188</v>
      </c>
      <c r="B239" s="9">
        <v>140.43324996717274</v>
      </c>
      <c r="C239" s="9">
        <v>249</v>
      </c>
      <c r="E239" s="9" t="s">
        <v>750</v>
      </c>
      <c r="F239" s="9" t="s">
        <v>1221</v>
      </c>
      <c r="G239" s="19" t="s">
        <v>284</v>
      </c>
      <c r="H239" s="9" t="s">
        <v>692</v>
      </c>
      <c r="I239" s="46">
        <f>(0.83+0.8+0.78)/3</f>
        <v>0.80333333333333334</v>
      </c>
      <c r="J239" s="46">
        <f>(0.77+0.85+0.87)/3</f>
        <v>0.83000000000000007</v>
      </c>
      <c r="K239" s="46">
        <f>(1.52+1.62+2.04)/3</f>
        <v>1.7266666666666666</v>
      </c>
      <c r="L239" s="9" t="s">
        <v>364</v>
      </c>
      <c r="M239" s="16" t="s">
        <v>1167</v>
      </c>
      <c r="N239" s="9" t="s">
        <v>748</v>
      </c>
      <c r="O239" s="25" t="s">
        <v>219</v>
      </c>
      <c r="P239" s="9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</row>
    <row r="240" spans="1:54">
      <c r="A240" s="9">
        <v>37.764362236484885</v>
      </c>
      <c r="B240" s="9">
        <v>140.43331995606422</v>
      </c>
      <c r="C240" s="9">
        <v>250</v>
      </c>
      <c r="E240" s="9" t="s">
        <v>751</v>
      </c>
      <c r="F240" s="9" t="s">
        <v>1221</v>
      </c>
      <c r="G240" s="19" t="s">
        <v>284</v>
      </c>
      <c r="H240" s="9" t="s">
        <v>692</v>
      </c>
      <c r="I240" s="46">
        <f>(0.56+0.63+0.69)/3</f>
        <v>0.62666666666666659</v>
      </c>
      <c r="J240" s="46">
        <f>(0.88+0.82+0.91)/3</f>
        <v>0.87</v>
      </c>
      <c r="K240" s="46">
        <f>(3.71+3.66+4.02)/3</f>
        <v>3.7966666666666669</v>
      </c>
      <c r="M240" s="16" t="s">
        <v>1167</v>
      </c>
      <c r="N240" s="9" t="s">
        <v>1181</v>
      </c>
      <c r="O240" s="25" t="s">
        <v>220</v>
      </c>
      <c r="P240" s="9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</row>
    <row r="241" spans="1:54">
      <c r="A241" s="9">
        <v>37.755836248397827</v>
      </c>
      <c r="B241" s="9">
        <v>140.45809761621058</v>
      </c>
      <c r="C241" s="9">
        <v>254</v>
      </c>
      <c r="E241" s="9" t="s">
        <v>752</v>
      </c>
      <c r="F241" s="9" t="s">
        <v>1221</v>
      </c>
      <c r="G241" s="19" t="s">
        <v>284</v>
      </c>
      <c r="H241" s="9" t="s">
        <v>693</v>
      </c>
      <c r="I241" s="46">
        <f>(0.33+0.34+0.35)/3</f>
        <v>0.34</v>
      </c>
      <c r="J241" s="46">
        <f>(0.33+0.32+0.37)/3</f>
        <v>0.34</v>
      </c>
      <c r="K241" s="46">
        <f>(0.47+0.56+0.51)/3</f>
        <v>0.51333333333333331</v>
      </c>
      <c r="L241" s="9" t="s">
        <v>356</v>
      </c>
      <c r="M241" s="16" t="s">
        <v>1167</v>
      </c>
      <c r="N241" s="9" t="s">
        <v>1182</v>
      </c>
      <c r="O241" s="25" t="s">
        <v>222</v>
      </c>
      <c r="P241" s="9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</row>
    <row r="242" spans="1:54">
      <c r="A242" s="9">
        <v>37.755422266200185</v>
      </c>
      <c r="B242" s="9">
        <v>140.45829056762159</v>
      </c>
      <c r="C242" s="9">
        <v>255</v>
      </c>
      <c r="E242" s="9" t="s">
        <v>754</v>
      </c>
      <c r="F242" s="9" t="s">
        <v>1221</v>
      </c>
      <c r="G242" s="19" t="s">
        <v>284</v>
      </c>
      <c r="H242" s="9" t="s">
        <v>693</v>
      </c>
      <c r="I242" s="46">
        <f>(0.25+0.23+0.22)/3</f>
        <v>0.23333333333333331</v>
      </c>
      <c r="J242" s="46">
        <v>0.21</v>
      </c>
      <c r="K242" s="46">
        <v>0.22</v>
      </c>
      <c r="L242" s="9" t="s">
        <v>360</v>
      </c>
      <c r="M242" s="16" t="s">
        <v>1167</v>
      </c>
      <c r="N242" s="9" t="s">
        <v>753</v>
      </c>
      <c r="O242" s="25" t="s">
        <v>223</v>
      </c>
      <c r="P242" s="9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</row>
    <row r="243" spans="1:54">
      <c r="A243" s="9">
        <v>37.755420841276646</v>
      </c>
      <c r="B243" s="9">
        <v>140.45828964561224</v>
      </c>
      <c r="C243" s="9">
        <v>256</v>
      </c>
      <c r="E243" s="9" t="s">
        <v>755</v>
      </c>
      <c r="F243" s="9" t="s">
        <v>1221</v>
      </c>
      <c r="G243" s="19" t="s">
        <v>290</v>
      </c>
      <c r="H243" s="9" t="s">
        <v>693</v>
      </c>
      <c r="I243" s="46">
        <f>(0.43+0.44+0.49)/3</f>
        <v>0.45333333333333331</v>
      </c>
      <c r="J243" s="46">
        <f>(0.63+0.68+0.71)/3</f>
        <v>0.67333333333333334</v>
      </c>
      <c r="K243" s="46">
        <f>(1.31+1.26+1.47)/3</f>
        <v>1.3466666666666667</v>
      </c>
      <c r="L243" s="9" t="s">
        <v>815</v>
      </c>
      <c r="M243" s="16" t="s">
        <v>1167</v>
      </c>
      <c r="N243" s="9" t="s">
        <v>753</v>
      </c>
      <c r="O243" s="25" t="s">
        <v>224</v>
      </c>
      <c r="P243" s="9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</row>
    <row r="244" spans="1:54">
      <c r="A244" s="9">
        <v>37.755506923422217</v>
      </c>
      <c r="B244" s="9">
        <v>140.45810616575181</v>
      </c>
      <c r="C244" s="9">
        <v>257</v>
      </c>
      <c r="E244" s="9" t="s">
        <v>756</v>
      </c>
      <c r="F244" s="9" t="s">
        <v>1221</v>
      </c>
      <c r="G244" s="19" t="s">
        <v>290</v>
      </c>
      <c r="H244" s="9" t="s">
        <v>693</v>
      </c>
      <c r="I244" s="46">
        <f>(0.56+0.57+0.54)/3</f>
        <v>0.55666666666666664</v>
      </c>
      <c r="J244" s="46">
        <f>(0.74+0.8+0.87)/3</f>
        <v>0.80333333333333334</v>
      </c>
      <c r="K244" s="46">
        <f>(2.27+2.39+2.51)/3</f>
        <v>2.39</v>
      </c>
      <c r="M244" s="16" t="s">
        <v>1167</v>
      </c>
      <c r="N244" s="9" t="s">
        <v>1183</v>
      </c>
      <c r="O244" s="25" t="s">
        <v>225</v>
      </c>
      <c r="P244" s="9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</row>
    <row r="245" spans="1:54">
      <c r="A245" s="9">
        <v>37.768778577446938</v>
      </c>
      <c r="B245" s="9">
        <v>140.45600784011185</v>
      </c>
      <c r="C245" s="9">
        <v>258</v>
      </c>
      <c r="E245" s="9" t="s">
        <v>757</v>
      </c>
      <c r="F245" s="9" t="s">
        <v>1221</v>
      </c>
      <c r="G245" s="19" t="s">
        <v>291</v>
      </c>
      <c r="H245" s="9" t="s">
        <v>693</v>
      </c>
      <c r="I245" s="46">
        <f>(0.21+0.17+0.16)/3</f>
        <v>0.18000000000000002</v>
      </c>
      <c r="J245" s="46">
        <f>(0.21+0.24+0.18)/3</f>
        <v>0.20999999999999996</v>
      </c>
      <c r="K245" s="46">
        <f>(0.32+0.36+0.38)/3</f>
        <v>0.35333333333333333</v>
      </c>
      <c r="M245" s="16" t="s">
        <v>1167</v>
      </c>
      <c r="N245" s="9" t="s">
        <v>1184</v>
      </c>
      <c r="O245" s="25" t="s">
        <v>226</v>
      </c>
      <c r="P245" s="9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</row>
    <row r="246" spans="1:54">
      <c r="A246" s="9">
        <v>37.768834149464965</v>
      </c>
      <c r="B246" s="9">
        <v>140.45599392615259</v>
      </c>
      <c r="C246" s="9">
        <v>259</v>
      </c>
      <c r="E246" s="9" t="s">
        <v>759</v>
      </c>
      <c r="F246" s="9" t="s">
        <v>1221</v>
      </c>
      <c r="G246" s="19" t="s">
        <v>291</v>
      </c>
      <c r="H246" s="9" t="s">
        <v>693</v>
      </c>
      <c r="I246" s="46">
        <f>(0.33+0.18+0.25)/3</f>
        <v>0.25333333333333335</v>
      </c>
      <c r="J246" s="46">
        <v>0.2</v>
      </c>
      <c r="K246" s="46">
        <f>(0.21+0.21+0.23)/3</f>
        <v>0.21666666666666667</v>
      </c>
      <c r="M246" s="16" t="s">
        <v>1167</v>
      </c>
      <c r="N246" s="9" t="s">
        <v>1185</v>
      </c>
      <c r="O246" s="25" t="s">
        <v>227</v>
      </c>
      <c r="P246" s="9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</row>
    <row r="247" spans="1:54">
      <c r="A247" s="9">
        <v>37.76888519525528</v>
      </c>
      <c r="B247" s="9">
        <v>140.45600398443639</v>
      </c>
      <c r="C247" s="9">
        <v>260</v>
      </c>
      <c r="E247" s="9" t="s">
        <v>760</v>
      </c>
      <c r="F247" s="9" t="s">
        <v>1221</v>
      </c>
      <c r="G247" s="19" t="s">
        <v>291</v>
      </c>
      <c r="H247" s="9" t="s">
        <v>693</v>
      </c>
      <c r="I247" s="46">
        <f>(0.43+0.35+0.33)/3</f>
        <v>0.37000000000000005</v>
      </c>
      <c r="J247" s="46">
        <f>(0.4+0.38+0.37)/3</f>
        <v>0.3833333333333333</v>
      </c>
      <c r="K247" s="46">
        <f>(0.3+0.29+0.32)/3</f>
        <v>0.30333333333333329</v>
      </c>
      <c r="M247" s="16" t="s">
        <v>1167</v>
      </c>
      <c r="N247" s="9" t="s">
        <v>758</v>
      </c>
      <c r="O247" s="25" t="s">
        <v>227</v>
      </c>
      <c r="P247" s="9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</row>
    <row r="248" spans="1:54">
      <c r="A248" s="9">
        <v>37.768944287672639</v>
      </c>
      <c r="B248" s="9">
        <v>140.45600390061736</v>
      </c>
      <c r="C248" s="9">
        <v>261</v>
      </c>
      <c r="E248" s="9" t="s">
        <v>761</v>
      </c>
      <c r="F248" s="9" t="s">
        <v>1221</v>
      </c>
      <c r="G248" s="19" t="s">
        <v>291</v>
      </c>
      <c r="H248" s="9" t="s">
        <v>693</v>
      </c>
      <c r="I248" s="46">
        <f>(0.78+0.8+1.05)/3</f>
        <v>0.87666666666666659</v>
      </c>
      <c r="J248" s="46">
        <f>(1.31+1.29+1.18)/3</f>
        <v>1.26</v>
      </c>
      <c r="K248" s="46">
        <f>(3.76+3.7+3.58)/3</f>
        <v>3.6799999999999997</v>
      </c>
      <c r="M248" s="16" t="s">
        <v>1167</v>
      </c>
      <c r="N248" s="9" t="s">
        <v>758</v>
      </c>
      <c r="O248" s="25" t="s">
        <v>228</v>
      </c>
      <c r="P248" s="9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</row>
    <row r="249" spans="1:54">
      <c r="A249" s="9">
        <v>37.76894822716713</v>
      </c>
      <c r="B249" s="9">
        <v>140.45609534718096</v>
      </c>
      <c r="C249" s="9">
        <v>262</v>
      </c>
      <c r="E249" s="9" t="s">
        <v>762</v>
      </c>
      <c r="F249" s="9" t="s">
        <v>1221</v>
      </c>
      <c r="G249" s="19" t="s">
        <v>285</v>
      </c>
      <c r="H249" s="9" t="s">
        <v>693</v>
      </c>
      <c r="I249" s="46">
        <f>(1.31+1.29+1.18)/3</f>
        <v>1.26</v>
      </c>
      <c r="J249" s="46">
        <f>(1.45+1.47+1.67)/3</f>
        <v>1.53</v>
      </c>
      <c r="K249" s="46">
        <f>(6.3+6.38+6.64)/3</f>
        <v>6.44</v>
      </c>
      <c r="M249" s="16" t="s">
        <v>1167</v>
      </c>
      <c r="N249" s="9" t="s">
        <v>809</v>
      </c>
      <c r="O249" s="25" t="s">
        <v>228</v>
      </c>
      <c r="P249" s="9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</row>
    <row r="250" spans="1:54">
      <c r="A250" s="9">
        <v>37.774232514202595</v>
      </c>
      <c r="B250" s="9">
        <v>140.44992484152317</v>
      </c>
      <c r="C250" s="9">
        <v>263</v>
      </c>
      <c r="E250" s="9" t="s">
        <v>763</v>
      </c>
      <c r="F250" s="9" t="s">
        <v>1221</v>
      </c>
      <c r="G250" s="19" t="s">
        <v>285</v>
      </c>
      <c r="H250" s="9" t="s">
        <v>693</v>
      </c>
      <c r="I250" s="46">
        <v>0.17</v>
      </c>
      <c r="J250" s="46">
        <v>0.17</v>
      </c>
      <c r="K250" s="46">
        <v>0.16</v>
      </c>
      <c r="L250" s="9" t="s">
        <v>356</v>
      </c>
      <c r="M250" s="16" t="s">
        <v>1167</v>
      </c>
      <c r="N250" s="9" t="s">
        <v>1186</v>
      </c>
      <c r="O250" s="25" t="s">
        <v>229</v>
      </c>
      <c r="P250" s="9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</row>
    <row r="251" spans="1:54">
      <c r="A251" s="9">
        <v>37.774194879457355</v>
      </c>
      <c r="B251" s="9">
        <v>140.4498350713402</v>
      </c>
      <c r="C251" s="9">
        <v>264</v>
      </c>
      <c r="E251" s="9" t="s">
        <v>765</v>
      </c>
      <c r="F251" s="9" t="s">
        <v>1221</v>
      </c>
      <c r="G251" s="19" t="s">
        <v>285</v>
      </c>
      <c r="H251" s="9" t="s">
        <v>693</v>
      </c>
      <c r="I251" s="46">
        <f>(0.54+0.48+0.56)/3</f>
        <v>0.52666666666666673</v>
      </c>
      <c r="J251" s="46">
        <f>(0.71+0.74+0.82)/3</f>
        <v>0.75666666666666671</v>
      </c>
      <c r="K251" s="46">
        <f>(3.27+3.63+3.33)/3</f>
        <v>3.41</v>
      </c>
      <c r="M251" s="16" t="s">
        <v>1167</v>
      </c>
      <c r="N251" s="9" t="s">
        <v>816</v>
      </c>
      <c r="O251" s="25" t="s">
        <v>230</v>
      </c>
      <c r="P251" s="9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</row>
    <row r="252" spans="1:54">
      <c r="A252" s="9">
        <v>37.774176271632314</v>
      </c>
      <c r="B252" s="9">
        <v>140.44991025701165</v>
      </c>
      <c r="C252" s="9">
        <v>265</v>
      </c>
      <c r="E252" s="9" t="s">
        <v>766</v>
      </c>
      <c r="F252" s="9" t="s">
        <v>1221</v>
      </c>
      <c r="G252" s="19" t="s">
        <v>285</v>
      </c>
      <c r="H252" s="9" t="s">
        <v>693</v>
      </c>
      <c r="I252" s="46">
        <v>0.23</v>
      </c>
      <c r="J252" s="46">
        <v>0.21</v>
      </c>
      <c r="K252" s="46">
        <f>(0.24+0.26+0.27)/3</f>
        <v>0.25666666666666665</v>
      </c>
      <c r="L252" s="9" t="s">
        <v>360</v>
      </c>
      <c r="M252" s="16" t="s">
        <v>1167</v>
      </c>
      <c r="N252" s="9" t="s">
        <v>764</v>
      </c>
      <c r="O252" s="25" t="s">
        <v>231</v>
      </c>
      <c r="P252" s="9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</row>
    <row r="253" spans="1:54">
      <c r="A253" s="9">
        <v>37.774102929979563</v>
      </c>
      <c r="B253" s="9">
        <v>140.44986600056291</v>
      </c>
      <c r="C253" s="9">
        <v>266</v>
      </c>
      <c r="E253" s="9" t="s">
        <v>767</v>
      </c>
      <c r="F253" s="9" t="s">
        <v>1221</v>
      </c>
      <c r="G253" s="19" t="s">
        <v>285</v>
      </c>
      <c r="H253" s="9" t="s">
        <v>693</v>
      </c>
      <c r="I253" s="46">
        <f>(0.59+0.55+0.5)/3</f>
        <v>0.54666666666666675</v>
      </c>
      <c r="J253" s="46">
        <f>(1.05+0.8+0.65)/3</f>
        <v>0.83333333333333337</v>
      </c>
      <c r="K253" s="46">
        <f>(2.11+2.14+2.07)/3</f>
        <v>2.1066666666666669</v>
      </c>
      <c r="L253" s="9" t="s">
        <v>768</v>
      </c>
      <c r="M253" s="16" t="s">
        <v>1167</v>
      </c>
      <c r="N253" s="9" t="s">
        <v>764</v>
      </c>
      <c r="O253" s="25" t="s">
        <v>232</v>
      </c>
      <c r="P253" s="9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</row>
    <row r="254" spans="1:54">
      <c r="A254" s="9">
        <v>37.776476182043552</v>
      </c>
      <c r="B254" s="9">
        <v>140.45123560354114</v>
      </c>
      <c r="C254" s="9">
        <v>267</v>
      </c>
      <c r="E254" s="9" t="s">
        <v>769</v>
      </c>
      <c r="F254" s="9" t="s">
        <v>1221</v>
      </c>
      <c r="G254" s="19" t="s">
        <v>286</v>
      </c>
      <c r="H254" s="9" t="s">
        <v>693</v>
      </c>
      <c r="I254" s="46">
        <v>0.15</v>
      </c>
      <c r="J254" s="46">
        <v>0.15</v>
      </c>
      <c r="K254" s="46">
        <f>(0.16+0.16+0.12)/3</f>
        <v>0.14666666666666667</v>
      </c>
      <c r="L254" s="9" t="s">
        <v>356</v>
      </c>
      <c r="M254" s="16" t="s">
        <v>1167</v>
      </c>
      <c r="N254" s="9" t="s">
        <v>1187</v>
      </c>
      <c r="O254" s="25" t="s">
        <v>233</v>
      </c>
      <c r="P254" s="9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</row>
    <row r="255" spans="1:54">
      <c r="A255" s="9">
        <v>37.77654642239213</v>
      </c>
      <c r="B255" s="9">
        <v>140.45136007480323</v>
      </c>
      <c r="C255" s="9">
        <v>268</v>
      </c>
      <c r="E255" s="9" t="s">
        <v>770</v>
      </c>
      <c r="F255" s="9" t="s">
        <v>1221</v>
      </c>
      <c r="G255" s="19" t="s">
        <v>286</v>
      </c>
      <c r="H255" s="9" t="s">
        <v>693</v>
      </c>
      <c r="I255" s="46">
        <f>(0.17+0.16+0.14)/3</f>
        <v>0.15666666666666668</v>
      </c>
      <c r="J255" s="46">
        <v>0.11</v>
      </c>
      <c r="K255" s="46">
        <f>(0.13+0.12+0.12)/3</f>
        <v>0.12333333333333334</v>
      </c>
      <c r="L255" s="9" t="s">
        <v>360</v>
      </c>
      <c r="M255" s="16" t="s">
        <v>1167</v>
      </c>
      <c r="N255" s="9" t="s">
        <v>38</v>
      </c>
      <c r="O255" s="25" t="s">
        <v>234</v>
      </c>
      <c r="P255" s="9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</row>
    <row r="256" spans="1:54">
      <c r="A256" s="9">
        <v>37.776547176763415</v>
      </c>
      <c r="B256" s="9">
        <v>140.45139871537685</v>
      </c>
      <c r="C256" s="9">
        <v>269</v>
      </c>
      <c r="E256" s="9" t="s">
        <v>771</v>
      </c>
      <c r="F256" s="9" t="s">
        <v>1221</v>
      </c>
      <c r="G256" s="19" t="s">
        <v>286</v>
      </c>
      <c r="H256" s="9" t="s">
        <v>693</v>
      </c>
      <c r="I256" s="46">
        <f>(0.11+0.1+0.1)/3</f>
        <v>0.10333333333333335</v>
      </c>
      <c r="J256" s="46">
        <v>0.1</v>
      </c>
      <c r="K256" s="46">
        <v>0.11</v>
      </c>
      <c r="L256" s="9" t="s">
        <v>364</v>
      </c>
      <c r="M256" s="16" t="s">
        <v>1167</v>
      </c>
      <c r="N256" s="9" t="s">
        <v>38</v>
      </c>
      <c r="O256" s="25" t="s">
        <v>221</v>
      </c>
      <c r="P256" s="9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</row>
    <row r="257" spans="1:54">
      <c r="A257" s="9">
        <v>37.780065983533859</v>
      </c>
      <c r="B257" s="9">
        <v>140.44849094934762</v>
      </c>
      <c r="C257" s="9">
        <v>270</v>
      </c>
      <c r="E257" s="9" t="s">
        <v>772</v>
      </c>
      <c r="F257" s="9" t="s">
        <v>1221</v>
      </c>
      <c r="G257" s="19" t="s">
        <v>286</v>
      </c>
      <c r="H257" s="9" t="s">
        <v>693</v>
      </c>
      <c r="I257" s="46">
        <f>(0.12+0.14+0.15)/3</f>
        <v>0.13666666666666669</v>
      </c>
      <c r="J257" s="46">
        <v>0.14000000000000001</v>
      </c>
      <c r="K257" s="46">
        <v>0.13</v>
      </c>
      <c r="L257" s="9" t="s">
        <v>356</v>
      </c>
      <c r="M257" s="16" t="s">
        <v>1167</v>
      </c>
      <c r="N257" s="9" t="s">
        <v>1188</v>
      </c>
      <c r="O257" s="25" t="s">
        <v>235</v>
      </c>
      <c r="P257" s="9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</row>
    <row r="258" spans="1:54">
      <c r="A258" s="9">
        <v>37.780074197798967</v>
      </c>
      <c r="B258" s="9">
        <v>140.44854735955596</v>
      </c>
      <c r="C258" s="9">
        <v>271</v>
      </c>
      <c r="E258" s="9" t="s">
        <v>773</v>
      </c>
      <c r="F258" s="9" t="s">
        <v>1221</v>
      </c>
      <c r="G258" s="19" t="s">
        <v>286</v>
      </c>
      <c r="H258" s="9" t="s">
        <v>693</v>
      </c>
      <c r="I258" s="46">
        <v>0.13</v>
      </c>
      <c r="J258" s="46">
        <v>0.13</v>
      </c>
      <c r="K258" s="46">
        <v>0.11</v>
      </c>
      <c r="L258" s="9" t="s">
        <v>774</v>
      </c>
      <c r="M258" s="16" t="s">
        <v>1167</v>
      </c>
      <c r="N258" s="9" t="s">
        <v>39</v>
      </c>
      <c r="O258" s="25" t="s">
        <v>234</v>
      </c>
      <c r="P258" s="9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</row>
    <row r="259" spans="1:54">
      <c r="A259" s="9">
        <v>37.780080484226346</v>
      </c>
      <c r="B259" s="9">
        <v>140.44861014001071</v>
      </c>
      <c r="C259" s="9">
        <v>272</v>
      </c>
      <c r="E259" s="9" t="s">
        <v>775</v>
      </c>
      <c r="F259" s="9" t="s">
        <v>1221</v>
      </c>
      <c r="G259" s="19" t="s">
        <v>286</v>
      </c>
      <c r="H259" s="9" t="s">
        <v>693</v>
      </c>
      <c r="I259" s="46">
        <v>0.1</v>
      </c>
      <c r="J259" s="46">
        <v>0.12</v>
      </c>
      <c r="K259" s="46">
        <v>0.1</v>
      </c>
      <c r="L259" s="9" t="s">
        <v>364</v>
      </c>
      <c r="M259" s="16" t="s">
        <v>1167</v>
      </c>
      <c r="N259" s="9" t="s">
        <v>40</v>
      </c>
      <c r="O259" s="25" t="s">
        <v>221</v>
      </c>
      <c r="P259" s="9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</row>
    <row r="260" spans="1:54">
      <c r="A260" s="9">
        <v>37.769638476893306</v>
      </c>
      <c r="B260" s="9">
        <v>140.44679654762149</v>
      </c>
      <c r="C260" s="9">
        <v>273</v>
      </c>
      <c r="E260" s="9" t="s">
        <v>776</v>
      </c>
      <c r="F260" s="9" t="s">
        <v>1221</v>
      </c>
      <c r="G260" s="19" t="s">
        <v>286</v>
      </c>
      <c r="H260" s="9" t="s">
        <v>693</v>
      </c>
      <c r="I260" s="46">
        <f>(0.57+0.6+0.58)/3</f>
        <v>0.58333333333333337</v>
      </c>
      <c r="J260" s="46">
        <f>(0.5+0.52+0.57)/3</f>
        <v>0.52999999999999992</v>
      </c>
      <c r="K260" s="46">
        <f>(0.36+0.39+0.41)/3</f>
        <v>0.38666666666666666</v>
      </c>
      <c r="L260" s="9" t="s">
        <v>356</v>
      </c>
      <c r="M260" s="16" t="s">
        <v>1167</v>
      </c>
      <c r="N260" s="9" t="s">
        <v>1189</v>
      </c>
      <c r="O260" s="25" t="s">
        <v>236</v>
      </c>
      <c r="P260" s="9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</row>
    <row r="261" spans="1:54">
      <c r="A261" s="9">
        <v>37.769672591239214</v>
      </c>
      <c r="B261" s="9">
        <v>140.44674013741314</v>
      </c>
      <c r="C261" s="9">
        <v>274</v>
      </c>
      <c r="E261" s="9" t="s">
        <v>778</v>
      </c>
      <c r="F261" s="9" t="s">
        <v>1221</v>
      </c>
      <c r="G261" s="19" t="s">
        <v>286</v>
      </c>
      <c r="H261" s="9" t="s">
        <v>693</v>
      </c>
      <c r="I261" s="46">
        <f>(0.87+0.77+0.78)/3</f>
        <v>0.80666666666666664</v>
      </c>
      <c r="J261" s="46">
        <f>(0.99+1.06+1.03)/3</f>
        <v>1.0266666666666666</v>
      </c>
      <c r="K261" s="46">
        <f>(1.1+1.38+1.49)/3</f>
        <v>1.3233333333333333</v>
      </c>
      <c r="L261" s="9" t="s">
        <v>360</v>
      </c>
      <c r="M261" s="16" t="s">
        <v>1167</v>
      </c>
      <c r="N261" s="9" t="s">
        <v>777</v>
      </c>
      <c r="O261" s="25" t="s">
        <v>237</v>
      </c>
      <c r="P261" s="9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</row>
    <row r="262" spans="1:54">
      <c r="A262" s="9">
        <v>37.769694803282619</v>
      </c>
      <c r="B262" s="9">
        <v>140.44672966003418</v>
      </c>
      <c r="C262" s="9">
        <v>275</v>
      </c>
      <c r="E262" s="9" t="s">
        <v>779</v>
      </c>
      <c r="F262" s="9" t="s">
        <v>1221</v>
      </c>
      <c r="G262" s="19" t="s">
        <v>286</v>
      </c>
      <c r="H262" s="9" t="s">
        <v>693</v>
      </c>
      <c r="I262" s="46">
        <f>(0.74+0.7+0.79)/3</f>
        <v>0.74333333333333329</v>
      </c>
      <c r="J262" s="46">
        <f>(0.85+0.76+0.7)/3</f>
        <v>0.76999999999999991</v>
      </c>
      <c r="K262" s="46">
        <f>(0.65+0.55+0.51)/3</f>
        <v>0.57000000000000006</v>
      </c>
      <c r="L262" s="9" t="s">
        <v>364</v>
      </c>
      <c r="M262" s="16" t="s">
        <v>1167</v>
      </c>
      <c r="N262" s="9" t="s">
        <v>777</v>
      </c>
      <c r="O262" s="25" t="s">
        <v>238</v>
      </c>
      <c r="P262" s="9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</row>
    <row r="263" spans="1:54">
      <c r="A263" s="9">
        <v>37.755529000000003</v>
      </c>
      <c r="B263" s="9">
        <v>140.46109899999999</v>
      </c>
      <c r="C263" s="9">
        <v>15</v>
      </c>
      <c r="E263" s="9" t="s">
        <v>829</v>
      </c>
      <c r="F263" s="9" t="s">
        <v>1221</v>
      </c>
      <c r="G263" s="19" t="s">
        <v>286</v>
      </c>
      <c r="H263" s="9" t="s">
        <v>828</v>
      </c>
      <c r="I263" s="46">
        <v>1</v>
      </c>
      <c r="J263" s="46">
        <v>1.5</v>
      </c>
      <c r="K263" s="46">
        <v>2.6</v>
      </c>
      <c r="M263" s="9" t="s">
        <v>1137</v>
      </c>
      <c r="N263" s="9" t="s">
        <v>1</v>
      </c>
      <c r="O263" s="9"/>
    </row>
    <row r="264" spans="1:54">
      <c r="A264" s="9">
        <v>37.755651999999998</v>
      </c>
      <c r="B264" s="9">
        <v>140.461105</v>
      </c>
      <c r="C264" s="9">
        <v>16</v>
      </c>
      <c r="E264" s="9" t="s">
        <v>830</v>
      </c>
      <c r="F264" s="9" t="s">
        <v>1221</v>
      </c>
      <c r="G264" s="19" t="s">
        <v>285</v>
      </c>
      <c r="H264" s="9" t="s">
        <v>828</v>
      </c>
      <c r="I264" s="46">
        <v>2.4</v>
      </c>
      <c r="J264" s="46">
        <v>2.9</v>
      </c>
      <c r="K264" s="46">
        <v>2.2999999999999998</v>
      </c>
      <c r="M264" s="9" t="s">
        <v>1138</v>
      </c>
      <c r="N264" s="9" t="s">
        <v>2</v>
      </c>
      <c r="O264" s="9"/>
    </row>
    <row r="265" spans="1:54">
      <c r="A265" s="9">
        <v>37.755879999999998</v>
      </c>
      <c r="B265" s="9">
        <v>140.46126899999999</v>
      </c>
      <c r="C265" s="9">
        <v>19</v>
      </c>
      <c r="E265" s="9" t="s">
        <v>831</v>
      </c>
      <c r="F265" s="9" t="s">
        <v>1221</v>
      </c>
      <c r="G265" s="19" t="s">
        <v>285</v>
      </c>
      <c r="H265" s="9" t="s">
        <v>828</v>
      </c>
      <c r="I265" s="46">
        <v>1.5</v>
      </c>
      <c r="J265" s="46">
        <v>2.2000000000000002</v>
      </c>
      <c r="K265" s="46">
        <v>7.1</v>
      </c>
      <c r="M265" s="9" t="s">
        <v>1143</v>
      </c>
      <c r="N265" s="9" t="s">
        <v>3</v>
      </c>
      <c r="O265" s="9"/>
    </row>
    <row r="266" spans="1:54">
      <c r="A266" s="9">
        <v>37.755389999999998</v>
      </c>
      <c r="B266" s="9">
        <v>140.46176</v>
      </c>
      <c r="C266" s="9">
        <v>20</v>
      </c>
      <c r="E266" s="9" t="s">
        <v>832</v>
      </c>
      <c r="F266" s="9" t="s">
        <v>1221</v>
      </c>
      <c r="G266" s="19" t="s">
        <v>285</v>
      </c>
      <c r="H266" s="9" t="s">
        <v>828</v>
      </c>
      <c r="I266" s="46">
        <v>0.5</v>
      </c>
      <c r="M266" s="9" t="s">
        <v>1144</v>
      </c>
      <c r="N266" s="9" t="s">
        <v>4</v>
      </c>
      <c r="O266" s="9"/>
    </row>
    <row r="267" spans="1:54">
      <c r="A267" s="9">
        <v>37.755291</v>
      </c>
      <c r="B267" s="9">
        <v>140.46227300000001</v>
      </c>
      <c r="C267" s="9">
        <v>21</v>
      </c>
      <c r="E267" s="9" t="s">
        <v>833</v>
      </c>
      <c r="F267" s="9" t="s">
        <v>1221</v>
      </c>
      <c r="H267" s="9" t="s">
        <v>828</v>
      </c>
      <c r="I267" s="46">
        <v>0.8</v>
      </c>
      <c r="M267" s="9" t="s">
        <v>1145</v>
      </c>
      <c r="N267" s="9" t="s">
        <v>4</v>
      </c>
      <c r="O267" s="9"/>
    </row>
    <row r="268" spans="1:54">
      <c r="A268" s="9">
        <v>37.755284000000003</v>
      </c>
      <c r="B268" s="9">
        <v>140.462625</v>
      </c>
      <c r="C268" s="9">
        <v>22</v>
      </c>
      <c r="E268" s="9" t="s">
        <v>834</v>
      </c>
      <c r="F268" s="9" t="s">
        <v>1221</v>
      </c>
      <c r="H268" s="9" t="s">
        <v>828</v>
      </c>
      <c r="I268" s="46">
        <v>0.8</v>
      </c>
      <c r="M268" s="9" t="s">
        <v>1146</v>
      </c>
      <c r="N268" s="9" t="s">
        <v>4</v>
      </c>
      <c r="O268" s="9"/>
    </row>
    <row r="269" spans="1:54">
      <c r="A269" s="9">
        <v>37.755291</v>
      </c>
      <c r="B269" s="9">
        <v>140.462929</v>
      </c>
      <c r="C269" s="9">
        <v>23</v>
      </c>
      <c r="E269" s="9" t="s">
        <v>835</v>
      </c>
      <c r="F269" s="9" t="s">
        <v>1221</v>
      </c>
      <c r="H269" s="9" t="s">
        <v>828</v>
      </c>
      <c r="I269" s="46">
        <v>0.68</v>
      </c>
      <c r="M269" s="9" t="s">
        <v>1148</v>
      </c>
      <c r="N269" s="9" t="s">
        <v>4</v>
      </c>
      <c r="O269" s="9"/>
    </row>
    <row r="270" spans="1:54">
      <c r="A270" s="9">
        <v>37.755285000000001</v>
      </c>
      <c r="B270" s="9">
        <v>140.46294499999999</v>
      </c>
      <c r="C270" s="9">
        <v>24</v>
      </c>
      <c r="E270" s="9" t="s">
        <v>836</v>
      </c>
      <c r="F270" s="9" t="s">
        <v>1221</v>
      </c>
      <c r="H270" s="9" t="s">
        <v>828</v>
      </c>
      <c r="I270" s="46">
        <v>0.6</v>
      </c>
      <c r="M270" s="9" t="s">
        <v>1149</v>
      </c>
      <c r="N270" s="9" t="s">
        <v>4</v>
      </c>
      <c r="O270" s="9"/>
    </row>
    <row r="271" spans="1:54">
      <c r="A271" s="9">
        <v>37.755288</v>
      </c>
      <c r="B271" s="9">
        <v>140.46314899999999</v>
      </c>
      <c r="C271" s="9">
        <v>25</v>
      </c>
      <c r="E271" s="9" t="s">
        <v>837</v>
      </c>
      <c r="F271" s="9" t="s">
        <v>1221</v>
      </c>
      <c r="H271" s="9" t="s">
        <v>828</v>
      </c>
      <c r="I271" s="46">
        <v>0.6</v>
      </c>
      <c r="M271" s="9" t="s">
        <v>1150</v>
      </c>
      <c r="N271" s="9" t="s">
        <v>4</v>
      </c>
      <c r="O271" s="9"/>
    </row>
    <row r="272" spans="1:54">
      <c r="A272" s="9">
        <v>37.755268999999998</v>
      </c>
      <c r="B272" s="9">
        <v>140.46371300000001</v>
      </c>
      <c r="C272" s="9">
        <v>26</v>
      </c>
      <c r="E272" s="9" t="s">
        <v>838</v>
      </c>
      <c r="F272" s="9" t="s">
        <v>1221</v>
      </c>
      <c r="H272" s="9" t="s">
        <v>828</v>
      </c>
      <c r="I272" s="46">
        <v>1</v>
      </c>
      <c r="M272" s="9" t="s">
        <v>1151</v>
      </c>
      <c r="N272" s="9" t="s">
        <v>4</v>
      </c>
      <c r="O272" s="9"/>
    </row>
    <row r="273" spans="1:54">
      <c r="A273" s="9">
        <v>37.755335000000002</v>
      </c>
      <c r="B273" s="9">
        <v>140.463976</v>
      </c>
      <c r="C273" s="9">
        <v>27</v>
      </c>
      <c r="E273" s="9" t="s">
        <v>839</v>
      </c>
      <c r="F273" s="9" t="s">
        <v>1221</v>
      </c>
      <c r="H273" s="9" t="s">
        <v>828</v>
      </c>
      <c r="I273" s="46">
        <v>0.6</v>
      </c>
      <c r="M273" s="9" t="s">
        <v>1152</v>
      </c>
      <c r="N273" s="9"/>
      <c r="O273" s="9"/>
      <c r="P273" s="9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</row>
    <row r="274" spans="1:54">
      <c r="A274" s="9">
        <v>37.755327999999999</v>
      </c>
      <c r="B274" s="9">
        <v>140.463965</v>
      </c>
      <c r="C274" s="9">
        <v>28</v>
      </c>
      <c r="E274" s="9" t="s">
        <v>840</v>
      </c>
      <c r="F274" s="9" t="s">
        <v>1221</v>
      </c>
      <c r="H274" s="9" t="s">
        <v>828</v>
      </c>
      <c r="I274" s="46">
        <v>0.6</v>
      </c>
      <c r="J274" s="46">
        <v>1.1000000000000001</v>
      </c>
      <c r="K274" s="46">
        <v>8.1</v>
      </c>
      <c r="M274" s="9" t="s">
        <v>1153</v>
      </c>
      <c r="N274" s="9" t="s">
        <v>5</v>
      </c>
      <c r="O274" s="9"/>
      <c r="P274" s="9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</row>
    <row r="275" spans="1:54">
      <c r="A275" s="9">
        <v>37.755524999999999</v>
      </c>
      <c r="B275" s="9">
        <v>140.46409199999999</v>
      </c>
      <c r="C275" s="9">
        <v>29</v>
      </c>
      <c r="E275" s="9" t="s">
        <v>841</v>
      </c>
      <c r="F275" s="9" t="s">
        <v>1221</v>
      </c>
      <c r="H275" s="9" t="s">
        <v>828</v>
      </c>
      <c r="I275" s="46">
        <v>0.25</v>
      </c>
      <c r="J275" s="46">
        <v>0.3</v>
      </c>
      <c r="K275" s="46">
        <v>0.6</v>
      </c>
      <c r="M275" s="9" t="s">
        <v>1155</v>
      </c>
      <c r="N275" s="9" t="s">
        <v>6</v>
      </c>
      <c r="O275" s="9"/>
      <c r="P275" s="9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</row>
    <row r="276" spans="1:54">
      <c r="A276" s="9">
        <v>37.755695000000003</v>
      </c>
      <c r="B276" s="9">
        <v>140.46405799999999</v>
      </c>
      <c r="C276" s="9">
        <v>30</v>
      </c>
      <c r="E276" s="9" t="s">
        <v>842</v>
      </c>
      <c r="F276" s="9" t="s">
        <v>1221</v>
      </c>
      <c r="H276" s="9" t="s">
        <v>828</v>
      </c>
      <c r="I276" s="46">
        <v>0.8</v>
      </c>
      <c r="M276" s="9" t="s">
        <v>1156</v>
      </c>
      <c r="N276" s="9" t="s">
        <v>4</v>
      </c>
      <c r="O276" s="9"/>
      <c r="P276" s="9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</row>
    <row r="277" spans="1:54">
      <c r="A277" s="9">
        <v>37.755754000000003</v>
      </c>
      <c r="B277" s="9">
        <v>140.46404200000001</v>
      </c>
      <c r="C277" s="9">
        <v>31</v>
      </c>
      <c r="E277" s="9" t="s">
        <v>843</v>
      </c>
      <c r="F277" s="9" t="s">
        <v>1221</v>
      </c>
      <c r="H277" s="9" t="s">
        <v>828</v>
      </c>
      <c r="I277" s="46">
        <v>0.3</v>
      </c>
      <c r="M277" s="9" t="s">
        <v>1157</v>
      </c>
      <c r="N277" s="9"/>
      <c r="O277" s="9"/>
      <c r="P277" s="9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</row>
    <row r="278" spans="1:54">
      <c r="A278" s="9">
        <v>37.755819000000002</v>
      </c>
      <c r="B278" s="9">
        <v>140.46418</v>
      </c>
      <c r="C278" s="9">
        <v>32</v>
      </c>
      <c r="E278" s="9" t="s">
        <v>844</v>
      </c>
      <c r="F278" s="9" t="s">
        <v>1221</v>
      </c>
      <c r="H278" s="9" t="s">
        <v>828</v>
      </c>
      <c r="I278" s="46">
        <v>0.2</v>
      </c>
      <c r="M278" s="9" t="s">
        <v>1158</v>
      </c>
      <c r="N278" s="9"/>
      <c r="O278" s="9"/>
      <c r="P278" s="9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</row>
    <row r="279" spans="1:54">
      <c r="A279" s="9">
        <v>37.756118999999998</v>
      </c>
      <c r="B279" s="9">
        <v>140.46479400000001</v>
      </c>
      <c r="C279" s="9">
        <v>33</v>
      </c>
      <c r="E279" s="9" t="s">
        <v>845</v>
      </c>
      <c r="F279" s="9" t="s">
        <v>1221</v>
      </c>
      <c r="H279" s="9" t="s">
        <v>828</v>
      </c>
      <c r="I279" s="46">
        <v>0.15</v>
      </c>
      <c r="M279" s="9" t="s">
        <v>1159</v>
      </c>
      <c r="N279" s="9"/>
      <c r="O279" s="9"/>
      <c r="P279" s="9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</row>
    <row r="280" spans="1:54">
      <c r="A280" s="9">
        <v>37.756185000000002</v>
      </c>
      <c r="B280" s="9">
        <v>140.46489399999999</v>
      </c>
      <c r="C280" s="9">
        <v>34</v>
      </c>
      <c r="E280" s="9" t="s">
        <v>846</v>
      </c>
      <c r="F280" s="9" t="s">
        <v>1221</v>
      </c>
      <c r="H280" s="9" t="s">
        <v>828</v>
      </c>
      <c r="I280" s="46">
        <v>0.25</v>
      </c>
      <c r="M280" s="9" t="s">
        <v>1160</v>
      </c>
      <c r="N280" s="9"/>
      <c r="O280" s="9"/>
      <c r="P280" s="9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</row>
    <row r="281" spans="1:54">
      <c r="A281" s="9">
        <v>37.756276999999997</v>
      </c>
      <c r="B281" s="9">
        <v>140.464834</v>
      </c>
      <c r="C281" s="9">
        <v>35</v>
      </c>
      <c r="E281" s="9" t="s">
        <v>847</v>
      </c>
      <c r="F281" s="9" t="s">
        <v>1221</v>
      </c>
      <c r="H281" s="9" t="s">
        <v>828</v>
      </c>
      <c r="I281" s="46">
        <v>0.14000000000000001</v>
      </c>
      <c r="M281" s="9" t="s">
        <v>1161</v>
      </c>
      <c r="N281" s="9"/>
      <c r="O281" s="9"/>
      <c r="P281" s="9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</row>
    <row r="282" spans="1:54">
      <c r="A282" s="9">
        <v>37.756639999999997</v>
      </c>
      <c r="B282" s="9">
        <v>140.46510000000001</v>
      </c>
      <c r="C282" s="9">
        <v>36</v>
      </c>
      <c r="E282" s="9" t="s">
        <v>848</v>
      </c>
      <c r="F282" s="9" t="s">
        <v>1221</v>
      </c>
      <c r="H282" s="9" t="s">
        <v>828</v>
      </c>
      <c r="I282" s="46">
        <v>1</v>
      </c>
      <c r="J282" s="46">
        <v>3.7</v>
      </c>
      <c r="K282" s="46">
        <v>5.7</v>
      </c>
      <c r="M282" s="9" t="s">
        <v>1162</v>
      </c>
      <c r="N282" s="9" t="s">
        <v>7</v>
      </c>
      <c r="O282" s="9"/>
      <c r="P282" s="9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</row>
    <row r="283" spans="1:54">
      <c r="A283" s="9">
        <v>37.756726</v>
      </c>
      <c r="B283" s="9">
        <v>140.465349</v>
      </c>
      <c r="C283" s="9">
        <v>37</v>
      </c>
      <c r="E283" s="9" t="s">
        <v>849</v>
      </c>
      <c r="F283" s="9" t="s">
        <v>1221</v>
      </c>
      <c r="H283" s="9" t="s">
        <v>828</v>
      </c>
      <c r="I283" s="46">
        <v>2</v>
      </c>
      <c r="J283" s="46">
        <v>4.2</v>
      </c>
      <c r="K283" s="46">
        <v>16.7</v>
      </c>
      <c r="M283" s="9" t="s">
        <v>1163</v>
      </c>
      <c r="N283" s="9" t="s">
        <v>7</v>
      </c>
      <c r="O283" s="9"/>
      <c r="P283" s="9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</row>
    <row r="284" spans="1:54">
      <c r="A284" s="9">
        <v>37.756988</v>
      </c>
      <c r="B284" s="9">
        <v>140.46496200000001</v>
      </c>
      <c r="C284" s="9">
        <v>38</v>
      </c>
      <c r="E284" s="9" t="s">
        <v>850</v>
      </c>
      <c r="F284" s="9" t="s">
        <v>1221</v>
      </c>
      <c r="H284" s="9" t="s">
        <v>828</v>
      </c>
      <c r="I284" s="46">
        <v>0.6</v>
      </c>
      <c r="M284" s="9" t="s">
        <v>1164</v>
      </c>
      <c r="N284" s="9"/>
      <c r="O284" s="9"/>
      <c r="P284" s="9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</row>
    <row r="285" spans="1:54">
      <c r="A285" s="9">
        <v>37.757072000000001</v>
      </c>
      <c r="B285" s="9">
        <v>140.46514199999999</v>
      </c>
      <c r="C285" s="9">
        <v>39</v>
      </c>
      <c r="E285" s="9" t="s">
        <v>851</v>
      </c>
      <c r="F285" s="9" t="s">
        <v>1221</v>
      </c>
      <c r="H285" s="9" t="s">
        <v>828</v>
      </c>
      <c r="I285" s="46">
        <v>0.8</v>
      </c>
      <c r="J285" s="46">
        <v>0.9</v>
      </c>
      <c r="K285" s="46">
        <v>1.2</v>
      </c>
      <c r="M285" s="9" t="s">
        <v>1165</v>
      </c>
      <c r="N285" s="9" t="s">
        <v>8</v>
      </c>
      <c r="O285" s="9"/>
      <c r="P285" s="9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</row>
    <row r="286" spans="1:54">
      <c r="A286" s="9">
        <v>37.757095</v>
      </c>
      <c r="B286" s="9">
        <v>140.46529100000001</v>
      </c>
      <c r="C286" s="9">
        <v>40</v>
      </c>
      <c r="E286" s="9" t="s">
        <v>852</v>
      </c>
      <c r="F286" s="9" t="s">
        <v>1221</v>
      </c>
      <c r="H286" s="9" t="s">
        <v>828</v>
      </c>
      <c r="I286" s="46">
        <v>0.9</v>
      </c>
      <c r="M286" s="9" t="s">
        <v>1166</v>
      </c>
      <c r="N286" s="9"/>
      <c r="O286" s="9"/>
      <c r="P286" s="9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</row>
    <row r="287" spans="1:54">
      <c r="A287" s="9">
        <v>37.757100000000001</v>
      </c>
      <c r="B287" s="9">
        <v>140.46568300000001</v>
      </c>
      <c r="C287" s="9">
        <v>41</v>
      </c>
      <c r="E287" s="9" t="s">
        <v>853</v>
      </c>
      <c r="F287" s="9" t="s">
        <v>1221</v>
      </c>
      <c r="H287" s="9" t="s">
        <v>828</v>
      </c>
      <c r="I287" s="46">
        <v>0.5</v>
      </c>
      <c r="M287" s="9" t="s">
        <v>1190</v>
      </c>
      <c r="N287" s="9"/>
      <c r="O287" s="9"/>
      <c r="P287" s="9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</row>
    <row r="288" spans="1:54">
      <c r="A288" s="9">
        <v>37.757111999999999</v>
      </c>
      <c r="B288" s="9">
        <v>140.46598299999999</v>
      </c>
      <c r="C288" s="9">
        <v>42</v>
      </c>
      <c r="E288" s="9" t="s">
        <v>854</v>
      </c>
      <c r="F288" s="9" t="s">
        <v>1221</v>
      </c>
      <c r="H288" s="9" t="s">
        <v>828</v>
      </c>
      <c r="I288" s="46">
        <v>1.2</v>
      </c>
      <c r="J288" s="46">
        <v>2.6</v>
      </c>
      <c r="K288" s="46">
        <v>5.4</v>
      </c>
      <c r="M288" s="9" t="s">
        <v>1191</v>
      </c>
      <c r="N288" s="9" t="s">
        <v>9</v>
      </c>
      <c r="O288" s="9"/>
      <c r="P288" s="9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</row>
    <row r="289" spans="1:54">
      <c r="A289" s="9">
        <v>37.757095</v>
      </c>
      <c r="B289" s="9">
        <v>140.466092</v>
      </c>
      <c r="C289" s="9">
        <v>43</v>
      </c>
      <c r="E289" s="9" t="s">
        <v>855</v>
      </c>
      <c r="F289" s="9" t="s">
        <v>1221</v>
      </c>
      <c r="H289" s="9" t="s">
        <v>828</v>
      </c>
      <c r="I289" s="46">
        <v>1.2</v>
      </c>
      <c r="J289" s="46">
        <v>1.7</v>
      </c>
      <c r="K289" s="46">
        <v>6</v>
      </c>
      <c r="M289" s="9" t="s">
        <v>1192</v>
      </c>
      <c r="N289" s="9" t="s">
        <v>9</v>
      </c>
      <c r="O289" s="9"/>
      <c r="P289" s="9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</row>
    <row r="290" spans="1:54">
      <c r="A290" s="9">
        <v>37.757063000000002</v>
      </c>
      <c r="B290" s="9">
        <v>140.466284</v>
      </c>
      <c r="C290" s="9">
        <v>44</v>
      </c>
      <c r="E290" s="9" t="s">
        <v>856</v>
      </c>
      <c r="F290" s="9" t="s">
        <v>1221</v>
      </c>
      <c r="H290" s="9" t="s">
        <v>828</v>
      </c>
      <c r="I290" s="46">
        <v>0.4</v>
      </c>
      <c r="M290" s="9" t="s">
        <v>1193</v>
      </c>
      <c r="N290" s="9"/>
      <c r="O290" s="9"/>
      <c r="P290" s="9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</row>
    <row r="291" spans="1:54">
      <c r="A291" s="9">
        <v>37.757168999999998</v>
      </c>
      <c r="B291" s="9">
        <v>140.46736899999999</v>
      </c>
      <c r="C291" s="9">
        <v>45</v>
      </c>
      <c r="E291" s="9" t="s">
        <v>857</v>
      </c>
      <c r="F291" s="9" t="s">
        <v>1221</v>
      </c>
      <c r="H291" s="9" t="s">
        <v>828</v>
      </c>
      <c r="I291" s="46">
        <v>0.3</v>
      </c>
      <c r="M291" s="9" t="s">
        <v>1194</v>
      </c>
      <c r="N291" s="9"/>
      <c r="O291" s="9"/>
      <c r="P291" s="9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</row>
    <row r="292" spans="1:54">
      <c r="A292" s="9">
        <v>37.757089000000001</v>
      </c>
      <c r="B292" s="9">
        <v>140.468174</v>
      </c>
      <c r="C292" s="9">
        <v>46</v>
      </c>
      <c r="E292" s="9" t="s">
        <v>858</v>
      </c>
      <c r="F292" s="9" t="s">
        <v>1221</v>
      </c>
      <c r="H292" s="9" t="s">
        <v>828</v>
      </c>
      <c r="I292" s="46">
        <v>0.1</v>
      </c>
      <c r="M292" s="9" t="s">
        <v>1195</v>
      </c>
      <c r="N292" s="9"/>
      <c r="O292" s="9"/>
      <c r="P292" s="9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</row>
    <row r="293" spans="1:54">
      <c r="A293" s="9">
        <v>37.756404000000003</v>
      </c>
      <c r="B293" s="9">
        <v>140.46814000000001</v>
      </c>
      <c r="C293" s="9">
        <v>47</v>
      </c>
      <c r="E293" s="9" t="s">
        <v>859</v>
      </c>
      <c r="F293" s="9" t="s">
        <v>1221</v>
      </c>
      <c r="H293" s="9" t="s">
        <v>828</v>
      </c>
      <c r="I293" s="46">
        <v>0.3</v>
      </c>
      <c r="M293" s="9" t="s">
        <v>1196</v>
      </c>
      <c r="N293" s="9"/>
      <c r="O293" s="9"/>
      <c r="P293" s="9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</row>
    <row r="294" spans="1:54">
      <c r="A294" s="9">
        <v>37.756421000000003</v>
      </c>
      <c r="B294" s="9">
        <v>140.468062</v>
      </c>
      <c r="C294" s="9">
        <v>48</v>
      </c>
      <c r="E294" s="9" t="s">
        <v>860</v>
      </c>
      <c r="F294" s="9" t="s">
        <v>1221</v>
      </c>
      <c r="H294" s="9" t="s">
        <v>828</v>
      </c>
      <c r="I294" s="46">
        <v>0.8</v>
      </c>
      <c r="J294" s="46">
        <v>1</v>
      </c>
      <c r="K294" s="46">
        <v>2.9</v>
      </c>
      <c r="M294" s="9" t="s">
        <v>1197</v>
      </c>
      <c r="N294" s="9"/>
      <c r="O294" s="9"/>
      <c r="P294" s="9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</row>
    <row r="295" spans="1:54">
      <c r="A295" s="9">
        <v>37.756039999999999</v>
      </c>
      <c r="B295" s="9">
        <v>140.46795499999999</v>
      </c>
      <c r="C295" s="9">
        <v>49</v>
      </c>
      <c r="E295" s="9" t="s">
        <v>861</v>
      </c>
      <c r="F295" s="9" t="s">
        <v>1221</v>
      </c>
      <c r="H295" s="9" t="s">
        <v>828</v>
      </c>
      <c r="I295" s="46">
        <v>0.4</v>
      </c>
      <c r="M295" s="9" t="s">
        <v>1198</v>
      </c>
      <c r="N295" s="9"/>
      <c r="O295" s="9"/>
      <c r="P295" s="9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</row>
    <row r="296" spans="1:54">
      <c r="A296" s="9">
        <v>37.755808999999999</v>
      </c>
      <c r="B296" s="9">
        <v>140.46811199999999</v>
      </c>
      <c r="C296" s="9">
        <v>50</v>
      </c>
      <c r="E296" s="9" t="s">
        <v>862</v>
      </c>
      <c r="F296" s="9" t="s">
        <v>1221</v>
      </c>
      <c r="H296" s="9" t="s">
        <v>828</v>
      </c>
      <c r="I296" s="46">
        <v>0.6</v>
      </c>
      <c r="J296" s="46">
        <v>0.8</v>
      </c>
      <c r="K296" s="46">
        <v>1.8</v>
      </c>
      <c r="M296" s="9" t="s">
        <v>1199</v>
      </c>
      <c r="N296" s="9"/>
      <c r="O296" s="9"/>
      <c r="P296" s="9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</row>
    <row r="297" spans="1:54">
      <c r="A297" s="9">
        <v>37.755336</v>
      </c>
      <c r="B297" s="9">
        <v>140.46813700000001</v>
      </c>
      <c r="C297" s="9">
        <v>51</v>
      </c>
      <c r="E297" s="9" t="s">
        <v>863</v>
      </c>
      <c r="F297" s="9" t="s">
        <v>1221</v>
      </c>
      <c r="H297" s="9" t="s">
        <v>828</v>
      </c>
      <c r="I297" s="46">
        <v>0.5</v>
      </c>
      <c r="M297" s="9" t="s">
        <v>1200</v>
      </c>
      <c r="N297" s="9"/>
      <c r="O297" s="9"/>
      <c r="P297" s="9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</row>
    <row r="298" spans="1:54">
      <c r="A298" s="9">
        <v>37.754851000000002</v>
      </c>
      <c r="B298" s="9">
        <v>140.46803199999999</v>
      </c>
      <c r="C298" s="9">
        <v>52</v>
      </c>
      <c r="E298" s="9" t="s">
        <v>864</v>
      </c>
      <c r="F298" s="9" t="s">
        <v>1221</v>
      </c>
      <c r="H298" s="9" t="s">
        <v>828</v>
      </c>
      <c r="I298" s="46">
        <v>0.4</v>
      </c>
      <c r="M298" s="9" t="s">
        <v>1201</v>
      </c>
      <c r="N298" s="9"/>
      <c r="O298" s="9"/>
      <c r="P298" s="9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</row>
    <row r="299" spans="1:54">
      <c r="A299" s="9">
        <v>37.754711999999998</v>
      </c>
      <c r="B299" s="9">
        <v>140.46806100000001</v>
      </c>
      <c r="C299" s="9">
        <v>53</v>
      </c>
      <c r="E299" s="9" t="s">
        <v>865</v>
      </c>
      <c r="F299" s="9" t="s">
        <v>1221</v>
      </c>
      <c r="H299" s="9" t="s">
        <v>828</v>
      </c>
      <c r="I299" s="46">
        <v>0.2</v>
      </c>
      <c r="M299" s="9" t="s">
        <v>1202</v>
      </c>
      <c r="N299" s="9"/>
      <c r="O299" s="9"/>
      <c r="P299" s="9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</row>
    <row r="300" spans="1:54">
      <c r="A300" s="9">
        <v>37.754651000000003</v>
      </c>
      <c r="B300" s="9">
        <v>140.46802400000001</v>
      </c>
      <c r="C300" s="9">
        <v>54</v>
      </c>
      <c r="E300" s="9" t="s">
        <v>866</v>
      </c>
      <c r="F300" s="9" t="s">
        <v>1221</v>
      </c>
      <c r="H300" s="9" t="s">
        <v>828</v>
      </c>
      <c r="I300" s="46">
        <v>0.7</v>
      </c>
      <c r="J300" s="46">
        <v>1.1000000000000001</v>
      </c>
      <c r="K300" s="46">
        <v>5.9</v>
      </c>
      <c r="M300" s="9" t="s">
        <v>1203</v>
      </c>
      <c r="N300" s="9" t="s">
        <v>10</v>
      </c>
      <c r="O300" s="9"/>
      <c r="P300" s="9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</row>
    <row r="301" spans="1:54">
      <c r="A301" s="9">
        <v>37.754243000000002</v>
      </c>
      <c r="B301" s="9">
        <v>140.467986</v>
      </c>
      <c r="C301" s="9">
        <v>55</v>
      </c>
      <c r="E301" s="9" t="s">
        <v>867</v>
      </c>
      <c r="F301" s="9" t="s">
        <v>1221</v>
      </c>
      <c r="H301" s="9" t="s">
        <v>828</v>
      </c>
      <c r="I301" s="46">
        <v>0.7</v>
      </c>
      <c r="J301" s="46">
        <v>1.3</v>
      </c>
      <c r="K301" s="46">
        <v>7.2</v>
      </c>
      <c r="M301" s="9" t="s">
        <v>1204</v>
      </c>
      <c r="N301" s="9"/>
      <c r="O301" s="9"/>
      <c r="P301" s="9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</row>
    <row r="302" spans="1:54">
      <c r="A302" s="9">
        <v>37.753977999999996</v>
      </c>
      <c r="B302" s="9">
        <v>140.46804700000001</v>
      </c>
      <c r="C302" s="9">
        <v>56</v>
      </c>
      <c r="E302" s="9" t="s">
        <v>868</v>
      </c>
      <c r="F302" s="9" t="s">
        <v>1221</v>
      </c>
      <c r="H302" s="9" t="s">
        <v>828</v>
      </c>
      <c r="I302" s="46">
        <v>0.4</v>
      </c>
      <c r="M302" s="9" t="s">
        <v>1205</v>
      </c>
      <c r="N302" s="9"/>
      <c r="O302" s="9"/>
      <c r="P302" s="9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</row>
    <row r="303" spans="1:54">
      <c r="A303" s="9">
        <v>37.753489999999999</v>
      </c>
      <c r="B303" s="9">
        <v>140.46792500000001</v>
      </c>
      <c r="C303" s="9">
        <v>57</v>
      </c>
      <c r="E303" s="9" t="s">
        <v>869</v>
      </c>
      <c r="F303" s="9" t="s">
        <v>1221</v>
      </c>
      <c r="H303" s="9" t="s">
        <v>828</v>
      </c>
      <c r="I303" s="46">
        <v>0.25</v>
      </c>
      <c r="M303" s="9" t="s">
        <v>1206</v>
      </c>
      <c r="N303" s="9"/>
      <c r="O303" s="9"/>
      <c r="P303" s="9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</row>
    <row r="304" spans="1:54">
      <c r="A304" s="9">
        <v>37.752189000000001</v>
      </c>
      <c r="B304" s="9">
        <v>140.46807799999999</v>
      </c>
      <c r="C304" s="9">
        <v>58</v>
      </c>
      <c r="E304" s="9" t="s">
        <v>870</v>
      </c>
      <c r="F304" s="9" t="s">
        <v>1221</v>
      </c>
      <c r="H304" s="9" t="s">
        <v>828</v>
      </c>
      <c r="I304" s="46">
        <v>0.6</v>
      </c>
      <c r="M304" s="9" t="s">
        <v>1207</v>
      </c>
      <c r="N304" s="9"/>
      <c r="O304" s="9"/>
      <c r="P304" s="9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</row>
    <row r="305" spans="1:54">
      <c r="A305" s="9">
        <v>37.751944000000002</v>
      </c>
      <c r="B305" s="9">
        <v>140.46773300000001</v>
      </c>
      <c r="C305" s="9">
        <v>59</v>
      </c>
      <c r="E305" s="9" t="s">
        <v>871</v>
      </c>
      <c r="F305" s="9" t="s">
        <v>1221</v>
      </c>
      <c r="H305" s="9" t="s">
        <v>828</v>
      </c>
      <c r="I305" s="46">
        <v>0.9</v>
      </c>
      <c r="J305" s="46">
        <v>1.2</v>
      </c>
      <c r="K305" s="46">
        <v>4.5999999999999996</v>
      </c>
      <c r="M305" s="9" t="s">
        <v>1208</v>
      </c>
      <c r="N305" s="9" t="s">
        <v>9</v>
      </c>
      <c r="O305" s="9"/>
      <c r="P305" s="9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</row>
    <row r="306" spans="1:54">
      <c r="A306" s="9">
        <v>37.751899000000002</v>
      </c>
      <c r="B306" s="9">
        <v>140.46771000000001</v>
      </c>
      <c r="C306" s="9">
        <v>60</v>
      </c>
      <c r="E306" s="9" t="s">
        <v>872</v>
      </c>
      <c r="F306" s="9" t="s">
        <v>1221</v>
      </c>
      <c r="H306" s="9" t="s">
        <v>828</v>
      </c>
      <c r="I306" s="46">
        <v>0.6</v>
      </c>
      <c r="J306" s="46">
        <v>0.7</v>
      </c>
      <c r="K306" s="46">
        <v>1</v>
      </c>
      <c r="M306" s="9" t="s">
        <v>1209</v>
      </c>
      <c r="N306" s="9"/>
      <c r="O306" s="9"/>
      <c r="P306" s="9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</row>
    <row r="307" spans="1:54">
      <c r="A307" s="9">
        <v>37.751893000000003</v>
      </c>
      <c r="B307" s="9">
        <v>140.467705</v>
      </c>
      <c r="C307" s="9">
        <v>61</v>
      </c>
      <c r="E307" s="9" t="s">
        <v>873</v>
      </c>
      <c r="F307" s="9" t="s">
        <v>1221</v>
      </c>
      <c r="H307" s="9" t="s">
        <v>828</v>
      </c>
      <c r="I307" s="46">
        <v>0.5</v>
      </c>
      <c r="J307" s="46">
        <v>0.8</v>
      </c>
      <c r="K307" s="46">
        <v>1.7</v>
      </c>
      <c r="M307" s="9" t="s">
        <v>1210</v>
      </c>
      <c r="N307" s="9"/>
      <c r="O307" s="9"/>
      <c r="P307" s="9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</row>
    <row r="308" spans="1:54">
      <c r="A308" s="9">
        <v>37.751396</v>
      </c>
      <c r="B308" s="9">
        <v>140.46761900000001</v>
      </c>
      <c r="C308" s="9">
        <v>62</v>
      </c>
      <c r="E308" s="9" t="s">
        <v>874</v>
      </c>
      <c r="F308" s="9" t="s">
        <v>1221</v>
      </c>
      <c r="H308" s="9" t="s">
        <v>828</v>
      </c>
      <c r="I308" s="46">
        <v>0.4</v>
      </c>
      <c r="J308" s="46">
        <v>0.4</v>
      </c>
      <c r="K308" s="46">
        <v>0.4</v>
      </c>
      <c r="M308" s="9" t="s">
        <v>1211</v>
      </c>
      <c r="N308" s="9" t="s">
        <v>11</v>
      </c>
      <c r="O308" s="9"/>
      <c r="P308" s="9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</row>
    <row r="309" spans="1:54">
      <c r="A309" s="9">
        <v>37.751528</v>
      </c>
      <c r="B309" s="9">
        <v>140.46732399999999</v>
      </c>
      <c r="C309" s="9">
        <v>63</v>
      </c>
      <c r="E309" s="9" t="s">
        <v>875</v>
      </c>
      <c r="F309" s="9" t="s">
        <v>1221</v>
      </c>
      <c r="H309" s="9" t="s">
        <v>828</v>
      </c>
      <c r="I309" s="46">
        <v>0.17</v>
      </c>
      <c r="M309" s="9" t="s">
        <v>1212</v>
      </c>
      <c r="N309" s="9" t="s">
        <v>12</v>
      </c>
      <c r="O309" s="9"/>
      <c r="P309" s="9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</row>
    <row r="310" spans="1:54">
      <c r="A310" s="9">
        <v>37.751567000000001</v>
      </c>
      <c r="B310" s="9">
        <v>140.466387</v>
      </c>
      <c r="C310" s="9">
        <v>64</v>
      </c>
      <c r="E310" s="9" t="s">
        <v>876</v>
      </c>
      <c r="F310" s="9" t="s">
        <v>1221</v>
      </c>
      <c r="H310" s="9" t="s">
        <v>828</v>
      </c>
      <c r="I310" s="46">
        <v>0.1</v>
      </c>
      <c r="M310" s="9" t="s">
        <v>1213</v>
      </c>
      <c r="N310" s="9" t="s">
        <v>13</v>
      </c>
      <c r="O310" s="9"/>
      <c r="P310" s="9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</row>
    <row r="311" spans="1:54">
      <c r="A311" s="9">
        <v>37.751975999999999</v>
      </c>
      <c r="B311" s="9">
        <v>140.465947</v>
      </c>
      <c r="C311" s="9">
        <v>65</v>
      </c>
      <c r="E311" s="9" t="s">
        <v>877</v>
      </c>
      <c r="F311" s="9" t="s">
        <v>1221</v>
      </c>
      <c r="H311" s="9" t="s">
        <v>828</v>
      </c>
      <c r="I311" s="46">
        <v>0.6</v>
      </c>
      <c r="M311" s="9" t="s">
        <v>1214</v>
      </c>
      <c r="N311" s="9"/>
      <c r="O311" s="9"/>
      <c r="P311" s="9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</row>
    <row r="312" spans="1:54">
      <c r="A312" s="9">
        <v>37.752578</v>
      </c>
      <c r="B312" s="9">
        <v>140.465182</v>
      </c>
      <c r="C312" s="9">
        <v>66</v>
      </c>
      <c r="E312" s="9" t="s">
        <v>878</v>
      </c>
      <c r="F312" s="9" t="s">
        <v>1221</v>
      </c>
      <c r="H312" s="9" t="s">
        <v>828</v>
      </c>
      <c r="I312" s="46">
        <v>0.4</v>
      </c>
      <c r="M312" s="9" t="s">
        <v>1215</v>
      </c>
      <c r="N312" s="9"/>
      <c r="O312" s="9"/>
      <c r="P312" s="9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</row>
    <row r="313" spans="1:54">
      <c r="A313" s="9">
        <v>37.752715000000002</v>
      </c>
      <c r="B313" s="9">
        <v>140.46399600000001</v>
      </c>
      <c r="C313" s="9">
        <v>67</v>
      </c>
      <c r="E313" s="9" t="s">
        <v>879</v>
      </c>
      <c r="F313" s="9" t="s">
        <v>1221</v>
      </c>
      <c r="H313" s="9" t="s">
        <v>828</v>
      </c>
      <c r="I313" s="46">
        <v>0.3</v>
      </c>
      <c r="M313" s="9" t="s">
        <v>1216</v>
      </c>
      <c r="N313" s="9"/>
      <c r="O313" s="9"/>
      <c r="P313" s="9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</row>
    <row r="314" spans="1:54">
      <c r="A314" s="9">
        <v>37.753444999999999</v>
      </c>
      <c r="B314" s="9">
        <v>140.463955</v>
      </c>
      <c r="C314" s="9">
        <v>68</v>
      </c>
      <c r="E314" s="9" t="s">
        <v>880</v>
      </c>
      <c r="F314" s="9" t="s">
        <v>1221</v>
      </c>
      <c r="H314" s="9" t="s">
        <v>828</v>
      </c>
      <c r="I314" s="46">
        <v>0.6</v>
      </c>
      <c r="M314" s="9" t="s">
        <v>1217</v>
      </c>
      <c r="N314" s="9"/>
      <c r="O314" s="9"/>
      <c r="P314" s="9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</row>
    <row r="315" spans="1:54">
      <c r="A315" s="9">
        <v>37.754185999999997</v>
      </c>
      <c r="B315" s="9">
        <v>140.460868</v>
      </c>
      <c r="C315" s="9">
        <v>69</v>
      </c>
      <c r="E315" s="9" t="s">
        <v>881</v>
      </c>
      <c r="F315" s="9" t="s">
        <v>1221</v>
      </c>
      <c r="H315" s="9" t="s">
        <v>828</v>
      </c>
      <c r="I315" s="46">
        <v>0.14000000000000001</v>
      </c>
      <c r="M315" s="9" t="s">
        <v>1218</v>
      </c>
      <c r="N315" s="9"/>
      <c r="O315" s="9"/>
      <c r="P315" s="9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</row>
    <row r="316" spans="1:54">
      <c r="A316" s="9">
        <v>37.754187000000002</v>
      </c>
      <c r="B316" s="9">
        <v>140.46086700000001</v>
      </c>
      <c r="C316" s="9">
        <v>70</v>
      </c>
      <c r="E316" s="9" t="s">
        <v>882</v>
      </c>
      <c r="F316" s="9" t="s">
        <v>1221</v>
      </c>
      <c r="H316" s="9" t="s">
        <v>828</v>
      </c>
      <c r="I316" s="46">
        <v>0.17</v>
      </c>
      <c r="J316" s="46">
        <v>0.18</v>
      </c>
      <c r="K316" s="46">
        <v>0.21199999999999999</v>
      </c>
      <c r="M316" s="9" t="s">
        <v>0</v>
      </c>
      <c r="N316" s="9" t="s">
        <v>14</v>
      </c>
      <c r="O316" s="9"/>
      <c r="P316" s="9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</row>
  </sheetData>
  <sheetProtection selectLockedCells="1" selectUnlockedCells="1"/>
  <phoneticPr fontId="0" type="noConversion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workbookViewId="0">
      <selection activeCell="F8" sqref="F8"/>
    </sheetView>
  </sheetViews>
  <sheetFormatPr defaultColWidth="11.5703125" defaultRowHeight="12.75"/>
  <cols>
    <col min="1" max="1" width="21.5703125" customWidth="1"/>
    <col min="2" max="2" width="39.5703125" customWidth="1"/>
    <col min="3" max="3" width="29.5703125" customWidth="1"/>
    <col min="4" max="4" width="3" customWidth="1"/>
    <col min="5" max="5" width="37.42578125" customWidth="1"/>
  </cols>
  <sheetData>
    <row r="1" spans="1:5" s="39" customFormat="1">
      <c r="A1" s="39" t="s">
        <v>293</v>
      </c>
      <c r="B1"/>
      <c r="C1"/>
      <c r="D1"/>
      <c r="E1"/>
    </row>
    <row r="2" spans="1:5" s="39" customFormat="1">
      <c r="B2"/>
      <c r="C2"/>
      <c r="D2"/>
      <c r="E2"/>
    </row>
    <row r="3" spans="1:5">
      <c r="A3" s="39" t="s">
        <v>294</v>
      </c>
    </row>
    <row r="4" spans="1:5">
      <c r="A4" t="s">
        <v>295</v>
      </c>
      <c r="B4" s="39"/>
      <c r="C4" s="39"/>
      <c r="D4" s="39"/>
      <c r="E4" s="39" t="s">
        <v>296</v>
      </c>
    </row>
    <row r="5" spans="1:5">
      <c r="A5" s="40" t="s">
        <v>297</v>
      </c>
      <c r="B5" t="s">
        <v>298</v>
      </c>
      <c r="C5" s="41">
        <v>41198</v>
      </c>
    </row>
    <row r="6" spans="1:5">
      <c r="B6" t="s">
        <v>299</v>
      </c>
      <c r="C6" s="40" t="s">
        <v>300</v>
      </c>
    </row>
    <row r="7" spans="1:5">
      <c r="B7" t="s">
        <v>301</v>
      </c>
      <c r="C7" s="40" t="s">
        <v>302</v>
      </c>
    </row>
    <row r="8" spans="1:5">
      <c r="B8" t="s">
        <v>303</v>
      </c>
      <c r="C8" s="40" t="s">
        <v>304</v>
      </c>
    </row>
    <row r="9" spans="1:5">
      <c r="B9" t="s">
        <v>305</v>
      </c>
      <c r="C9" s="40" t="s">
        <v>302</v>
      </c>
    </row>
    <row r="10" spans="1:5">
      <c r="B10" t="s">
        <v>306</v>
      </c>
      <c r="C10" s="40" t="s">
        <v>307</v>
      </c>
    </row>
    <row r="11" spans="1:5">
      <c r="B11" t="s">
        <v>308</v>
      </c>
      <c r="C11" s="40" t="s">
        <v>309</v>
      </c>
    </row>
    <row r="12" spans="1:5">
      <c r="B12" t="s">
        <v>310</v>
      </c>
      <c r="C12" s="40" t="s">
        <v>311</v>
      </c>
    </row>
    <row r="13" spans="1:5">
      <c r="B13" t="s">
        <v>312</v>
      </c>
      <c r="C13" s="40" t="s">
        <v>313</v>
      </c>
    </row>
    <row r="14" spans="1:5">
      <c r="A14" s="42"/>
      <c r="B14" s="42"/>
      <c r="C14" s="42"/>
      <c r="D14" s="42"/>
      <c r="E14" s="42"/>
    </row>
    <row r="15" spans="1:5">
      <c r="A15" s="40" t="s">
        <v>314</v>
      </c>
      <c r="B15" t="s">
        <v>298</v>
      </c>
      <c r="C15" s="41" t="s">
        <v>315</v>
      </c>
      <c r="D15" s="42"/>
      <c r="E15" s="42"/>
    </row>
    <row r="16" spans="1:5">
      <c r="B16" t="s">
        <v>299</v>
      </c>
      <c r="C16" s="40" t="s">
        <v>316</v>
      </c>
      <c r="D16" s="42"/>
      <c r="E16" s="42"/>
    </row>
    <row r="17" spans="1:5">
      <c r="B17" t="s">
        <v>301</v>
      </c>
      <c r="C17" s="40" t="s">
        <v>304</v>
      </c>
      <c r="D17" s="42"/>
      <c r="E17" s="42"/>
    </row>
    <row r="18" spans="1:5">
      <c r="B18" t="s">
        <v>303</v>
      </c>
      <c r="C18" s="40" t="s">
        <v>317</v>
      </c>
      <c r="D18" s="42"/>
      <c r="E18" s="42"/>
    </row>
    <row r="19" spans="1:5">
      <c r="B19" t="s">
        <v>305</v>
      </c>
      <c r="C19" s="40" t="s">
        <v>302</v>
      </c>
      <c r="D19" s="42"/>
      <c r="E19" s="42"/>
    </row>
    <row r="20" spans="1:5">
      <c r="B20" t="s">
        <v>306</v>
      </c>
      <c r="C20" s="40" t="s">
        <v>318</v>
      </c>
      <c r="D20" s="42"/>
      <c r="E20" s="42"/>
    </row>
    <row r="21" spans="1:5">
      <c r="B21" t="s">
        <v>308</v>
      </c>
      <c r="C21" s="40" t="s">
        <v>309</v>
      </c>
      <c r="D21" s="42"/>
      <c r="E21" s="42"/>
    </row>
    <row r="22" spans="1:5">
      <c r="B22" t="s">
        <v>319</v>
      </c>
      <c r="C22" s="40" t="s">
        <v>311</v>
      </c>
      <c r="D22" s="42"/>
      <c r="E22" s="42"/>
    </row>
    <row r="23" spans="1:5">
      <c r="B23" t="s">
        <v>312</v>
      </c>
      <c r="C23" s="40" t="s">
        <v>313</v>
      </c>
      <c r="D23" s="42"/>
      <c r="E23" s="42"/>
    </row>
    <row r="24" spans="1:5">
      <c r="A24" s="42"/>
      <c r="B24" s="42"/>
      <c r="C24" s="43"/>
      <c r="D24" s="42"/>
      <c r="E24" s="42"/>
    </row>
    <row r="25" spans="1:5">
      <c r="A25" s="40" t="s">
        <v>362</v>
      </c>
      <c r="B25" t="s">
        <v>298</v>
      </c>
      <c r="C25" s="41" t="s">
        <v>320</v>
      </c>
      <c r="D25" s="42"/>
      <c r="E25" s="42"/>
    </row>
    <row r="26" spans="1:5">
      <c r="B26" t="s">
        <v>299</v>
      </c>
      <c r="C26" s="40" t="s">
        <v>300</v>
      </c>
      <c r="D26" s="42"/>
      <c r="E26" s="42"/>
    </row>
    <row r="27" spans="1:5">
      <c r="B27" t="s">
        <v>301</v>
      </c>
      <c r="C27" s="40" t="s">
        <v>304</v>
      </c>
      <c r="D27" s="42"/>
      <c r="E27" s="42"/>
    </row>
    <row r="28" spans="1:5">
      <c r="B28" t="s">
        <v>303</v>
      </c>
      <c r="C28" s="40" t="s">
        <v>302</v>
      </c>
      <c r="D28" s="42"/>
      <c r="E28" s="42"/>
    </row>
    <row r="29" spans="1:5">
      <c r="B29" t="s">
        <v>305</v>
      </c>
      <c r="C29" s="40" t="s">
        <v>302</v>
      </c>
      <c r="D29" s="42"/>
      <c r="E29" s="42"/>
    </row>
    <row r="30" spans="1:5">
      <c r="B30" t="s">
        <v>306</v>
      </c>
      <c r="C30" s="40" t="s">
        <v>321</v>
      </c>
      <c r="D30" s="42"/>
      <c r="E30" s="42"/>
    </row>
    <row r="31" spans="1:5">
      <c r="B31" t="s">
        <v>308</v>
      </c>
      <c r="C31" s="40" t="s">
        <v>309</v>
      </c>
      <c r="D31" s="42"/>
      <c r="E31" s="42"/>
    </row>
    <row r="32" spans="1:5">
      <c r="B32" t="s">
        <v>319</v>
      </c>
      <c r="C32" s="40" t="s">
        <v>311</v>
      </c>
      <c r="D32" s="42"/>
      <c r="E32" s="42"/>
    </row>
    <row r="33" spans="1:5">
      <c r="B33" t="s">
        <v>312</v>
      </c>
      <c r="C33" s="40" t="s">
        <v>322</v>
      </c>
      <c r="D33" s="42"/>
      <c r="E33" s="42"/>
    </row>
    <row r="34" spans="1:5">
      <c r="A34" s="42"/>
      <c r="B34" s="42"/>
      <c r="C34" s="42"/>
      <c r="D34" s="42"/>
      <c r="E34" s="42"/>
    </row>
    <row r="35" spans="1:5">
      <c r="A35" s="40" t="s">
        <v>366</v>
      </c>
      <c r="B35" t="s">
        <v>298</v>
      </c>
      <c r="C35" s="41" t="s">
        <v>323</v>
      </c>
      <c r="D35" s="42"/>
      <c r="E35" s="42"/>
    </row>
    <row r="36" spans="1:5">
      <c r="B36" t="s">
        <v>299</v>
      </c>
      <c r="C36" s="40" t="s">
        <v>316</v>
      </c>
      <c r="D36" s="42"/>
      <c r="E36" s="42"/>
    </row>
    <row r="37" spans="1:5">
      <c r="B37" t="s">
        <v>301</v>
      </c>
      <c r="C37" s="40" t="s">
        <v>318</v>
      </c>
      <c r="D37" s="42"/>
      <c r="E37" s="42"/>
    </row>
    <row r="38" spans="1:5">
      <c r="B38" t="s">
        <v>303</v>
      </c>
      <c r="C38" s="40" t="s">
        <v>317</v>
      </c>
      <c r="D38" s="42"/>
      <c r="E38" s="42"/>
    </row>
    <row r="39" spans="1:5">
      <c r="B39" t="s">
        <v>305</v>
      </c>
      <c r="C39" s="40" t="s">
        <v>302</v>
      </c>
      <c r="D39" s="42"/>
      <c r="E39" s="42"/>
    </row>
    <row r="40" spans="1:5">
      <c r="B40" t="s">
        <v>306</v>
      </c>
      <c r="C40" s="40" t="s">
        <v>304</v>
      </c>
      <c r="D40" s="42"/>
      <c r="E40" s="42"/>
    </row>
    <row r="41" spans="1:5">
      <c r="B41" t="s">
        <v>308</v>
      </c>
      <c r="C41" s="40" t="s">
        <v>309</v>
      </c>
      <c r="D41" s="42"/>
      <c r="E41" s="42"/>
    </row>
    <row r="42" spans="1:5">
      <c r="B42" t="s">
        <v>319</v>
      </c>
      <c r="C42" s="40" t="s">
        <v>311</v>
      </c>
      <c r="D42" s="42"/>
      <c r="E42" s="42"/>
    </row>
    <row r="43" spans="1:5">
      <c r="B43" t="s">
        <v>312</v>
      </c>
      <c r="C43" s="40" t="s">
        <v>324</v>
      </c>
      <c r="D43" s="42"/>
      <c r="E43" s="42"/>
    </row>
    <row r="44" spans="1:5">
      <c r="A44" s="42"/>
      <c r="B44" s="42"/>
      <c r="C44" s="42"/>
      <c r="D44" s="42"/>
      <c r="E44" s="42"/>
    </row>
    <row r="45" spans="1:5">
      <c r="A45" s="40" t="s">
        <v>370</v>
      </c>
      <c r="B45" t="s">
        <v>298</v>
      </c>
      <c r="C45" s="41">
        <v>41200</v>
      </c>
      <c r="D45" s="42"/>
      <c r="E45" s="42"/>
    </row>
    <row r="46" spans="1:5">
      <c r="B46" t="s">
        <v>299</v>
      </c>
      <c r="C46" s="40" t="s">
        <v>300</v>
      </c>
      <c r="D46" s="42"/>
      <c r="E46" s="42"/>
    </row>
    <row r="47" spans="1:5">
      <c r="B47" t="s">
        <v>301</v>
      </c>
      <c r="C47" s="40" t="s">
        <v>317</v>
      </c>
      <c r="D47" s="42"/>
      <c r="E47" s="42"/>
    </row>
    <row r="48" spans="1:5">
      <c r="B48" t="s">
        <v>303</v>
      </c>
      <c r="C48" s="40" t="s">
        <v>302</v>
      </c>
      <c r="D48" s="42"/>
      <c r="E48" s="42"/>
    </row>
    <row r="49" spans="1:5">
      <c r="B49" t="s">
        <v>305</v>
      </c>
      <c r="C49" s="40" t="s">
        <v>302</v>
      </c>
      <c r="D49" s="42"/>
      <c r="E49" s="42"/>
    </row>
    <row r="50" spans="1:5">
      <c r="B50" t="s">
        <v>306</v>
      </c>
      <c r="C50" s="40" t="s">
        <v>325</v>
      </c>
      <c r="D50" s="42"/>
      <c r="E50" s="42"/>
    </row>
    <row r="51" spans="1:5">
      <c r="B51" t="s">
        <v>308</v>
      </c>
      <c r="C51" s="40" t="s">
        <v>309</v>
      </c>
      <c r="D51" s="42"/>
      <c r="E51" s="42"/>
    </row>
    <row r="52" spans="1:5">
      <c r="B52" t="s">
        <v>319</v>
      </c>
      <c r="C52" s="40" t="s">
        <v>311</v>
      </c>
      <c r="D52" s="42"/>
      <c r="E52" s="42"/>
    </row>
    <row r="53" spans="1:5">
      <c r="B53" t="s">
        <v>312</v>
      </c>
      <c r="C53" s="40" t="s">
        <v>326</v>
      </c>
      <c r="D53" s="42"/>
      <c r="E53" s="42"/>
    </row>
    <row r="55" spans="1:5">
      <c r="A55" s="40" t="s">
        <v>374</v>
      </c>
      <c r="B55" t="s">
        <v>298</v>
      </c>
      <c r="C55" s="41">
        <v>41200</v>
      </c>
    </row>
    <row r="56" spans="1:5">
      <c r="B56" t="s">
        <v>299</v>
      </c>
      <c r="C56" s="40" t="s">
        <v>300</v>
      </c>
    </row>
    <row r="57" spans="1:5">
      <c r="B57" t="s">
        <v>301</v>
      </c>
      <c r="C57" s="40" t="s">
        <v>327</v>
      </c>
    </row>
    <row r="58" spans="1:5">
      <c r="B58" t="s">
        <v>303</v>
      </c>
      <c r="C58" s="40" t="s">
        <v>317</v>
      </c>
    </row>
    <row r="59" spans="1:5">
      <c r="B59" t="s">
        <v>305</v>
      </c>
      <c r="C59" s="40" t="s">
        <v>302</v>
      </c>
    </row>
    <row r="60" spans="1:5">
      <c r="B60" t="s">
        <v>306</v>
      </c>
      <c r="C60" s="40" t="s">
        <v>325</v>
      </c>
    </row>
    <row r="61" spans="1:5">
      <c r="B61" t="s">
        <v>308</v>
      </c>
      <c r="C61" s="40" t="s">
        <v>309</v>
      </c>
    </row>
    <row r="62" spans="1:5">
      <c r="B62" t="s">
        <v>319</v>
      </c>
      <c r="C62" s="40" t="s">
        <v>311</v>
      </c>
    </row>
    <row r="63" spans="1:5">
      <c r="B63" t="s">
        <v>312</v>
      </c>
      <c r="C63" s="40" t="s">
        <v>326</v>
      </c>
    </row>
    <row r="65" spans="1:3">
      <c r="A65" s="40" t="s">
        <v>691</v>
      </c>
      <c r="B65" t="s">
        <v>298</v>
      </c>
      <c r="C65" s="41" t="s">
        <v>328</v>
      </c>
    </row>
    <row r="66" spans="1:3">
      <c r="B66" t="s">
        <v>299</v>
      </c>
      <c r="C66" s="40" t="s">
        <v>329</v>
      </c>
    </row>
    <row r="67" spans="1:3">
      <c r="B67" t="s">
        <v>301</v>
      </c>
      <c r="C67" s="40" t="s">
        <v>330</v>
      </c>
    </row>
    <row r="68" spans="1:3">
      <c r="B68" t="s">
        <v>303</v>
      </c>
      <c r="C68" s="40" t="s">
        <v>325</v>
      </c>
    </row>
    <row r="69" spans="1:3">
      <c r="B69" t="s">
        <v>305</v>
      </c>
      <c r="C69" s="40" t="s">
        <v>331</v>
      </c>
    </row>
    <row r="70" spans="1:3">
      <c r="B70" t="s">
        <v>306</v>
      </c>
      <c r="C70" s="40" t="s">
        <v>332</v>
      </c>
    </row>
    <row r="71" spans="1:3">
      <c r="B71" t="s">
        <v>308</v>
      </c>
      <c r="C71" s="40" t="s">
        <v>333</v>
      </c>
    </row>
    <row r="72" spans="1:3">
      <c r="B72" t="s">
        <v>310</v>
      </c>
      <c r="C72" s="40" t="s">
        <v>334</v>
      </c>
    </row>
    <row r="73" spans="1:3">
      <c r="B73" t="s">
        <v>312</v>
      </c>
      <c r="C73" s="40" t="s">
        <v>335</v>
      </c>
    </row>
    <row r="74" spans="1:3">
      <c r="A74" s="42"/>
      <c r="B74" s="42"/>
      <c r="C74" s="42"/>
    </row>
    <row r="75" spans="1:3">
      <c r="A75" s="40" t="s">
        <v>692</v>
      </c>
      <c r="B75" t="s">
        <v>298</v>
      </c>
      <c r="C75" s="41" t="s">
        <v>320</v>
      </c>
    </row>
    <row r="76" spans="1:3">
      <c r="B76" t="s">
        <v>299</v>
      </c>
      <c r="C76" s="40" t="s">
        <v>316</v>
      </c>
    </row>
    <row r="77" spans="1:3">
      <c r="B77" t="s">
        <v>301</v>
      </c>
      <c r="C77" s="40" t="s">
        <v>332</v>
      </c>
    </row>
    <row r="78" spans="1:3">
      <c r="B78" t="s">
        <v>303</v>
      </c>
      <c r="C78" s="40" t="s">
        <v>325</v>
      </c>
    </row>
    <row r="79" spans="1:3">
      <c r="B79" t="s">
        <v>305</v>
      </c>
      <c r="C79" s="40" t="s">
        <v>331</v>
      </c>
    </row>
    <row r="80" spans="1:3">
      <c r="B80" t="s">
        <v>306</v>
      </c>
      <c r="C80" s="40" t="s">
        <v>336</v>
      </c>
    </row>
    <row r="81" spans="1:3">
      <c r="B81" t="s">
        <v>308</v>
      </c>
      <c r="C81" s="40" t="s">
        <v>333</v>
      </c>
    </row>
    <row r="82" spans="1:3">
      <c r="B82" t="s">
        <v>319</v>
      </c>
      <c r="C82" s="40" t="s">
        <v>334</v>
      </c>
    </row>
    <row r="83" spans="1:3">
      <c r="B83" t="s">
        <v>312</v>
      </c>
      <c r="C83" s="40"/>
    </row>
    <row r="84" spans="1:3">
      <c r="A84" s="42"/>
      <c r="B84" s="42"/>
      <c r="C84" s="43"/>
    </row>
    <row r="85" spans="1:3">
      <c r="A85" s="40" t="s">
        <v>693</v>
      </c>
      <c r="B85" t="s">
        <v>298</v>
      </c>
      <c r="C85" s="41" t="s">
        <v>337</v>
      </c>
    </row>
    <row r="86" spans="1:3">
      <c r="B86" t="s">
        <v>299</v>
      </c>
      <c r="C86" s="40" t="s">
        <v>300</v>
      </c>
    </row>
    <row r="87" spans="1:3">
      <c r="B87" t="s">
        <v>301</v>
      </c>
      <c r="C87" s="40" t="s">
        <v>338</v>
      </c>
    </row>
    <row r="88" spans="1:3">
      <c r="B88" t="s">
        <v>303</v>
      </c>
      <c r="C88" s="40" t="s">
        <v>325</v>
      </c>
    </row>
    <row r="89" spans="1:3">
      <c r="B89" t="s">
        <v>305</v>
      </c>
      <c r="C89" s="40" t="s">
        <v>325</v>
      </c>
    </row>
    <row r="90" spans="1:3">
      <c r="B90" t="s">
        <v>306</v>
      </c>
      <c r="C90" s="40" t="s">
        <v>331</v>
      </c>
    </row>
    <row r="91" spans="1:3">
      <c r="B91" t="s">
        <v>308</v>
      </c>
      <c r="C91" s="40" t="s">
        <v>333</v>
      </c>
    </row>
    <row r="92" spans="1:3">
      <c r="B92" t="s">
        <v>319</v>
      </c>
      <c r="C92" s="40" t="s">
        <v>334</v>
      </c>
    </row>
    <row r="93" spans="1:3">
      <c r="B93" t="s">
        <v>312</v>
      </c>
      <c r="C93" s="40"/>
    </row>
    <row r="94" spans="1:3">
      <c r="A94" s="42"/>
      <c r="B94" s="42"/>
      <c r="C94" s="42"/>
    </row>
    <row r="95" spans="1:3">
      <c r="A95" s="40" t="s">
        <v>339</v>
      </c>
      <c r="B95" t="s">
        <v>298</v>
      </c>
      <c r="C95" s="41" t="s">
        <v>323</v>
      </c>
    </row>
    <row r="96" spans="1:3">
      <c r="B96" t="s">
        <v>299</v>
      </c>
      <c r="C96" s="40" t="s">
        <v>316</v>
      </c>
    </row>
    <row r="97" spans="1:3">
      <c r="B97" t="s">
        <v>301</v>
      </c>
      <c r="C97" s="40" t="s">
        <v>318</v>
      </c>
    </row>
    <row r="98" spans="1:3">
      <c r="B98" t="s">
        <v>303</v>
      </c>
      <c r="C98" s="40" t="s">
        <v>317</v>
      </c>
    </row>
    <row r="99" spans="1:3">
      <c r="B99" t="s">
        <v>305</v>
      </c>
      <c r="C99" s="40" t="s">
        <v>302</v>
      </c>
    </row>
    <row r="100" spans="1:3">
      <c r="B100" t="s">
        <v>306</v>
      </c>
      <c r="C100" s="40" t="s">
        <v>304</v>
      </c>
    </row>
    <row r="101" spans="1:3">
      <c r="B101" t="s">
        <v>308</v>
      </c>
      <c r="C101" s="40" t="s">
        <v>309</v>
      </c>
    </row>
    <row r="102" spans="1:3">
      <c r="B102" t="s">
        <v>319</v>
      </c>
      <c r="C102" s="40" t="s">
        <v>311</v>
      </c>
    </row>
    <row r="103" spans="1:3">
      <c r="B103" t="s">
        <v>312</v>
      </c>
      <c r="C103" s="40" t="s">
        <v>324</v>
      </c>
    </row>
    <row r="105" spans="1:3">
      <c r="A105" t="s">
        <v>828</v>
      </c>
      <c r="B105" t="s">
        <v>298</v>
      </c>
      <c r="C105" s="41" t="s">
        <v>340</v>
      </c>
    </row>
    <row r="106" spans="1:3">
      <c r="B106" t="s">
        <v>299</v>
      </c>
      <c r="C106" s="40" t="s">
        <v>316</v>
      </c>
    </row>
    <row r="107" spans="1:3">
      <c r="B107" t="s">
        <v>301</v>
      </c>
      <c r="C107" s="40" t="s">
        <v>325</v>
      </c>
    </row>
    <row r="108" spans="1:3">
      <c r="B108" t="s">
        <v>303</v>
      </c>
      <c r="C108" s="40" t="s">
        <v>342</v>
      </c>
    </row>
    <row r="109" spans="1:3">
      <c r="B109" t="s">
        <v>305</v>
      </c>
      <c r="C109" s="40" t="s">
        <v>342</v>
      </c>
    </row>
    <row r="110" spans="1:3">
      <c r="B110" t="s">
        <v>306</v>
      </c>
      <c r="C110" s="40"/>
    </row>
    <row r="111" spans="1:3">
      <c r="B111" t="s">
        <v>308</v>
      </c>
      <c r="C111" s="40" t="s">
        <v>309</v>
      </c>
    </row>
    <row r="112" spans="1:3">
      <c r="B112" t="s">
        <v>319</v>
      </c>
      <c r="C112" s="40" t="s">
        <v>311</v>
      </c>
    </row>
    <row r="113" spans="2:3">
      <c r="B113" t="s">
        <v>312</v>
      </c>
      <c r="C113" s="40" t="s">
        <v>341</v>
      </c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radiation1012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Nikki Westwood</dc:creator>
  <cp:lastModifiedBy>Eric</cp:lastModifiedBy>
  <dcterms:created xsi:type="dcterms:W3CDTF">2012-10-20T06:09:41Z</dcterms:created>
  <dcterms:modified xsi:type="dcterms:W3CDTF">2014-04-09T02:34:08Z</dcterms:modified>
</cp:coreProperties>
</file>