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olly/Desktop/UCB/Cost Benefit Analysis/"/>
    </mc:Choice>
  </mc:AlternateContent>
  <xr:revisionPtr revIDLastSave="0" documentId="13_ncr:1_{0C10C76E-D480-C44A-A4C0-BEEC54C121DA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2" l="1"/>
  <c r="E13" i="2"/>
  <c r="C17" i="2"/>
  <c r="C18" i="2"/>
  <c r="F13" i="2"/>
  <c r="B9" i="1"/>
  <c r="C2" i="1"/>
  <c r="C3" i="1"/>
  <c r="C4" i="1"/>
  <c r="C5" i="1"/>
  <c r="C6" i="1"/>
  <c r="C7" i="1"/>
  <c r="C8" i="1"/>
  <c r="C10" i="1"/>
  <c r="C11" i="1"/>
  <c r="C12" i="1"/>
  <c r="D8" i="1"/>
  <c r="E2" i="1"/>
  <c r="E3" i="1"/>
  <c r="E4" i="1"/>
  <c r="E5" i="1"/>
  <c r="E6" i="1"/>
  <c r="E7" i="1"/>
  <c r="E8" i="1"/>
  <c r="E9" i="1"/>
  <c r="E10" i="1"/>
  <c r="E11" i="1"/>
  <c r="E12" i="1"/>
  <c r="L24" i="2"/>
  <c r="O24" i="2"/>
  <c r="P24" i="2"/>
  <c r="N24" i="2"/>
  <c r="E6" i="2"/>
  <c r="E7" i="2"/>
  <c r="E8" i="2"/>
  <c r="D9" i="2"/>
  <c r="E9" i="2"/>
  <c r="E10" i="2"/>
  <c r="E11" i="2"/>
  <c r="E12" i="2"/>
  <c r="E16" i="2"/>
  <c r="F7" i="2"/>
  <c r="F8" i="2"/>
  <c r="F9" i="2"/>
  <c r="B10" i="2"/>
  <c r="F10" i="2"/>
  <c r="F11" i="2"/>
  <c r="F12" i="2"/>
  <c r="F16" i="2"/>
  <c r="F24" i="2"/>
  <c r="G24" i="2"/>
  <c r="I24" i="2"/>
  <c r="D24" i="2"/>
  <c r="E24" i="2"/>
  <c r="H24" i="2"/>
  <c r="C24" i="2"/>
  <c r="L23" i="2"/>
  <c r="O23" i="2"/>
  <c r="P23" i="2"/>
  <c r="N23" i="2"/>
  <c r="G23" i="2"/>
  <c r="I23" i="2"/>
  <c r="D23" i="2"/>
  <c r="E23" i="2"/>
  <c r="H23" i="2"/>
  <c r="C23" i="2"/>
  <c r="L22" i="2"/>
  <c r="O22" i="2"/>
  <c r="P22" i="2"/>
  <c r="N22" i="2"/>
  <c r="G22" i="2"/>
  <c r="I22" i="2"/>
  <c r="D22" i="2"/>
  <c r="E22" i="2"/>
  <c r="H22" i="2"/>
  <c r="C22" i="2"/>
  <c r="G21" i="2"/>
  <c r="I21" i="2"/>
  <c r="D21" i="2"/>
  <c r="E21" i="2"/>
  <c r="H21" i="2"/>
  <c r="C21" i="2"/>
  <c r="F15" i="2"/>
  <c r="E3" i="2"/>
  <c r="E4" i="2"/>
  <c r="E5" i="2"/>
  <c r="E15" i="2"/>
  <c r="D15" i="2"/>
  <c r="C3" i="2"/>
  <c r="C4" i="2"/>
  <c r="C5" i="2"/>
  <c r="C6" i="2"/>
  <c r="C7" i="2"/>
  <c r="C8" i="2"/>
  <c r="C9" i="2"/>
  <c r="C11" i="2"/>
  <c r="C12" i="2"/>
  <c r="C15" i="2"/>
  <c r="B15" i="2"/>
  <c r="I10" i="2"/>
</calcChain>
</file>

<file path=xl/sharedStrings.xml><?xml version="1.0" encoding="utf-8"?>
<sst xmlns="http://schemas.openxmlformats.org/spreadsheetml/2006/main" count="79" uniqueCount="58">
  <si>
    <t>Total precipitation (cm)</t>
  </si>
  <si>
    <t>Annual runoff coefficient</t>
  </si>
  <si>
    <t>Range of sediment accumulated (cm)</t>
  </si>
  <si>
    <t>Total mass of sediment accumulated (kg)</t>
  </si>
  <si>
    <t>Average sediment load of runoff</t>
  </si>
  <si>
    <t>WY2012</t>
  </si>
  <si>
    <t>—</t>
  </si>
  <si>
    <t>WY2013</t>
  </si>
  <si>
    <t>0–8</t>
  </si>
  <si>
    <t>WY2014</t>
  </si>
  <si>
    <t>0–1</t>
  </si>
  <si>
    <t>WY2015</t>
  </si>
  <si>
    <t>0–7</t>
  </si>
  <si>
    <t>Total runoff collected (ac-ft)</t>
  </si>
  <si>
    <r>
      <t>Total runoff collected (m</t>
    </r>
    <r>
      <rPr>
        <b/>
        <vertAlign val="superscript"/>
        <sz val="10"/>
        <color rgb="FF000000"/>
        <rFont val="Times New Roman"/>
        <family val="1"/>
      </rPr>
      <t>3</t>
    </r>
    <r>
      <rPr>
        <sz val="10"/>
        <color rgb="FF000000"/>
        <rFont val="Calibri"/>
        <family val="2"/>
        <scheme val="minor"/>
      </rPr>
      <t>)</t>
    </r>
  </si>
  <si>
    <t>Drainage area</t>
  </si>
  <si>
    <t>acres</t>
  </si>
  <si>
    <t>km2</t>
  </si>
  <si>
    <t>CALCULATIONS</t>
  </si>
  <si>
    <t>Total precipitation (m)</t>
  </si>
  <si>
    <r>
      <t>Total precipitation (m</t>
    </r>
    <r>
      <rPr>
        <b/>
        <vertAlign val="superscript"/>
        <sz val="10"/>
        <color rgb="FF000000"/>
        <rFont val="Times New Roman"/>
        <family val="1"/>
      </rPr>
      <t>3</t>
    </r>
    <r>
      <rPr>
        <sz val="10"/>
        <color rgb="FF000000"/>
        <rFont val="Calibri"/>
        <family val="2"/>
        <scheme val="minor"/>
      </rPr>
      <t>)</t>
    </r>
  </si>
  <si>
    <t>m2</t>
  </si>
  <si>
    <t>Annual sediment yield (Mg/km2)</t>
  </si>
  <si>
    <t>Total mass of sediment accumulated (Mg)</t>
  </si>
  <si>
    <t>Total precipitation (in)</t>
  </si>
  <si>
    <r>
      <t>Total runoff collected            (m</t>
    </r>
    <r>
      <rPr>
        <b/>
        <vertAlign val="superscript"/>
        <sz val="10"/>
        <color rgb="FF000000"/>
        <rFont val="Times New Roman"/>
        <family val="1"/>
      </rPr>
      <t>3</t>
    </r>
    <r>
      <rPr>
        <sz val="10"/>
        <color rgb="FF000000"/>
        <rFont val="Calibri"/>
        <family val="2"/>
        <scheme val="minor"/>
      </rPr>
      <t>)</t>
    </r>
  </si>
  <si>
    <t>Average runoff sediment load (g/L)</t>
  </si>
  <si>
    <t>Annual runoff coefficient           (—)</t>
  </si>
  <si>
    <t>Annual sediment yield      (Mg/km2)</t>
  </si>
  <si>
    <t>Annual sediment yield (tons/acre)</t>
  </si>
  <si>
    <t>Total mass of sediment accumulated (tons)</t>
  </si>
  <si>
    <t>Total runoff collected (in / unit drainage area)</t>
  </si>
  <si>
    <t>WY2016</t>
  </si>
  <si>
    <t>WY2017</t>
  </si>
  <si>
    <t>WY2018</t>
  </si>
  <si>
    <t>WY2019</t>
  </si>
  <si>
    <t>Total runoff collected
(ac-ft)</t>
  </si>
  <si>
    <t>Evap
(af-ft)</t>
  </si>
  <si>
    <t>Inc Infilt
(ac-ft)</t>
  </si>
  <si>
    <t>Net Infilt 
(ac-ft)</t>
  </si>
  <si>
    <t>WY2020</t>
  </si>
  <si>
    <t>WY2021</t>
  </si>
  <si>
    <t>Average</t>
  </si>
  <si>
    <t>WY2022</t>
  </si>
  <si>
    <t>Water year</t>
  </si>
  <si>
    <t>WY12</t>
  </si>
  <si>
    <t>WY13</t>
  </si>
  <si>
    <t>WY14</t>
  </si>
  <si>
    <t>WY15</t>
  </si>
  <si>
    <t>WY17</t>
  </si>
  <si>
    <t>WY16</t>
  </si>
  <si>
    <t>WY18</t>
  </si>
  <si>
    <t>WY19</t>
  </si>
  <si>
    <t>WY20</t>
  </si>
  <si>
    <t>WY21</t>
  </si>
  <si>
    <t>WY22</t>
  </si>
  <si>
    <t>Infiltration (AFY)</t>
  </si>
  <si>
    <t>Precipitation (inches per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</si>
</sst>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vertAlign val="superscript"/>
      <sz val="10"/>
      <color rgb="FF000000"/>
      <name val="Times New Roman"/>
      <family val="1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workbookViewId="0">
      <selection activeCell="C18" sqref="C18"/>
    </sheetView>
  </sheetViews>
  <sheetFormatPr baseColWidth="10" defaultColWidth="13" defaultRowHeight="15" x14ac:dyDescent="0.2"/>
  <cols>
    <col min="1" max="1" width="14.5" style="1" customWidth="1"/>
    <col min="2" max="3" width="13" style="1"/>
    <col min="4" max="4" width="14.1640625" style="1" customWidth="1"/>
    <col min="5" max="16384" width="13" style="1"/>
  </cols>
  <sheetData>
    <row r="1" spans="1:5" s="2" customFormat="1" ht="49" x14ac:dyDescent="0.2">
      <c r="A1" s="2" t="s">
        <v>44</v>
      </c>
      <c r="B1" s="2" t="s">
        <v>0</v>
      </c>
      <c r="C1" s="2" t="s">
        <v>57</v>
      </c>
      <c r="D1" s="2" t="s">
        <v>25</v>
      </c>
      <c r="E1" s="2" t="s">
        <v>56</v>
      </c>
    </row>
    <row r="2" spans="1:5" x14ac:dyDescent="0.2">
      <c r="A2" s="1" t="s">
        <v>45</v>
      </c>
      <c r="B2" s="3">
        <v>33</v>
      </c>
      <c r="C2" s="11">
        <f>B2/2.54</f>
        <v>12.992125984251969</v>
      </c>
      <c r="D2" s="1">
        <v>5590</v>
      </c>
      <c r="E2" s="11">
        <f>D2/1234</f>
        <v>4.5299837925445701</v>
      </c>
    </row>
    <row r="3" spans="1:5" x14ac:dyDescent="0.2">
      <c r="A3" s="1" t="s">
        <v>46</v>
      </c>
      <c r="B3" s="3">
        <v>39.1</v>
      </c>
      <c r="C3" s="11">
        <f t="shared" ref="C3:C7" si="0">B3/2.54</f>
        <v>15.393700787401576</v>
      </c>
      <c r="D3" s="1">
        <v>38600</v>
      </c>
      <c r="E3" s="11">
        <f t="shared" ref="E3:E7" si="1">D3/1234</f>
        <v>31.280388978930308</v>
      </c>
    </row>
    <row r="4" spans="1:5" x14ac:dyDescent="0.2">
      <c r="A4" s="1" t="s">
        <v>47</v>
      </c>
      <c r="B4" s="3">
        <v>25.6</v>
      </c>
      <c r="C4" s="11">
        <f t="shared" si="0"/>
        <v>10.078740157480315</v>
      </c>
      <c r="D4" s="1">
        <v>41990</v>
      </c>
      <c r="E4" s="11">
        <f t="shared" si="1"/>
        <v>34.027552674230144</v>
      </c>
    </row>
    <row r="5" spans="1:5" x14ac:dyDescent="0.2">
      <c r="A5" s="1" t="s">
        <v>48</v>
      </c>
      <c r="B5" s="3">
        <v>46.3</v>
      </c>
      <c r="C5" s="11">
        <f t="shared" si="0"/>
        <v>18.228346456692911</v>
      </c>
      <c r="D5" s="1">
        <v>132150</v>
      </c>
      <c r="E5" s="11">
        <f t="shared" si="1"/>
        <v>107.09076175040519</v>
      </c>
    </row>
    <row r="6" spans="1:5" x14ac:dyDescent="0.2">
      <c r="A6" s="1" t="s">
        <v>50</v>
      </c>
      <c r="B6" s="3">
        <v>69.513000000000005</v>
      </c>
      <c r="C6" s="11">
        <f t="shared" si="0"/>
        <v>27.36732283464567</v>
      </c>
      <c r="D6" s="6">
        <v>135190</v>
      </c>
      <c r="E6" s="11">
        <f t="shared" si="1"/>
        <v>109.55429497568882</v>
      </c>
    </row>
    <row r="7" spans="1:5" x14ac:dyDescent="0.2">
      <c r="A7" s="1" t="s">
        <v>49</v>
      </c>
      <c r="B7" s="3">
        <v>89.706999999999994</v>
      </c>
      <c r="C7" s="11">
        <f t="shared" si="0"/>
        <v>35.317716535433071</v>
      </c>
      <c r="D7" s="6">
        <v>175410</v>
      </c>
      <c r="E7" s="11">
        <f t="shared" si="1"/>
        <v>142.14748784440843</v>
      </c>
    </row>
    <row r="8" spans="1:5" x14ac:dyDescent="0.2">
      <c r="A8" s="1" t="s">
        <v>51</v>
      </c>
      <c r="B8" s="3">
        <v>34.5</v>
      </c>
      <c r="C8" s="11">
        <f>B8/2.54</f>
        <v>13.58267716535433</v>
      </c>
      <c r="D8" s="5">
        <f>73.74*1234</f>
        <v>90995.159999999989</v>
      </c>
      <c r="E8" s="11">
        <f>D8/1234</f>
        <v>73.739999999999995</v>
      </c>
    </row>
    <row r="9" spans="1:5" x14ac:dyDescent="0.2">
      <c r="A9" s="1" t="s">
        <v>52</v>
      </c>
      <c r="B9" s="3">
        <f>C9*2.54</f>
        <v>55.88</v>
      </c>
      <c r="C9" s="11">
        <v>22</v>
      </c>
      <c r="D9" s="1">
        <v>134720</v>
      </c>
      <c r="E9" s="11">
        <f>D9/1234</f>
        <v>109.17341977309563</v>
      </c>
    </row>
    <row r="10" spans="1:5" x14ac:dyDescent="0.2">
      <c r="A10" s="1" t="s">
        <v>53</v>
      </c>
      <c r="B10" s="3">
        <v>52</v>
      </c>
      <c r="C10" s="11">
        <f>B10/2.54</f>
        <v>20.472440944881889</v>
      </c>
      <c r="D10" s="1">
        <v>68410</v>
      </c>
      <c r="E10" s="11">
        <f>D10/1234</f>
        <v>55.437601296596434</v>
      </c>
    </row>
    <row r="11" spans="1:5" x14ac:dyDescent="0.2">
      <c r="A11" s="1" t="s">
        <v>54</v>
      </c>
      <c r="B11" s="3">
        <v>31.484999999999999</v>
      </c>
      <c r="C11" s="11">
        <f>B11/2.54</f>
        <v>12.395669291338582</v>
      </c>
      <c r="D11" s="7">
        <v>63320</v>
      </c>
      <c r="E11" s="11">
        <f>D11/1234</f>
        <v>51.312803889789301</v>
      </c>
    </row>
    <row r="12" spans="1:5" x14ac:dyDescent="0.2">
      <c r="A12" s="1" t="s">
        <v>55</v>
      </c>
      <c r="B12" s="3">
        <v>41.752000000000002</v>
      </c>
      <c r="C12" s="11">
        <f>B12/2.54</f>
        <v>16.437795275590553</v>
      </c>
      <c r="D12" s="10">
        <v>134033</v>
      </c>
      <c r="E12" s="11">
        <f>D12/1234</f>
        <v>108.61669367909238</v>
      </c>
    </row>
    <row r="13" spans="1:5" x14ac:dyDescent="0.2">
      <c r="B13" s="3"/>
      <c r="C13" s="3"/>
      <c r="D13" s="7"/>
      <c r="E13" s="3"/>
    </row>
    <row r="19" spans="2:5" x14ac:dyDescent="0.2">
      <c r="B19" s="2"/>
      <c r="C19" s="2"/>
      <c r="D19" s="2"/>
      <c r="E19" s="2"/>
    </row>
    <row r="20" spans="2:5" x14ac:dyDescent="0.2">
      <c r="D20" s="5"/>
    </row>
    <row r="21" spans="2:5" x14ac:dyDescent="0.2">
      <c r="D21" s="5"/>
    </row>
    <row r="22" spans="2:5" x14ac:dyDescent="0.2">
      <c r="D22" s="5"/>
    </row>
    <row r="23" spans="2:5" x14ac:dyDescent="0.2">
      <c r="D23" s="5"/>
      <c r="E23" s="5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35"/>
  <sheetViews>
    <sheetView workbookViewId="0">
      <selection activeCell="E17" sqref="E17"/>
    </sheetView>
  </sheetViews>
  <sheetFormatPr baseColWidth="10" defaultColWidth="13" defaultRowHeight="15" x14ac:dyDescent="0.2"/>
  <cols>
    <col min="1" max="1" width="14.5" style="1" customWidth="1"/>
    <col min="2" max="3" width="13" style="1"/>
    <col min="4" max="4" width="14.1640625" style="1" customWidth="1"/>
    <col min="5" max="16384" width="13" style="1"/>
  </cols>
  <sheetData>
    <row r="2" spans="1:14" s="2" customFormat="1" ht="64" x14ac:dyDescent="0.2">
      <c r="B2" s="2" t="s">
        <v>0</v>
      </c>
      <c r="C2" s="2" t="s">
        <v>24</v>
      </c>
      <c r="D2" s="2" t="s">
        <v>25</v>
      </c>
      <c r="E2" s="2" t="s">
        <v>36</v>
      </c>
      <c r="F2" s="2" t="s">
        <v>27</v>
      </c>
      <c r="G2" s="2" t="s">
        <v>37</v>
      </c>
      <c r="H2" s="2" t="s">
        <v>38</v>
      </c>
      <c r="I2" s="2" t="s">
        <v>39</v>
      </c>
      <c r="J2" s="2" t="s">
        <v>2</v>
      </c>
      <c r="K2" s="2" t="s">
        <v>3</v>
      </c>
      <c r="L2" s="2" t="s">
        <v>26</v>
      </c>
      <c r="M2" s="2" t="s">
        <v>28</v>
      </c>
      <c r="N2" s="2" t="s">
        <v>29</v>
      </c>
    </row>
    <row r="3" spans="1:14" x14ac:dyDescent="0.2">
      <c r="A3" s="1" t="s">
        <v>5</v>
      </c>
      <c r="B3" s="3">
        <v>33</v>
      </c>
      <c r="C3" s="11">
        <f>B3/2.54</f>
        <v>12.992125984251969</v>
      </c>
      <c r="D3" s="1">
        <v>5590</v>
      </c>
      <c r="E3" s="11">
        <f>D3/1234</f>
        <v>4.5299837925445701</v>
      </c>
      <c r="F3" s="4">
        <v>2.4336114539383245E-2</v>
      </c>
      <c r="J3" s="1" t="s">
        <v>6</v>
      </c>
      <c r="K3" s="1" t="s">
        <v>6</v>
      </c>
      <c r="L3" s="1" t="s">
        <v>6</v>
      </c>
      <c r="M3" s="1" t="s">
        <v>6</v>
      </c>
      <c r="N3" s="1" t="s">
        <v>6</v>
      </c>
    </row>
    <row r="4" spans="1:14" x14ac:dyDescent="0.2">
      <c r="A4" s="1" t="s">
        <v>7</v>
      </c>
      <c r="B4" s="3">
        <v>39.1</v>
      </c>
      <c r="C4" s="11">
        <f t="shared" ref="C4:C8" si="0">B4/2.54</f>
        <v>15.393700787401576</v>
      </c>
      <c r="D4" s="1">
        <v>38600</v>
      </c>
      <c r="E4" s="11">
        <f t="shared" ref="E4:E8" si="1">D4/1234</f>
        <v>31.280388978930308</v>
      </c>
      <c r="F4" s="4">
        <v>0.14182863397950476</v>
      </c>
      <c r="J4" s="1" t="s">
        <v>8</v>
      </c>
      <c r="K4" s="1">
        <v>423700</v>
      </c>
      <c r="L4" s="1">
        <v>11</v>
      </c>
      <c r="M4" s="5">
        <v>608.71196261379328</v>
      </c>
      <c r="N4" s="3">
        <v>2.7153996918604646</v>
      </c>
    </row>
    <row r="5" spans="1:14" x14ac:dyDescent="0.2">
      <c r="A5" s="1" t="s">
        <v>9</v>
      </c>
      <c r="B5" s="3">
        <v>25.6</v>
      </c>
      <c r="C5" s="11">
        <f t="shared" si="0"/>
        <v>10.078740157480315</v>
      </c>
      <c r="D5" s="1">
        <v>41990</v>
      </c>
      <c r="E5" s="11">
        <f t="shared" si="1"/>
        <v>34.027552674230144</v>
      </c>
      <c r="F5" s="4">
        <v>0.23564557128932231</v>
      </c>
      <c r="J5" s="1" t="s">
        <v>10</v>
      </c>
      <c r="K5" s="1">
        <v>83400</v>
      </c>
      <c r="L5" s="1">
        <v>2</v>
      </c>
      <c r="M5" s="5">
        <v>119.81727090391873</v>
      </c>
      <c r="N5" s="3">
        <v>0.53449217441860464</v>
      </c>
    </row>
    <row r="6" spans="1:14" x14ac:dyDescent="0.2">
      <c r="A6" s="1" t="s">
        <v>11</v>
      </c>
      <c r="B6" s="3">
        <v>46.3</v>
      </c>
      <c r="C6" s="11">
        <f t="shared" si="0"/>
        <v>18.228346456692911</v>
      </c>
      <c r="D6" s="1">
        <v>132150</v>
      </c>
      <c r="E6" s="11">
        <f t="shared" si="1"/>
        <v>107.09076175040519</v>
      </c>
      <c r="F6" s="4">
        <v>0.41372437543004154</v>
      </c>
      <c r="J6" s="1" t="s">
        <v>12</v>
      </c>
      <c r="K6" s="1">
        <v>511800</v>
      </c>
      <c r="L6" s="1">
        <v>3.9</v>
      </c>
      <c r="M6" s="5">
        <v>735.28152576289688</v>
      </c>
      <c r="N6" s="3">
        <v>3.2800131279069764</v>
      </c>
    </row>
    <row r="7" spans="1:14" x14ac:dyDescent="0.2">
      <c r="A7" s="1" t="s">
        <v>32</v>
      </c>
      <c r="B7" s="3">
        <v>69.513000000000005</v>
      </c>
      <c r="C7" s="11">
        <f t="shared" si="0"/>
        <v>27.36732283464567</v>
      </c>
      <c r="D7" s="6">
        <v>135190</v>
      </c>
      <c r="E7" s="11">
        <f t="shared" si="1"/>
        <v>109.55429497568882</v>
      </c>
      <c r="F7" s="4">
        <f t="shared" ref="F7:F12" si="2">E7/(((B7/100)*C$18)/1234)</f>
        <v>0.27940354295478248</v>
      </c>
      <c r="M7" s="5"/>
      <c r="N7" s="3"/>
    </row>
    <row r="8" spans="1:14" x14ac:dyDescent="0.2">
      <c r="A8" s="1" t="s">
        <v>33</v>
      </c>
      <c r="B8" s="3">
        <v>89.706999999999994</v>
      </c>
      <c r="C8" s="11">
        <f t="shared" si="0"/>
        <v>35.317716535433071</v>
      </c>
      <c r="D8" s="6">
        <v>175410</v>
      </c>
      <c r="E8" s="11">
        <f t="shared" si="1"/>
        <v>142.14748784440843</v>
      </c>
      <c r="F8" s="4">
        <f t="shared" si="2"/>
        <v>0.28091917747538803</v>
      </c>
      <c r="M8" s="5"/>
      <c r="N8" s="3"/>
    </row>
    <row r="9" spans="1:14" x14ac:dyDescent="0.2">
      <c r="A9" s="1" t="s">
        <v>34</v>
      </c>
      <c r="B9" s="3">
        <v>34.5</v>
      </c>
      <c r="C9" s="11">
        <f>B9/2.54</f>
        <v>13.58267716535433</v>
      </c>
      <c r="D9" s="5">
        <f>73.74*1234</f>
        <v>90995.159999999989</v>
      </c>
      <c r="E9" s="11">
        <f>D9/1234</f>
        <v>73.739999999999995</v>
      </c>
      <c r="F9" s="4">
        <f t="shared" si="2"/>
        <v>0.37892439914730575</v>
      </c>
      <c r="M9" s="5"/>
      <c r="N9" s="3"/>
    </row>
    <row r="10" spans="1:14" x14ac:dyDescent="0.2">
      <c r="A10" s="1" t="s">
        <v>35</v>
      </c>
      <c r="B10" s="3">
        <f>C10*2.54</f>
        <v>55.88</v>
      </c>
      <c r="C10" s="11">
        <v>22</v>
      </c>
      <c r="D10" s="1">
        <v>134720</v>
      </c>
      <c r="E10" s="11">
        <f>D10/1234</f>
        <v>109.17341977309563</v>
      </c>
      <c r="F10" s="4">
        <f t="shared" si="2"/>
        <v>0.34636105152047142</v>
      </c>
      <c r="G10" s="1">
        <v>1.6</v>
      </c>
      <c r="H10" s="1">
        <v>1.6</v>
      </c>
      <c r="I10" s="3">
        <f>107.2</f>
        <v>107.2</v>
      </c>
    </row>
    <row r="11" spans="1:14" x14ac:dyDescent="0.2">
      <c r="A11" s="1" t="s">
        <v>40</v>
      </c>
      <c r="B11" s="3">
        <v>52</v>
      </c>
      <c r="C11" s="11">
        <f>B11/2.54</f>
        <v>20.472440944881889</v>
      </c>
      <c r="D11" s="1">
        <v>68410</v>
      </c>
      <c r="E11" s="11">
        <f>D11/1234</f>
        <v>55.437601296596434</v>
      </c>
      <c r="F11" s="4">
        <f t="shared" si="2"/>
        <v>0.18900340118375483</v>
      </c>
      <c r="I11" s="3"/>
    </row>
    <row r="12" spans="1:14" x14ac:dyDescent="0.2">
      <c r="A12" s="1" t="s">
        <v>41</v>
      </c>
      <c r="B12" s="3">
        <v>31.484999999999999</v>
      </c>
      <c r="C12" s="11">
        <f>B12/2.54</f>
        <v>12.395669291338582</v>
      </c>
      <c r="D12" s="7">
        <v>63320</v>
      </c>
      <c r="E12" s="11">
        <f>D12/1234</f>
        <v>51.312803889789301</v>
      </c>
      <c r="F12" s="4">
        <f t="shared" si="2"/>
        <v>0.28892863198287988</v>
      </c>
      <c r="I12" s="3"/>
    </row>
    <row r="13" spans="1:14" x14ac:dyDescent="0.2">
      <c r="A13" s="1" t="s">
        <v>43</v>
      </c>
      <c r="B13" s="3">
        <v>41.752000000000002</v>
      </c>
      <c r="C13" s="11">
        <f>B13/2.54</f>
        <v>16.437795275590553</v>
      </c>
      <c r="D13" s="10">
        <v>134033</v>
      </c>
      <c r="E13" s="11">
        <f>D13/1234</f>
        <v>108.61669367909238</v>
      </c>
      <c r="F13" s="4">
        <f t="shared" ref="F13" si="3">E13/(((B13/100)*C$18)/1234)</f>
        <v>0.46119843742935157</v>
      </c>
      <c r="I13" s="3"/>
    </row>
    <row r="14" spans="1:14" x14ac:dyDescent="0.2">
      <c r="B14" s="3"/>
      <c r="C14" s="3"/>
      <c r="D14" s="7"/>
      <c r="E14" s="3"/>
      <c r="F14" s="4"/>
      <c r="I14" s="3"/>
    </row>
    <row r="15" spans="1:14" x14ac:dyDescent="0.2">
      <c r="A15" s="8" t="s">
        <v>42</v>
      </c>
      <c r="B15" s="9">
        <f>AVERAGE(B3:B13)</f>
        <v>47.167000000000002</v>
      </c>
      <c r="C15" s="9">
        <f>AVERAGE(C3:C13)</f>
        <v>18.569685039370082</v>
      </c>
      <c r="D15" s="9">
        <f>AVERAGE(D3:D14)</f>
        <v>92764.378181818189</v>
      </c>
      <c r="E15" s="9">
        <f>AVERAGE(E3:E14)</f>
        <v>75.173726241343743</v>
      </c>
      <c r="F15" s="9">
        <f>AVERAGE(F3:F13)</f>
        <v>0.27638848517565323</v>
      </c>
    </row>
    <row r="16" spans="1:14" x14ac:dyDescent="0.2">
      <c r="B16" s="1" t="s">
        <v>15</v>
      </c>
      <c r="C16" s="1">
        <v>172</v>
      </c>
      <c r="D16" s="1" t="s">
        <v>16</v>
      </c>
      <c r="E16" s="3">
        <f>AVERAGE(E6:E13)</f>
        <v>94.634132901134521</v>
      </c>
      <c r="F16" s="3">
        <f>AVERAGE(F6:F13)</f>
        <v>0.32980787714049692</v>
      </c>
      <c r="J16" s="1">
        <v>172</v>
      </c>
    </row>
    <row r="17" spans="1:16" x14ac:dyDescent="0.2">
      <c r="C17" s="1">
        <f>C16*0.00404686</f>
        <v>0.69605992000000005</v>
      </c>
      <c r="D17" s="1" t="s">
        <v>17</v>
      </c>
    </row>
    <row r="18" spans="1:16" x14ac:dyDescent="0.2">
      <c r="C18" s="1">
        <f>C17*1000000</f>
        <v>696059.92</v>
      </c>
      <c r="D18" s="1" t="s">
        <v>21</v>
      </c>
    </row>
    <row r="20" spans="1:16" ht="64" x14ac:dyDescent="0.2">
      <c r="A20" s="1" t="s">
        <v>18</v>
      </c>
      <c r="B20" s="2" t="s">
        <v>0</v>
      </c>
      <c r="C20" s="2" t="s">
        <v>24</v>
      </c>
      <c r="D20" s="2" t="s">
        <v>19</v>
      </c>
      <c r="E20" s="2" t="s">
        <v>20</v>
      </c>
      <c r="F20" s="2" t="s">
        <v>14</v>
      </c>
      <c r="G20" s="2" t="s">
        <v>13</v>
      </c>
      <c r="H20" s="2" t="s">
        <v>1</v>
      </c>
      <c r="I20" s="2" t="s">
        <v>31</v>
      </c>
      <c r="J20" s="2" t="s">
        <v>2</v>
      </c>
      <c r="K20" s="2" t="s">
        <v>3</v>
      </c>
      <c r="L20" s="2" t="s">
        <v>23</v>
      </c>
      <c r="M20" s="2" t="s">
        <v>4</v>
      </c>
      <c r="N20" s="2" t="s">
        <v>22</v>
      </c>
      <c r="O20" s="2" t="s">
        <v>30</v>
      </c>
      <c r="P20" s="2" t="s">
        <v>29</v>
      </c>
    </row>
    <row r="21" spans="1:16" x14ac:dyDescent="0.2">
      <c r="B21" s="1">
        <v>33</v>
      </c>
      <c r="C21" s="5">
        <f>B21/2.54</f>
        <v>12.992125984251969</v>
      </c>
      <c r="D21" s="1">
        <f>B21/100</f>
        <v>0.33</v>
      </c>
      <c r="E21" s="5">
        <f>D21*$C$18</f>
        <v>229699.77360000001</v>
      </c>
      <c r="F21" s="1">
        <v>5590</v>
      </c>
      <c r="G21" s="3">
        <f>F21/1234</f>
        <v>4.5299837925445701</v>
      </c>
      <c r="H21" s="4">
        <f>F21/E21</f>
        <v>2.4336114539383245E-2</v>
      </c>
      <c r="I21" s="4">
        <f>(G21/$J$16)*12</f>
        <v>0.31604538087520256</v>
      </c>
      <c r="J21" s="1" t="s">
        <v>6</v>
      </c>
      <c r="K21" s="1" t="s">
        <v>6</v>
      </c>
      <c r="L21" s="1" t="s">
        <v>6</v>
      </c>
      <c r="M21" s="1" t="s">
        <v>6</v>
      </c>
      <c r="N21" s="1" t="s">
        <v>6</v>
      </c>
      <c r="O21" s="1" t="s">
        <v>6</v>
      </c>
      <c r="P21" s="1" t="s">
        <v>6</v>
      </c>
    </row>
    <row r="22" spans="1:16" x14ac:dyDescent="0.2">
      <c r="B22" s="1">
        <v>39.1</v>
      </c>
      <c r="C22" s="5">
        <f t="shared" ref="C22:C24" si="4">B22/2.54</f>
        <v>15.393700787401576</v>
      </c>
      <c r="D22" s="1">
        <f>B22/100</f>
        <v>0.39100000000000001</v>
      </c>
      <c r="E22" s="5">
        <f t="shared" ref="E22:E24" si="5">D22*$C$18</f>
        <v>272159.42872000003</v>
      </c>
      <c r="F22" s="1">
        <v>38600</v>
      </c>
      <c r="G22" s="3">
        <f t="shared" ref="G22:G24" si="6">F22/1234</f>
        <v>31.280388978930308</v>
      </c>
      <c r="H22" s="4">
        <f t="shared" ref="H22:H24" si="7">F22/E22</f>
        <v>0.14182863397950476</v>
      </c>
      <c r="I22" s="4">
        <f>(G22/$J$16)*12</f>
        <v>2.1823527194602539</v>
      </c>
      <c r="J22" s="1" t="s">
        <v>8</v>
      </c>
      <c r="K22" s="1">
        <v>423700</v>
      </c>
      <c r="L22" s="1">
        <f>K22/1000</f>
        <v>423.7</v>
      </c>
      <c r="M22" s="1">
        <v>11</v>
      </c>
      <c r="N22" s="5">
        <f>L22/$C$17</f>
        <v>608.71196261379328</v>
      </c>
      <c r="O22" s="3">
        <f>L22*1.10231</f>
        <v>467.04874699999993</v>
      </c>
      <c r="P22" s="3">
        <f>O22/$C$16</f>
        <v>2.7153996918604646</v>
      </c>
    </row>
    <row r="23" spans="1:16" x14ac:dyDescent="0.2">
      <c r="B23" s="1">
        <v>25.6</v>
      </c>
      <c r="C23" s="5">
        <f t="shared" si="4"/>
        <v>10.078740157480315</v>
      </c>
      <c r="D23" s="1">
        <f>B23/100</f>
        <v>0.25600000000000001</v>
      </c>
      <c r="E23" s="5">
        <f t="shared" si="5"/>
        <v>178191.33952000001</v>
      </c>
      <c r="F23" s="1">
        <v>41990</v>
      </c>
      <c r="G23" s="3">
        <f t="shared" si="6"/>
        <v>34.027552674230144</v>
      </c>
      <c r="H23" s="4">
        <f t="shared" si="7"/>
        <v>0.23564557128932231</v>
      </c>
      <c r="I23" s="4">
        <f>(G23/$J$16)*12</f>
        <v>2.374015302853266</v>
      </c>
      <c r="J23" s="1" t="s">
        <v>10</v>
      </c>
      <c r="K23" s="1">
        <v>83400</v>
      </c>
      <c r="L23" s="1">
        <f t="shared" ref="L23:L24" si="8">K23/1000</f>
        <v>83.4</v>
      </c>
      <c r="M23" s="1">
        <v>2</v>
      </c>
      <c r="N23" s="5">
        <f t="shared" ref="N23:N24" si="9">L23/$C$17</f>
        <v>119.81727090391873</v>
      </c>
      <c r="O23" s="3">
        <f t="shared" ref="O23:O24" si="10">L23*1.10231</f>
        <v>91.932653999999999</v>
      </c>
      <c r="P23" s="3">
        <f t="shared" ref="P23:P24" si="11">O23/$C$16</f>
        <v>0.53449217441860464</v>
      </c>
    </row>
    <row r="24" spans="1:16" x14ac:dyDescent="0.2">
      <c r="B24" s="1">
        <v>46.3</v>
      </c>
      <c r="C24" s="5">
        <f t="shared" si="4"/>
        <v>18.228346456692911</v>
      </c>
      <c r="D24" s="1">
        <f>B24/100</f>
        <v>0.46299999999999997</v>
      </c>
      <c r="E24" s="5">
        <f t="shared" si="5"/>
        <v>322275.74296</v>
      </c>
      <c r="F24" s="5">
        <f>SUM(E16:F16)</f>
        <v>94.963940778275017</v>
      </c>
      <c r="G24" s="3">
        <f t="shared" si="6"/>
        <v>7.6956191878666952E-2</v>
      </c>
      <c r="H24" s="4">
        <f t="shared" si="7"/>
        <v>2.9466673447421605E-4</v>
      </c>
      <c r="I24" s="4">
        <f>(G24/$J$16)*12</f>
        <v>5.3690366426976943E-3</v>
      </c>
      <c r="J24" s="1" t="s">
        <v>12</v>
      </c>
      <c r="K24" s="1">
        <v>511800</v>
      </c>
      <c r="L24" s="1">
        <f t="shared" si="8"/>
        <v>511.8</v>
      </c>
      <c r="M24" s="1">
        <v>3.9</v>
      </c>
      <c r="N24" s="5">
        <f t="shared" si="9"/>
        <v>735.28152576289688</v>
      </c>
      <c r="O24" s="3">
        <f t="shared" si="10"/>
        <v>564.16225799999995</v>
      </c>
      <c r="P24" s="3">
        <f t="shared" si="11"/>
        <v>3.2800131279069764</v>
      </c>
    </row>
    <row r="27" spans="1:16" x14ac:dyDescent="0.2">
      <c r="F27" s="5"/>
    </row>
    <row r="31" spans="1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6" x14ac:dyDescent="0.2">
      <c r="D32" s="5"/>
      <c r="F32" s="3"/>
      <c r="G32" s="4"/>
    </row>
    <row r="33" spans="4:14" x14ac:dyDescent="0.2">
      <c r="D33" s="5"/>
      <c r="F33" s="3"/>
      <c r="G33" s="4"/>
      <c r="L33" s="5"/>
      <c r="M33" s="3"/>
      <c r="N33" s="3"/>
    </row>
    <row r="34" spans="4:14" x14ac:dyDescent="0.2">
      <c r="D34" s="5"/>
      <c r="F34" s="3"/>
      <c r="G34" s="4"/>
      <c r="L34" s="5"/>
      <c r="M34" s="3"/>
      <c r="N34" s="3"/>
    </row>
    <row r="35" spans="4:14" x14ac:dyDescent="0.2">
      <c r="D35" s="5"/>
      <c r="E35" s="5"/>
      <c r="F35" s="3"/>
      <c r="G35" s="4"/>
      <c r="L35" s="5"/>
      <c r="M35" s="3"/>
      <c r="N3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Molly Bruce</cp:lastModifiedBy>
  <dcterms:created xsi:type="dcterms:W3CDTF">2016-02-08T19:14:33Z</dcterms:created>
  <dcterms:modified xsi:type="dcterms:W3CDTF">2022-12-06T14:00:20Z</dcterms:modified>
</cp:coreProperties>
</file>