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29"/>
  <workbookPr/>
  <mc:AlternateContent xmlns:mc="http://schemas.openxmlformats.org/markup-compatibility/2006">
    <mc:Choice Requires="x15">
      <x15ac:absPath xmlns:x15ac="http://schemas.microsoft.com/office/spreadsheetml/2010/11/ac" url="C:\Users\86135\Desktop\人物卡\"/>
    </mc:Choice>
  </mc:AlternateContent>
  <xr:revisionPtr revIDLastSave="0" documentId="13_ncr:1_{9DEE6D20-3CB7-4D93-B6C1-FAA4AEDAEAE8}" xr6:coauthVersionLast="47" xr6:coauthVersionMax="47" xr10:uidLastSave="{00000000-0000-0000-0000-000000000000}"/>
  <bookViews>
    <workbookView xWindow="6504" yWindow="2736" windowWidth="17280" windowHeight="8880" tabRatio="613" xr2:uid="{00000000-000D-0000-FFFF-FFFF00000000}"/>
  </bookViews>
  <sheets>
    <sheet name="人物卡" sheetId="1" r:id="rId1"/>
    <sheet name="简化卡 骰娘导入" sheetId="2" r:id="rId2"/>
    <sheet name="职业列表" sheetId="3" r:id="rId3"/>
    <sheet name="成长表（测试）" sheetId="4" r:id="rId4"/>
    <sheet name="本职技能" sheetId="5" state="hidden" r:id="rId5"/>
    <sheet name="附表" sheetId="6" state="hidden" r:id="rId6"/>
    <sheet name="技能注释" sheetId="7" r:id="rId7"/>
    <sheet name="属性注释" sheetId="8" r:id="rId8"/>
    <sheet name="资产及物价参考" sheetId="9" r:id="rId9"/>
    <sheet name="武器列表 战斗" sheetId="10" r:id="rId10"/>
    <sheet name="防具表 载具表" sheetId="11" r:id="rId11"/>
    <sheet name="疯狂表" sheetId="12" r:id="rId12"/>
    <sheet name="更新说明" sheetId="13" r:id="rId13"/>
  </sheets>
  <definedNames>
    <definedName name="_xlnm._FilterDatabase" localSheetId="0" hidden="1">人物卡!$AU$38:$BR$145</definedName>
    <definedName name="APP">人物卡!$AA$5</definedName>
    <definedName name="CON">人物卡!$U$5</definedName>
    <definedName name="DEX">人物卡!$AA$3</definedName>
    <definedName name="EDU">人物卡!$AG$5</definedName>
    <definedName name="INT">人物卡!$AA$7</definedName>
    <definedName name="Luck">人物卡!$AG$7</definedName>
    <definedName name="MP">人物卡!$W$10</definedName>
    <definedName name="POW">人物卡!$AG$3</definedName>
    <definedName name="SIZ">人物卡!$U$7</definedName>
    <definedName name="STR">人物卡!$U$3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7" i="12" l="1"/>
  <c r="D17" i="12"/>
  <c r="M189" i="10"/>
  <c r="S185" i="10"/>
  <c r="Q185" i="10"/>
  <c r="O185" i="10"/>
  <c r="Q216" i="9"/>
  <c r="Q215" i="9"/>
  <c r="Q214" i="9"/>
  <c r="Q213" i="9"/>
  <c r="V212" i="9"/>
  <c r="Q212" i="9"/>
  <c r="V211" i="9"/>
  <c r="Q211" i="9"/>
  <c r="V210" i="9"/>
  <c r="Q210" i="9"/>
  <c r="V209" i="9"/>
  <c r="Q209" i="9"/>
  <c r="V208" i="9"/>
  <c r="Q208" i="9"/>
  <c r="V207" i="9"/>
  <c r="V206" i="9"/>
  <c r="V205" i="9"/>
  <c r="V204" i="9"/>
  <c r="K204" i="9"/>
  <c r="V203" i="9"/>
  <c r="V202" i="9"/>
  <c r="V201" i="9"/>
  <c r="V200" i="9"/>
  <c r="V199" i="9"/>
  <c r="V198" i="9"/>
  <c r="K198" i="9"/>
  <c r="V197" i="9"/>
  <c r="K197" i="9"/>
  <c r="V196" i="9"/>
  <c r="Q196" i="9"/>
  <c r="K196" i="9"/>
  <c r="V195" i="9"/>
  <c r="Q195" i="9"/>
  <c r="K195" i="9"/>
  <c r="V194" i="9"/>
  <c r="Q194" i="9"/>
  <c r="K194" i="9"/>
  <c r="V193" i="9"/>
  <c r="Q193" i="9"/>
  <c r="K193" i="9"/>
  <c r="V192" i="9"/>
  <c r="Q192" i="9"/>
  <c r="K192" i="9"/>
  <c r="V191" i="9"/>
  <c r="V190" i="9"/>
  <c r="K190" i="9"/>
  <c r="V189" i="9"/>
  <c r="K189" i="9"/>
  <c r="E189" i="9"/>
  <c r="Q188" i="9"/>
  <c r="K188" i="9"/>
  <c r="Q187" i="9"/>
  <c r="E187" i="9"/>
  <c r="Q186" i="9"/>
  <c r="K186" i="9"/>
  <c r="V185" i="9"/>
  <c r="Q185" i="9"/>
  <c r="K185" i="9"/>
  <c r="V184" i="9"/>
  <c r="Q184" i="9"/>
  <c r="K184" i="9"/>
  <c r="E184" i="9"/>
  <c r="V183" i="9"/>
  <c r="Q183" i="9"/>
  <c r="V182" i="9"/>
  <c r="Q182" i="9"/>
  <c r="V181" i="9"/>
  <c r="Q181" i="9"/>
  <c r="V180" i="9"/>
  <c r="Q180" i="9"/>
  <c r="K180" i="9"/>
  <c r="V179" i="9"/>
  <c r="Q179" i="9"/>
  <c r="K179" i="9"/>
  <c r="V178" i="9"/>
  <c r="K178" i="9"/>
  <c r="V177" i="9"/>
  <c r="Q177" i="9"/>
  <c r="K177" i="9"/>
  <c r="E177" i="9"/>
  <c r="V176" i="9"/>
  <c r="Q176" i="9"/>
  <c r="K176" i="9"/>
  <c r="E176" i="9"/>
  <c r="V175" i="9"/>
  <c r="Q175" i="9"/>
  <c r="K175" i="9"/>
  <c r="E175" i="9"/>
  <c r="V174" i="9"/>
  <c r="Q174" i="9"/>
  <c r="E174" i="9"/>
  <c r="V173" i="9"/>
  <c r="Q173" i="9"/>
  <c r="K173" i="9"/>
  <c r="E173" i="9"/>
  <c r="V172" i="9"/>
  <c r="Q172" i="9"/>
  <c r="E172" i="9"/>
  <c r="V171" i="9"/>
  <c r="Q171" i="9"/>
  <c r="K171" i="9"/>
  <c r="V170" i="9"/>
  <c r="Q170" i="9"/>
  <c r="K170" i="9"/>
  <c r="V169" i="9"/>
  <c r="Q169" i="9"/>
  <c r="K169" i="9"/>
  <c r="V168" i="9"/>
  <c r="Q168" i="9"/>
  <c r="K168" i="9"/>
  <c r="E168" i="9"/>
  <c r="V167" i="9"/>
  <c r="Q167" i="9"/>
  <c r="K167" i="9"/>
  <c r="E167" i="9"/>
  <c r="Q166" i="9"/>
  <c r="E166" i="9"/>
  <c r="Q165" i="9"/>
  <c r="E165" i="9"/>
  <c r="V164" i="9"/>
  <c r="Q164" i="9"/>
  <c r="E164" i="9"/>
  <c r="V163" i="9"/>
  <c r="Q163" i="9"/>
  <c r="K163" i="9"/>
  <c r="E163" i="9"/>
  <c r="V162" i="9"/>
  <c r="Q162" i="9"/>
  <c r="K162" i="9"/>
  <c r="E162" i="9"/>
  <c r="V161" i="9"/>
  <c r="Q161" i="9"/>
  <c r="K161" i="9"/>
  <c r="E161" i="9"/>
  <c r="V160" i="9"/>
  <c r="Q160" i="9"/>
  <c r="K160" i="9"/>
  <c r="E160" i="9"/>
  <c r="V159" i="9"/>
  <c r="Q159" i="9"/>
  <c r="V158" i="9"/>
  <c r="Q158" i="9"/>
  <c r="K158" i="9"/>
  <c r="E158" i="9"/>
  <c r="V157" i="9"/>
  <c r="Q157" i="9"/>
  <c r="E157" i="9"/>
  <c r="Q156" i="9"/>
  <c r="V155" i="9"/>
  <c r="Q155" i="9"/>
  <c r="V154" i="9"/>
  <c r="Q154" i="9"/>
  <c r="V153" i="9"/>
  <c r="Q153" i="9"/>
  <c r="E153" i="9"/>
  <c r="V152" i="9"/>
  <c r="Q152" i="9"/>
  <c r="E152" i="9"/>
  <c r="Q151" i="9"/>
  <c r="E151" i="9"/>
  <c r="Q150" i="9"/>
  <c r="K150" i="9"/>
  <c r="E150" i="9"/>
  <c r="Q149" i="9"/>
  <c r="K149" i="9"/>
  <c r="E149" i="9"/>
  <c r="V148" i="9"/>
  <c r="Q148" i="9"/>
  <c r="E148" i="9"/>
  <c r="V147" i="9"/>
  <c r="Q147" i="9"/>
  <c r="E147" i="9"/>
  <c r="V146" i="9"/>
  <c r="Q146" i="9"/>
  <c r="V145" i="9"/>
  <c r="E145" i="9"/>
  <c r="V144" i="9"/>
  <c r="E144" i="9"/>
  <c r="V143" i="9"/>
  <c r="E143" i="9"/>
  <c r="V142" i="9"/>
  <c r="E142" i="9"/>
  <c r="V141" i="9"/>
  <c r="E141" i="9"/>
  <c r="V140" i="9"/>
  <c r="E140" i="9"/>
  <c r="V139" i="9"/>
  <c r="E139" i="9"/>
  <c r="V138" i="9"/>
  <c r="E138" i="9"/>
  <c r="V137" i="9"/>
  <c r="E137" i="9"/>
  <c r="V136" i="9"/>
  <c r="E136" i="9"/>
  <c r="V135" i="9"/>
  <c r="E135" i="9"/>
  <c r="V134" i="9"/>
  <c r="Q134" i="9"/>
  <c r="E134" i="9"/>
  <c r="V133" i="9"/>
  <c r="Q133" i="9"/>
  <c r="E133" i="9"/>
  <c r="V132" i="9"/>
  <c r="Q132" i="9"/>
  <c r="E132" i="9"/>
  <c r="Q131" i="9"/>
  <c r="K131" i="9"/>
  <c r="E131" i="9"/>
  <c r="K130" i="9"/>
  <c r="E130" i="9"/>
  <c r="K129" i="9"/>
  <c r="V128" i="9"/>
  <c r="AA127" i="9"/>
  <c r="V127" i="9"/>
  <c r="Q127" i="9"/>
  <c r="K127" i="9"/>
  <c r="AA126" i="9"/>
  <c r="V126" i="9"/>
  <c r="Q126" i="9"/>
  <c r="K126" i="9"/>
  <c r="AA125" i="9"/>
  <c r="V125" i="9"/>
  <c r="Q125" i="9"/>
  <c r="K125" i="9"/>
  <c r="E125" i="9"/>
  <c r="AA124" i="9"/>
  <c r="Q124" i="9"/>
  <c r="E124" i="9"/>
  <c r="AA123" i="9"/>
  <c r="Q123" i="9"/>
  <c r="K123" i="9"/>
  <c r="E123" i="9"/>
  <c r="Q122" i="9"/>
  <c r="K122" i="9"/>
  <c r="E122" i="9"/>
  <c r="AA121" i="9"/>
  <c r="V121" i="9"/>
  <c r="Q121" i="9"/>
  <c r="K121" i="9"/>
  <c r="E121" i="9"/>
  <c r="AA120" i="9"/>
  <c r="V120" i="9"/>
  <c r="Q120" i="9"/>
  <c r="E120" i="9"/>
  <c r="AA119" i="9"/>
  <c r="V119" i="9"/>
  <c r="Q119" i="9"/>
  <c r="K119" i="9"/>
  <c r="E119" i="9"/>
  <c r="V118" i="9"/>
  <c r="Q118" i="9"/>
  <c r="K118" i="9"/>
  <c r="E118" i="9"/>
  <c r="V117" i="9"/>
  <c r="Q117" i="9"/>
  <c r="K117" i="9"/>
  <c r="E117" i="9"/>
  <c r="V116" i="9"/>
  <c r="Q116" i="9"/>
  <c r="K116" i="9"/>
  <c r="E116" i="9"/>
  <c r="AA115" i="9"/>
  <c r="V115" i="9"/>
  <c r="Q115" i="9"/>
  <c r="K115" i="9"/>
  <c r="E115" i="9"/>
  <c r="AA114" i="9"/>
  <c r="V114" i="9"/>
  <c r="Q114" i="9"/>
  <c r="K114" i="9"/>
  <c r="E114" i="9"/>
  <c r="AA113" i="9"/>
  <c r="V113" i="9"/>
  <c r="Q113" i="9"/>
  <c r="K113" i="9"/>
  <c r="E113" i="9"/>
  <c r="V112" i="9"/>
  <c r="Q112" i="9"/>
  <c r="K112" i="9"/>
  <c r="E112" i="9"/>
  <c r="V111" i="9"/>
  <c r="Q111" i="9"/>
  <c r="K111" i="9"/>
  <c r="E111" i="9"/>
  <c r="V110" i="9"/>
  <c r="Q110" i="9"/>
  <c r="E110" i="9"/>
  <c r="V109" i="9"/>
  <c r="Q109" i="9"/>
  <c r="K109" i="9"/>
  <c r="E109" i="9"/>
  <c r="V108" i="9"/>
  <c r="K108" i="9"/>
  <c r="E108" i="9"/>
  <c r="V107" i="9"/>
  <c r="K107" i="9"/>
  <c r="E107" i="9"/>
  <c r="V106" i="9"/>
  <c r="K106" i="9"/>
  <c r="E106" i="9"/>
  <c r="V105" i="9"/>
  <c r="Q105" i="9"/>
  <c r="V104" i="9"/>
  <c r="Q104" i="9"/>
  <c r="K104" i="9"/>
  <c r="E104" i="9"/>
  <c r="V103" i="9"/>
  <c r="Q103" i="9"/>
  <c r="K103" i="9"/>
  <c r="E103" i="9"/>
  <c r="V102" i="9"/>
  <c r="Q102" i="9"/>
  <c r="K102" i="9"/>
  <c r="E102" i="9"/>
  <c r="Q101" i="9"/>
  <c r="K101" i="9"/>
  <c r="E101" i="9"/>
  <c r="K100" i="9"/>
  <c r="E100" i="9"/>
  <c r="Q99" i="9"/>
  <c r="K99" i="9"/>
  <c r="E99" i="9"/>
  <c r="V98" i="9"/>
  <c r="Q98" i="9"/>
  <c r="K98" i="9"/>
  <c r="V97" i="9"/>
  <c r="Q97" i="9"/>
  <c r="K97" i="9"/>
  <c r="E97" i="9"/>
  <c r="V96" i="9"/>
  <c r="Q96" i="9"/>
  <c r="K96" i="9"/>
  <c r="E96" i="9"/>
  <c r="V95" i="9"/>
  <c r="Q95" i="9"/>
  <c r="K95" i="9"/>
  <c r="E95" i="9"/>
  <c r="V94" i="9"/>
  <c r="Q94" i="9"/>
  <c r="K94" i="9"/>
  <c r="E94" i="9"/>
  <c r="V93" i="9"/>
  <c r="Q93" i="9"/>
  <c r="K93" i="9"/>
  <c r="E93" i="9"/>
  <c r="A17" i="8"/>
  <c r="A16" i="8"/>
  <c r="A15" i="8"/>
  <c r="A14" i="8"/>
  <c r="A13" i="8"/>
  <c r="A12" i="8"/>
  <c r="A10" i="8"/>
  <c r="A9" i="8"/>
  <c r="A8" i="8"/>
  <c r="A7" i="8"/>
  <c r="A2" i="8"/>
  <c r="B40" i="7"/>
  <c r="H25" i="7"/>
  <c r="B25" i="7"/>
  <c r="K11" i="7"/>
  <c r="I11" i="7"/>
  <c r="B11" i="7"/>
  <c r="I4" i="7"/>
  <c r="G4" i="7"/>
  <c r="E4" i="7"/>
  <c r="AE263" i="6"/>
  <c r="AD263" i="6"/>
  <c r="Z263" i="6"/>
  <c r="N247" i="6"/>
  <c r="M247" i="6"/>
  <c r="P232" i="6"/>
  <c r="O232" i="6"/>
  <c r="AF227" i="6"/>
  <c r="V227" i="6"/>
  <c r="U227" i="6"/>
  <c r="AF226" i="6"/>
  <c r="R226" i="6"/>
  <c r="Q226" i="6"/>
  <c r="T221" i="6"/>
  <c r="S221" i="6"/>
  <c r="F212" i="6"/>
  <c r="C212" i="6"/>
  <c r="B212" i="6"/>
  <c r="A129" i="6"/>
  <c r="X92" i="6"/>
  <c r="X91" i="6"/>
  <c r="AB61" i="6"/>
  <c r="E59" i="6"/>
  <c r="E53" i="6"/>
  <c r="J52" i="6"/>
  <c r="E52" i="6"/>
  <c r="S43" i="6"/>
  <c r="S42" i="6"/>
  <c r="S41" i="6"/>
  <c r="S44" i="6" s="1"/>
  <c r="S39" i="6"/>
  <c r="AV38" i="6"/>
  <c r="S37" i="6"/>
  <c r="C37" i="6"/>
  <c r="C48" i="6" s="1"/>
  <c r="C32" i="6"/>
  <c r="E31" i="6"/>
  <c r="D31" i="6"/>
  <c r="C31" i="6"/>
  <c r="AV30" i="6"/>
  <c r="E30" i="6"/>
  <c r="D30" i="6"/>
  <c r="C30" i="6"/>
  <c r="AV29" i="6"/>
  <c r="E29" i="6"/>
  <c r="D29" i="6"/>
  <c r="C29" i="6"/>
  <c r="AV28" i="6"/>
  <c r="AE28" i="6"/>
  <c r="AE31" i="6" s="1"/>
  <c r="AD31" i="6" s="1"/>
  <c r="E28" i="6"/>
  <c r="D28" i="6"/>
  <c r="C28" i="6"/>
  <c r="E27" i="6"/>
  <c r="D27" i="6"/>
  <c r="C27" i="6"/>
  <c r="AV26" i="6"/>
  <c r="AE26" i="6"/>
  <c r="AV25" i="6"/>
  <c r="AB25" i="6"/>
  <c r="AA25" i="6"/>
  <c r="B25" i="6"/>
  <c r="E32" i="6" s="1"/>
  <c r="AE24" i="6"/>
  <c r="AB24" i="6"/>
  <c r="AA24" i="6"/>
  <c r="AB23" i="6"/>
  <c r="AA23" i="6"/>
  <c r="AB22" i="6"/>
  <c r="AA22" i="6"/>
  <c r="AR21" i="6"/>
  <c r="AS21" i="6" s="1"/>
  <c r="BB28" i="6" s="1"/>
  <c r="AB21" i="6"/>
  <c r="AA21" i="6"/>
  <c r="S21" i="6"/>
  <c r="R21" i="6"/>
  <c r="V18" i="6"/>
  <c r="W18" i="6" s="1"/>
  <c r="AQ17" i="6"/>
  <c r="AP17" i="6"/>
  <c r="AO17" i="6"/>
  <c r="AL17" i="6"/>
  <c r="AI17" i="6"/>
  <c r="AF17" i="6"/>
  <c r="V17" i="6"/>
  <c r="W17" i="6" s="1"/>
  <c r="AQ16" i="6"/>
  <c r="AP16" i="6"/>
  <c r="AO16" i="6"/>
  <c r="AL16" i="6"/>
  <c r="AI16" i="6"/>
  <c r="AF16" i="6"/>
  <c r="V16" i="6"/>
  <c r="W16" i="6" s="1"/>
  <c r="V15" i="6"/>
  <c r="W15" i="6" s="1"/>
  <c r="O14" i="6"/>
  <c r="N14" i="6"/>
  <c r="M14" i="6"/>
  <c r="L14" i="6"/>
  <c r="K14" i="6"/>
  <c r="J14" i="6"/>
  <c r="E4" i="6" s="1"/>
  <c r="E6" i="6" s="1"/>
  <c r="I14" i="6"/>
  <c r="E3" i="6" s="1"/>
  <c r="E5" i="6" s="1"/>
  <c r="H14" i="6"/>
  <c r="G14" i="6"/>
  <c r="E13" i="6"/>
  <c r="C13" i="6"/>
  <c r="AA12" i="6"/>
  <c r="T12" i="6"/>
  <c r="E12" i="6"/>
  <c r="C12" i="6"/>
  <c r="AA11" i="6"/>
  <c r="AF11" i="6" s="1"/>
  <c r="T11" i="6"/>
  <c r="E11" i="6"/>
  <c r="C11" i="6"/>
  <c r="AA10" i="6"/>
  <c r="AF10" i="6" s="1"/>
  <c r="T10" i="6"/>
  <c r="T9" i="6"/>
  <c r="T8" i="6"/>
  <c r="T7" i="6"/>
  <c r="T6" i="6"/>
  <c r="T5" i="6"/>
  <c r="C5" i="6"/>
  <c r="C7" i="6" s="1"/>
  <c r="B5" i="6"/>
  <c r="B7" i="6" s="1"/>
  <c r="C8" i="6" s="1"/>
  <c r="A5" i="6"/>
  <c r="T4" i="6"/>
  <c r="A74" i="5"/>
  <c r="C74" i="5" s="1"/>
  <c r="A73" i="5"/>
  <c r="C73" i="5" s="1"/>
  <c r="C72" i="5"/>
  <c r="C71" i="5"/>
  <c r="C70" i="5"/>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4" i="4"/>
  <c r="B3" i="4"/>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J53" i="6" s="1"/>
  <c r="J50" i="1" s="1"/>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J23" i="3"/>
  <c r="U12" i="6" s="1"/>
  <c r="F23" i="3"/>
  <c r="J22" i="3"/>
  <c r="U11" i="6" s="1"/>
  <c r="F22" i="3"/>
  <c r="F21" i="3"/>
  <c r="J20" i="3"/>
  <c r="U9" i="6" s="1"/>
  <c r="F20" i="3"/>
  <c r="J19" i="3"/>
  <c r="U8" i="6" s="1"/>
  <c r="F19" i="3"/>
  <c r="J18" i="3"/>
  <c r="U7" i="6" s="1"/>
  <c r="F18" i="3"/>
  <c r="J17" i="3"/>
  <c r="U6" i="6" s="1"/>
  <c r="F17" i="3"/>
  <c r="J16" i="3"/>
  <c r="U5" i="6" s="1"/>
  <c r="F16" i="3"/>
  <c r="J15" i="3"/>
  <c r="U4" i="6" s="1"/>
  <c r="F15" i="3"/>
  <c r="F14" i="3"/>
  <c r="F13" i="3"/>
  <c r="F12" i="3"/>
  <c r="F11" i="3"/>
  <c r="F10" i="3"/>
  <c r="F9" i="3"/>
  <c r="F8" i="3"/>
  <c r="F7" i="3"/>
  <c r="F6" i="3"/>
  <c r="F5" i="3"/>
  <c r="F4" i="3"/>
  <c r="G3" i="3"/>
  <c r="B3" i="3"/>
  <c r="J90" i="2"/>
  <c r="E25" i="6" s="1"/>
  <c r="H90" i="2"/>
  <c r="D25" i="6" s="1"/>
  <c r="E90" i="2"/>
  <c r="C25" i="6" s="1"/>
  <c r="B90" i="2"/>
  <c r="O36" i="2"/>
  <c r="C36" i="2"/>
  <c r="G35" i="2"/>
  <c r="C35" i="2"/>
  <c r="G34" i="2"/>
  <c r="C34" i="2"/>
  <c r="AD33" i="2"/>
  <c r="Z33" i="2"/>
  <c r="G33" i="2"/>
  <c r="C33" i="2"/>
  <c r="AD32" i="2"/>
  <c r="Z32" i="2"/>
  <c r="G32" i="2"/>
  <c r="C32" i="2"/>
  <c r="AD31" i="2"/>
  <c r="Z31" i="2"/>
  <c r="G31" i="2"/>
  <c r="C31" i="2"/>
  <c r="AD30" i="2"/>
  <c r="Z30" i="2"/>
  <c r="G30" i="2"/>
  <c r="C30" i="2"/>
  <c r="AD29" i="2"/>
  <c r="Z29" i="2"/>
  <c r="G29" i="2"/>
  <c r="C29" i="2"/>
  <c r="AD28" i="2"/>
  <c r="Z28" i="2"/>
  <c r="H28" i="2"/>
  <c r="C28" i="2"/>
  <c r="AD27" i="2"/>
  <c r="Z27" i="2"/>
  <c r="AD26" i="2"/>
  <c r="Z26" i="2"/>
  <c r="K26" i="2"/>
  <c r="H26" i="2"/>
  <c r="E26" i="2"/>
  <c r="B26" i="2"/>
  <c r="AD25" i="2"/>
  <c r="Z25" i="2"/>
  <c r="K25" i="2"/>
  <c r="H25" i="2"/>
  <c r="E25" i="2"/>
  <c r="B25" i="2"/>
  <c r="AD24" i="2"/>
  <c r="Z24" i="2"/>
  <c r="K24" i="2"/>
  <c r="H24" i="2"/>
  <c r="E24" i="2"/>
  <c r="B24" i="2"/>
  <c r="AD23" i="2"/>
  <c r="Z23" i="2"/>
  <c r="K23" i="2"/>
  <c r="H23" i="2"/>
  <c r="E23" i="2"/>
  <c r="B23" i="2"/>
  <c r="K22" i="2"/>
  <c r="H22" i="2"/>
  <c r="E22" i="2"/>
  <c r="B22" i="2"/>
  <c r="B20" i="2"/>
  <c r="M19" i="2"/>
  <c r="AB17" i="2"/>
  <c r="Z17" i="2"/>
  <c r="AB16" i="2"/>
  <c r="Z16" i="2"/>
  <c r="N16" i="2"/>
  <c r="M16" i="2"/>
  <c r="L16" i="2"/>
  <c r="K16" i="2"/>
  <c r="J16" i="2"/>
  <c r="I16" i="2"/>
  <c r="H16" i="2"/>
  <c r="G16" i="2"/>
  <c r="F16" i="2"/>
  <c r="E16" i="2"/>
  <c r="D16" i="2"/>
  <c r="C16" i="2"/>
  <c r="B16" i="2"/>
  <c r="AB15" i="2"/>
  <c r="Z15" i="2"/>
  <c r="M15" i="2"/>
  <c r="C15" i="2"/>
  <c r="B15" i="2"/>
  <c r="AB14" i="2"/>
  <c r="Z14" i="2"/>
  <c r="C14" i="2"/>
  <c r="B14" i="2"/>
  <c r="AB13" i="2"/>
  <c r="Z13" i="2"/>
  <c r="N13" i="2"/>
  <c r="J13" i="2"/>
  <c r="C13" i="2"/>
  <c r="B13" i="2"/>
  <c r="AB12" i="2"/>
  <c r="Z12" i="2"/>
  <c r="M12" i="2"/>
  <c r="L12" i="2"/>
  <c r="K12" i="2"/>
  <c r="J12" i="2"/>
  <c r="I12" i="2"/>
  <c r="H12" i="2"/>
  <c r="D12" i="2"/>
  <c r="C12" i="2"/>
  <c r="B12" i="2"/>
  <c r="AB11" i="2"/>
  <c r="Z11" i="2"/>
  <c r="AB10" i="2"/>
  <c r="Z10" i="2"/>
  <c r="AB9" i="2"/>
  <c r="Z9" i="2"/>
  <c r="I9" i="2"/>
  <c r="AB8" i="2"/>
  <c r="Z8" i="2"/>
  <c r="AB7" i="2"/>
  <c r="Z7" i="2"/>
  <c r="J7" i="2"/>
  <c r="I7" i="2"/>
  <c r="F7" i="2"/>
  <c r="C7" i="2"/>
  <c r="J6" i="2"/>
  <c r="M5" i="2"/>
  <c r="L5" i="2"/>
  <c r="M6" i="2" s="1"/>
  <c r="I5" i="2"/>
  <c r="J5" i="2" s="1"/>
  <c r="F5" i="2"/>
  <c r="G6" i="2" s="1"/>
  <c r="C5" i="2"/>
  <c r="D5" i="2" s="1"/>
  <c r="AC4" i="2"/>
  <c r="AD3" i="2"/>
  <c r="AC3" i="2"/>
  <c r="AA3" i="2"/>
  <c r="Z3" i="2"/>
  <c r="M3" i="2"/>
  <c r="L3" i="2"/>
  <c r="M4" i="2" s="1"/>
  <c r="I3" i="2"/>
  <c r="J4" i="2" s="1"/>
  <c r="F3" i="2"/>
  <c r="G4" i="2" s="1"/>
  <c r="C3" i="2"/>
  <c r="D3" i="2" s="1"/>
  <c r="B2" i="2"/>
  <c r="Q141" i="1"/>
  <c r="BG129" i="1"/>
  <c r="B76" i="1"/>
  <c r="AU64" i="1"/>
  <c r="AJ56" i="1"/>
  <c r="AG56" i="1"/>
  <c r="L15" i="2" s="1"/>
  <c r="AE56" i="1"/>
  <c r="K15" i="2" s="1"/>
  <c r="AC56" i="1"/>
  <c r="J15" i="2" s="1"/>
  <c r="AA56" i="1"/>
  <c r="I15" i="2" s="1"/>
  <c r="W56" i="1"/>
  <c r="H15" i="2" s="1"/>
  <c r="AJ55" i="1"/>
  <c r="M14" i="2" s="1"/>
  <c r="AG55" i="1"/>
  <c r="L14" i="2" s="1"/>
  <c r="AE55" i="1"/>
  <c r="K14" i="2" s="1"/>
  <c r="AC55" i="1"/>
  <c r="J14" i="2" s="1"/>
  <c r="AA55" i="1"/>
  <c r="I14" i="2" s="1"/>
  <c r="W55" i="1"/>
  <c r="H14" i="2" s="1"/>
  <c r="AJ54" i="1"/>
  <c r="M13" i="2" s="1"/>
  <c r="AG54" i="1"/>
  <c r="L13" i="2" s="1"/>
  <c r="AE54" i="1"/>
  <c r="K13" i="2" s="1"/>
  <c r="AC54" i="1"/>
  <c r="AA54" i="1"/>
  <c r="I13" i="2" s="1"/>
  <c r="W54" i="1"/>
  <c r="H13" i="2" s="1"/>
  <c r="M54" i="1"/>
  <c r="AB15" i="6" s="1"/>
  <c r="B50" i="1"/>
  <c r="AP49" i="1"/>
  <c r="AN49" i="1"/>
  <c r="AR49" i="1" s="1"/>
  <c r="J49" i="1"/>
  <c r="R49" i="1" s="1"/>
  <c r="D49" i="1"/>
  <c r="AR48" i="1"/>
  <c r="AN48" i="1"/>
  <c r="W35" i="2" s="1"/>
  <c r="Z48" i="1"/>
  <c r="T48" i="1"/>
  <c r="R48" i="1"/>
  <c r="V48" i="1" s="1"/>
  <c r="D48" i="1"/>
  <c r="AP47" i="1"/>
  <c r="AN47" i="1"/>
  <c r="W34" i="2" s="1"/>
  <c r="Z47" i="1"/>
  <c r="V47" i="1"/>
  <c r="T47" i="1"/>
  <c r="R47" i="1"/>
  <c r="Q34" i="2" s="1"/>
  <c r="D47" i="1"/>
  <c r="AR46" i="1"/>
  <c r="AP46" i="1"/>
  <c r="AN46" i="1"/>
  <c r="W33" i="2" s="1"/>
  <c r="Z46" i="1"/>
  <c r="T46" i="1"/>
  <c r="R46" i="1"/>
  <c r="V46" i="1" s="1"/>
  <c r="D46" i="1"/>
  <c r="AN45" i="1"/>
  <c r="W32" i="2" s="1"/>
  <c r="Z45" i="1"/>
  <c r="V45" i="1"/>
  <c r="T45" i="1"/>
  <c r="R45" i="1"/>
  <c r="Q32" i="2" s="1"/>
  <c r="D45" i="1"/>
  <c r="AU44" i="1"/>
  <c r="AN44" i="1"/>
  <c r="W31" i="2" s="1"/>
  <c r="Z44" i="1"/>
  <c r="R44" i="1"/>
  <c r="Q31" i="2" s="1"/>
  <c r="D44" i="1"/>
  <c r="AR43" i="1"/>
  <c r="AN43" i="1"/>
  <c r="AP43" i="1" s="1"/>
  <c r="Z43" i="1"/>
  <c r="R43" i="1"/>
  <c r="Q30" i="2" s="1"/>
  <c r="D43" i="1"/>
  <c r="AN42" i="1"/>
  <c r="AP42" i="1" s="1"/>
  <c r="Z42" i="1"/>
  <c r="R42" i="1"/>
  <c r="V42" i="1" s="1"/>
  <c r="D42" i="1"/>
  <c r="AN41" i="1"/>
  <c r="W28" i="2" s="1"/>
  <c r="Z41" i="1"/>
  <c r="J41" i="1"/>
  <c r="R41" i="1" s="1"/>
  <c r="Q28" i="2" s="1"/>
  <c r="D41" i="1"/>
  <c r="AN40" i="1"/>
  <c r="AR40" i="1" s="1"/>
  <c r="Z40" i="1"/>
  <c r="R40" i="1"/>
  <c r="V40" i="1" s="1"/>
  <c r="J40" i="1"/>
  <c r="D40" i="1"/>
  <c r="AP39" i="1"/>
  <c r="AN39" i="1"/>
  <c r="W26" i="2" s="1"/>
  <c r="Z39" i="1"/>
  <c r="R39" i="1"/>
  <c r="Q26" i="2" s="1"/>
  <c r="J39" i="1"/>
  <c r="D39" i="1"/>
  <c r="AV38" i="1"/>
  <c r="AR38" i="1"/>
  <c r="AN38" i="1"/>
  <c r="AP38" i="1" s="1"/>
  <c r="Z38" i="1"/>
  <c r="V38" i="1"/>
  <c r="R38" i="1"/>
  <c r="T38" i="1" s="1"/>
  <c r="D38" i="1"/>
  <c r="AN37" i="1"/>
  <c r="W24" i="2" s="1"/>
  <c r="Z37" i="1"/>
  <c r="J37" i="1"/>
  <c r="R37" i="1" s="1"/>
  <c r="D37" i="1"/>
  <c r="AN36" i="1"/>
  <c r="AR36" i="1" s="1"/>
  <c r="Z36" i="1"/>
  <c r="R36" i="1"/>
  <c r="V36" i="1" s="1"/>
  <c r="J36" i="1"/>
  <c r="D36" i="1"/>
  <c r="AR35" i="1"/>
  <c r="AP35" i="1"/>
  <c r="AN35" i="1"/>
  <c r="W22" i="2" s="1"/>
  <c r="Z35" i="1"/>
  <c r="J35" i="1"/>
  <c r="R35" i="1" s="1"/>
  <c r="V35" i="1" s="1"/>
  <c r="D35" i="1"/>
  <c r="AP34" i="1"/>
  <c r="AN34" i="1"/>
  <c r="W21" i="2" s="1"/>
  <c r="Z34" i="1"/>
  <c r="R34" i="1"/>
  <c r="Q53" i="1" s="1"/>
  <c r="D34" i="1"/>
  <c r="AF33" i="1"/>
  <c r="AN33" i="1" s="1"/>
  <c r="Z33" i="1"/>
  <c r="R33" i="1"/>
  <c r="Q20" i="2" s="1"/>
  <c r="D33" i="1"/>
  <c r="AF32" i="1"/>
  <c r="AN32" i="1" s="1"/>
  <c r="Z32" i="1"/>
  <c r="R32" i="1"/>
  <c r="Q19" i="2" s="1"/>
  <c r="D32" i="1"/>
  <c r="AF31" i="1"/>
  <c r="AN31" i="1" s="1"/>
  <c r="Z31" i="1"/>
  <c r="T31" i="1"/>
  <c r="R31" i="1"/>
  <c r="V31" i="1" s="1"/>
  <c r="D31" i="1"/>
  <c r="AP30" i="1"/>
  <c r="AN30" i="1"/>
  <c r="W17" i="2" s="1"/>
  <c r="Z30" i="1"/>
  <c r="T30" i="1"/>
  <c r="R30" i="1"/>
  <c r="Q17" i="2" s="1"/>
  <c r="D30" i="1"/>
  <c r="AN29" i="1"/>
  <c r="AP29" i="1" s="1"/>
  <c r="Z29" i="1"/>
  <c r="J29" i="1"/>
  <c r="R29" i="1" s="1"/>
  <c r="D29" i="1"/>
  <c r="AR28" i="1"/>
  <c r="AN28" i="1"/>
  <c r="W15" i="2" s="1"/>
  <c r="Z28" i="1"/>
  <c r="V28" i="1"/>
  <c r="R28" i="1"/>
  <c r="Q15" i="2" s="1"/>
  <c r="D28" i="1"/>
  <c r="AF27" i="1"/>
  <c r="AN27" i="1" s="1"/>
  <c r="Z27" i="1"/>
  <c r="V27" i="1"/>
  <c r="R27" i="1"/>
  <c r="T27" i="1" s="1"/>
  <c r="D27" i="1"/>
  <c r="AN26" i="1"/>
  <c r="AR26" i="1" s="1"/>
  <c r="Z26" i="1"/>
  <c r="R26" i="1"/>
  <c r="T26" i="1" s="1"/>
  <c r="AD223" i="6" s="1"/>
  <c r="AN25" i="1"/>
  <c r="W12" i="2" s="1"/>
  <c r="Z25" i="1"/>
  <c r="R25" i="1"/>
  <c r="Q12" i="2" s="1"/>
  <c r="D25" i="1"/>
  <c r="AR24" i="1"/>
  <c r="AN24" i="1"/>
  <c r="W11" i="2" s="1"/>
  <c r="Z24" i="1"/>
  <c r="V24" i="1"/>
  <c r="R24" i="1"/>
  <c r="Q11" i="2" s="1"/>
  <c r="D24" i="1"/>
  <c r="AR23" i="1"/>
  <c r="AP23" i="1"/>
  <c r="AN23" i="1"/>
  <c r="W10" i="2" s="1"/>
  <c r="Z23" i="1"/>
  <c r="V23" i="1"/>
  <c r="T23" i="1"/>
  <c r="R23" i="1"/>
  <c r="Q10" i="2" s="1"/>
  <c r="D23" i="1"/>
  <c r="AR22" i="1"/>
  <c r="AN22" i="1"/>
  <c r="AP22" i="1" s="1"/>
  <c r="Z22" i="1"/>
  <c r="J22" i="1"/>
  <c r="R22" i="1" s="1"/>
  <c r="D22" i="1"/>
  <c r="AR21" i="1"/>
  <c r="AN21" i="1"/>
  <c r="AP21" i="1" s="1"/>
  <c r="Z21" i="1"/>
  <c r="J21" i="1"/>
  <c r="R21" i="1" s="1"/>
  <c r="D21" i="1"/>
  <c r="AN20" i="1"/>
  <c r="W7" i="2" s="1"/>
  <c r="Z20" i="1"/>
  <c r="J20" i="1"/>
  <c r="R20" i="1" s="1"/>
  <c r="D20" i="1"/>
  <c r="AN19" i="1"/>
  <c r="W6" i="2" s="1"/>
  <c r="Z19" i="1"/>
  <c r="V19" i="1"/>
  <c r="R19" i="1"/>
  <c r="D19" i="1"/>
  <c r="AR18" i="1"/>
  <c r="AN18" i="1"/>
  <c r="W5" i="2" s="1"/>
  <c r="Z18" i="1"/>
  <c r="V18" i="1"/>
  <c r="R18" i="1"/>
  <c r="Q5" i="2" s="1"/>
  <c r="D18" i="1"/>
  <c r="AR17" i="1"/>
  <c r="AP17" i="1"/>
  <c r="AN17" i="1"/>
  <c r="W4" i="2" s="1"/>
  <c r="Z17" i="1"/>
  <c r="R17" i="1"/>
  <c r="Q4" i="2" s="1"/>
  <c r="D17" i="1"/>
  <c r="AR16" i="1"/>
  <c r="AP16" i="1"/>
  <c r="AN16" i="1"/>
  <c r="W3" i="2" s="1"/>
  <c r="Z16" i="1"/>
  <c r="V16" i="1"/>
  <c r="T16" i="1"/>
  <c r="R16" i="1"/>
  <c r="D16" i="1"/>
  <c r="B13" i="1"/>
  <c r="R12" i="1"/>
  <c r="AA11" i="1"/>
  <c r="AT10" i="1"/>
  <c r="AN10" i="1"/>
  <c r="L7" i="2" s="1"/>
  <c r="Y10" i="1"/>
  <c r="P10" i="1"/>
  <c r="G7" i="2" s="1"/>
  <c r="G10" i="1"/>
  <c r="D7" i="2" s="1"/>
  <c r="AL9" i="1"/>
  <c r="AC9" i="1"/>
  <c r="T9" i="1"/>
  <c r="K9" i="1"/>
  <c r="F9" i="1"/>
  <c r="B9" i="1" s="1"/>
  <c r="AI8" i="1"/>
  <c r="AC8" i="1"/>
  <c r="W8" i="1"/>
  <c r="BK7" i="1"/>
  <c r="BC7" i="1"/>
  <c r="AU7" i="1"/>
  <c r="AI7" i="1"/>
  <c r="AC7" i="1"/>
  <c r="W7" i="1"/>
  <c r="AI6" i="1"/>
  <c r="AC6" i="1"/>
  <c r="W6" i="1"/>
  <c r="BK5" i="1"/>
  <c r="BC5" i="1"/>
  <c r="AU5" i="1"/>
  <c r="AI5" i="1"/>
  <c r="AC5" i="1"/>
  <c r="W5" i="1"/>
  <c r="AI4" i="1"/>
  <c r="AC4" i="1"/>
  <c r="W4" i="1"/>
  <c r="BK3" i="1"/>
  <c r="BC3" i="1"/>
  <c r="AU3" i="1"/>
  <c r="AI3" i="1"/>
  <c r="AC3" i="1"/>
  <c r="W3" i="1"/>
  <c r="AG2" i="1"/>
  <c r="I5" i="6" l="1"/>
  <c r="T29" i="1"/>
  <c r="AR57" i="1" s="1"/>
  <c r="Y33" i="2"/>
  <c r="X33" i="2"/>
  <c r="W14" i="2"/>
  <c r="AP27" i="1"/>
  <c r="AR27" i="1"/>
  <c r="V49" i="1"/>
  <c r="T49" i="1"/>
  <c r="V17" i="1"/>
  <c r="S63" i="6"/>
  <c r="B46" i="2" s="1"/>
  <c r="AP19" i="1"/>
  <c r="T25" i="1"/>
  <c r="V30" i="1"/>
  <c r="V33" i="1"/>
  <c r="Q35" i="2"/>
  <c r="S35" i="2" s="1"/>
  <c r="AX27" i="6"/>
  <c r="BA14" i="6" s="1"/>
  <c r="AU130" i="1" s="1"/>
  <c r="AR19" i="1"/>
  <c r="V25" i="1"/>
  <c r="V44" i="1"/>
  <c r="AP48" i="1"/>
  <c r="M55" i="1"/>
  <c r="AD22" i="6"/>
  <c r="AD24" i="6" s="1"/>
  <c r="AD25" i="6" s="1"/>
  <c r="AU19" i="1" s="1"/>
  <c r="AE30" i="6"/>
  <c r="AD30" i="6" s="1"/>
  <c r="AD32" i="6" s="1"/>
  <c r="AE22" i="6" s="1"/>
  <c r="AK22" i="6" s="1"/>
  <c r="BF66" i="1" s="1"/>
  <c r="C34" i="6"/>
  <c r="T39" i="1"/>
  <c r="AR41" i="1"/>
  <c r="AP25" i="1"/>
  <c r="G5" i="6"/>
  <c r="J6" i="6" s="1"/>
  <c r="K8" i="6" s="1"/>
  <c r="T18" i="1"/>
  <c r="AR25" i="1"/>
  <c r="V34" i="1"/>
  <c r="V39" i="1"/>
  <c r="G3" i="2"/>
  <c r="AP18" i="1"/>
  <c r="AR34" i="1"/>
  <c r="AR39" i="1"/>
  <c r="D37" i="6"/>
  <c r="V2" i="1" s="1"/>
  <c r="AP45" i="1"/>
  <c r="AR47" i="1"/>
  <c r="T32" i="1"/>
  <c r="J5" i="6"/>
  <c r="AR45" i="1"/>
  <c r="K5" i="6"/>
  <c r="S4" i="2"/>
  <c r="R4" i="2"/>
  <c r="N4" i="2"/>
  <c r="W19" i="2"/>
  <c r="AR32" i="1"/>
  <c r="AP32" i="1"/>
  <c r="Y7" i="6"/>
  <c r="X8" i="6"/>
  <c r="V8" i="6"/>
  <c r="S8" i="6"/>
  <c r="T35" i="2"/>
  <c r="Y35" i="2"/>
  <c r="X35" i="2"/>
  <c r="S28" i="2"/>
  <c r="R28" i="2"/>
  <c r="N28" i="2"/>
  <c r="O28" i="2" s="1"/>
  <c r="R15" i="2"/>
  <c r="N15" i="2"/>
  <c r="S15" i="2"/>
  <c r="X17" i="2"/>
  <c r="T17" i="2"/>
  <c r="Y17" i="2"/>
  <c r="W20" i="2"/>
  <c r="AR33" i="1"/>
  <c r="AP33" i="1"/>
  <c r="S11" i="6"/>
  <c r="X11" i="6"/>
  <c r="AS22" i="6"/>
  <c r="BB27" i="6" s="1"/>
  <c r="AR22" i="6"/>
  <c r="BB26" i="6" s="1"/>
  <c r="AP22" i="6"/>
  <c r="AU105" i="1" s="1"/>
  <c r="AO22" i="6"/>
  <c r="AU68" i="1" s="1"/>
  <c r="AN22" i="6"/>
  <c r="BL66" i="1" s="1"/>
  <c r="AM22" i="6"/>
  <c r="BL65" i="1" s="1"/>
  <c r="AU62" i="1"/>
  <c r="AL22" i="6"/>
  <c r="BL64" i="1" s="1"/>
  <c r="AG22" i="6"/>
  <c r="AZ65" i="1" s="1"/>
  <c r="AF22" i="6"/>
  <c r="AZ64" i="1" s="1"/>
  <c r="Y14" i="2"/>
  <c r="X14" i="2"/>
  <c r="T14" i="2"/>
  <c r="U14" i="2" s="1"/>
  <c r="S10" i="2"/>
  <c r="R10" i="2"/>
  <c r="N10" i="2"/>
  <c r="V20" i="1"/>
  <c r="Q7" i="2"/>
  <c r="T20" i="1"/>
  <c r="X12" i="2"/>
  <c r="Y12" i="2"/>
  <c r="T12" i="2"/>
  <c r="N26" i="2"/>
  <c r="O26" i="2" s="1"/>
  <c r="S26" i="2"/>
  <c r="R26" i="2"/>
  <c r="Y28" i="2"/>
  <c r="T28" i="2"/>
  <c r="X28" i="2"/>
  <c r="T31" i="2"/>
  <c r="Y31" i="2"/>
  <c r="X31" i="2"/>
  <c r="Y22" i="2"/>
  <c r="X22" i="2"/>
  <c r="T22" i="2"/>
  <c r="S5" i="2"/>
  <c r="R5" i="2"/>
  <c r="N5" i="2"/>
  <c r="S53" i="1"/>
  <c r="F12" i="2" s="1"/>
  <c r="E12" i="2"/>
  <c r="U53" i="1"/>
  <c r="G12" i="2" s="1"/>
  <c r="X12" i="6"/>
  <c r="V12" i="6"/>
  <c r="S12" i="6"/>
  <c r="Y11" i="6"/>
  <c r="R17" i="2"/>
  <c r="N17" i="2"/>
  <c r="S17" i="2"/>
  <c r="S9" i="6"/>
  <c r="Y8" i="6"/>
  <c r="X9" i="6"/>
  <c r="V9" i="6"/>
  <c r="R31" i="2"/>
  <c r="S31" i="2"/>
  <c r="N31" i="2"/>
  <c r="Y7" i="2"/>
  <c r="X7" i="2"/>
  <c r="T7" i="2"/>
  <c r="X4" i="6"/>
  <c r="V4" i="6"/>
  <c r="S4" i="6"/>
  <c r="S24" i="6"/>
  <c r="S32" i="2"/>
  <c r="R32" i="2"/>
  <c r="N32" i="2"/>
  <c r="S12" i="2"/>
  <c r="R12" i="2"/>
  <c r="N12" i="2"/>
  <c r="X4" i="2"/>
  <c r="T4" i="2"/>
  <c r="Y4" i="2"/>
  <c r="Y10" i="2"/>
  <c r="T10" i="2"/>
  <c r="X10" i="2"/>
  <c r="Q8" i="2"/>
  <c r="V21" i="1"/>
  <c r="T21" i="1"/>
  <c r="Y26" i="2"/>
  <c r="X26" i="2"/>
  <c r="T26" i="2"/>
  <c r="Z4" i="6"/>
  <c r="V5" i="6"/>
  <c r="Y4" i="6"/>
  <c r="S5" i="6"/>
  <c r="S20" i="2"/>
  <c r="R20" i="2"/>
  <c r="N20" i="2"/>
  <c r="Y21" i="2"/>
  <c r="T21" i="2"/>
  <c r="X21" i="2"/>
  <c r="X5" i="2"/>
  <c r="Y5" i="2"/>
  <c r="T5" i="2"/>
  <c r="AR31" i="1"/>
  <c r="AP31" i="1"/>
  <c r="W18" i="2"/>
  <c r="E7" i="6"/>
  <c r="E8" i="6" s="1"/>
  <c r="C9" i="6" s="1"/>
  <c r="AI11" i="1" s="1"/>
  <c r="AF10" i="1" s="1"/>
  <c r="L9" i="2" s="1"/>
  <c r="E34" i="6"/>
  <c r="J113" i="1" s="1"/>
  <c r="X15" i="2"/>
  <c r="T15" i="2"/>
  <c r="Y15" i="2"/>
  <c r="Y34" i="2"/>
  <c r="X34" i="2"/>
  <c r="T34" i="2"/>
  <c r="X6" i="6"/>
  <c r="S6" i="6"/>
  <c r="Y5" i="6"/>
  <c r="V6" i="6"/>
  <c r="N34" i="2"/>
  <c r="O34" i="2" s="1"/>
  <c r="S34" i="2"/>
  <c r="R34" i="2"/>
  <c r="X3" i="2"/>
  <c r="T3" i="2"/>
  <c r="Y3" i="2"/>
  <c r="S11" i="2"/>
  <c r="R11" i="2"/>
  <c r="N11" i="2"/>
  <c r="S19" i="2"/>
  <c r="R19" i="2"/>
  <c r="N19" i="2"/>
  <c r="Y32" i="2"/>
  <c r="T32" i="2"/>
  <c r="X32" i="2"/>
  <c r="Y6" i="2"/>
  <c r="X6" i="2"/>
  <c r="T6" i="2"/>
  <c r="T37" i="1"/>
  <c r="Q24" i="2"/>
  <c r="V37" i="1"/>
  <c r="Y24" i="2"/>
  <c r="X24" i="2"/>
  <c r="T24" i="2"/>
  <c r="U24" i="2" s="1"/>
  <c r="N30" i="2"/>
  <c r="S30" i="2"/>
  <c r="R30" i="2"/>
  <c r="Y6" i="6"/>
  <c r="X7" i="6"/>
  <c r="V7" i="6"/>
  <c r="S7" i="6"/>
  <c r="S76" i="6"/>
  <c r="B59" i="2" s="1"/>
  <c r="Q9" i="2"/>
  <c r="V22" i="1"/>
  <c r="T22" i="1"/>
  <c r="Y11" i="2"/>
  <c r="X11" i="2"/>
  <c r="T11" i="2"/>
  <c r="V10" i="6"/>
  <c r="T24" i="1"/>
  <c r="V26" i="1"/>
  <c r="AD224" i="6" s="1"/>
  <c r="T28" i="1"/>
  <c r="AR42" i="1"/>
  <c r="AR44" i="1"/>
  <c r="AP57" i="1"/>
  <c r="Q16" i="2"/>
  <c r="Q25" i="2"/>
  <c r="J21" i="3"/>
  <c r="U10" i="6" s="1"/>
  <c r="Y10" i="6" s="1"/>
  <c r="L5" i="6"/>
  <c r="AC15" i="6"/>
  <c r="AA16" i="6"/>
  <c r="D4" i="2"/>
  <c r="G5" i="2"/>
  <c r="W9" i="2"/>
  <c r="W13" i="2"/>
  <c r="Q23" i="2"/>
  <c r="N5" i="6"/>
  <c r="AD15" i="6"/>
  <c r="AB16" i="6"/>
  <c r="D32" i="6"/>
  <c r="D34" i="6" s="1"/>
  <c r="AC27" i="6" s="1"/>
  <c r="AC28" i="6" s="1"/>
  <c r="AD28" i="6" s="1"/>
  <c r="J3" i="2"/>
  <c r="W8" i="2"/>
  <c r="D13" i="2"/>
  <c r="V11" i="6"/>
  <c r="AE15" i="6"/>
  <c r="AC16" i="6"/>
  <c r="L18" i="6"/>
  <c r="C47" i="6"/>
  <c r="D47" i="6" s="1"/>
  <c r="D48" i="6" s="1"/>
  <c r="H5" i="6"/>
  <c r="AP20" i="1"/>
  <c r="V32" i="1"/>
  <c r="AP37" i="1"/>
  <c r="T41" i="1"/>
  <c r="T43" i="1"/>
  <c r="Q6" i="2"/>
  <c r="Q14" i="2"/>
  <c r="Q29" i="2"/>
  <c r="W30" i="2"/>
  <c r="AF15" i="6"/>
  <c r="AD16" i="6"/>
  <c r="M18" i="6"/>
  <c r="AC29" i="6"/>
  <c r="AR20" i="1"/>
  <c r="AP26" i="1"/>
  <c r="T17" i="1"/>
  <c r="T19" i="1"/>
  <c r="AP24" i="1"/>
  <c r="AP28" i="1"/>
  <c r="T34" i="1"/>
  <c r="AR37" i="1"/>
  <c r="V41" i="1"/>
  <c r="V43" i="1"/>
  <c r="W16" i="2"/>
  <c r="Q18" i="2"/>
  <c r="Q22" i="2"/>
  <c r="W25" i="2"/>
  <c r="Q33" i="2"/>
  <c r="AI15" i="6"/>
  <c r="AE16" i="6"/>
  <c r="W23" i="2"/>
  <c r="Q36" i="2"/>
  <c r="AL15" i="6"/>
  <c r="AR30" i="1"/>
  <c r="T36" i="1"/>
  <c r="M56" i="1"/>
  <c r="Q3" i="2"/>
  <c r="AO15" i="6"/>
  <c r="D12" i="1"/>
  <c r="AP41" i="1"/>
  <c r="Z49" i="1"/>
  <c r="Q21" i="2"/>
  <c r="W29" i="2"/>
  <c r="T33" i="2"/>
  <c r="AP15" i="6"/>
  <c r="AD222" i="6"/>
  <c r="Z227" i="6" s="1"/>
  <c r="AQ15" i="6"/>
  <c r="B63" i="1"/>
  <c r="W36" i="2"/>
  <c r="AR15" i="6"/>
  <c r="V29" i="1"/>
  <c r="AR58" i="1" s="1"/>
  <c r="AP36" i="1"/>
  <c r="T40" i="1"/>
  <c r="Q27" i="2"/>
  <c r="AS15" i="6"/>
  <c r="T33" i="1"/>
  <c r="T42" i="1"/>
  <c r="T44" i="1"/>
  <c r="Q13" i="2"/>
  <c r="T35" i="1"/>
  <c r="AR29" i="1"/>
  <c r="D6" i="2"/>
  <c r="W27" i="2"/>
  <c r="AA15" i="6"/>
  <c r="AU15" i="6" s="1"/>
  <c r="AP40" i="1"/>
  <c r="AP44" i="1"/>
  <c r="AF12" i="6" l="1"/>
  <c r="F3" i="3" s="1"/>
  <c r="R35" i="2"/>
  <c r="AR16" i="6"/>
  <c r="D14" i="2"/>
  <c r="AS16" i="6"/>
  <c r="AQ22" i="6"/>
  <c r="BB25" i="6" s="1"/>
  <c r="AH22" i="6"/>
  <c r="AZ66" i="1" s="1"/>
  <c r="N35" i="2"/>
  <c r="O35" i="2" s="1"/>
  <c r="AI22" i="6"/>
  <c r="BF64" i="1" s="1"/>
  <c r="AJ22" i="6"/>
  <c r="BF65" i="1" s="1"/>
  <c r="AA262" i="6"/>
  <c r="AF262" i="6" s="1"/>
  <c r="AA251" i="6"/>
  <c r="AF251" i="6" s="1"/>
  <c r="AA246" i="6"/>
  <c r="AF246" i="6" s="1"/>
  <c r="AA254" i="6"/>
  <c r="AF254" i="6" s="1"/>
  <c r="AA261" i="6"/>
  <c r="AF261" i="6" s="1"/>
  <c r="AA250" i="6"/>
  <c r="AF250" i="6" s="1"/>
  <c r="AA245" i="6"/>
  <c r="AF245" i="6" s="1"/>
  <c r="AA257" i="6"/>
  <c r="AF257" i="6" s="1"/>
  <c r="AA247" i="6"/>
  <c r="AF247" i="6" s="1"/>
  <c r="AA258" i="6"/>
  <c r="AF258" i="6" s="1"/>
  <c r="AA263" i="6"/>
  <c r="AF263" i="6" s="1"/>
  <c r="AF243" i="6"/>
  <c r="AG223" i="6" s="1"/>
  <c r="AA248" i="6"/>
  <c r="AF248" i="6" s="1"/>
  <c r="AA253" i="6"/>
  <c r="AF253" i="6" s="1"/>
  <c r="AA259" i="6"/>
  <c r="AF259" i="6" s="1"/>
  <c r="AA249" i="6"/>
  <c r="AF249" i="6" s="1"/>
  <c r="AA243" i="6"/>
  <c r="AF223" i="6" s="1"/>
  <c r="AE230" i="6" s="1"/>
  <c r="AA255" i="6"/>
  <c r="AF255" i="6" s="1"/>
  <c r="O7" i="6"/>
  <c r="N7" i="6"/>
  <c r="G8" i="6"/>
  <c r="S36" i="2"/>
  <c r="R36" i="2"/>
  <c r="H8" i="6"/>
  <c r="Y9" i="2"/>
  <c r="X9" i="2"/>
  <c r="T9" i="2"/>
  <c r="N23" i="2"/>
  <c r="O23" i="2" s="1"/>
  <c r="S23" i="2"/>
  <c r="R23" i="2"/>
  <c r="Y23" i="2"/>
  <c r="X23" i="2"/>
  <c r="T23" i="2"/>
  <c r="Z225" i="6"/>
  <c r="F62" i="1" s="1"/>
  <c r="E19" i="2" s="1"/>
  <c r="Z231" i="6"/>
  <c r="Z229" i="6"/>
  <c r="Z223" i="6"/>
  <c r="B62" i="1" s="1"/>
  <c r="B19" i="2" s="1"/>
  <c r="AB221" i="6"/>
  <c r="L20" i="6"/>
  <c r="Y13" i="2"/>
  <c r="X13" i="2"/>
  <c r="T13" i="2"/>
  <c r="I8" i="6"/>
  <c r="AU16" i="6"/>
  <c r="N24" i="2"/>
  <c r="O24" i="2" s="1"/>
  <c r="S24" i="2"/>
  <c r="R24" i="2"/>
  <c r="S33" i="2"/>
  <c r="R33" i="2"/>
  <c r="N33" i="2"/>
  <c r="O33" i="2" s="1"/>
  <c r="Y29" i="2"/>
  <c r="X29" i="2"/>
  <c r="T29" i="2"/>
  <c r="Y25" i="2"/>
  <c r="X25" i="2"/>
  <c r="T25" i="2"/>
  <c r="L8" i="6"/>
  <c r="S9" i="2"/>
  <c r="R9" i="2"/>
  <c r="N9" i="2"/>
  <c r="O9" i="2" s="1"/>
  <c r="Y18" i="2"/>
  <c r="X18" i="2"/>
  <c r="T18" i="2"/>
  <c r="U18" i="2" s="1"/>
  <c r="Y36" i="2"/>
  <c r="X36" i="2"/>
  <c r="T36" i="2"/>
  <c r="S10" i="6"/>
  <c r="X10" i="6" s="1"/>
  <c r="Y9" i="6"/>
  <c r="AA9" i="6" s="1"/>
  <c r="E3" i="3" s="1"/>
  <c r="J8" i="6"/>
  <c r="Y20" i="2"/>
  <c r="X20" i="2"/>
  <c r="T20" i="2"/>
  <c r="U20" i="2" s="1"/>
  <c r="S22" i="2"/>
  <c r="R22" i="2"/>
  <c r="N22" i="2"/>
  <c r="O22" i="2" s="1"/>
  <c r="S18" i="2"/>
  <c r="R18" i="2"/>
  <c r="N18" i="2"/>
  <c r="Y8" i="2"/>
  <c r="X8" i="2"/>
  <c r="T8" i="2"/>
  <c r="S29" i="2"/>
  <c r="R29" i="2"/>
  <c r="N29" i="2"/>
  <c r="S16" i="2"/>
  <c r="R16" i="2"/>
  <c r="S7" i="2"/>
  <c r="R7" i="2"/>
  <c r="N7" i="2"/>
  <c r="O7" i="2" s="1"/>
  <c r="Y30" i="2"/>
  <c r="X30" i="2"/>
  <c r="T30" i="2"/>
  <c r="N25" i="2"/>
  <c r="O25" i="2" s="1"/>
  <c r="S25" i="2"/>
  <c r="R25" i="2"/>
  <c r="Y16" i="2"/>
  <c r="X16" i="2"/>
  <c r="T16" i="2"/>
  <c r="S14" i="2"/>
  <c r="R14" i="2"/>
  <c r="N14" i="2"/>
  <c r="Y19" i="2"/>
  <c r="X19" i="2"/>
  <c r="T19" i="2"/>
  <c r="U19" i="2" s="1"/>
  <c r="B40" i="2"/>
  <c r="X27" i="2"/>
  <c r="T27" i="2"/>
  <c r="Y27" i="2"/>
  <c r="S13" i="2"/>
  <c r="R13" i="2"/>
  <c r="S21" i="2"/>
  <c r="R21" i="2"/>
  <c r="N21" i="2"/>
  <c r="O21" i="2" s="1"/>
  <c r="S27" i="2"/>
  <c r="R27" i="2"/>
  <c r="N27" i="2"/>
  <c r="O27" i="2" s="1"/>
  <c r="S6" i="2"/>
  <c r="R6" i="2"/>
  <c r="N6" i="2"/>
  <c r="S3" i="2"/>
  <c r="R3" i="2"/>
  <c r="N3" i="2"/>
  <c r="AT15" i="6"/>
  <c r="AV15" i="6" s="1"/>
  <c r="Q54" i="1" s="1"/>
  <c r="D15" i="2"/>
  <c r="AS17" i="6"/>
  <c r="AR17" i="6"/>
  <c r="AE17" i="6"/>
  <c r="AD17" i="6"/>
  <c r="AC17" i="6"/>
  <c r="AB17" i="6"/>
  <c r="AA17" i="6"/>
  <c r="AU17" i="6" s="1"/>
  <c r="R8" i="2"/>
  <c r="N8" i="2"/>
  <c r="O8" i="2" s="1"/>
  <c r="S8" i="2"/>
  <c r="P7" i="6" l="1"/>
  <c r="U54" i="1"/>
  <c r="G13" i="2" s="1"/>
  <c r="E13" i="2"/>
  <c r="S54" i="1"/>
  <c r="F13" i="2" s="1"/>
  <c r="AT16" i="6"/>
  <c r="AV16" i="6" s="1"/>
  <c r="Q55" i="1" s="1"/>
  <c r="AT17" i="6"/>
  <c r="AV17" i="6" s="1"/>
  <c r="Q56" i="1" s="1"/>
  <c r="AC258" i="6"/>
  <c r="AH258" i="6" s="1"/>
  <c r="AC248" i="6"/>
  <c r="AH248" i="6" s="1"/>
  <c r="AC261" i="6"/>
  <c r="AH261" i="6" s="1"/>
  <c r="AC250" i="6"/>
  <c r="AH250" i="6" s="1"/>
  <c r="AC245" i="6"/>
  <c r="AH245" i="6" s="1"/>
  <c r="AC257" i="6"/>
  <c r="AH257" i="6" s="1"/>
  <c r="AC247" i="6"/>
  <c r="AH247" i="6" s="1"/>
  <c r="AC263" i="6"/>
  <c r="AH263" i="6" s="1"/>
  <c r="AH243" i="6"/>
  <c r="AG225" i="6" s="1"/>
  <c r="AC253" i="6"/>
  <c r="AH253" i="6" s="1"/>
  <c r="AC259" i="6"/>
  <c r="AH259" i="6" s="1"/>
  <c r="AC249" i="6"/>
  <c r="AH249" i="6" s="1"/>
  <c r="AC243" i="6"/>
  <c r="AF225" i="6" s="1"/>
  <c r="AC254" i="6"/>
  <c r="AH254" i="6" s="1"/>
  <c r="AC255" i="6"/>
  <c r="AH255" i="6" s="1"/>
  <c r="AC262" i="6"/>
  <c r="AH262" i="6" s="1"/>
  <c r="AC251" i="6"/>
  <c r="AH251" i="6" s="1"/>
  <c r="AC246" i="6"/>
  <c r="AH246" i="6" s="1"/>
  <c r="AB262" i="6"/>
  <c r="AG262" i="6" s="1"/>
  <c r="AB251" i="6"/>
  <c r="AG251" i="6" s="1"/>
  <c r="AB246" i="6"/>
  <c r="AG246" i="6" s="1"/>
  <c r="AB258" i="6"/>
  <c r="AG258" i="6" s="1"/>
  <c r="AB248" i="6"/>
  <c r="AG248" i="6" s="1"/>
  <c r="AB254" i="6"/>
  <c r="AG254" i="6" s="1"/>
  <c r="AB261" i="6"/>
  <c r="AG261" i="6" s="1"/>
  <c r="AB250" i="6"/>
  <c r="AG250" i="6" s="1"/>
  <c r="AB245" i="6"/>
  <c r="AG245" i="6" s="1"/>
  <c r="AB257" i="6"/>
  <c r="AG257" i="6" s="1"/>
  <c r="AB247" i="6"/>
  <c r="AG247" i="6" s="1"/>
  <c r="AB263" i="6"/>
  <c r="AG263" i="6" s="1"/>
  <c r="AG243" i="6"/>
  <c r="AG224" i="6" s="1"/>
  <c r="AB253" i="6"/>
  <c r="AG253" i="6" s="1"/>
  <c r="AB259" i="6"/>
  <c r="AG259" i="6" s="1"/>
  <c r="AB249" i="6"/>
  <c r="AG249" i="6" s="1"/>
  <c r="AB243" i="6"/>
  <c r="AF224" i="6" s="1"/>
  <c r="AB255" i="6"/>
  <c r="AG255" i="6" s="1"/>
  <c r="N9" i="6"/>
  <c r="AP55" i="1"/>
  <c r="F9" i="2" s="1"/>
  <c r="AE231" i="6"/>
  <c r="AE234" i="6"/>
  <c r="AE237" i="6"/>
  <c r="AF230" i="6" l="1"/>
  <c r="AG230" i="6"/>
  <c r="U56" i="1"/>
  <c r="G15" i="2" s="1"/>
  <c r="S56" i="1"/>
  <c r="F15" i="2" s="1"/>
  <c r="E15" i="2"/>
  <c r="U55" i="1"/>
  <c r="G14" i="2" s="1"/>
  <c r="S55" i="1"/>
  <c r="F14" i="2" s="1"/>
  <c r="E14" i="2"/>
  <c r="AA236" i="6"/>
  <c r="AA235" i="6"/>
  <c r="AG237" i="6"/>
  <c r="N76" i="1"/>
  <c r="AG234" i="6"/>
  <c r="AG231" i="6"/>
  <c r="AF231" i="6"/>
  <c r="AF237" i="6"/>
  <c r="AF234" i="6"/>
  <c r="O9" i="6"/>
  <c r="O10" i="6" s="1"/>
  <c r="P9" i="6"/>
  <c r="AP52" i="1" s="1"/>
  <c r="AE240" i="6" l="1"/>
  <c r="I62" i="1" s="1"/>
  <c r="G19" i="2" s="1"/>
  <c r="AB236" i="6"/>
  <c r="AB235" i="6"/>
  <c r="AC236" i="6"/>
  <c r="AC235" i="6"/>
  <c r="S40" i="6"/>
  <c r="S46" i="6" s="1"/>
  <c r="B52" i="2" s="1"/>
  <c r="C9" i="2"/>
  <c r="AG240" i="6" l="1"/>
  <c r="L62" i="1" s="1"/>
  <c r="I19" i="2" s="1"/>
  <c r="AF240" i="6"/>
  <c r="O62" i="1" s="1"/>
  <c r="K19"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MIX 2</author>
    <author>Redmi K20 Pro</author>
  </authors>
  <commentList>
    <comment ref="F23" authorId="0" shapeId="0" xr:uid="{00000000-0006-0000-0000-000001000000}">
      <text>
        <r>
          <rPr>
            <sz val="11"/>
            <rFont val="宋体"/>
            <family val="3"/>
            <charset val="134"/>
          </rPr>
          <t>在规则书Version1907版本中
译名“魅惑”→“取悦”</t>
        </r>
      </text>
    </comment>
    <comment ref="AB23" authorId="0" shapeId="0" xr:uid="{00000000-0006-0000-0000-000002000000}">
      <text>
        <r>
          <rPr>
            <sz val="11"/>
            <rFont val="宋体"/>
            <family val="3"/>
            <charset val="134"/>
          </rPr>
          <t>在规则书Version1907版本中
译名“领航”→“导航”</t>
        </r>
      </text>
    </comment>
    <comment ref="AU24" authorId="1" shapeId="0" xr:uid="{00000000-0006-0000-0000-000003000000}">
      <text>
        <r>
          <rPr>
            <sz val="11"/>
            <rFont val="宋体"/>
            <family val="3"/>
            <charset val="134"/>
          </rPr>
          <t>输入名称和基础值，再在相关技能后填写此名称，人物卡就可以显示基础值</t>
        </r>
      </text>
    </comment>
    <comment ref="BC26" authorId="1" shapeId="0" xr:uid="{00000000-0006-0000-0000-000004000000}">
      <text>
        <r>
          <rPr>
            <sz val="11"/>
            <rFont val="宋体"/>
            <family val="3"/>
            <charset val="134"/>
          </rPr>
          <t>如果你选经历包，一定把这里补充完整</t>
        </r>
      </text>
    </comment>
    <comment ref="AB47" authorId="0" shapeId="0" xr:uid="{00000000-0006-0000-0000-000005000000}">
      <text>
        <r>
          <rPr>
            <sz val="11"/>
            <rFont val="宋体"/>
            <family val="3"/>
            <charset val="134"/>
          </rPr>
          <t>在规则书Version2002版本中（最新版本）
译名“学问”→“学识”</t>
        </r>
      </text>
    </comment>
    <comment ref="H49" authorId="0" shapeId="0" xr:uid="{00000000-0006-0000-0000-000006000000}">
      <text>
        <r>
          <rPr>
            <sz val="11"/>
            <rFont val="宋体"/>
            <family val="3"/>
            <charset val="134"/>
          </rPr>
          <t>填写说明:
此处填写人物的母语。例，母语为英语，则在此处填写英语</t>
        </r>
      </text>
    </comment>
    <comment ref="B54" authorId="1" shapeId="0" xr:uid="{00000000-0006-0000-0000-000007000000}">
      <text>
        <r>
          <rPr>
            <sz val="11"/>
            <rFont val="宋体"/>
            <family val="3"/>
            <charset val="134"/>
          </rPr>
          <t>请不要忘记填写名称</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Windows10</author>
  </authors>
  <commentList>
    <comment ref="S219" authorId="0" shapeId="0" xr:uid="{00000000-0006-0000-0500-000001000000}">
      <text>
        <r>
          <rPr>
            <b/>
            <sz val="9"/>
            <rFont val="宋体"/>
            <family val="3"/>
            <charset val="134"/>
          </rPr>
          <t>Aerocraft （01%）</t>
        </r>
        <r>
          <rPr>
            <sz val="9"/>
            <rFont val="宋体"/>
            <family val="3"/>
            <charset val="134"/>
          </rPr>
          <t xml:space="preserve">
- 理解以及足以操作飞行器类的载具。
- 当进行任何的降落时，即使是在最好的环境下，也必须进行一个驾驶检定。
- 如果在一个平整的，有着绿草覆盖的地方进行降落，且是一个风平浪静的夏季日子，那么在飞机降落上检定的失败也许只是意味着导致了一次颠簸不稳的降落，可能会让一些心灵脆弱的乘客不敢再次乘坐飞机。
- 在极端情况下，在一个暴风雨的天气里在冰川上进行降落的失败检定可能会导致飞机的坠毁并且里面所有人都受伤或者死亡。
- 失败的检定通常意味着对飞行器造成了损伤，并且在下次起飞前必须先进行修复。
- 如果检定的结果为 100，那么将会导致一起令人难忘的灾难性事件。
- 每种不同的飞行器的技能都需要独立计算，并且分开罗列，或者依照 KP 觉得合适的方式来做。
- 1920年代：仅有驾驶热气球/飞船/民用螺旋桨飞机。
- 现代：驾驶民用螺旋桨飞机，驾驶民用喷气飞机，驾驶客机，驾驶喷气战斗机，驾驶直升飞机。
- 对于一件飞行器的驾驶技能可以被转而用于一个别的形式的飞行
器，但是难度等级可能会提升。</t>
        </r>
      </text>
    </comment>
    <comment ref="M221" authorId="0" shapeId="0" xr:uid="{00000000-0006-0000-0500-000002000000}">
      <text>
        <r>
          <rPr>
            <b/>
            <sz val="9"/>
            <rFont val="宋体"/>
            <family val="3"/>
            <charset val="134"/>
          </rPr>
          <t>Photography (05%)</t>
        </r>
        <r>
          <rPr>
            <sz val="9"/>
            <rFont val="宋体"/>
            <family val="3"/>
            <charset val="134"/>
          </rPr>
          <t xml:space="preserve">
同时包括静止以及运动摄影。
这项技能允许某人拍摄清晰的照片，恰当地修饰照片，并且强化半掩的细节。
在 1920 年代，使用者可以准备必须的化学用品来制作闪光粉。
在现代，这个技能拓展到包括摄影机，视频播放设备，数码摄影以及数码编辑，使用者熟练于对数字图像的操作修改。
可以从原始的资源中创造出完全不同的版本，例如改变照片中一个人所处的地点，和谁
在一起，以及在做什么。
这些专家也可能可以发现一张图像什么时候被修改过了。
正常的快拍不需要技能检定。
当想要进行有效的偷拍，或者进行细节捕捉—特别是远距离，快速，以
及低光，时将会被要求进行这个检定。这项技能也允许调查员判断一张照片是否被篡改或者捏造，以及进行这张照片拍摄的角度和位置。</t>
        </r>
      </text>
    </comment>
  </commentList>
</comments>
</file>

<file path=xl/sharedStrings.xml><?xml version="1.0" encoding="utf-8"?>
<sst xmlns="http://schemas.openxmlformats.org/spreadsheetml/2006/main" count="12841" uniqueCount="5962">
  <si>
    <t>电脑推荐使用excel2010及以后版本或WPS打开本卡，使用横轴滚动条可以看见更多东西，手机推荐使用WPS</t>
  </si>
  <si>
    <t>调查员信息</t>
  </si>
  <si>
    <t>年龄补正：</t>
  </si>
  <si>
    <t>属性</t>
  </si>
  <si>
    <t>已用点数:</t>
  </si>
  <si>
    <t>我觉得这里可以有头像</t>
  </si>
  <si>
    <t>您的角色可能（只是可能！）</t>
  </si>
  <si>
    <t>姓名</t>
  </si>
  <si>
    <t>杨42</t>
  </si>
  <si>
    <t>力量
STR</t>
  </si>
  <si>
    <t>敏捷
DEX</t>
  </si>
  <si>
    <t>意志
POW</t>
  </si>
  <si>
    <t>玩家</t>
  </si>
  <si>
    <t>时代</t>
  </si>
  <si>
    <t>现代</t>
  </si>
  <si>
    <t>职业</t>
  </si>
  <si>
    <t>音乐家</t>
  </si>
  <si>
    <t>职业序号</t>
  </si>
  <si>
    <t>体质
CON</t>
  </si>
  <si>
    <t>外貌
APP</t>
  </si>
  <si>
    <t>教育
知识</t>
  </si>
  <si>
    <t>年龄</t>
  </si>
  <si>
    <t>性别</t>
  </si>
  <si>
    <t>男</t>
  </si>
  <si>
    <t>住地</t>
  </si>
  <si>
    <t>故乡</t>
  </si>
  <si>
    <t>体型
SIZ</t>
  </si>
  <si>
    <t>智力
灵感</t>
  </si>
  <si>
    <t>幸运
Luck</t>
  </si>
  <si>
    <t>现时间</t>
  </si>
  <si>
    <t>公元</t>
  </si>
  <si>
    <t>1月</t>
  </si>
  <si>
    <t>1日</t>
  </si>
  <si>
    <t>0：00</t>
  </si>
  <si>
    <t>生命值
Hit  Points</t>
  </si>
  <si>
    <t>状态:</t>
  </si>
  <si>
    <t>理智
Sanity</t>
  </si>
  <si>
    <t>魔法
Magic Points</t>
  </si>
  <si>
    <t>每h恢复</t>
  </si>
  <si>
    <t>移动力
MOV</t>
  </si>
  <si>
    <t>调整值</t>
  </si>
  <si>
    <t>护甲       Armor</t>
  </si>
  <si>
    <t>覆盖部位</t>
  </si>
  <si>
    <t>健康</t>
  </si>
  <si>
    <t>清醒</t>
  </si>
  <si>
    <t>重伤值:</t>
  </si>
  <si>
    <t>临时生命值：</t>
  </si>
  <si>
    <t>今日损失 :</t>
  </si>
  <si>
    <t>剩余：</t>
  </si>
  <si>
    <t>使用过的魔法：</t>
  </si>
  <si>
    <t>移动方式</t>
  </si>
  <si>
    <t>步式</t>
  </si>
  <si>
    <t>护甲减值</t>
  </si>
  <si>
    <t>关</t>
  </si>
  <si>
    <t>护甲类型 :</t>
  </si>
  <si>
    <t>请看【防具表】</t>
  </si>
  <si>
    <t>技能表</t>
  </si>
  <si>
    <t>成功标</t>
  </si>
  <si>
    <t>本职</t>
  </si>
  <si>
    <t>技能名称</t>
  </si>
  <si>
    <t>初始</t>
  </si>
  <si>
    <t>成长</t>
  </si>
  <si>
    <t>兴趣</t>
  </si>
  <si>
    <t>成功率 普通/困难/极难</t>
  </si>
  <si>
    <t>☐</t>
  </si>
  <si>
    <t>会计</t>
  </si>
  <si>
    <t>法律</t>
  </si>
  <si>
    <t>人类学</t>
  </si>
  <si>
    <t>图书馆使用</t>
  </si>
  <si>
    <t>你现在有这么多</t>
  </si>
  <si>
    <t>那么你分配到了哪里?</t>
  </si>
  <si>
    <t>估价</t>
  </si>
  <si>
    <t>聆听</t>
  </si>
  <si>
    <t>任意特长</t>
  </si>
  <si>
    <t>催眠</t>
  </si>
  <si>
    <t>考古学</t>
  </si>
  <si>
    <t>锁匠</t>
  </si>
  <si>
    <t>精神分析</t>
  </si>
  <si>
    <t>技艺①</t>
  </si>
  <si>
    <t>机械维修</t>
  </si>
  <si>
    <t>妙手</t>
  </si>
  <si>
    <t>技艺②</t>
  </si>
  <si>
    <t>医学</t>
  </si>
  <si>
    <t>技艺③</t>
  </si>
  <si>
    <t>博物学</t>
  </si>
  <si>
    <t>取悦</t>
  </si>
  <si>
    <t>导航</t>
  </si>
  <si>
    <t>请将你选择的任意特长写在上方栏内，这样既方便你写卡又方便KP审卡</t>
  </si>
  <si>
    <t>攀爬</t>
  </si>
  <si>
    <t>神秘学</t>
  </si>
  <si>
    <t>自定义子技能</t>
  </si>
  <si>
    <t>自定义经历包</t>
  </si>
  <si>
    <t>自定义状态</t>
  </si>
  <si>
    <t>计算机使用 Ω</t>
  </si>
  <si>
    <t>操作重型机械</t>
  </si>
  <si>
    <t>技艺技能名称</t>
  </si>
  <si>
    <t>基础值</t>
  </si>
  <si>
    <t>经历包名称</t>
  </si>
  <si>
    <t>状态名称(例:生病、精神分裂)</t>
  </si>
  <si>
    <t>——</t>
  </si>
  <si>
    <t>★</t>
  </si>
  <si>
    <t>信用评级</t>
  </si>
  <si>
    <t>说服</t>
  </si>
  <si>
    <t>克苏鲁神话</t>
  </si>
  <si>
    <t>驾驶：</t>
  </si>
  <si>
    <t>格斗技能名称</t>
  </si>
  <si>
    <t>san值减少</t>
  </si>
  <si>
    <t>技能增长</t>
  </si>
  <si>
    <t>身体状态</t>
  </si>
  <si>
    <t>精神状态</t>
  </si>
  <si>
    <t>乔装</t>
  </si>
  <si>
    <t>闪避</t>
  </si>
  <si>
    <t>心理学</t>
  </si>
  <si>
    <t>射击技能名称</t>
  </si>
  <si>
    <t>备注</t>
  </si>
  <si>
    <t>汽车驾驶</t>
  </si>
  <si>
    <t>骑术</t>
  </si>
  <si>
    <t>电气维修</t>
  </si>
  <si>
    <t>科学①</t>
  </si>
  <si>
    <t>驾驶技能名称</t>
  </si>
  <si>
    <t>电子学 Ω</t>
  </si>
  <si>
    <t>科学②</t>
  </si>
  <si>
    <t>话术</t>
  </si>
  <si>
    <t>科学③</t>
  </si>
  <si>
    <t>科学技能名称</t>
  </si>
  <si>
    <t>格斗：</t>
  </si>
  <si>
    <t>斗殴</t>
  </si>
  <si>
    <t>格斗①</t>
  </si>
  <si>
    <t>侦查</t>
  </si>
  <si>
    <t>自定义年龄补正</t>
  </si>
  <si>
    <t>自定义货币</t>
  </si>
  <si>
    <t>格斗②</t>
  </si>
  <si>
    <t>潜行</t>
  </si>
  <si>
    <t>年龄补正</t>
  </si>
  <si>
    <t>货币名称</t>
  </si>
  <si>
    <t>与美元的汇率</t>
  </si>
  <si>
    <t>格斗③</t>
  </si>
  <si>
    <t>生存：</t>
  </si>
  <si>
    <t>射击：</t>
  </si>
  <si>
    <t>手枪</t>
  </si>
  <si>
    <t>游泳</t>
  </si>
  <si>
    <t>推
荐
关
系
人</t>
  </si>
  <si>
    <t>射击①</t>
  </si>
  <si>
    <t>投掷</t>
  </si>
  <si>
    <t>射击②</t>
  </si>
  <si>
    <t>追踪</t>
  </si>
  <si>
    <t>射击③</t>
  </si>
  <si>
    <t>驯兽</t>
  </si>
  <si>
    <t>急救</t>
  </si>
  <si>
    <t>潜水</t>
  </si>
  <si>
    <t>历史</t>
  </si>
  <si>
    <t>爆破</t>
  </si>
  <si>
    <t>职业介绍</t>
  </si>
  <si>
    <t>恐吓</t>
  </si>
  <si>
    <t>读唇</t>
  </si>
  <si>
    <t>跳跃</t>
  </si>
  <si>
    <t>外语①</t>
  </si>
  <si>
    <t>炮术</t>
  </si>
  <si>
    <t>外语②</t>
  </si>
  <si>
    <t>学识：</t>
  </si>
  <si>
    <t>外语③</t>
  </si>
  <si>
    <t>自定义技能</t>
  </si>
  <si>
    <t>母语</t>
  </si>
  <si>
    <t>武器表</t>
  </si>
  <si>
    <t>格斗</t>
  </si>
  <si>
    <t>武器名称</t>
  </si>
  <si>
    <t>类型</t>
  </si>
  <si>
    <t>使用技能</t>
  </si>
  <si>
    <t>成功率</t>
  </si>
  <si>
    <t>伤害</t>
  </si>
  <si>
    <t>基础射程</t>
  </si>
  <si>
    <t>贯穿</t>
  </si>
  <si>
    <t>次数</t>
  </si>
  <si>
    <t>装弹量</t>
  </si>
  <si>
    <t>故障值</t>
  </si>
  <si>
    <t>伤害加值
Damage Bonus</t>
  </si>
  <si>
    <t>无</t>
  </si>
  <si>
    <t>肉搏</t>
  </si>
  <si>
    <t>1D3+DB</t>
  </si>
  <si>
    <t>×</t>
  </si>
  <si>
    <t>体格
Build</t>
  </si>
  <si>
    <t>闪避
Dodge</t>
  </si>
  <si>
    <t>资产</t>
  </si>
  <si>
    <t>背景故事</t>
  </si>
  <si>
    <t>生活水平</t>
  </si>
  <si>
    <t>消费水平</t>
  </si>
  <si>
    <t>其他资产</t>
  </si>
  <si>
    <t>当前现金($)</t>
  </si>
  <si>
    <t>单位</t>
  </si>
  <si>
    <t>形象描述</t>
  </si>
  <si>
    <t>关键
连接</t>
  </si>
  <si>
    <t>美元</t>
  </si>
  <si>
    <t>请在这里详述你的资产</t>
  </si>
  <si>
    <t>思想与信念</t>
  </si>
  <si>
    <t>年代</t>
  </si>
  <si>
    <t>国际重大历史进程</t>
  </si>
  <si>
    <t>中国重大历史进程</t>
  </si>
  <si>
    <t>重要之人</t>
  </si>
  <si>
    <t>意义非凡之地</t>
  </si>
  <si>
    <t>新闻</t>
  </si>
  <si>
    <t>其他资产表</t>
  </si>
  <si>
    <t>交通工具</t>
  </si>
  <si>
    <t>住所</t>
  </si>
  <si>
    <t>奢侈品</t>
  </si>
  <si>
    <t>股票/证券等</t>
  </si>
  <si>
    <t>其他</t>
  </si>
  <si>
    <t>宝贵之物</t>
  </si>
  <si>
    <t>特质</t>
  </si>
  <si>
    <t>伤口和疤痕</t>
  </si>
  <si>
    <t>恐惧症和躁狂症</t>
  </si>
  <si>
    <t xml:space="preserve">                                      随身物品（使用右侧栏位需要背包）</t>
  </si>
  <si>
    <t>请务必在此填写背景故事！
使用Alt+Enter换行</t>
  </si>
  <si>
    <t>状态</t>
  </si>
  <si>
    <t>部位</t>
  </si>
  <si>
    <t>物品名称</t>
  </si>
  <si>
    <t>背包格↓</t>
  </si>
  <si>
    <t>绷带</t>
  </si>
  <si>
    <t>消毒水</t>
  </si>
  <si>
    <t>撬锁套装</t>
  </si>
  <si>
    <t>铁丝</t>
  </si>
  <si>
    <t>一次性手套包</t>
  </si>
  <si>
    <t>口罩</t>
  </si>
  <si>
    <t>消毒过的急救工具</t>
  </si>
  <si>
    <t>小型竖琴</t>
  </si>
  <si>
    <t>放大镜</t>
  </si>
  <si>
    <t xml:space="preserve"> </t>
  </si>
  <si>
    <t>面罩</t>
  </si>
  <si>
    <t>防护服</t>
  </si>
  <si>
    <t>怀表</t>
  </si>
  <si>
    <t>镇静剂</t>
  </si>
  <si>
    <t>兴奋剂</t>
  </si>
  <si>
    <t>迷药</t>
  </si>
  <si>
    <t>调查员经历</t>
  </si>
  <si>
    <t>神话相关</t>
  </si>
  <si>
    <t>经历模组</t>
  </si>
  <si>
    <t>人物变化描述</t>
  </si>
  <si>
    <t>第三类接触（古籍、咒文、神话知识等）</t>
  </si>
  <si>
    <t>例：【毒汤】</t>
  </si>
  <si>
    <t>SAN-6,HP-2,侦查+2</t>
  </si>
  <si>
    <t>遇到了</t>
  </si>
  <si>
    <t>获得的结果</t>
  </si>
  <si>
    <t>累计</t>
  </si>
  <si>
    <t>例：如果此处空间不够</t>
  </si>
  <si>
    <t>可以前去【成长表】进行填写</t>
  </si>
  <si>
    <t>例：米-戈</t>
  </si>
  <si>
    <t>克苏鲁+3，克苏鲁(疯)+5，SAN-6，SAN(信)-8</t>
  </si>
  <si>
    <t>第一次神话疯狂，相信者规则激活</t>
  </si>
  <si>
    <t>例：修格斯</t>
  </si>
  <si>
    <t>克苏鲁+7，克苏鲁(疯)+1，SAN-5</t>
  </si>
  <si>
    <t>第二次神话疯狂</t>
  </si>
  <si>
    <t>杂项</t>
  </si>
  <si>
    <t>法术一览</t>
  </si>
  <si>
    <t>有故事的调查员经历包：</t>
  </si>
  <si>
    <t>编号</t>
  </si>
  <si>
    <t>法术名称</t>
  </si>
  <si>
    <t>使用代价</t>
  </si>
  <si>
    <t>作用</t>
  </si>
  <si>
    <t>例：1</t>
  </si>
  <si>
    <t>灰色束缚</t>
  </si>
  <si>
    <t>8mp 1d6san 1h</t>
  </si>
  <si>
    <t>可以控制死去的人，直到腐烂为止</t>
  </si>
  <si>
    <t>快速参考规则</t>
  </si>
  <si>
    <t>技能和属性检定
成功等级</t>
  </si>
  <si>
    <t>大失败</t>
  </si>
  <si>
    <t>失败</t>
  </si>
  <si>
    <t>成功</t>
  </si>
  <si>
    <t>困难</t>
  </si>
  <si>
    <t>极难</t>
  </si>
  <si>
    <t>大成功</t>
  </si>
  <si>
    <t>技能成功率≥50为100
否则为96-100</t>
  </si>
  <si>
    <t>&gt;技能</t>
  </si>
  <si>
    <t>≤技能</t>
  </si>
  <si>
    <t>1/2值</t>
  </si>
  <si>
    <t>1/5值</t>
  </si>
  <si>
    <t>孤注一掷：使用孤注一掷来重投上一次检定结果，需要合理的解释重掷原因，战斗和理智检定不能执行孤注一掷。</t>
  </si>
  <si>
    <t>[急救]回复1点体力</t>
  </si>
  <si>
    <t>[医学]回复1D3点体力</t>
  </si>
  <si>
    <t>重伤</t>
  </si>
  <si>
    <t>一次受到最大生命值一半的伤害</t>
  </si>
  <si>
    <t>昏迷</t>
  </si>
  <si>
    <t>HP=0但并未[重伤]</t>
  </si>
  <si>
    <t>濒死</t>
  </si>
  <si>
    <t>HP=0且受到[重伤]。需要用[急救]摆脱濒死状态，并用[医学]进行后续治疗。</t>
  </si>
  <si>
    <t>调查员伙伴</t>
  </si>
  <si>
    <t>发明/发现/概念</t>
  </si>
  <si>
    <t>无重伤下每天自然回复1点体力</t>
  </si>
  <si>
    <t>重伤时每周做1次恢复检定</t>
  </si>
  <si>
    <t>注释</t>
  </si>
  <si>
    <t>造成改变</t>
  </si>
  <si>
    <t>相遇模组</t>
  </si>
  <si>
    <t>显示类型：</t>
  </si>
  <si>
    <t>查找年份发明</t>
  </si>
  <si>
    <t>理智参考规则</t>
  </si>
  <si>
    <t>例：丛雨</t>
  </si>
  <si>
    <t>神楽桜</t>
  </si>
  <si>
    <t>一起出生入死的医生小姐</t>
  </si>
  <si>
    <t>成为了朋友</t>
  </si>
  <si>
    <t>卡森德拉...</t>
  </si>
  <si>
    <t>如果在需要SC的时候</t>
  </si>
  <si>
    <t>理智值≥50为100
否则为96-100</t>
  </si>
  <si>
    <t>＞当前san值</t>
  </si>
  <si>
    <t>≤当前san值</t>
  </si>
  <si>
    <t>造成的结果</t>
  </si>
  <si>
    <t>减少可能出现的最大数值</t>
  </si>
  <si>
    <t>失败者减面数
较多的san值</t>
  </si>
  <si>
    <t>成功者减面数
较少的san值</t>
  </si>
  <si>
    <t>临时疯狂</t>
  </si>
  <si>
    <t>一次损失5点以上的san值，并且智力检定成功</t>
  </si>
  <si>
    <t>不定性疯狂</t>
  </si>
  <si>
    <t>一天内损失现有san值的五分之一</t>
  </si>
  <si>
    <t>永久疯狂</t>
  </si>
  <si>
    <t>san值为0</t>
  </si>
  <si>
    <t>临时性疯狂</t>
  </si>
  <si>
    <t>出目：</t>
  </si>
  <si>
    <t>1D10症状
持续时间1D10轮
与1d10小时的潜在疯狂</t>
  </si>
  <si>
    <t>1D10症状
持续时间1D10轮
之后掉san就进入疯狂</t>
  </si>
  <si>
    <t>这张卡将交给
KP永久控制</t>
  </si>
  <si>
    <t>疯狂发作  即时症状</t>
  </si>
  <si>
    <t>报社/报纸</t>
  </si>
  <si>
    <t>博物馆/大学</t>
  </si>
  <si>
    <t>通讯社</t>
  </si>
  <si>
    <t>（可选）精神固化：当现有 SAN值 低于 [克苏鲁神话] 时，san值 损失永久减半</t>
  </si>
  <si>
    <t>打开下拉栏查看</t>
  </si>
  <si>
    <t>原卡由秋叶EXODUS制作</t>
  </si>
  <si>
    <t>骰娘快捷输入见【简化卡】</t>
  </si>
  <si>
    <t>如果你发现了难以理解的翻译、不完整的显示、或是其他各种问题请联系作者（在更新说明页有联系方式）</t>
  </si>
  <si>
    <t>神楽桜（丛雨Official） 2020/06</t>
  </si>
  <si>
    <t>使用ctrl+滚轮上下调整大小，手机就直接用手指啦</t>
  </si>
  <si>
    <t>使用alt+enter换行</t>
  </si>
  <si>
    <t>最好使用最新版excel打开本卡</t>
  </si>
  <si>
    <t>技能</t>
  </si>
  <si>
    <t>当前时间</t>
  </si>
  <si>
    <t>STR</t>
  </si>
  <si>
    <t>DEX</t>
  </si>
  <si>
    <t>POW</t>
  </si>
  <si>
    <t>INT</t>
  </si>
  <si>
    <t>CON</t>
  </si>
  <si>
    <t>APP</t>
  </si>
  <si>
    <t>EDU</t>
  </si>
  <si>
    <t>SIZ</t>
  </si>
  <si>
    <t>HP</t>
  </si>
  <si>
    <t>SAN</t>
  </si>
  <si>
    <t>MP</t>
  </si>
  <si>
    <t>Armor</t>
  </si>
  <si>
    <t>DB</t>
  </si>
  <si>
    <t>Build</t>
  </si>
  <si>
    <t>LUCK</t>
  </si>
  <si>
    <t>MOV</t>
  </si>
  <si>
    <t>随身物品</t>
  </si>
  <si>
    <t>累计消耗</t>
  </si>
  <si>
    <t>描述</t>
  </si>
  <si>
    <t>关键</t>
  </si>
  <si>
    <t>信仰</t>
  </si>
  <si>
    <t>重要人</t>
  </si>
  <si>
    <t>重要地</t>
  </si>
  <si>
    <t>宝物</t>
  </si>
  <si>
    <t>小秘密</t>
  </si>
  <si>
    <t>伤疤</t>
  </si>
  <si>
    <t>恐惧</t>
  </si>
  <si>
    <t>母语：</t>
  </si>
  <si>
    <t>电脑请先将快捷输入复制到下面的框中，再复制框中内容到QQ</t>
  </si>
  <si>
    <t>下面就是快捷输入了，手机一般轻点两下就可以复制啦，电脑请先复制到右边的本文框</t>
  </si>
  <si>
    <t>不知道用什么导入看导入框右侧的说明～</t>
  </si>
  <si>
    <t>电脑本文输入框</t>
  </si>
  <si>
    <t>溯洄，shiki（除Exp10)，等大部分骰娘指令快捷输入</t>
  </si>
  <si>
    <t>请“复制”下格，就可以导出文本，放进QQ发送给骰子娘啦</t>
  </si>
  <si>
    <t>→</t>
  </si>
  <si>
    <t>大部分骰娘</t>
  </si>
  <si>
    <t>如果不能使用，请复制到txt文档，然后再复制到QQ</t>
  </si>
  <si>
    <t>塔系骰娘指令快捷输入</t>
  </si>
  <si>
    <t>这种骰娘，在你输入.bot后，开头会出现以下字样
Dice made in java
By SitaNya</t>
  </si>
  <si>
    <t>shiki Exp10骰娘指令快捷输入</t>
  </si>
  <si>
    <t xml:space="preserve">这种骰娘，在你输入.bot后，开头会出现以下字样
Dice! by 溯洄 Shiki.Ver 2.3.8Express10(554) </t>
  </si>
  <si>
    <t>↑版本号必须是Exp 10或以上</t>
  </si>
  <si>
    <t>MDice骰娘（惠惠）指令快捷输入</t>
  </si>
  <si>
    <t>这种骰娘，在你输入.bot后，开头会出现以下字样
MDice x.x.x[xx]ver
修改自溯洄版本dice,斯塔尼亚.shiki等提供了部分代码</t>
  </si>
  <si>
    <t>技能名的改变</t>
  </si>
  <si>
    <t>原技能名称：</t>
  </si>
  <si>
    <t>简化</t>
  </si>
  <si>
    <t>别名</t>
  </si>
  <si>
    <t>力量</t>
  </si>
  <si>
    <t>体力</t>
  </si>
  <si>
    <t>hp</t>
  </si>
  <si>
    <t>汽车</t>
  </si>
  <si>
    <t>驾驶</t>
  </si>
  <si>
    <t>敏捷</t>
  </si>
  <si>
    <t>理智</t>
  </si>
  <si>
    <t>san</t>
  </si>
  <si>
    <t>san值，理智值</t>
  </si>
  <si>
    <t>电子学</t>
  </si>
  <si>
    <t>体质</t>
  </si>
  <si>
    <t>魔法</t>
  </si>
  <si>
    <t>mp</t>
  </si>
  <si>
    <t>步枪/霰弹枪</t>
  </si>
  <si>
    <t>步枪</t>
  </si>
  <si>
    <t>霰弹枪，步霰</t>
  </si>
  <si>
    <t>体型</t>
  </si>
  <si>
    <t>图书馆</t>
  </si>
  <si>
    <t>外貌</t>
  </si>
  <si>
    <t>开锁</t>
  </si>
  <si>
    <t>智力</t>
  </si>
  <si>
    <t>灵感</t>
  </si>
  <si>
    <t>自然学</t>
  </si>
  <si>
    <t>意志</t>
  </si>
  <si>
    <t>计算机</t>
  </si>
  <si>
    <t>计算机使用，电脑</t>
  </si>
  <si>
    <t>领航</t>
  </si>
  <si>
    <t>教育</t>
  </si>
  <si>
    <t>信用</t>
  </si>
  <si>
    <t>信誉</t>
  </si>
  <si>
    <t>重型操作</t>
  </si>
  <si>
    <t>重型机械，重型，重型机械操作</t>
  </si>
  <si>
    <t>幸运</t>
  </si>
  <si>
    <t>运气</t>
  </si>
  <si>
    <t>克苏鲁</t>
  </si>
  <si>
    <t>cm</t>
  </si>
  <si>
    <t>生存</t>
  </si>
  <si>
    <t>红字代表不能使用该名称roll（没有录入，主要因为其特殊的标点符号）</t>
  </si>
  <si>
    <t>可选规则：有故事的调查员</t>
  </si>
  <si>
    <t>SAN值减少</t>
  </si>
  <si>
    <t>战场经历包</t>
  </si>
  <si>
    <t>1D10+5</t>
  </si>
  <si>
    <t>对目击尸体和重伤员造成的理智损失免疫;根据战争的年份和模组发生时的年份调整年龄；背景增加一项：战争相关的伤疤 / 疤痕或恐惧症 / 躁狂症</t>
  </si>
  <si>
    <t>警务经历包</t>
  </si>
  <si>
    <t>1D10</t>
  </si>
  <si>
    <t>对目击尸体造成的理智损失免疫;初始年龄不能低于 25 岁;背景增加一项：警察工作相关的伤疤 / 疤痕或恐惧症 / 躁狂症；</t>
  </si>
  <si>
    <t>罪犯经历包</t>
  </si>
  <si>
    <t>对目击尸体、目击或亲自谋杀、目击对人类的暴力残害造成的理智损失免疫;初始年龄不能低于 20 岁；背景增加一项：犯罪历史相关的伤疤 / 疤痕或恐惧症 / 躁狂症</t>
  </si>
  <si>
    <t>医务经历包</t>
  </si>
  <si>
    <t>对目击尸体和重伤员造成的理智损失免疫;初始年龄不能低于 30 岁；背景增加一项：个人背景相关的伤疤 / 疤痕或恐惧症 / 躁狂症；</t>
  </si>
  <si>
    <t>神话经历包</t>
  </si>
  <si>
    <t>如果是"相信者"，减少和克苏鲁神话相同的san值</t>
  </si>
  <si>
    <t>按 KP 允许的数值增加「克苏鲁神话」技能;背景增加两项：与神话经历相关的伤疤 /疤痕、恐惧症 / 躁狂症、遭遇的怪异存在</t>
  </si>
  <si>
    <t>序号</t>
  </si>
  <si>
    <t>职业属性</t>
  </si>
  <si>
    <t>技能点</t>
  </si>
  <si>
    <t>本职技能</t>
  </si>
  <si>
    <t>推荐关系人</t>
  </si>
  <si>
    <t>选择职业序号为0，则清除职业模板提示和点数计算器，供强迫症患者使用。</t>
  </si>
  <si>
    <t>右侧下拉框选择自定义职业技能与属性
（excel2007及以下不适用）</t>
  </si>
  <si>
    <t>自定义职业本职技能</t>
  </si>
  <si>
    <t>列出一些角色在职业工作中可能接触的个人或组织,它们也可以为调查员的个人背景提供灵感。</t>
  </si>
  <si>
    <t>不多于7个本职技能。
在职业属性中输入第二职业属性的名字（如外貌、意志、教育、敏捷、力量、体质、体型，留空则视为EDU）并自行设置起始信誉。使用自定义职业前，请先咨询你的KP</t>
  </si>
  <si>
    <t>会计师</t>
  </si>
  <si>
    <t>30-70</t>
  </si>
  <si>
    <r>
      <rPr>
        <sz val="11"/>
        <color rgb="FF000000"/>
        <rFont val="微软雅黑 Light"/>
        <family val="2"/>
        <charset val="134"/>
      </rPr>
      <t>教育×</t>
    </r>
    <r>
      <rPr>
        <sz val="11"/>
        <color indexed="8"/>
        <rFont val="微软雅黑 Light"/>
        <family val="2"/>
        <charset val="134"/>
      </rPr>
      <t>4</t>
    </r>
  </si>
  <si>
    <t>会计，法律，图书馆，聆听，说服，侦查，任意其他两项个人或时代特长。</t>
  </si>
  <si>
    <t>生意伙伴，法律界，金融业界(银行，其他会计师)。</t>
  </si>
  <si>
    <t>会计师可能在企业工作或作为自由会计师，为个体经营者和企业客户担任顾问。
他们是优秀的研究者，既勤奋又关注细节，能够通过仔细分析个人和企业事务历史记录、财务报表和其他记录支持其他调查员。</t>
  </si>
  <si>
    <t>杂技演员</t>
  </si>
  <si>
    <t>9-20</t>
  </si>
  <si>
    <r>
      <rPr>
        <sz val="11"/>
        <color rgb="FF000000"/>
        <rFont val="微软雅黑 Light"/>
        <family val="2"/>
        <charset val="134"/>
      </rPr>
      <t>教育×</t>
    </r>
    <r>
      <rPr>
        <sz val="11"/>
        <color rgb="FF000000"/>
        <rFont val="微软雅黑 Light"/>
        <family val="2"/>
        <charset val="134"/>
      </rPr>
      <t>2＋敏捷×2</t>
    </r>
  </si>
  <si>
    <t>攀爬，闪避，跳跃，投掷，侦查，游泳，任意两项其他个人或时代特长。</t>
  </si>
  <si>
    <t>业余运动员圈，体育专栏作家，马戏团，嘉年华管理者。</t>
  </si>
  <si>
    <t>杂技演员可能是参加各级比赛(甚至奥运会)的业余运动员，也可能是专业的演员，在马戏团、嘉年华、歌舞团之类的地方作为娱乐业从业者工作。</t>
  </si>
  <si>
    <t>演员-戏剧演员</t>
  </si>
  <si>
    <t>9-40</t>
  </si>
  <si>
    <t>教育×2＋外貌×2</t>
  </si>
  <si>
    <t>技艺（表演），乔装，格斗，历史，两项社交技能（取悦、话术、恐吓、说服），心理学，任意一项其他个人或时代特长。</t>
  </si>
  <si>
    <t>戏剧产业，报刊艺术批评家，演员公会。</t>
  </si>
  <si>
    <t>一般指舞台剧演员和电影演员。许多演员有相当深厚的文化素养，认为自己才是“正统”的，倾向于轻视电影业的商业活动。直到20 世纪后期电影业的地位提高，电影演员的薪酬增加，这种情况才发生改变。
电影业和电影明星一直是世界人民关注的焦点。许多明星一夜成名，在媒体的聚光灯下过着光鲜亮丽的生活。
在1920 年代，虽然全国都有大型剧院，美国的戏剧中心仍然是纽约城。英国的情况与之相近，戏剧的中心在伦敦，其他的剧团则在各郡作巡回演出。巡回剧团乘火车旅行，演出内容既包括新编剧目，也包括莎士比亚和其他人的传统剧目。有些剧团也会花时间去国外采风，通常是去加拿大、夏威夷、澳大利亚和欧洲大陆。
20 年代后期出现了有声电影，不少默片时代的明星难以适应有声电影的冲击，挥舞手臂的夸张扮演从此让位给了细致入微的角色特写。这段时间前期的明星包括约翰·加菲尔德和弗兰西斯·布什曼，后期则是贾莱·库珀和琼·克劳馥。</t>
  </si>
  <si>
    <t>演员-电影演员</t>
  </si>
  <si>
    <t>20-90</t>
  </si>
  <si>
    <t>技艺（表演），乔装，汽车驾驶，两项社交技能（取悦、话术、恐吓、说服），心理学，任意两项其他个人或时代特长（如骑乘或格斗）。</t>
  </si>
  <si>
    <t>电影工作室，媒体评论员，作家。</t>
  </si>
  <si>
    <t>事务所侦探、保安</t>
  </si>
  <si>
    <t>20-45</t>
  </si>
  <si>
    <t>教育×2＋力量或敏捷×2</t>
  </si>
  <si>
    <t>一项社交技能（取悦、话术、恐吓、说服），格斗（斗殴），射击，法律，图书馆，心理学，潜行，追踪。</t>
  </si>
  <si>
    <t>本地执法机构，客户。</t>
  </si>
  <si>
    <t>世界上有许多著名的侦探机构，其中最著名的是平克顿和伯恩斯调查局(后来合并成一家公司)。这样的公司一般有两类工作人员：安保人员和调查人员。
企业或个人雇用安保人员来保护自己的资产和人员免受盗贼、刺客和绑匪的威胁。这些安保人员角色使用巡警的职业模板。调查人员则是便衣侦探，负责为公司客户解决各种异常事件、阻止谋杀事件、寻找失踪的人员等等。</t>
  </si>
  <si>
    <t>精神病医生（古典）</t>
  </si>
  <si>
    <t>10-60</t>
  </si>
  <si>
    <t>教育×4</t>
  </si>
  <si>
    <t>法律，聆听，医学，外语，精神分析，心理学，科学（生物学，化学）。</t>
  </si>
  <si>
    <t>其他精神疾病研究者，医生，有时还有执法机构的侦探。</t>
  </si>
  <si>
    <t>在1920 年代，“精神病医生”这个词专用来称呼治疗精神失常的医生(也就是早期的精神科医生)。精神分析在当时的美国鲜为人知，而且它的基本内容都是性生活和如厕训练之类令大众不齿的东西。精神病学，一种正规的从行为主义发展来的医学理论则要普及得多。精神病医生、精神科医生和神经科医生还经常爆发激烈的论战。</t>
  </si>
  <si>
    <t>动物训练师</t>
  </si>
  <si>
    <t>10-40</t>
  </si>
  <si>
    <t>教育×2＋外貌或意志×2</t>
  </si>
  <si>
    <t>跳跃，聆听，自然，心理学，科学（动物学），潜行，追踪，任意一项其他个人或时代特长。</t>
  </si>
  <si>
    <t>动物园，马戏团，赞助人，演员。</t>
  </si>
  <si>
    <t>动物训练师可能在电影工作室、巡回马戏团、马厩工作或自由工作。不管是训练导盲犬、狮子钻火圈，他们工作时基本要独自一人长时间近距离地照看这些动物。动物训练师可以像对人一样对动物使用「心理学」技能。</t>
  </si>
  <si>
    <t>文物学家（原作向）</t>
  </si>
  <si>
    <t>估价，技艺（任一），历史，图书馆，外语，一项社交技能（取悦、话术、恐吓、说服），侦查，任意一项其他个人或时代特长。</t>
  </si>
  <si>
    <t>任意特长数:</t>
  </si>
  <si>
    <t>书商，古董收藏者，历史研究学会。</t>
  </si>
  <si>
    <t>文物学家也许是调查员可以从事的最具有洛夫克拉夫特风格的职业：那些历久弥新的的卓越作品、湮没在古代传说中的神奇力量，总能使他们乐在其中。独立的收入使文物学家能够研究古旧晦涩的文物，或者根据自己的兴趣爱好集中探寻特别的种类。他们通常有着欣赏的眼光、敏锐的头脑，和讽刺无知、自大、贪婪者的愚蠢时尖酸刻薄的幽默。</t>
  </si>
  <si>
    <t>古董商</t>
  </si>
  <si>
    <t>30-50</t>
  </si>
  <si>
    <t>会计，估价，汽车驾驶，两项社交技能（取悦、话术、恐吓、说服），历史，图书馆，导航。</t>
  </si>
  <si>
    <t>本地的历史学家，其他古董商，可能还包括赝造师。</t>
  </si>
  <si>
    <t>古董商通常自己开店，从自己所在的地方转卖物品，或继续扩展业务范围，通过倒卖物品到城市商店赚取利润。</t>
  </si>
  <si>
    <t>考古学家（原作向）</t>
  </si>
  <si>
    <t>估价，考古，历史，外语，图书馆，侦查，机械维修，导航或科学（任一：如化学、物理、地理等）。</t>
  </si>
  <si>
    <t>自定义职业属性</t>
  </si>
  <si>
    <t>赞助人，博物馆，大学。</t>
  </si>
  <si>
    <t>考古学家研究探索历史的痕迹。主要来说，是对人类历史相关的物质数据进行各种鉴识、检查、分析。这项工作包含辛苦细致的研究，更不必提情愿亲自下斗铲土的决心。
在1920 年代，成功的考古学家会被当成著名冒险家与探险家，名利双收。有人运用科学方法考古，不过更多的人对付老祖宗的秘密时喜好暴力破解的办法，甚至祭出炸药，这种碉堡了的办法现代人可是很难看得惯的。</t>
  </si>
  <si>
    <t>建筑师</t>
  </si>
  <si>
    <t>会计，技艺（技术制图），法律，母语，计算机或图书馆，说服，心理学，科学（数学）。</t>
  </si>
  <si>
    <t>属性名称</t>
  </si>
  <si>
    <t>是否使用</t>
  </si>
  <si>
    <t>使用倍数</t>
  </si>
  <si>
    <t>本地建设和城市规划部门，建筑公司。</t>
  </si>
  <si>
    <t>建筑师掌握设计和营造建筑的知识，不论是个人房屋的改造还是造价数百万美元的地标工程。建筑师与项目经理紧密合作，负责监督施工全程。建筑师必须了解当地的规划法律，健康和安全法规，和基础的公众安全原则。他们既可以在大公司工作，也可以自由工作，这在很大程度上取决于信誉。
在1920 年代，许多人尝试在自家或小办公室单干。不过他们苦心创造的宏伟设计很少能卖得出去。
建筑师也可能专擅某一学科，比如军事建筑或景观工程等。</t>
  </si>
  <si>
    <t>艺术家</t>
  </si>
  <si>
    <t>9-50</t>
  </si>
  <si>
    <t>教育×2＋敏捷或意志×2</t>
  </si>
  <si>
    <t>技艺（任一），历史或自然，一项社交技能（取悦、话术、恐吓、说服），外语，心理学，侦查，任意两项其他个人或时代特长。</t>
  </si>
  <si>
    <t>美术馆，美术批评家，富有的赞助人，广告业者。</t>
  </si>
  <si>
    <t>艺术家在这里可以是画家，雕塑家等等。他们有时沈浸于自己虚幻的想象当中，有时又沐浴在激发热情和理解的灵感之下。不论是否天资优秀，艺术家的内心必须足够强大，这样才能战胜生涯起步时的障碍和挑剔的眼光，并且在自己小有名气以后继续努力。有些艺术家对物质生活是否丰富并不在乎，而有些则有着强烈的创业倾向。</t>
  </si>
  <si>
    <t>精神病院看护</t>
  </si>
  <si>
    <t>8-20</t>
  </si>
  <si>
    <t>闪避，格斗（斗殴），急救，两项社交技能（取悦、话术、恐吓、说服），聆听，心理学，潜行。</t>
  </si>
  <si>
    <t>医护人员，患者和患者家属。允许接触医疗记录、药品或其他医疗用品。</t>
  </si>
  <si>
    <t>尽管少数富有的人会选择私人疗养院，大多精神病患者最终会被安置到州县设置的定点医院。这些地方除了医生护士以外，还会有一支看护队伍。选聘看护的时候，力量和体格往往比医学知识更被看重。</t>
  </si>
  <si>
    <t>运动员</t>
  </si>
  <si>
    <t>9-70</t>
  </si>
  <si>
    <t>攀爬，跳跃，格斗（斗殴），骑乘，一项社交技能（取悦、话术、恐吓、说服），游泳，投掷，任意一项其他个人或时代特长。</t>
  </si>
  <si>
    <t>体育界，体育专栏作家，其他明星。</t>
  </si>
  <si>
    <t>运动员可能效力于职业的棒球、足球、板球或者篮球队伍。这支队伍也许是大联盟队伍，有着稳定工资，参加的比赛万人瞩目；或者是众多小联盟队伍之一，尤其是在1920 年代的棒球界。这些队伍往往寄于大联盟队伍篱下，各方面都受其管理，工资更是刚够运动员糊口又不至于让他们跳槽的水平。
成功的运动员在自己的专业领域会拥有相当的声誉——现今尤其如此，在世界各地都能看到体育明星和电影明星并肩站在红地毯上的场景。</t>
  </si>
  <si>
    <t>作家（原作向）</t>
  </si>
  <si>
    <t>9-30</t>
  </si>
  <si>
    <t>技艺（文学），历史，图书馆，自然或神秘学，外语，母语，心理学，任意一项其他个人或时代特长。</t>
  </si>
  <si>
    <t>出版社，文学评论家，历史学家等。</t>
  </si>
  <si>
    <t>作家不同于记者，他们用文字定义和探讨人们的社会生活，尤其是人们的情感变化。他们的劳动通常孤立而又自我中心：虽然以前写作是个能稳拿工资的行当，但如今只靠写作发大财的人屈指可数。
作家的工作习惯相差极大。通常作家们会花费数月乃至数年的时间调查取材，为新书的创作做准备；然后闭门谢客，投入紧张的创作。</t>
  </si>
  <si>
    <t>酒保</t>
  </si>
  <si>
    <t>8-25</t>
  </si>
  <si>
    <t>会计，两项社交技能（取悦、话术、恐吓、说服），格斗（斗殴），聆听，心理学，侦查，任意一项其他个人或时代特长。</t>
  </si>
  <si>
    <t>常客，可能有犯罪组织。</t>
  </si>
  <si>
    <t>酒保虽然不一定是酒吧的掌柜，却一定是所有客人的朋友。对客人们的好声气，一部分来说是出于他们的职业或者业务，而更多的来说则是达到目的的一种手段。
1920 年代，由于禁酒令的存在，酒保变成了非法的职业；但是遍地开花的黑酒吧又不能没有酒保，结果就是酒保仍然不愁找不到活干。</t>
  </si>
  <si>
    <t>猎人</t>
  </si>
  <si>
    <t>20-50</t>
  </si>
  <si>
    <t>射击，聆听或侦查，自然，导航，外语或生存（任一），科学（生物学或植物学），潜行，追踪。</t>
  </si>
  <si>
    <t>外国政府官员，狩猎监管人员，前客户(大多很有钱)，黑市商人与黑社会，动物园主。</t>
  </si>
  <si>
    <t>猎人是优秀的追踪者和狩猎者，通常靠为富裕的客户捕猎为生。绝大多数猎人会对地球上某一个部分的情况烂熟于心，比如加拿大森林、非洲草原等等。有些人可能从事盗猎活动，例如为私人收藏家捕捉珍稀动物，或者贩卖受保护的动物和违反道德的动物制品，如兽皮、象牙之类——虽然1920 年代大多数国家这些活动都不算违法。
尽管“王牌猎人”是最典型的类型，不过在加拿大育空的深山老林里打驼鹿和熊为生的土著人也可以算是猎人。</t>
  </si>
  <si>
    <t>书商</t>
  </si>
  <si>
    <t>20-40</t>
  </si>
  <si>
    <t>会计，估价，汽车驾驶，历史，图书馆，母语，外语，一项社交技能（取悦、话术、恐吓、说服）。</t>
  </si>
  <si>
    <t>√</t>
  </si>
  <si>
    <t>目录学家、其他书商、图书馆和大学、客户。</t>
  </si>
  <si>
    <t>书商可能拥有自己的店面或者利基(小众)邮购服务，也可能辗转全国甚至海外专门经销书籍。许多人拥有富有的，能提供利润丰厚又稀罕的工作的固定客户。</t>
  </si>
  <si>
    <t>赏金猎人</t>
  </si>
  <si>
    <t>汽车驾驶，电子学或电气维修，格斗或射击，一项社交技能（取悦、话术、恐吓、说服），法律，心理学，追踪，潜行。</t>
  </si>
  <si>
    <t>保释业者，本地警察，线人。</t>
  </si>
  <si>
    <t>赏金猎人捉拿罪犯并将他们交给正义去审判。最常见的情况是受保释人的委托去缉捕逃狱者。赏金猎人们为了自己的猎物可以不择手段，几乎不会考虑其他人的正当权益之类细枝末节的东西。
非法闯入、威胁、肢体暴力，都是赏金猎人屡试不爽的秘技。现在这些秘技还包括了电话窃听、黑客操作和其他的秘密监控。
(译注：所谓保释业者。向法院交纳保释金，可以在审判之前免受收押；若被保释者按时接受审判，法院会退还保释金。保释金数额较大，故有保释业者以提供保释金收取手续费为业。)</t>
  </si>
  <si>
    <t>拳击手、摔跤手</t>
  </si>
  <si>
    <t>9-60</t>
  </si>
  <si>
    <t>教育×2＋力量×2</t>
  </si>
  <si>
    <t>闪避，格斗（斗殴），恐吓，跳跃，心理学，侦查，任意两项其他个人或时代特长。</t>
  </si>
  <si>
    <t>运动会主办者，记者，犯罪组织，专业训练人员。</t>
  </si>
  <si>
    <t>拳击手和摔跤手各分为职业和业余两种。
职业拳击手和职业摔角手的活动由外部利益支持的贸助人安排，并有合同约束。他们还要进行全日制的工作和训练。
业余拳击的竞赛种类非常丰富，同时它也是那些想成为职业拳手的人的训练场。不过也有业余和准职业的选手靠参加黑市拳击赛谋生，举办这些比赛的通常是本地的黑社会或者是从中渔利的庄家。</t>
  </si>
  <si>
    <t>管家、男仆、女仆</t>
  </si>
  <si>
    <t>会计或估价，技艺（任一：如烹饪、裁缝、理发），急救，聆听，外语，心理学，侦查，任意一项其他个人或时代特长。</t>
  </si>
  <si>
    <t>计算方式</t>
  </si>
  <si>
    <t>神职人员</t>
  </si>
  <si>
    <t>会计，历史，图书馆，聆听，外语，一项社交技能（取悦、话术、恐吓、说服），心理学，任意一项其他技能。</t>
  </si>
  <si>
    <t>所有属性的点数相加</t>
  </si>
  <si>
    <t>教会高层、地方教会、小区领导。</t>
  </si>
  <si>
    <t>神职人员通常担任一个教区的牧师，或是经过分配外出传教，尤其是去国外(见传教士)。
不同的教会工作的侧重点和组织结构各不相同，如天主教会的牧师可能上升到主教、大主教和红衣主教，而一个卫理公会的牧师则会升职到教区主管和主教。
许多神职人员都接受忏悔(不仅仅是天主教)。虽然不能透露忏悔的内容，但是要怎样利用它们就全凭他们自己了。
有些教职人员在教堂接受医生、律师、学者的专业培训。这样的调查员应该选择最符合自己工作的职业模板。</t>
  </si>
  <si>
    <t>程序员、电子工程师（现代）</t>
  </si>
  <si>
    <t>10-70</t>
  </si>
  <si>
    <t>计算机，电气维修，电子学、图书馆，科学（数学），侦查，任意两项其他个人或时代特长。</t>
  </si>
  <si>
    <t>其他IT 工作者，同事和上司，专业网络小区。</t>
  </si>
  <si>
    <t>计算器程序员通常是设计、编写、测试、调试和维护计算器程序源代码的职业。他们精通从形式逻辑到系统平台(程序运行环境)的各种知识，可能是自由工作者，也可能供职于软件开发部门。
计算器技术人员负责计算器系统和网络的开发和维护工作，经常与其他人员(如项目经理)合作来保证系统的完整稳定和正常提供所需功能。类似的职业还包括数据库管理员、系统管理员、网络管理员、多媒体开发人员、软件工程师、网络管理员等。</t>
  </si>
  <si>
    <t>黑客/骇客（现代）</t>
  </si>
  <si>
    <t>计算机，电气维修，电子学，图书馆，侦查，一项社交技能（取悦、话术、恐吓、说服），任意两项其他技能。</t>
  </si>
  <si>
    <t>其他IT 工作者，专业网络小区，政治团体，犯罪组织。</t>
  </si>
  <si>
    <t>计算器黑客利用计算器和计算器网络为手段，进行干扰或破坏以达成政治目的(有时被称为“政治黑客”)或获取非法利益。达成目标的手段主要是非法入侵计算器和其他用户帐户，目的则可能包括篡改网页、人肉搜索、盗取身份信息、垃圾邮件炸弹、拒绝服务攻击等等。</t>
  </si>
  <si>
    <t>牛仔</t>
  </si>
  <si>
    <t>闪避，格斗或射击，急救或自然，跳跃，骑乘，生存（任一），投掷，追踪。</t>
  </si>
  <si>
    <t>本地企业家，州农业部门，牛仔比赛主办者，艺人。</t>
  </si>
  <si>
    <t>牛仔在西部的牧区和牧场工作。有些人拥有自己的牧场，更多的则是在各处打工为生。想赚大钱的牛仔会去冒着丢胳膊少腿乃至送命的危险参加牛仔巡回赛，通过旅行获取名誉。
在1920 年代，一些牛仔能在好莱坞找到西部片替身演员和群众演员的工作，例如怀特·厄普就曾为西部电影担任顾问。在现代，有些牧场也对想要体验一把牛仔生活的游客开放。</t>
  </si>
  <si>
    <t>工匠</t>
  </si>
  <si>
    <t>教育×2＋敏捷×2</t>
  </si>
  <si>
    <t>会计，技艺（任二），机械维修，自然，侦查，任意两项其他个人或时代特长。</t>
  </si>
  <si>
    <t>本地商人，其他工匠和艺术家。</t>
  </si>
  <si>
    <t>工匠也可能被人叫做师傅或大师，是擅长对各种材料进行手工加工的人。通常都是才能出众的人，有的凭借自己的艺术作品出名，有的则会服务于自己的小区。
可能的行当包括：家具、珠宝、钟表、陶艺、锻造、纺织、书法、裁缝、木工、书籍装裱、玩具制造、彩色玻璃吹制等等。</t>
  </si>
  <si>
    <t>罪犯-刺客</t>
  </si>
  <si>
    <t>30-60</t>
  </si>
  <si>
    <t>乔装，电气维修，格斗，射击，锁匠，机械维修，潜行，心理学。</t>
  </si>
  <si>
    <t>很少，大都是黑社会的人，人们尽量避免和他们交情过深。</t>
  </si>
  <si>
    <t>杀手是地下世界的冷血夺命者。这是一项严谨的活计，他们从外地受雇杀人，接近目标，果断下手，又迅速离开。杀手通常很难融入社会，因为很多杀手行为总是很刻板，其他人很容易以为他们不近人情。但是另一方面，他们也会结婚生子，在其他方面和普通人没有什么不同。</t>
  </si>
  <si>
    <t>罪犯-银行劫匪</t>
  </si>
  <si>
    <t>5-75</t>
  </si>
  <si>
    <r>
      <rPr>
        <sz val="11"/>
        <color rgb="FF000000"/>
        <rFont val="微软雅黑 Light"/>
        <family val="2"/>
        <charset val="134"/>
      </rPr>
      <t>教育×</t>
    </r>
    <r>
      <rPr>
        <sz val="11"/>
        <color indexed="8"/>
        <rFont val="微软雅黑 Light"/>
        <family val="2"/>
        <charset val="134"/>
      </rPr>
      <t>2＋力量或敏捷×2</t>
    </r>
  </si>
  <si>
    <t>汽车驾驶，电气维修或机械维修，格斗，射击，恐吓，锁匠，操作重型机械，任意一项其他个人或时代特长。</t>
  </si>
  <si>
    <t>同伙(不论是现在还是以前的)，独行罪犯，犯罪组织。</t>
  </si>
  <si>
    <t>罪犯的体格和相貌形形色色，有些是纯粹碰运气伺机行事，比如扒手和暴徒；有些则组成分工明确，会详细调查并制定计划的犯罪组织。后者包括银行劫匪、飞贼、赝造者和诈骗者。
罪犯可能为别人工作，后者通常是“匪帮”或罪犯家族；也可能单打独斗，如果成功的报酬值得去费力冒险，才会和别人搭伙。自由犯罪者则往往被称为抢劫犯、响马贼和江洋大盗。</t>
  </si>
  <si>
    <t>罪犯-打手、暴徒</t>
  </si>
  <si>
    <t>5-30</t>
  </si>
  <si>
    <r>
      <rPr>
        <sz val="11"/>
        <color rgb="FF000000"/>
        <rFont val="微软雅黑 Light"/>
        <family val="2"/>
        <charset val="134"/>
      </rPr>
      <t>教育×</t>
    </r>
    <r>
      <rPr>
        <sz val="11"/>
        <color rgb="FF000000"/>
        <rFont val="微软雅黑 Light"/>
        <family val="2"/>
        <charset val="134"/>
      </rPr>
      <t>2＋力量×2</t>
    </r>
  </si>
  <si>
    <t>汽车驾驶，格斗，射击，两项社交技能（取悦、话术、恐吓、说服），心理学，潜行，侦查。</t>
  </si>
  <si>
    <t>犯罪组织，本地执法机构，本地企业。</t>
  </si>
  <si>
    <t>打手、暴徒都是犯罪组织的兵卒。他们被犯罪组织豢养，不过团伙上层出事的时候，倒霉的往往是他们这些喽啰。对于他们来说，嘴紧和忠心属于职业道德。</t>
  </si>
  <si>
    <t>罪犯-窃贼</t>
  </si>
  <si>
    <t>5-40</t>
  </si>
  <si>
    <r>
      <rPr>
        <sz val="11"/>
        <color rgb="FF000000"/>
        <rFont val="微软雅黑 Light"/>
        <family val="2"/>
        <charset val="134"/>
      </rPr>
      <t>教育×</t>
    </r>
    <r>
      <rPr>
        <sz val="11"/>
        <color indexed="8"/>
        <rFont val="微软雅黑 Light"/>
        <family val="2"/>
        <charset val="134"/>
      </rPr>
      <t>2＋敏捷×2</t>
    </r>
  </si>
  <si>
    <t>估价，攀爬，电气维修或机械维修，聆听，锁匠，妙手，潜行，侦查。</t>
  </si>
  <si>
    <t>赃物贩子，其他的盗贼。</t>
  </si>
  <si>
    <t>罪犯-欺诈师</t>
  </si>
  <si>
    <t>10-65</t>
  </si>
  <si>
    <r>
      <rPr>
        <sz val="11"/>
        <color rgb="FF000000"/>
        <rFont val="微软雅黑 Light"/>
        <family val="2"/>
        <charset val="134"/>
      </rPr>
      <t>教育×</t>
    </r>
    <r>
      <rPr>
        <sz val="11"/>
        <color indexed="8"/>
        <rFont val="微软雅黑 Light"/>
        <family val="2"/>
        <charset val="134"/>
      </rPr>
      <t>2＋外貌×2</t>
    </r>
  </si>
  <si>
    <t>估价，技艺（表演），法律或外语，聆听，两项社交技能（取悦、话术、恐吓、说服），心理学，妙手。</t>
  </si>
  <si>
    <t>其他的诈骗师，独行罪犯。</t>
  </si>
  <si>
    <t>欺诈师通常都是油嘴滑舌的人物。他们或单独或集体出没在富裕的人家和小区周边，诈取他们来之不易的钱财。许多骗局覆杂精妙，诈骗团伙会倾巢出动乃至租用建筑；有些则不需要这么麻烦，只要一个骗子几分钟就能搞定。</t>
  </si>
  <si>
    <t>罪犯-独行罪犯</t>
  </si>
  <si>
    <t>5-65</t>
  </si>
  <si>
    <r>
      <rPr>
        <sz val="11"/>
        <color rgb="FF000000"/>
        <rFont val="微软雅黑 Light"/>
        <family val="2"/>
        <charset val="134"/>
      </rPr>
      <t>教育×</t>
    </r>
    <r>
      <rPr>
        <sz val="11"/>
        <color rgb="FF000000"/>
        <rFont val="微软雅黑 Light"/>
        <family val="2"/>
        <charset val="134"/>
      </rPr>
      <t>2＋敏捷或外貌×2</t>
    </r>
  </si>
  <si>
    <t>技艺（表演）或乔装，估价，一项社交技能（取悦、话术、恐吓、说服），格斗或射击，锁匠或机械维修，潜行，心理学，侦查。</t>
  </si>
  <si>
    <t>轻罪罪犯，本地执法机构。</t>
  </si>
  <si>
    <t>罪犯-女飞贼（古典）</t>
  </si>
  <si>
    <t>10-80</t>
  </si>
  <si>
    <t>技艺（任意），两项社交技能（取悦、话术、恐吓、说服），格斗（斗殴）或射击（手枪），汽车驾驶，聆听，潜行，任意一项其他个人或时代特长。</t>
  </si>
  <si>
    <t>黑帮，执法机构，本地企业</t>
  </si>
  <si>
    <t>女飞贼是名为专业大盗的女人。大部分都是独立行动，也有对自己的男伴言听计从的时候。
不过这也不一定，实际上情况可能完全相反，她完全可以在干了某一票以后就卷走所有现金和皮草溜之大吉。</t>
  </si>
  <si>
    <t>罪犯-赃物贩子</t>
  </si>
  <si>
    <t>会计，估价，技艺（伪造），历史，一项社交技能（取悦、话术、恐吓、说服），图书馆，侦查，任意一项其他技能。</t>
  </si>
  <si>
    <t>犯罪组织，贸易伙伴，黑市和和守法的买主。</t>
  </si>
  <si>
    <t>赃物贩子，顾名思义是买卖偷抢来的财产，通常是收购赃物并转手卖给其他罪犯或(无意中)守法的顾客。主要来说，他们是小偷和买家的中间人，有时也会从交易中收取提成；不过更常见的还是以极低的价格直接收购赃物。</t>
  </si>
  <si>
    <t>罪犯-赝造者</t>
  </si>
  <si>
    <t>20-60</t>
  </si>
  <si>
    <t>会计，估价，技艺（伪造），历史，图书馆，侦查，妙手，任意一项其他个人或时代特长（如计算机）。</t>
  </si>
  <si>
    <t>犯罪组织，商人。</t>
  </si>
  <si>
    <t>赝造者是地下世界的艺术家，专门从事伪造官方文件、契约、转让书，并提供伪造的签名。初学者只能做做小贼的假身份证，而顶级的赝造者连印假币的铸模都能做。</t>
  </si>
  <si>
    <t>罪犯-走私者</t>
  </si>
  <si>
    <r>
      <rPr>
        <sz val="11"/>
        <color rgb="FF000000"/>
        <rFont val="微软雅黑 Light"/>
        <family val="2"/>
        <charset val="134"/>
      </rPr>
      <t>教育×</t>
    </r>
    <r>
      <rPr>
        <sz val="11"/>
        <color rgb="FF000000"/>
        <rFont val="微软雅黑 Light"/>
        <family val="2"/>
        <charset val="134"/>
      </rPr>
      <t>2＋外貌或敏捷×2</t>
    </r>
  </si>
  <si>
    <t>射击，聆听，导航，一项社交技能（取悦、话术、恐吓、说服），汽车驾驶或驾驶（飞行器或船），心理学，妙手，侦查。</t>
  </si>
  <si>
    <t>犯罪组织，海岸卫队，海关官员。</t>
  </si>
  <si>
    <t>走私一直是一个有利可图的高风险行当。走私者往往有一个合法的表面职业，比如船长、飞行员或商人，以掩盖他们非法运输的行为。</t>
  </si>
  <si>
    <t>罪犯-混混</t>
  </si>
  <si>
    <t>3-10</t>
  </si>
  <si>
    <t>攀爬，一项社交技能（取悦、话术、恐吓、说服），格斗，射击，跳跃，妙手，潜行，投掷。</t>
  </si>
  <si>
    <t>其他轻罪罪犯，其他混混，本地的赃物贩子，黑帮，当然还有警察。</t>
  </si>
  <si>
    <t>街头混混一般都是些小年轻，弄不好还在寻觅加入真正黑帮的契机。不过他们的本事也就限于偷车，盗窃商店货物，抢钱或者夜盗。</t>
  </si>
  <si>
    <t>教团首领</t>
  </si>
  <si>
    <t>会计，两项社交技能（取悦、话术、恐吓、说服），神秘学，心理学，侦查，任意其他两项其他个人特长。</t>
  </si>
  <si>
    <t>主要的信徒都是普通人。不过首领的魅力越高，信徒当中有电影明星或者富有的寡妇之类名人的可能性就越大。</t>
  </si>
  <si>
    <t>美国的新兴宗教层出不穷。直到现在，也还有从新英格兰超验主义到“天父的儿女”等等许多种类。教团首领有的创立了严格的教条并且对信徒推行，另一些则仅仅是垂涎于信徒的金钱和权势。
在1920 年代，各种诱惑性的新兴宗教团体纷纷涌现。有些采取基督教的形式，有些则混杂了东方的神秘主义和神秘学的仪式。美国西海岸的人对这些教团屡见不鲜，不过其他形式的教团全国各地都存在。在美国南部的“圣经带”，就有许多巡回帐篷演出圣歌、舞蹈，推行信仰覆兴。其他国家也是一样，只要有需要信仰的人，就会有新兴宗教团体。</t>
  </si>
  <si>
    <t>除魅师（现代）</t>
  </si>
  <si>
    <t>两项社交技能（取悦、话术、恐吓、说服），汽车驾驶，格斗（斗殴）或射击，历史，神秘学，心理学，潜行。※经KP允许 可用催眠替换其中一项。</t>
  </si>
  <si>
    <t>本地和国家的执法机构，罪犯，宗教团体。</t>
  </si>
  <si>
    <t>除魅师的工作是说服(或者强迫)一个人放弃自己的信仰或是对宗教团体、社会团体的忠心。他们一般受雇于深陷教团之类组织的人的亲属，任务就是解救对方(通常靠绑架)，并通过心理学手段使他们割断与原来教团的联系(“控制”)。
也有不那么激烈的除魅师，他们的工作对象则是那些自愿离开教团的人，为他们完全地退出教团进行有效的指导。</t>
  </si>
  <si>
    <t>设计师</t>
  </si>
  <si>
    <t>会计，技艺（摄影），技艺（任一），计算机或图书馆，机械维修，心理学，侦查，任意一项其他个人特长。</t>
  </si>
  <si>
    <t>广告业，媒体，家具业，建筑业，其他。</t>
  </si>
  <si>
    <t>设计师的工作包括许多方面，从时装到家具或是其他任何东西。他们自由工作，为设计工作室和企业设计产品、流程、法律、游戏、图像等等。
调查员特定的设计方向也会影响他们对专业技能的选择，如果需要的话要进行调整。</t>
  </si>
  <si>
    <t>业余艺术爱好者（原作向）</t>
  </si>
  <si>
    <t>50-99</t>
  </si>
  <si>
    <t>技艺（任一），射击，外语，骑乘，一项社交技能（取悦、话术、恐吓、说服），任意三项其他个人或时代特长。</t>
  </si>
  <si>
    <t>多种多样，但通常是背景和趣味相近的人。同好会组织、波希米亚主义者、上流社会。</t>
  </si>
  <si>
    <t>业余艺术爱好者靠经济自立、遗产继承、信托基金或者其他各种来源保障自己的生活开支，没有必要自己工作。如果经济条件足够好，他们甚至可以雇佣专业的经济顾问来打理自己的产业。他们可能有很高的学历，但不一定是真才实学；优越的经济条件使得他们性情古怪，口无遮拦。
在1920 年代，这些人可能会被时人称为“摩登女郎”或者“公子哥儿”，当然想当一个社交“名流”其实并不要求他有多有钱。换作现代，“时髦”则是恰如其分的形容词。
业余艺术爱好者有着大把的时间考虑如何变得潇洒世故，不过花这些时间去做别的事可是违背他们的天性和兴致。</t>
  </si>
  <si>
    <t>潜水员</t>
  </si>
  <si>
    <t>潜水，急救，机械维修，驾驶（船），科学（生物），侦查，游泳，任意一项其他个人或时代特长。</t>
  </si>
  <si>
    <t>海岸警卫队，船长，军队，执法机构，走私者。</t>
  </si>
  <si>
    <t>潜水员可能在军队、执法机构或海绵采集、海上救援、环境保护甚至水下寻宝的民间机构工作。</t>
  </si>
  <si>
    <t>医生（原作向）</t>
  </si>
  <si>
    <t>30-80</t>
  </si>
  <si>
    <t>急救、医学、外语（拉丁文）、心理学、科学（生物学，制药），任两种其他学术或个人特长。</t>
  </si>
  <si>
    <t>其他医生，医护工作者，病人和前病人。</t>
  </si>
  <si>
    <t>医生这里可能是指全科医生、外科医生、其他专科医生或者独立医学研究员。除去个人的目标以外，救死扶伤、获得财富和荣誉、提升公众的理性意识和科学素养也常常是医生的理想。
农村和小城镇的卫生院是全科医生的舞台，而大城市的各大医院则是高手如云，集聚了众多专攻病理学、毒理学、整形外科、脑外科等领域的专家。有些医生也可能担任全职或兼职的法医，进行尸检，并为市、县、州级执法机构出具检验报告。
在美国，行医资格由各州认证，大多要求最少两年的正规医学院校学习经历。不过这个规定还是比较晚近的，在1920 年代很多年长的医生尽管没受过任何正规专业教育，仍然可以获得医师执照。</t>
  </si>
  <si>
    <t>流浪者</t>
  </si>
  <si>
    <t>0-5</t>
  </si>
  <si>
    <t>教育×2＋外貌或敏捷或力量×2</t>
  </si>
  <si>
    <t>攀爬，跳跃，聆听，导航，一项社交技能（取悦、话术、恐吓、说服），潜行，任意两项其他个人或时代特长。</t>
  </si>
  <si>
    <t>其他流浪者，少数友善的铁路工人，城镇里众多的好心人。</t>
  </si>
  <si>
    <t>相对于那些因贫困而苦恼的人，流浪者选择四处漂泊的生活，可能是出于社会、哲学、经济的原因，或只是渴望摆脱社会的约束。
流浪汉需要工作，有时几天或几个月，但他们应对问题时往往选择流动和孤立，而不是舒适和亲近。在美国，这种情况尤其常见，只要旅行本身没有什么危险，就会有人选择漂泊为生。</t>
  </si>
  <si>
    <t>司机-私人司机</t>
  </si>
  <si>
    <t>汽车驾驶，两项社交技能（取悦、话术、恐吓、说服），聆听，机械维修，导航，侦查，任意一项其他个人或时代特长。</t>
  </si>
  <si>
    <t>成功商界人士(包括罪犯)，政要。</t>
  </si>
  <si>
    <t>私人司机是直接受雇于个人或企业，或者是专门提供连人带车的私人司机业务的中介机构。</t>
  </si>
  <si>
    <t>司机-司机</t>
  </si>
  <si>
    <t>会计，汽车驾驶，聆听，一项社交技能（取悦、话术、恐吓、说服），机械维修，导航，心理学，任意一项其他个人或时代特长。</t>
  </si>
  <si>
    <t>顾客，企业，执法机构和街头路人。</t>
  </si>
  <si>
    <t>专职司机可能为企业、个人工作，也可能拥有自己的出租车或货车。通常司机还要通过警方的背景调查，获得特殊的驾驶许可证。</t>
  </si>
  <si>
    <t>司机-出租车司机</t>
  </si>
  <si>
    <t>会计，汽车驾驶，电气维修，话术，机械维修，导航，侦查，任意一项其他个人或时代特长。</t>
  </si>
  <si>
    <t>街头路人，偶尔有一些有名的顾客。</t>
  </si>
  <si>
    <t>出租车司机可能属于大大小小的出租车公司，也可能靠自己的车和证件运营(在美国，需要出租车牌照)。出租车公司负责为出租车司机登记车辆并分配调度，方便司机自由揽客。出租车上必须统一安装计价器，并由出租车协会进行定期检查。</t>
  </si>
  <si>
    <t>编辑</t>
  </si>
  <si>
    <t>10-30</t>
  </si>
  <si>
    <t>会计，历史，母语，两项社交技能（取悦、话术、恐吓、说服），心理学，侦查，任意一项其他个人或时代特长。</t>
  </si>
  <si>
    <t>新闻业界，地方政府，专业人士(如时装设计师、运动员、商人)，出版社。</t>
  </si>
  <si>
    <t>编辑的工作包括审核记者的稿件，撰写报刊社论，应对各种突发事件、到了截稿时间要催稿，编辑工作只好偶尔为之啦。大型报社的编辑数量众多，包括比起新闻编辑更多参与业务运营的主编。其他编辑专门负责时尚、体育或者其他板块。许多小报可能就只有一个编辑，他甚至有可能就是报社的业主或者唯一的全职员工。</t>
  </si>
  <si>
    <t>政府官员</t>
  </si>
  <si>
    <t>50-90</t>
  </si>
  <si>
    <t>取悦，历史，恐吓，话术，聆听，母语，说服，心理学。</t>
  </si>
  <si>
    <t>公务员，政府，新闻媒体，企业，外国政府，可能有犯罪组织。</t>
  </si>
  <si>
    <t>以民选方式选举出来的政府官员享有与他们的职位相符的声望。小城市的市长和城镇的镇长之类，他们的影响力基本出不了城镇的范围，而且这样的职务基本上是兼职的，报酬也很少。大城市的市长，工资就相当可观了，而且还能把自己的城市管理得像小王国一样，影响力和权力比所在州的州长还要大。
州议会的众参两院议员是相当有面子的职位，尤其是在商界和本州岛的其他业界。
州长负责全州的事务，是联系各州和国家的纽带。
联邦政府拥有最高等级的影响力。众议院议员由各州按本州岛人口所占比重选派的共400 余名议员组成，任期为两年。参议院则是不论各州大小，每州选派两名议员到花生屯任职。任期长达六年，人数不超过一百，所以参议员更是权倾一方，许多年长的议员能够享受总统级的待遇。
在英国，下议院议员由选举产生，任期四到五年；上议院议员则不由选举产生，是世袭制或由君主指任。</t>
  </si>
  <si>
    <t>工程师</t>
  </si>
  <si>
    <t>技艺（技术制图），电气维修，图书馆，机械维修，操作重型机械，科学（工程学，物理），任意一项其他个人或时代特长。</t>
  </si>
  <si>
    <t>生意伙伴或部队同事，地方政府，建筑师。</t>
  </si>
  <si>
    <t>工程师精通机械和电气设备，可能在民间或军工企业工作，也可能是个发明家。他们擅长应用科学、数学知识和丰富的创造思维，解决各种技术问题。</t>
  </si>
  <si>
    <t>艺人</t>
  </si>
  <si>
    <t>技艺（表演类，如表演、演唱、喜剧等），乔装，两项社交技能（取悦、话术、恐吓、说服），聆听，心理学，任意两项其他个人或时代特长。</t>
  </si>
  <si>
    <t>歌舞杂技团，剧院，电影工作室，娱乐评论家，犯罪组织，电视台(现代)。</t>
  </si>
  <si>
    <t>艺人包括小丑、歌手、舞蹈演员、喜剧演员、杂耍艺人、魔术师，各种以在人前表演谋生的人。他们乐于向更多的人表现自己的能力，并期待观众回报的掌声。
在1920 年代，这一职业并不受人尊重。不过1920 年代好莱坞明星的高薪彻底改变了很多人的想法，现在这个职业背景已经通常被视作是优势了。</t>
  </si>
  <si>
    <t>探险家（古典）</t>
  </si>
  <si>
    <t>55-80</t>
  </si>
  <si>
    <t>攀爬或游泳，射击，历史，跳跃，自然，导航，外语，生存。</t>
  </si>
  <si>
    <t>大图书馆，大学，博物馆，富有的赞助者，其他探险家，出版社，外国政府官员，本地土著。</t>
  </si>
  <si>
    <t>在20 世纪早期，这世界还有许多地区尚未有人涉足，而探索这些地方正是探险家的工作。这种令人兴奋不已的生活方式，其经济来源则是科学界的赞助、私人的捐赠、博物馆的委托和报纸杂志图书电影的版权等等。
黑非洲的大部分仍然不为人知，同样的地方还包括了南美的马托格罗索高原，澳大利亚的大沙沙漠，撒哈拉和阿拉伯沙漠，和亚洲的茫茫戈壁。尽管南北极点已经被探险家征服了，但周围很大部分的地区仍然是未知的。</t>
  </si>
  <si>
    <t>农民</t>
  </si>
  <si>
    <t>技艺（耕作），汽车驾驶（或运货马车），一项社交技能（取悦、话术、恐吓、说服），机械维修，自然，操作重型机械，追踪，任意一项其他个人或时代特长</t>
  </si>
  <si>
    <t>地方银行，地方政治家，各州农业部门。</t>
  </si>
  <si>
    <t>农民可能自己拥有土地，自己从事农牧业，也可能是受雇在农场工作。农业劳动繁重而枯燥，特别适合那些喜欢户外体力劳动的人。
1920 年代是美国城镇人口超过农村人口的首个十年。从这时起一直到现在，自耕农民都在受到规模化农业企业和剧烈波动的农产品市场的双重冲击。</t>
  </si>
  <si>
    <t>联邦探员</t>
  </si>
  <si>
    <t>汽车驾驶，格斗（斗殴），射击，法律，说服，潜行，侦查，任意一项其他个人或时代特长。</t>
  </si>
  <si>
    <t>联邦司法机构，执法机构，犯罪组织。</t>
  </si>
  <si>
    <t>联邦执法机构和特工种类各异。有些身着制服，比如美国司法部的人员；另外一些则穿便服，工作内容也类似警探，比如联邦调查局的人员。</t>
  </si>
  <si>
    <t>消防员</t>
  </si>
  <si>
    <t>攀爬，闪避，汽车驾驶，急救，跳跃，机械维修，操作重型机械，投掷。</t>
  </si>
  <si>
    <t>市政工人，医务人员，执法机构。</t>
  </si>
  <si>
    <t>消防员是公职人员，通常为所管辖的小区服务。他们夜以继日地工作，或者连续几天的倒班工作，吃住包括娱乐活动都要局限在消防局里。消防员的管理结构类似军队，职位包括中尉、上尉和局长等等。</t>
  </si>
  <si>
    <t>驻外记者</t>
  </si>
  <si>
    <t>历史，外语，母语，聆听，两项社交技能（取悦、话术、恐吓、说服），心理学，任意一项其他个人或时代特长。</t>
  </si>
  <si>
    <t>国内外新闻界，外国政府，军队。</t>
  </si>
  <si>
    <t>驻外记者是新闻界的精英人才。他们拿着固定工资,靠报销单环游全世界。在 1920 年代,驻外记者通常供职于大型报社、广播电台、或者国家级通讯社。当代的驻外记者也可能自由撰稿或 者为电视台、网络通讯社和国际新闻通讯社工作。
这个职业的工作内容五花八门,经常能激动人心。不过博物学灾害、政治动荡和战争也会成为驻外记者报导的主要内容,工作也不总是一帆风 顺。</t>
  </si>
  <si>
    <t>法医</t>
  </si>
  <si>
    <t>40-60</t>
  </si>
  <si>
    <t>外语（拉丁文），图书馆，医学，说服，科学（生物学，药学，司法科学），侦查。</t>
  </si>
  <si>
    <t>实验室工作人员，执法机构，医护人员。</t>
  </si>
  <si>
    <t>法医是一个高度专门化的职业,大多数法医为市、县或州执法机构工作。工作内容包括尸体解剖,推定死因,并为公诉人提供建议。法医也常常会在刑事审判中出庭提供证言。</t>
  </si>
  <si>
    <t>赌徒</t>
  </si>
  <si>
    <t>8-50</t>
  </si>
  <si>
    <r>
      <rPr>
        <sz val="11"/>
        <color rgb="FF000000"/>
        <rFont val="微软雅黑 Light"/>
        <family val="2"/>
        <charset val="134"/>
      </rPr>
      <t>教育×</t>
    </r>
    <r>
      <rPr>
        <sz val="11"/>
        <color indexed="8"/>
        <rFont val="微软雅黑 Light"/>
        <family val="2"/>
        <charset val="134"/>
      </rPr>
      <t>2＋外貌或敏捷×2</t>
    </r>
  </si>
  <si>
    <t>会计，技艺（表演），两项社交技能（取悦、话术、恐吓、说服），聆听，心理学，妙手，侦查。</t>
  </si>
  <si>
    <t>其他赌徒，犯罪组织，街头路人。</t>
  </si>
  <si>
    <t>赌徒是罪犯世界里最花哨的一群人。他们衣 着光鲜,不论朴实还是华丽都魅力四射。不论是靠赛马、纸牌游戏还是其他赌博方式,他们总是要凭自己的运气过活。
老练的赌徒会频繁地光顾犯罪组织开设的地 下赌场。少数赌场高手可能经常参加漫长而又一掷千金的豪赌,甚至可能有外部利益集团作为后台。
低级的赌徒则出入于狭窄的小巷,在骰子房 耍弄灌铅的骰子,或者是挤坐在阴暗的台球室里。</t>
  </si>
  <si>
    <t>黑帮-黑帮老大</t>
  </si>
  <si>
    <t>60-95</t>
  </si>
  <si>
    <t>格斗，射击，法律，聆听，两项社交技能（取悦、话术、恐吓、说服），心理学，侦查。</t>
  </si>
  <si>
    <t>犯罪组织，街头罪犯，警察，地方政府，政治家，法官，工会，律师，同民族的代表。</t>
  </si>
  <si>
    <t>黑帮可能是整个城市、一部分城市的大佬, 也可能只是给这些大佬打工的马仔。马仔们通常 有自己的保护范围,比如监管非法运输和收取保 护费等等。老板总管业务,负责交易,并要就各 种各样的问题给马仔们拿主意。更重要的是,老 板可以各种高人一等,只要能找到马仔或者小弟 去干的事,他基本是不肯污了自己的手去做的。
黑社会在 1920 年代上升为突出的社会问题。本来仅限于在本地收收保护费和管管赌场的外国 裔黑帮,不约而同地发现了贩卖私酒带来的巨大 利润。没过多久,他们就掌控了城市的大片区域, 并在街上和其他黑帮火并。虽然大部分黑帮是按 来源的民族划分——如爱尔兰裔、意大利裔、非 洲裔和犹太裔,黑帮的成员仍然可能是任何民族。
如今,贩毒则取代其他,成为多数黑帮中来 钱最快的犯罪门路。和 1920 年代前辈的工作方法 类似,现在的黑帮老大也需要大量的小弟来负责 保卫、推广、在街道里推行自己的业务。
除去贩私酒和贩毒以外,卖淫、保护、赌博、 腐败等等都是这些犯罪组织的业务范围。</t>
  </si>
  <si>
    <t>黑帮-马仔</t>
  </si>
  <si>
    <t>汽车驾驶，格斗，射击，两项社交技能（取悦、话术、恐吓、说服），心理学，任意两项其他个人或时代特长。</t>
  </si>
  <si>
    <t>街头罪犯，警察，企业，同民族的代表。</t>
  </si>
  <si>
    <t>绅士、淑女</t>
  </si>
  <si>
    <t>40-90</t>
  </si>
  <si>
    <t>技艺（任一），两项社交技能（取悦、话术、恐吓、说服），射击（步枪/霰弹枪），历史，外语（任一），导航，骑乘。</t>
  </si>
  <si>
    <t>上流社会和乡绅，政治家，仆人和农民。</t>
  </si>
  <si>
    <t>绅士淑女指的是有良好的教养品行、举止彬彬有礼的人。通常用来称呼上流社会(通过继承 或津贴)拥有相当财富的人。
在上世纪 20 年代,这样的人至少要有一个仆 人(管家、男仆、女仆、私人司机),还要有城 市或乡村的宅第。家庭的富有并不重要,因为家庭的社会地位往往比财产更被上流社会所看重。</t>
  </si>
  <si>
    <t>游民</t>
  </si>
  <si>
    <t>教育×2＋外貌或敏捷×2</t>
  </si>
  <si>
    <t>技艺（任一），攀爬，跳跃，聆听，锁匠或妙手，导航，潜行，任意一项其他个人或时代特长。</t>
  </si>
  <si>
    <t>其他游民，少数友好的铁路员工，许多城镇里的好心人。</t>
  </si>
  <si>
    <t>游民只有少数的人愿意去当,虽然失业的人、 醉倒在阴沟里的醉鬼到处都是。和流浪者只会在 必需时才工作不同,游民的工作本身就是流浪。
他们不断地坐火车旅行,从一个城市辗转到 另一个城市,他们是身无分文的诗人、漂泊者, 铁路上的探索者、冒险者和盗贼。但是铁路上的生活一样充满危险。且不说穷困潦倒、无家可归, 还要面对来自警察、周围居民和铁路员工的敌意。另外在深夜中跳车并不是一件容易的事,在跳车的时候被车厢夹断过手脚的人可是不可胜数。</t>
  </si>
  <si>
    <t>勤杂护工</t>
  </si>
  <si>
    <t>6-15</t>
  </si>
  <si>
    <r>
      <rPr>
        <sz val="11"/>
        <color rgb="FF000000"/>
        <rFont val="微软雅黑 Light"/>
        <family val="2"/>
        <charset val="134"/>
      </rPr>
      <t>教育×</t>
    </r>
    <r>
      <rPr>
        <sz val="11"/>
        <color indexed="8"/>
        <rFont val="微软雅黑 Light"/>
        <family val="2"/>
        <charset val="134"/>
      </rPr>
      <t>2＋力量×2</t>
    </r>
  </si>
  <si>
    <t>电气维修，一项社交技能（取悦、话术、恐吓、说服），格斗（斗殴），急救，聆听，机械维修，心理学，潜行。</t>
  </si>
  <si>
    <t>其他医疗人员，病人。允许接触医疗记录、药品等等。</t>
  </si>
  <si>
    <t>勤杂护工在医院的工作包括倒垃圾、打扫房间、运送病人,还有一些其他乱七八糟的工作。总之对他们的要求不比对看门人多多少。</t>
  </si>
  <si>
    <t>记者(原作向)-调查记者</t>
  </si>
  <si>
    <t>技艺（艺术或摄影），一项社交技能（取悦、话术、恐吓、说服），历史，图书馆，母语，心理学，任意两项其他个人或时代特长。</t>
  </si>
  <si>
    <t>新闻界，政治家，街头罪犯和执法机构。</t>
  </si>
  <si>
    <t>记者用文字对当天的新闻事件进行报导与评 论,一天之内就要完成一个作家一周的工作量。他们通常为报纸、杂志、广播电台、电视台或者新闻网站撰稿。
优秀的调查记者在报导事件的同时,即使面对丑恶,也能保持自身的清廉正直。恶心的记者则被现实所压倒,最终丧失自己的节操,肆意操纵文字歪曲真相。</t>
  </si>
  <si>
    <t>记者(原作向)-通讯记者</t>
  </si>
  <si>
    <t>技艺（表演），历史，聆听，母语，一项社交技能（取悦、话术、恐吓、说服），心理学，潜行，侦查。</t>
  </si>
  <si>
    <t>新闻媒体，政治团体与政府，商界，执法机构，街头罪犯，上流社会。</t>
  </si>
  <si>
    <t>通讯记者则是新闻传媒行业大军中的一员, 不管是自由撰稿或是在报社、杂志社、新闻网站、 通讯社工作。大部分记者从事实地工作,包括走 访见证人、查看记录、收集叙述。有些记者被安 排专门追踪警界、体育界或商界的热点新闻,其他人则是负责社会事件乃至园艺俱乐部之类的事情。
通讯记者都会携带记者证,不过记者证除了 各通讯社(主要是报社)用来识别自己的雇员以 外没有太大的作用。实际上记者的工作内容更像 私家侦探,有时为了获得第一手消息也难免使点嘴上花招。</t>
  </si>
  <si>
    <t>法官</t>
  </si>
  <si>
    <t>50-80</t>
  </si>
  <si>
    <t>历史，恐吓，法律，图书馆，聆听，母语，说服，心理学。</t>
  </si>
  <si>
    <t>法律界，可能有犯罪组织。</t>
  </si>
  <si>
    <t>法官是主持审判全过程的人,可能单独工作或是和同事组成合议庭。一般是推选或任命制, 工作年限也分定期和终身。有的人是初出茅庐就当了法官,而其余的绝大多数,不论是在联邦最高法院还是遥远西部小镇的法官,其实至少都是经过注册的律师。</t>
  </si>
  <si>
    <t>实验室助理</t>
  </si>
  <si>
    <t>计算机或图书馆，电气维修，外语，科学（化学和任意两项），侦查，任意一项其他个人特长。</t>
  </si>
  <si>
    <t>大学，科学家，图书馆。</t>
  </si>
  <si>
    <t>实验室助理在科研环境中工作,在首席科学家的监督下进行实验和行政工作。
研究内容可能依首席科学家的研究学科而变 化。但基本都包括取样、测试、记录和分析数据、 调整和进行实验、制备标本和样品、管理实验室的日常工作,和保护工作人员的健康与安全。</t>
  </si>
  <si>
    <t>工人-非熟练工人</t>
  </si>
  <si>
    <t>汽车驾驶，电气维修，格斗，急救，机械维修，操作重型机械，投掷，任意一项其他个人或时代特长。</t>
  </si>
  <si>
    <t>其他工人和行业主管</t>
  </si>
  <si>
    <t>工人这一大类职业包括工厂工人、纺织工人、 码头工人、养路工人、矿工、建筑工人等等。工人分为两种类型:熟练工和非熟练工。普通的工人虽然技术不熟练,但是仍然长于使用电动工具、 起重机和其他工厂设备。</t>
  </si>
  <si>
    <t>工人-伐木工</t>
  </si>
  <si>
    <t>攀爬，闪避，格斗（链锯），急救，跳跃，机械维修，自然或科学（生物学或植物学），投掷。</t>
  </si>
  <si>
    <t>林业工人，野外向导和环境保护者。</t>
  </si>
  <si>
    <t>工人-矿工</t>
  </si>
  <si>
    <t>攀爬，科学（地质），跳跃，机械维修，操作重型机械，潜行，侦查，任意一项其他个人或时代特长。</t>
  </si>
  <si>
    <t>工会干部，政治团体。</t>
  </si>
  <si>
    <t>律师</t>
  </si>
  <si>
    <t>会计，法律，图书馆，两项社交技能（取悦、话术、恐吓、说服），心理学，两项其他技能。</t>
  </si>
  <si>
    <t>犯罪组织，资本家，检察官和法官。</t>
  </si>
  <si>
    <t>律师或法律顾问精通他们所在地区的法律，擅长把抽象的法学理论知识联系起来，为客户解决法律方面的疑难，担任辩护代理、法律顾问的工作，为客户提供解决办法。可能受托处理个人案件、接受法院指定，也可能专门为某个富裕客户或公司服务。
在美国，“律师”一词一般只指辩护律师。在英国，“律师”一词则包括高级律师、初级律师还有一些执法机构。
假如碰上好客户的话，律师自己也可以一战成名，少数律师还能以自己在政治经济方面的获益吸引媒体的关注。</t>
  </si>
  <si>
    <t>图书馆管理员（原作向）</t>
  </si>
  <si>
    <t>9-35</t>
  </si>
  <si>
    <t>会计，图书馆，外语，母语，任意四项其他个人特长或专业书籍主题。</t>
  </si>
  <si>
    <t xml:space="preserve">书商，社会团体，专业研究人员。
</t>
  </si>
  <si>
    <t>图书馆管理员在公共机构和图书馆工作，负责管理图书目录和书库，并处理图书借阅等。在现代，图书馆管理员还要负责管理视听数据、电子书库。
一些大公司可能聘用图书馆管理员管理书库，偶尔还会有富有的图书藏家招收他们管理自己的私人藏书。</t>
  </si>
  <si>
    <t>技师</t>
  </si>
  <si>
    <t>技艺（木工、焊接、管道工等），攀爬，汽车驾驶，电气维修，机械维修，操作重型机械，任意两项其他个人或时代或技术特长。</t>
  </si>
  <si>
    <t>工会成员，其他专业技术人员。</t>
  </si>
  <si>
    <t>技师包括所有需要专业训练和作为学徒或实习生工作经验的职业，例如木工、石工、管道工、电气维修、设备安装工人、机修工人等等这些需要技术资质的职业。通常这些工人有自己的工会组织，会和承包人和雇主争取自己的权益。</t>
  </si>
  <si>
    <t>军官</t>
  </si>
  <si>
    <t>20-70</t>
  </si>
  <si>
    <t>会计，射击，导航，急救，两项社交技能（取悦、话术、恐吓、说服），心理学，任意一项其他个人或时代特长。</t>
  </si>
  <si>
    <t>部队，联邦政府。</t>
  </si>
  <si>
    <t>军官有严格的等级，许多等级还需要高等教育学历。各国武装部队都建立了人才培养系统，其中包括大学教育。在美国，许多大学开设军校生训练项目，可以让学员同时接受文化教育和军事训练。毕业的学员可以授以陆军或海军少尉军衔，并分派到各驻地。他们通常会为国家服役四年，之后可以退役覆员。许多人有专门的任命，作为医生、律师和工程师工作。
寻求军旅生涯的人会为进入西点军校和美国海军军官学校这样的著名军校而努力，拥有这些名校学历很容易得到其他军官的尊敬。离开学校以后，许多军官也会选择接受飞行训练等特殊训练。
富有经验，特别值得提升的士兵会被破例提拔为一级准尉。虽然在名义上位列最末，获得这一军衔所需要的时间和经验意味着他们远比普通的初中级军官更受尊敬。绝大多数军衔是终身荣誉，退役多年的军官仍然可以自称上尉或者将军。</t>
  </si>
  <si>
    <t>传教士</t>
  </si>
  <si>
    <t>0-30</t>
  </si>
  <si>
    <t>技艺（任一），急救，机械维修，医学，自然，一项社交技能（取悦、话术、恐吓、说服），任意两项其他个人或时代特长。</t>
  </si>
  <si>
    <t>教会阶层，外国官员。</t>
  </si>
  <si>
    <t>传教士云游到世界的各个角落，传播神的旨意，在文明的地方拯救“不幸的原始人”和“迷途的灵魂”。他们可能属于天主教、新教、伊斯兰教或者其他信仰系统，比如后期圣徒教会(摩门教)在欧美就有专门的传道所。
有的传教士只凭自己的意志独立行动，有的则可能有教会以外的组织支持。
基督教、伊斯兰教的传教者，佛教、印度教的法师，在全世界各个时代都能遇到。</t>
  </si>
  <si>
    <t>登山家</t>
  </si>
  <si>
    <t>攀爬，急救，跳跃，聆听，导航，外语，生存（阿尔卑斯或类似），追踪。</t>
  </si>
  <si>
    <t>其他登山者，环境保护者，赞助人，担保人，本地救援队或执法机构，护林员，运动俱乐部。</t>
  </si>
  <si>
    <t>登山家一般都是利用业余时间和假期的运动员，只有少数攀登著名高山的人才会去寻找财力和设备的赞助。
19 世纪登山运动开始兴起，到了1920 年代，所有美洲和阿尔卑斯地区的主要山峰都被一一征服。经过与西藏人的冗长谈判之后，外国登山队终于获准进入喜马拉雅山的高峰地区。作为世界上最后未被征服的高峰，对珠峰的进军经常被电台和报纸报道。不过1921、1922、1924 年的三次远征都没能达到峰顶，还造成了13 人死亡。
到了现代，登山可以是休闲运动或职业选择。如果是后者，则工作内容包括教练、向导、运动员或救生员等。
(译注：1920 年代的登山队都是取道中国境内的北坡，故正是与西藏地方政府进行的商谈。)</t>
  </si>
  <si>
    <t>博物馆管理员</t>
  </si>
  <si>
    <t>会计，估价，考古，历史，图书馆，神秘学，外语，侦查。</t>
  </si>
  <si>
    <t>本地的大学和学者，出版社，博物馆赞助者。</t>
  </si>
  <si>
    <t>博物馆管理员可能负责大学或其他公共机构的大型设施，也可能负责小一些的博物馆，往往对本地的地质或者其他的内容颇有研究。</t>
  </si>
  <si>
    <t>教育×2＋意志或敏捷×2</t>
  </si>
  <si>
    <t>技艺（乐器），一项社交技能（取悦、话术、恐吓、说服），聆听，心理学，四项其他技能。</t>
  </si>
  <si>
    <t>俱乐部老板，音乐家协会，犯罪组织，街头罪犯。</t>
  </si>
  <si>
    <t>音乐家可能加入乐团、乐队或者独奏，演奏的乐器则可以是任何你能想象的种类。音乐家想出人头地十分困难，签约发布唱片就更难了。所以绝大多数音乐家都贫穷又无人关注，只靠街头卖艺勉强维持生计。少数幸运儿可以找到固定工作，比如在酒吧、宾馆或者市交响乐团弹钢琴。对更少的人来说，在正确的时间出现在正确的地点，再加上一点点天赋，就能获得巨大的成功和可观的财富。
1920 年代是爵士乐的年代，众多的音乐家在美国各地的大中城市、城镇里的爵士乐队和交响乐队工作。少数音乐家住在芝加哥和纽约之类的大城市并在那里打拼，而大部分的人靠巴士、汽车或者火车过着旅行生活。</t>
  </si>
  <si>
    <t>护士</t>
  </si>
  <si>
    <t>急救，聆听，医学，一项社交技能（取悦、话术、恐吓、说服），心理学，科学（生物学，化学），侦查。</t>
  </si>
  <si>
    <t>护工，医生，小区工作人员。</t>
  </si>
  <si>
    <t>护士是专业的医疗助理，通常在医院和疗养院之类的地方工作，或者和全科医生一起合作。一般来说，护士会协助健康人或病人进行保健或康复活动(或者临终关怀)，虽然其他人若是有足够的力量、意志或者知识，完全不需要护士帮助的康复也是可能的。</t>
  </si>
  <si>
    <t>神秘学家</t>
  </si>
  <si>
    <t>9-65</t>
  </si>
  <si>
    <t>人类学，历史，图书馆，一项社交技能（取悦、话术、恐吓、说服），神秘学，外语，科学（天文），任意一项其他个人或时代特长 ※经KP允许 可以包含克苏鲁神话</t>
  </si>
  <si>
    <t>图书馆员，神秘学学会或者同好会，其他神秘学家。</t>
  </si>
  <si>
    <t>神秘学家是钻研深奥秘密和神秘魔法的人。他们对超博物学能力深信不疑，并竭尽所能靠他们的能力去了解这些东西。许多人对不同神秘哲学和魔法理论的知识面都相当广泛，有些甚至相信自己专注研究三十年真的成为了魔法师——到底是真是假就交由KP 来决断了。
需要指出的是，神秘学家熟知的基本上是“表面的魔法”——克苏鲁神话魔法的秘密对他们仍然是未知的，或者不过是古书上描述那些诱人的线索而已。</t>
  </si>
  <si>
    <t>旅行家</t>
  </si>
  <si>
    <t>5-20</t>
  </si>
  <si>
    <t>射击，急救，聆听，自然，导航，侦查，生存（任一），追踪。</t>
  </si>
  <si>
    <t>本地居民，土著，贸易商。</t>
  </si>
  <si>
    <t>旅行家爱好户外，他们一年中大部分时间都呆在户外，并且一出门就是相当长的时间；通常有相当的捕鱼和狩猎技术，能在最恶劣的环境之中幸存下来。擅长的技术可能包括登山、捕鱼、滑雪、皮划艇、攀登和露营。
旅行家可能在国家公园或素质拓展中心做野外向导和护林员，也可能是有其他经济来源能让他们不用工作就能以这种方式生活，说不定还可能是一个隐士，只有在需要的时候才会回到文明社会。</t>
  </si>
  <si>
    <t>超心理学家</t>
  </si>
  <si>
    <t>人类学，技艺（摄影），历史，图书馆，神秘学，外语，心理学，任意一项其他个人或时代特长。</t>
  </si>
  <si>
    <t>大学，超心理学刊物。</t>
  </si>
  <si>
    <t>超心理学家从不打算欣赏超常现象。相反，他们试图去观察，记录并研究这些实例。被叫做“捉鬼人”的他们利用技术手段来获取某人或某地点的超博物学活动的证据，当然比起收集到实在的证据，更多的时候他们是在揭穿假冒和误认的超常现象。
一些超心理学家专门研究特定的现象，例如超感官、心灵致动、闹鬼等等。
名牌大学是没有超心理学学位的。这个领域成就的评判标准完全是基于个人声誉，所以一般有相近学科学历比如物理学、心理学和医学的人会比较有说服力。
选择研究这个的人往往对不可视的神秘力量抱有相当的同情态度，并希望其他的科学家也能满意地点头肯定。这就表现出了一种既相信又怀疑的奇异的迭加态——恐怕超心理学家自己也难解决这个问题。一个对观察实验证明不感兴趣的人是个神秘学家而不是个科学家。</t>
  </si>
  <si>
    <t>药剂师</t>
  </si>
  <si>
    <t>35-75</t>
  </si>
  <si>
    <t>会计，急救，外语（拉丁文），图书馆，一项社交技能（取悦、话术、恐吓、说服），心理学，科学（制药，化学）。</t>
  </si>
  <si>
    <t>本地小区，本地医生，医院和病人。能获得各种药品和化学品。</t>
  </si>
  <si>
    <t>药剂师的管理一直以来都比医生更严格。所有的药剂师都要在各州注册，注册的条件则是高中毕业并至少在药学院学习三年。他们可能在医院或者药房工作，也可能自己开药房。</t>
  </si>
  <si>
    <t>摄影师-摄影师</t>
  </si>
  <si>
    <t>技艺（摄影），一项社交技能（取悦、话术、恐吓、说服），心理学，科学（化学），潜行，侦查，任意两项其他个人或时代特长。</t>
  </si>
  <si>
    <t>广告业，本地客户(包括政治团体和报纸)。</t>
  </si>
  <si>
    <t>摄影师大部分是自由工作者，可能制作广告电影或者在照相馆做肖像拍摄。其他一些摄像师则在报纸、电视和电影产业工作。
摄影作为一种艺术形式已经产生相当长的时间了，精英的摄影师可以从艺术、新闻报道、野生动物保护等多种角度出发创作他们的作品。不管是哪种立意，他们都能获得名誉和报酬。
摄影记者本质上就是拿照相机，为拍摄的照片写配文的记者。在1920 年代，新闻短片走上历史舞台。笨重的35mm 摄像装备走遍全球各地，搜寻有价值的新闻轶事、体育赛事和泳装选美比赛。新闻片制作人员一般分为三类：一类是画面中的记者，另两个人则负责摄像和灯光等等。新闻中的声音则是在新闻稿完成以后在录音棚中录入完成的。</t>
  </si>
  <si>
    <t>摄影师-摄影记者</t>
  </si>
  <si>
    <t>技艺（摄影），攀爬，一项社交技能（取悦、话术、恐吓、说服），外语，心理学，科学（化学），任意两项其他个人或时代特长。</t>
  </si>
  <si>
    <t>新闻业，电影工作室(1920 年代)，外国政府和官方。</t>
  </si>
  <si>
    <t>飞行员-飞行员</t>
  </si>
  <si>
    <t>电气维修，机械维修，导航，操作重型机械，驾驶（飞行器），科学（天文），任意两项其他个人或时代特长。</t>
  </si>
  <si>
    <t>前部队关系人，乘务员，机械师，机场地勤人员，嘉年华主办者。</t>
  </si>
  <si>
    <t>飞行员可以在美国邮政这样的企业工作，也可以在大大小小的民航公司做飞行人员。
美国1926 年之前没有对飞行员的职业要求，1926 年航空商业法案通过之后才要求有执照。这个时代的多数飞行员从事嘉年华表演、特技飞行表演、乘飞机游玩或是小机场的空中的士等服务。
也有飞行员在部队服现役。许多特技飞行员是在服役期间学会的驾驶飞机，有时仍然会被军队委派任务。</t>
  </si>
  <si>
    <t>飞行员-特技飞行员（古典）</t>
  </si>
  <si>
    <t>会计，电气维修，聆听，机械维修，导航，驾驶（飞行器），侦查，任意一项其他个人或时代特长。</t>
  </si>
  <si>
    <t>前部队关系人，其他飞行员，机场地勤技术人员，商人。</t>
  </si>
  <si>
    <t>特技飞行员在嘉年华工作或者为大胆的消费者进行休闲飞行服务。参加有组织的飞行表演赛，不论是固定路线还是越野赛，往往都可以增加自己的知名度。在1920 年代，好莱坞常常使用特技飞行员，飞机制造商也会录用一些飞行员为新机作测试。许多特技飞行员是在一次大战中掌握的飞行技术，所以许多人仍然在陆海空军或海岸警卫队服役；年轻的飞行员则基本上是在和平时期接受的训练或是自学成才。
参加过一战的王牌飞行员“现在”还活跃在公众视野中的包括：埃迪·里肯巴克，现在在克赖斯勒公司工作；汤米·希区柯克，“现在”是马球赛场的明星；里德·兰迪斯，美国职棒大联盟执行长凯纳索·蒙顿·兰迪斯的儿子。</t>
  </si>
  <si>
    <t>警方(原作向)-警探</t>
  </si>
  <si>
    <t>技艺（表演）或乔装，射击，法律，聆听，一项社交技能（取悦、话术、恐吓、说服），心理学，侦查，一项其他技能。</t>
  </si>
  <si>
    <t>执法机构，街头罪犯，尸检部门，司法部门，犯罪组织。</t>
  </si>
  <si>
    <t>便衣警察的工作是检查犯罪现场、收集证据、询问证人以解决凶杀、盗窃等重大案件。他们在现场办案中往往与穿制服的巡警密切合作。
警探可能指挥他的下属进行详尽的调查，但是很难有机会集中精力对付单独一个事件，在美国他们很可能要同时处理数十乃至上百的案件。警探工作最关键的部分是通过梳理证词、重建现场情况，摒弃伪证，从而收集足够逮捕嫌疑人的证据，进而促成成功的刑事审判。警探和检察官的职责是分开的，这样可以保证证据在审判之前被独立地对待。
尽管现在警探通常会参加警察学校课程并获得学位、参加特殊训练或公务员培训，他们最主要的经验还是来源于担任基层警官或者普通巡警时的工作经历。</t>
  </si>
  <si>
    <t>警方(原作向)-巡警</t>
  </si>
  <si>
    <t>格斗（斗殴），射击，急救，一项社交技能（取悦、话术、恐吓、说服），法律，心理学，侦查和下面的一种个人特长：汽车驾驶或骑乘。</t>
  </si>
  <si>
    <t>执法机构，本地企业与居民，街头罪犯，犯罪组织。</t>
  </si>
  <si>
    <t>巡警属于市、城镇、县治安部门或州、地区的警察机关。他们工作时可能步行、驾驶巡逻车，或者干脆坐办公室。</t>
  </si>
  <si>
    <t>私家侦探</t>
  </si>
  <si>
    <t>技艺（摄影），乔装，法律，图书馆，一项社交技能（取悦、话术、恐吓、说服），心理学，侦查，一项其他个人或时代特长（如计算机、锁匠、格斗、射击）。</t>
  </si>
  <si>
    <t>执法机构，客户。</t>
  </si>
  <si>
    <t>私家侦探通常在警察不出手的地方活跃，包括收集证据为客户准备民事诉讼，追查跑路的配偶或生意伙伴，或者代理刑事案件的私人辩护。他们和任何专业人员一样，私家侦探从不顾及自己的私人情感，只要付钱，不管是有罪还是无罪的一方的委托他们都乐得接受。
私家侦探过去可能在警察队伍里工作，利用以前的业务关系为现在工作谋求优势；然而事实并非总是如此。在许多地方私家侦探必须持证上岗，假如被发现有违法行为，就会撤销执照——侦探生涯也就到此为止。</t>
  </si>
  <si>
    <t>教授（原作向）</t>
  </si>
  <si>
    <t>图书馆，外语，母语，心理学，任意四项其他学术、时代或个人特长。</t>
  </si>
  <si>
    <t>学者，大学，图书馆。</t>
  </si>
  <si>
    <t>教授是受聘于高等院校的学者。大公司也可 能聘请他们以开展学术研究与产品开发。独立的学者也靠开办业余课程作为经济来源。
最重要的一点,这一职业代表了 PhD(博士) 的荣誉称号,意味着可以在世界各地的大学任终身教职。教授的专长是教学和专业研究,往往在自己的专业领域内有着可圈可点的学术成就。</t>
  </si>
  <si>
    <t>淘金客</t>
  </si>
  <si>
    <t>0-10</t>
  </si>
  <si>
    <t>攀爬、急救、历史、机械维修、导航、科学（地质），侦查，任意一项其他个人或时代特长。</t>
  </si>
  <si>
    <t>本地企业和居民。</t>
  </si>
  <si>
    <t>淘金客一直是美国西部的特色,即便在加利福尼亚淘金热和内华达康姆斯塔克发现金银矿的日子早已经过去的现在。他们无休止地在山间漫游,寻找能使自己一夜暴富的矿脉。而且现在发现石油和发现金子一样给力。</t>
  </si>
  <si>
    <t>性工作者</t>
  </si>
  <si>
    <t>5-50</t>
  </si>
  <si>
    <t>技艺（任一），两项社交技能（取悦、话术、恐吓、说服），闪避，心理学，妙手，潜行，任意一项其他个人或时代特长。</t>
  </si>
  <si>
    <t>街头路人，警察，可能有犯罪组织，私人客户。</t>
  </si>
  <si>
    <t>性工作者根据场合、背景和教养,从超级值钱的应召小姐到牛郎再到站街女都有可能。往往入这一行都是权宜之计,许多人梦想有朝一日能够脱身。少数人能够自己接客,不过绝大多数人 基本都是被只认钱不认人的老鸨和皮条客逼迫着 工作。</t>
  </si>
  <si>
    <t>精神病学家</t>
  </si>
  <si>
    <t>外语，聆听，医学，说服，精神分析，心理学，科学（生物学，化学）。</t>
  </si>
  <si>
    <t>其他精神疾病领域的专家，医生，可能有法律人士。</t>
  </si>
  <si>
    <t>精神病学家是在现代专门从事精神失常诊断和治疗的医生。精神病学家掌握着精神药理学的 治疗方法,使用精神类药物的资质,还能整理脑电图并对其进行计算器分析。
在十九二十世纪之交,精神分析理论刚刚产 生,试图解释一些现在认为实际上是生物学范畴的现象。所以,精神分析学家们努力寻求获得自 己的医疗证书。与此同时,各种不同的精神失常诊断与治疗理论开始起步。到 1930 年代,任何一个医生都可以以精神病学家的身份进入美国医学协会名录中了。</t>
  </si>
  <si>
    <t>心理学家、精神分析学家</t>
  </si>
  <si>
    <t>会计，图书馆，聆听，说服，精神分析，心理学，任意两项其他学术、个人或时代特长。</t>
  </si>
  <si>
    <t>心理学家团体，病人。</t>
  </si>
  <si>
    <t>心理学家虽然也经常被叫做心理治疗师和心理咨询师,不过这些工作都只是心理学的分支。其他的还有为企业和政府提供顾问的组织管理心 理学家,进行研究并在学校教授心理学的学术型心理学家等等。
临床心理学家可能实际接触病人,并且运用各种可能的心理治疗方法。注意心理学家和专业的精神病学家的区别,后者本质上还是医生。
在1920 年代,对人类行为的研究还是一个新兴的领域,主要的理论还是弗洛伊德心理学。</t>
  </si>
  <si>
    <t>研究员</t>
  </si>
  <si>
    <t>历史，图书馆，一项社交技能（取悦、话术、恐吓、说服），外语，侦查，任意三项其他学术领域。</t>
  </si>
  <si>
    <t>学者和其他学术界人士，大型企业，外国政府和个人。</t>
  </si>
  <si>
    <t>学术界的研究课题不计其数,尤其是在天文 学、物理学和其他理论领域。私人或企业也雇用 了成千上万的研究员,重点在化学、制药和工程 领域。石油公司则会聘用专业的地质学家,不一 而足。研究员大部分的时间都在室内工作和写作, 不过有的则会经常外出考察。
考察研究员通常经验丰富,思想独立又足智 多谋,可能受雇于私人或者为大学进行学术研究。
石油公司会派出地质学家探索潜在的油田, 人类学家则是调查地球被人遗忘角落的原始部落, 考古学家则竭数年之力挖掘沙漠丛林之中的宝藏, 还要和工人与地方政府打交道。</t>
  </si>
  <si>
    <t>海员-军舰海员</t>
  </si>
  <si>
    <t>电工或机械维修，格斗，射击，急救，导航，驾驶（船），生存（海上），游泳。</t>
  </si>
  <si>
    <t>军队，退伍军人协会。</t>
  </si>
  <si>
    <t>新入伍的海员像陆军的同行一样,开始时需 要接受基本的训练。这之后他们获得军衔,并被 分配到各镇守府。虽然很多海员担任像水手长副手和司炉工(管理引擎)这样的传统角色,但是也有很多经过专门训练的机械师、无线电操作员、通风管理员之类。海员们最高的军衔是士官长, 达到了这个军衔连高级将领都要礼让三分。在美国,海员通常要服四年的现役和后两年的后备役, 即在国家发布动员令时有应召服役的义务。</t>
  </si>
  <si>
    <t>海员-民船海员</t>
  </si>
  <si>
    <t>急救，机械维修，自然，导航，一项社交技能（取悦、话术、恐吓、说服），驾驶（船），侦查，游泳。</t>
  </si>
  <si>
    <t>海岸警卫队，走私者，犯罪组织。</t>
  </si>
  <si>
    <t>民用船海员可能在渔船、客船,或运输原油或商品的运输船上工作。在美国,客船活跃在东西海岸和五大湖,运送渔民和游客。目前佛罗里达州在墨西哥湾和大西洋海岸拥有最多数量的客 船。
在禁酒令期间,许多客船船长发现把急切想 喝酒的顾客运到 3 海里外,外国船只允许卖酒的地方是一桩赚钱的买卖。当然走私酒也报酬丰厚, 但是危险就高多了。</t>
  </si>
  <si>
    <t>推销员</t>
  </si>
  <si>
    <t>会计，两项社交技能（取悦、话术、恐吓、说服），汽车驾驶，聆听，心理学，潜行或妙手，一项其他技能。</t>
  </si>
  <si>
    <t>同行企业，感兴趣的顾客。</t>
  </si>
  <si>
    <t>推销员是商务工作的必需一环,他们的工作就是推广和销售公司的产品或服务。大部分推销员的时间要用来旅行、开会、和客户应酬(在报销限额之内)。有些则主要坐办公室用电话联系 潜在客户,还有的会在各小区巡回,挨家挨户上门推销。
1920 年代是企业家的年代,旅行推销成了一种日常生活方式。这些人有些直接现货交易,有些通过托销交易,当然不管黑猫白猫,拿到订单的才是好猫,推销员要用强烈的销售策略才能说得客户,至于价钱就不是他们考虑的范围了。有些推销员在固定的地区工作,有些则可以自由漫 游,寻找任何地方可能出现的商机。如果是上门推销,那商品可能就是刷子、吸尘器或者百科全书之类的各种对象了。</t>
  </si>
  <si>
    <t>科学家</t>
  </si>
  <si>
    <t>任意三项科学专业领域，计算机或图书馆，外语，母语，一项社交技能（取悦、话术、恐吓、说服），侦查。</t>
  </si>
  <si>
    <t>其他科学家和学术界人士，大学，所在企业和前员工。</t>
  </si>
  <si>
    <t>科学家是在追求知识的过程中挖掘真理的人。如果想要利用科学知识制造有用的物品,需要的 是工程师;而如果想要扩展“可能”这个概念的范围,那就是科学家的工作了。
科学家们通常在企业和大学工作,以进行他们的研究。
虽然主攻一个科学领域,但是真正称职的科 学家一般也能达到通晓其他数个科学领域的水平。他们对自己的母语也能使用自如,学历也相当高, 甚至拥有博士学位。</t>
  </si>
  <si>
    <t>秘书</t>
  </si>
  <si>
    <r>
      <rPr>
        <sz val="11"/>
        <color rgb="FF000000"/>
        <rFont val="微软雅黑 Light"/>
        <family val="2"/>
        <charset val="134"/>
      </rPr>
      <t>教育×</t>
    </r>
    <r>
      <rPr>
        <sz val="11"/>
        <color indexed="8"/>
        <rFont val="微软雅黑 Light"/>
        <family val="2"/>
        <charset val="134"/>
      </rPr>
      <t>2＋敏捷或外貌×2</t>
    </r>
  </si>
  <si>
    <t>会计，技艺（打字或速记），两项社交技能（取悦、话术、恐吓、说服），母语，图书馆或计算机，心理学，任意一项其他个人或时代特长。</t>
  </si>
  <si>
    <t>其他办公室人员，客户公司的高管。</t>
  </si>
  <si>
    <t>秘书的范围是从高薪的私人管理助理到普通的打字员。这份工作的重点在于以自己各种沟通 协调能力,支持主管和经理人员。
因为身处企业流程的中心,许多秘书比老板对企业的内部运作和经营还要熟悉。
在 1920 年代,秘书工作主要是通信工作,例如听写打印信件,整理文文件系统,并为老板安排 会议时间。有的情况下,秘书还会负责老板的生活, 比如安排假期、为老板和家人置办礼物,还有保 护老板的安全。</t>
  </si>
  <si>
    <t>店老板</t>
  </si>
  <si>
    <t>会计，两项社交技能（取悦、话术、恐吓、说服），电气维修，聆听，机械维修，心理学，侦查。</t>
  </si>
  <si>
    <t>本地的居民企业，本地警察，地方政府，顾客。</t>
  </si>
  <si>
    <t>店老板经营小店、市场摊位或者是小饭馆。这种店往往都是小本自营,不过也有为其他东家照顾生意的。不少店是家族式管理,工作人员大 部分都有亲属关系,其他的雇员即便有也很少。
在 1920 年代,还有不少的老板娘开起了自己的理发店和帽店。</t>
  </si>
  <si>
    <t>士兵、海军陆战队士兵</t>
  </si>
  <si>
    <t>攀爬或游泳，闪避，格斗，射击，潜行，生存，下面任选两项：急救、机械维修、外语。</t>
  </si>
  <si>
    <t>士兵指的是从列兵到士官长(美国军衔制) 的统称。尽管名义上比起最新的次级少尉还低, 即便高级军官也往往对他们给予尊重。在美国, 标准的服役期限是六年,包括四年现役和两年后 备役。
所有应征人员首先要在“训练营(新兵连)” 接受基本训练,在训练营中新兵将学习如何行军、 射击和敬礼。结束训练营的训练后,大部分的新兵会分配到步兵营,虽然也有分配到炮兵营和坦 克营的。少部分会接受非战斗的训练,例如通风 系统、机械装备、文职甚至军官接待。海军陆战队名义上属于海军,但是和陆军士兵在背景、训练方式和技能方面都很相近。</t>
  </si>
  <si>
    <t>间谍</t>
  </si>
  <si>
    <t>技艺（表演）或乔装，射击，聆听，外语，一项社交技能（取悦、话术、恐吓、说服），心理学，妙手，潜行。</t>
  </si>
  <si>
    <t>一般只有自己的上线，可能还有其他的秘密关系人。</t>
  </si>
  <si>
    <t>间谍为国家和组织的情报部门卖命。他们能以从大使到厨房清洁工的任何职业身份作为掩饰,刺探他们所需的情报。有些间谍数年如一日的持续着卧底工作,另一些穿个马甲就换一个身份。
在本国委任的间谍通常会去往外国工作。间谍除了情报收集和反情报收集的主要工作, 也会被委派其他任务,例如招募新间谍和国家批 准的暗杀等。</t>
  </si>
  <si>
    <t>学生、实习生</t>
  </si>
  <si>
    <t>5-10</t>
  </si>
  <si>
    <t>语言（母语或外语），图书馆，聆听，三个学习的专业，任意两项其他个人或时代特长。</t>
  </si>
  <si>
    <t>学院、其他学生，实习生也可能有商人等。</t>
  </si>
  <si>
    <t>学生可能在大学或学院学习,实习生则是正在接受宝贵的入职培训,获得最低报酬的公司员 工。</t>
  </si>
  <si>
    <t>替身演员</t>
  </si>
  <si>
    <t>10-50</t>
  </si>
  <si>
    <t>攀爬，闪避，电气维修或机械维修，格斗，急救，跳跃，游泳，下面任选一项：潜水、汽车驾驶、驾驶（任一），骑乘。</t>
  </si>
  <si>
    <t>电影和电视剧工作室，爆炸品和烟花生产企业，演员和导演。</t>
  </si>
  <si>
    <t>替身演员在电影和电视剧工业中活跃,专门 模拟坠楼、车祸等灾难场景。他们通常会接受格 斗技巧和舞台格斗的训练。任何的替身特技表演 都是有风险的,所以健康和安全是这个工作的核心元素。
在现代,替身演员基本都是工会的成员,想要加入工会,他们必须有证明自己能力的证书(例 如高级驾驶执照,潜水执照等等)。而且,所有 的特技场景还要有特技总监负责指导动作。但是在 1920 年代,这些演员组织、行业规范根本就没有成型,所以事故率和死亡率居高不下。</t>
  </si>
  <si>
    <t>部落成员</t>
  </si>
  <si>
    <t>0-15</t>
  </si>
  <si>
    <t>攀爬，格斗或投掷，聆听，自然，神秘学，侦查，游泳，生存（任一）。</t>
  </si>
  <si>
    <t>其他部落成员。</t>
  </si>
  <si>
    <t>至少,从家族忠诚来说,部落文化无处不在。在部落中,亲属关系和传统习俗的首䙳地位是不言而喻的。一个部落通常来说是一个相对较小的群体。相比起法律和个人权利,部落更加依据个人荣耀而裁定行为。崇拜、复仇、嘉奖以及荣耀－－所有的一切都是部落成员个人所有的,而如果领袖或是仇敌被视为有荣耀的人,那么他们个人也必然在某种程度上十分有名。在这样的环境下, 放逐是有着实际的效用在的。</t>
  </si>
  <si>
    <t>殡葬师</t>
  </si>
  <si>
    <t>会计，汽车驾驶，一项社交技能（取悦、话术、恐吓、说服），历史，神秘学，心理学，科学（生物学，化学）。</t>
  </si>
  <si>
    <t>没有什么关系。</t>
  </si>
  <si>
    <t>殡葬师又叫殡葬业者或葬礼主持人,是负责运行丧葬仪式的职业。工作也包含土葬和火化等内容。在葬礼上,殡葬师要进行防腐、裹衣、入殓、 遗体美容等等工作。
殡葬师的执照由各州发放。他们可能自己拥有殡仪馆,或者在别人的殡仪馆工作。</t>
  </si>
  <si>
    <t>工会活动家</t>
  </si>
  <si>
    <t>会计，两项社交技能（取悦、话术、恐吓、说服），格斗（斗殴），法律，聆听，操作重型机械，心理学。</t>
  </si>
  <si>
    <t>其他劳动领袖,政治伙伴，可能有犯罪组织。在 1920 年代，还有社会主义者、 共产主义者、无政府主义者。</t>
  </si>
  <si>
    <t>工会活动家是组织者、领导者,有时也是空 想者或者别有用心的抗议者,通常是工人的伙伴、 老板的对头。各行各业都有工会,不论是码头工人、 建筑工人、矿工还是演员。
在 20 世纪早期,工会活动家所在的工会面临着诸多危险。大企业想要毁掉它,政治家在支持它和谴责它之间摇摆不定,社会主义者和共产主义者试图影响它,还有犯罪组织试图夺取它。</t>
  </si>
  <si>
    <t>服务生</t>
  </si>
  <si>
    <t>会计，技艺（任一），闪避，聆听，两项社交技能（取悦、话术、恐吓、说服），心理学，任意一项其他个人或时代特长。</t>
  </si>
  <si>
    <t>顾客，犯罪组织。</t>
  </si>
  <si>
    <t>服务生在酒店、酒吧或者其他餐饮业场所服务顾客。通常薪酬很低,不过通过对顾客良好服务, 可以得到他们给的小费。
在禁酒令时期,售酒场所的服务员是非法职业。不过犯罪组织把控的地下酒吧中仍然存在许多工作机会。</t>
  </si>
  <si>
    <t>白领工人-职员、主管</t>
  </si>
  <si>
    <t>会计，语言，法律，图书馆或计算机，聆听，一项社交技能（取悦、话术、恐吓、说服），任意两项其他个人或时代特长。</t>
  </si>
  <si>
    <t>其他办公室职员。</t>
  </si>
  <si>
    <t>白领工人可能是从最低等级的白领职员到中层或高层的管理人员。所属单位则可能从小型中型的本地企业直到大型的国家级甚至跨国公司。
职员被扣工资是家常便饭,工作也往往单调乏味。不过如果在工作中展现出了天分,那也会被看上,将来会得到提拔。</t>
  </si>
  <si>
    <t>白领工人-中高层管理人员</t>
  </si>
  <si>
    <t>20-80</t>
  </si>
  <si>
    <t>会计，外语，法律，两项社交技能（取悦、话术、恐吓、说服），心理学，任意两项其他个人或时代特长。</t>
  </si>
  <si>
    <t>旧时大学同学，共济会和其他兄弟会组织，地方和联邦政府，媒体和销售人员。</t>
  </si>
  <si>
    <t>白领工人可能是从最低等级的白领职员到中层或高层的管理人员。所属单位则可能从小型中型的本地企业直到大型的国家级甚至跨国公司。
中高层管理人员的工 资比较高,当然责任也比较重,要负责管理公司的日常事务。虽然未婚的白领并不少见,但很多管理人员还是很顾家,家里一般会有配偶和孩子——家庭通常是他们的期望。</t>
  </si>
  <si>
    <t>狂热者</t>
  </si>
  <si>
    <t>历史，两项社交技能（取悦、话术、恐吓、说服），心理学，潜行，任意三项其他个人或时代特长。</t>
  </si>
  <si>
    <t>宗教或兄弟会团体，新闻媒体。</t>
  </si>
  <si>
    <t>热情而有动力、鄙视安逸的生活,狂热者们为人类更好的生活或者为人类中最精华部分的利益而躁动不安。一些狂热者通过暴力推进他们的信仰,但是并不能说采取和平方式的就比他们好说话,他们每个人都梦想着为自己的理想辩护。</t>
  </si>
  <si>
    <t>饲养员</t>
  </si>
  <si>
    <t>驯兽，会计，闪避，急救，自然，医学，科学（制药，动物学）。</t>
  </si>
  <si>
    <t>科学家，环保主义者。</t>
  </si>
  <si>
    <t>饲养员负责动物的喂养和看护,场地管理员和服务员管理其他杂务。通常饲养员会专门照看某一种动物,可以对动物使用「医学」技能。</t>
  </si>
  <si>
    <t>大使</t>
  </si>
  <si>
    <t>取悦，历史，恐吓，话术，聆听，母语，说服，心理学。(用一到两种外语取代前面两种技能)</t>
  </si>
  <si>
    <t>《克苏鲁的呼唤调查员伴侣》
职业</t>
  </si>
  <si>
    <t>联邦政府，新闻媒体，外国政府</t>
  </si>
  <si>
    <r>
      <rPr>
        <sz val="11"/>
        <color rgb="FF000000"/>
        <rFont val="微软雅黑 Light"/>
        <family val="2"/>
        <charset val="134"/>
      </rPr>
      <t>《克苏鲁的呼唤调查员伴侣》职业，</t>
    </r>
    <r>
      <rPr>
        <b/>
        <sz val="11"/>
        <color rgb="FFFF0000"/>
        <rFont val="微软雅黑 Light"/>
        <family val="2"/>
        <charset val="134"/>
      </rPr>
      <t>使用前请征得KP同意。</t>
    </r>
  </si>
  <si>
    <t>运动员（游泳/潜水）</t>
  </si>
  <si>
    <t>攀爬，跳跃，格斗（斗殴），外语，一项社交技能（取悦、话术、恐吓、说服），游泳，投掷，任意一项其他个人或时代特长。</t>
  </si>
  <si>
    <t>运动员（高尔夫）</t>
  </si>
  <si>
    <t>50-70</t>
  </si>
  <si>
    <t>攀爬，跳跃，格斗（斗殴），骑术，一项社交技能（取悦、话术、恐吓、说服），游泳，投掷，任意一项其他个人或时代特长。</t>
  </si>
  <si>
    <t>其他高尔夫球手，体育专栏作家，俱乐部同好。</t>
  </si>
  <si>
    <r>
      <rPr>
        <sz val="11"/>
        <color rgb="FF000000"/>
        <rFont val="微软雅黑 Light"/>
        <family val="2"/>
        <charset val="134"/>
      </rPr>
      <t>《克苏鲁的呼唤调查员伴侣》职业，</t>
    </r>
    <r>
      <rPr>
        <b/>
        <sz val="11"/>
        <color indexed="10"/>
        <rFont val="微软雅黑 Light"/>
        <family val="2"/>
        <charset val="134"/>
      </rPr>
      <t>使用前请征得KP同意。</t>
    </r>
  </si>
  <si>
    <t>运动员（网球）</t>
  </si>
  <si>
    <t>跳跃，格斗（斗殴），闪避，一项社交技能（取悦、话术、恐吓、说服），心理学，侦察，投掷，任意一项其他个人或时代特长。</t>
  </si>
  <si>
    <t>其他网球选手，体育专栏作家，俱乐部同好。</t>
  </si>
  <si>
    <t>运动员（田径）</t>
  </si>
  <si>
    <t>攀爬，跳跃，格斗（斗殴），外语，一项社交技能（取悦、话术、恐吓、说服），闪避，投掷，任意一项其他个人或时代特长。</t>
  </si>
  <si>
    <t>其他田径选手，体育专栏作家。</t>
  </si>
  <si>
    <t>发言人</t>
  </si>
  <si>
    <t>乔装，闪避，三项社交技能（取悦、话术、恐吓、说服），心理学，外语，任意一项其他个人或时代特长。</t>
  </si>
  <si>
    <t>政府官员，企业家，可能的犯罪组织</t>
  </si>
  <si>
    <t>保释担保人</t>
  </si>
  <si>
    <t>会计，两项社交技能（取悦、话术、恐吓、说服），法律，图书馆，心理学，任意两项其他个人或时代特长。</t>
  </si>
  <si>
    <t>使用前请征得KP同意。</t>
  </si>
  <si>
    <t>警察，法庭，街头路人，犯罪组织，赏金猎人。</t>
  </si>
  <si>
    <t>神职人员(天主教牧师)</t>
  </si>
  <si>
    <t>会计，母语，外语(拉丁文)，图书馆，神秘学，一项社交技能（取悦、话术、恐吓、说服），心理学，任意一项其他技能。</t>
  </si>
  <si>
    <t>仅限1920年代使用</t>
  </si>
  <si>
    <t>神职人员(新教牧师)</t>
  </si>
  <si>
    <t>神职人员(犹太教拉比)</t>
  </si>
  <si>
    <t>母语，外语（希伯来语），历史，图书馆，神秘学，一项社交技能（取悦、话术、恐吓、说服），心理学，任意一项其他技能。</t>
  </si>
  <si>
    <t>犹太学者，地方犹太人团体</t>
  </si>
  <si>
    <t>专栏作家</t>
  </si>
  <si>
    <t>乔装，一项社交技能（取悦、话术、恐吓、说服），历史或图书馆，母语，外语，心理学，潜行。</t>
  </si>
  <si>
    <t>世界传媒业，外国政府，军队或者其他。</t>
  </si>
  <si>
    <t>社会主义者/激进主义者</t>
  </si>
  <si>
    <t>格斗（斗殴），两项社交技能（取悦、话术、恐吓、说服），射击（手枪），外语，心理学，任意两项其他个人或时代特长。</t>
  </si>
  <si>
    <t>其他激进分子，艺术家和作家，工会。</t>
  </si>
  <si>
    <t>撰稿人</t>
  </si>
  <si>
    <t>母语，艺术（文学），两项社交技能（取悦、话术、恐吓、说服），历史，图书馆，聆听，心理学。</t>
  </si>
  <si>
    <t>地方新闻业，记者和特别的编辑。</t>
  </si>
  <si>
    <t>罪犯（赌博庄家）</t>
  </si>
  <si>
    <t>会计,两项社交技能（取悦、话术、恐吓、说服）,心理学，侦察，妙手，任意一项其他个人或时代特长。</t>
  </si>
  <si>
    <t>犯罪组织，赌徒，警察，体育界</t>
  </si>
  <si>
    <t>罪犯（放高利贷者）</t>
  </si>
  <si>
    <t>会计，估价，两项社交技能（取悦、话术、恐吓、说服）,心理学，侦察，任意两项其他个人或时代特长。</t>
  </si>
  <si>
    <t>犯罪组织，赌徒，警察，欠自己债的人。</t>
  </si>
  <si>
    <t>罪犯（扒手）</t>
  </si>
  <si>
    <t>乔装，一项社交技能（取悦、话术、恐吓、说服）,潜行，聆听，心理学，侦察，妙手，任意一项其他个人或时代特长。</t>
  </si>
  <si>
    <t>路人，也有一些从前打过交道的警察。</t>
  </si>
  <si>
    <t>罪犯（地下钱庄）</t>
  </si>
  <si>
    <t>会计，法律，图书馆，聆听，说服，侦察，任意其他两项个人或时代特长。</t>
  </si>
  <si>
    <t>犯罪组织，金融业界，地方检察官和法官。</t>
  </si>
  <si>
    <t>罪犯（黑律师）</t>
  </si>
  <si>
    <t>牙医</t>
  </si>
  <si>
    <t>外科医生/内科医生</t>
  </si>
  <si>
    <t>整形医生</t>
  </si>
  <si>
    <t>医疗专家，好莱坞，可能有罪犯。</t>
  </si>
  <si>
    <t>司机-公交司机</t>
  </si>
  <si>
    <t>会计，汽车驾驶，电气维修，机械维修，导航，一项社交技能（取悦、话术、恐吓、说服），心理学，任意一项其他个人或时代特长。</t>
  </si>
  <si>
    <t>很少。</t>
  </si>
  <si>
    <t>实地调研员</t>
  </si>
  <si>
    <t>会计，攀爬或跳跃，急救，图书馆，外语，一项社交技能（取悦、话术、恐吓、说服），两项研究领域相关技能。</t>
  </si>
  <si>
    <t>学界的其他学者，研究基金会，新闻媒体，外国政府官员。</t>
  </si>
  <si>
    <t>电影摄制人员</t>
  </si>
  <si>
    <t>艺术/工艺(任一,如摄影)，攀爬，汽车驾驶，电气维修，机械维修，一项社交技能（取悦、话术、恐吓、说服），任意两项其他个人或时代特长。</t>
  </si>
  <si>
    <t>电影业，相关公会。</t>
  </si>
  <si>
    <t>司法科学家</t>
  </si>
  <si>
    <t>艺术（摄影），医学，法律，科学（化学，司法科学，药学），侦察，任意一项其他个人或时代特长。</t>
  </si>
  <si>
    <t>执法部门，地方实验室和化学品供应商</t>
  </si>
  <si>
    <t>运动经理</t>
  </si>
  <si>
    <t>会计，格斗（斗殴），闪避，两项社交技能（取悦、话术、恐吓、说服），急救，心理学，任意一项其他个人或时代特长。</t>
  </si>
  <si>
    <t>体育界，体育专栏作家，运动员时期的朋友。</t>
  </si>
  <si>
    <t>商船队船员</t>
  </si>
  <si>
    <t>20-30</t>
  </si>
  <si>
    <t>人类学，攀爬，电气维修或机械维修，跳跃，操作重型机械，外语，生存（海上），任意一项其他个人或时代特长。</t>
  </si>
  <si>
    <t>海员公会，走私者。</t>
  </si>
  <si>
    <t>古典音乐家</t>
  </si>
  <si>
    <t>会计，技艺（乐器），一项社交技能（取悦、话术、恐吓、说服），聆听，心理学，三项其他技能。</t>
  </si>
  <si>
    <t>其他音乐家，音乐家公会，赞助人。</t>
  </si>
  <si>
    <t>赛车手/ 赛艇手</t>
  </si>
  <si>
    <t>汽车驾驶，电气维修，机械维修，驾驶（船），心理学，侦察，任意两项其他个人或时代特长。</t>
  </si>
  <si>
    <t>汽车业/ 船舶业，电影行业。</t>
  </si>
  <si>
    <t>电台播音员</t>
  </si>
  <si>
    <t>艺术（表演），母语，取悦，话术，说服，心理学，任意两项其他个人或时代特长。</t>
  </si>
  <si>
    <t>广播新闻界，可能有好莱坞，根据广播节目的内容决定。</t>
  </si>
  <si>
    <t>推销员（圣经推销员）</t>
  </si>
  <si>
    <t>信教顾客。</t>
  </si>
  <si>
    <t>推销员（旅行推销员）</t>
  </si>
  <si>
    <t>会计，两项社交技能（取悦、话术、恐吓、说服），汽车驾驶，导航，聆听，心理学，一项其他技能。</t>
  </si>
  <si>
    <t>小企业家</t>
  </si>
  <si>
    <t>会计，两项社交技能（取悦、话术、恐吓、说服），心理学，四项经营业务相关技能。</t>
  </si>
  <si>
    <t>业务相关人士：银行家，供货商，顾客，等等。</t>
  </si>
  <si>
    <t>舞台工作人员</t>
  </si>
  <si>
    <t>艺术/ 工艺（任一），母语，两项社交技能（取悦、话术、恐吓、说服），乔装，心理学，任意两项其他个人或时代特长。</t>
  </si>
  <si>
    <t>演剧业，演员公会。</t>
  </si>
  <si>
    <t>证券经纪人</t>
  </si>
  <si>
    <t>60-90</t>
  </si>
  <si>
    <t>会计，估价，母语，两项社交技能（取悦、话术、恐吓、说服），心理学，任意两项其他个人或时代特长。</t>
  </si>
  <si>
    <t>商界，饥渴的投资人。</t>
  </si>
  <si>
    <t>勘测员</t>
  </si>
  <si>
    <t>会计，艺术（摄影），图书馆，博物学，导航，生存（任一），侦察，任意一项其他个人或时代特长。</t>
  </si>
  <si>
    <t>州和地方档案局。</t>
  </si>
  <si>
    <t>电话接线员</t>
  </si>
  <si>
    <t>母语，外语，两项社交技能（取悦、话术、恐吓、说服），聆听，心理学，任意两项其他个人或时代特长。</t>
  </si>
  <si>
    <t>同事，不过他们可以听到对话的内容，从而掌握公司的情报。</t>
  </si>
  <si>
    <t>星探</t>
  </si>
  <si>
    <t>会计，两项社交技能（取悦、话术、恐吓、说服），法律，心理学，侦察，任意两项其他个人或时代特长。</t>
  </si>
  <si>
    <t>出版业，电影业等等。</t>
  </si>
  <si>
    <t>医疗技术员</t>
  </si>
  <si>
    <t>艺术（摄影），电气维修，图书馆，机械维修，医学，科学（生物，化学，药学）。</t>
  </si>
  <si>
    <t xml:space="preserve">医院和医疗机构实验室器械、药品、化学品。
</t>
  </si>
  <si>
    <t>队医</t>
  </si>
  <si>
    <t>两项社交技能（取悦、话术、恐吓、说服），急救，医学，科学（药学），心理学，侦察，任意一项其他个人或时代特长。</t>
  </si>
  <si>
    <t>体育界。</t>
  </si>
  <si>
    <t>武术流派</t>
  </si>
  <si>
    <t>对应技能</t>
  </si>
  <si>
    <t>寻宝猎人</t>
  </si>
  <si>
    <t>估价，攀爬，汽车驾驶或驾驶（飞行器或船），电气维修或机械维修，历史，跳跃，一项社交技能（取悦、话术、恐吓、说服），侦察。</t>
  </si>
  <si>
    <t>投资者，寻宝猎人伙伴，地方政府，外国政府，海岸卫队，地方执法部门。</t>
  </si>
  <si>
    <t>合气道</t>
  </si>
  <si>
    <t>格斗（斗殴）</t>
  </si>
  <si>
    <t>西部治安官</t>
  </si>
  <si>
    <t>汽车驾驶，射击（任一），格斗（斗殴，鞭），法律，说服或心理学，骑术，追踪。</t>
  </si>
  <si>
    <t>《日本秘史》
职业</t>
  </si>
  <si>
    <t>地方官员，本地居民，本地罪犯。</t>
  </si>
  <si>
    <r>
      <rPr>
        <sz val="11"/>
        <color rgb="FF000000"/>
        <rFont val="微软雅黑 Light"/>
        <family val="2"/>
        <charset val="134"/>
      </rPr>
      <t>《日本秘史》职业，</t>
    </r>
    <r>
      <rPr>
        <b/>
        <sz val="11"/>
        <color indexed="10"/>
        <rFont val="微软雅黑 Light"/>
        <family val="2"/>
        <charset val="134"/>
      </rPr>
      <t>使用前请征得KP同意。</t>
    </r>
  </si>
  <si>
    <t>居合</t>
  </si>
  <si>
    <t>格斗（日本刀）</t>
  </si>
  <si>
    <t>暴走族</t>
  </si>
  <si>
    <t>格斗（斗殴），汽车驾驶，机械维修，话术，恐吓，任意三项其他个人或时代特长。</t>
  </si>
  <si>
    <t>黑帮，其他暴走族和警察。</t>
  </si>
  <si>
    <t>柔道</t>
  </si>
  <si>
    <t>神职人员(和尚,尼姑)</t>
  </si>
  <si>
    <t>5-60</t>
  </si>
  <si>
    <t>艺术（书法），历史或图书馆，外语（汉语或梵语），学识（佛教），一项社交技能（取悦、话术、恐吓、说服），心理学，聆听，任意一项其他个人或时代特长。</t>
  </si>
  <si>
    <t>社区领袖，殡葬业者等。</t>
  </si>
  <si>
    <t>空手道</t>
  </si>
  <si>
    <t>神职人员(神官,巫女)</t>
  </si>
  <si>
    <t>艺术（书法，另任一），图书馆，神秘学，学识（神道教），一项社交技能（取悦、话术、恐吓、说服），心理学，任意一项其他个人或时代特长。</t>
  </si>
  <si>
    <t>弓道</t>
  </si>
  <si>
    <t>射击（弓术）</t>
  </si>
  <si>
    <t>风水师</t>
  </si>
  <si>
    <t>艺术（任一），图书馆，神秘学，学识（道教），一项社交技能（取悦、话术、恐吓、说服），科学（天文，地质），任意一项其他个人或时代特长。</t>
  </si>
  <si>
    <t>薙刀</t>
  </si>
  <si>
    <t>家传降妖人</t>
  </si>
  <si>
    <t>格斗（斗殴），博物学，神秘学，学识（佛教或神道教），心理学，潜行，任意两项其他个人或时代特长。</t>
  </si>
  <si>
    <t>忍术</t>
  </si>
  <si>
    <t>格斗（矛）</t>
  </si>
  <si>
    <t>高中生(教育60以下)</t>
  </si>
  <si>
    <t>攀爬、潜行、跳跃、图书馆、格斗（任一）、母语、科学（任一）或历史、外语（英语或其他）。</t>
  </si>
  <si>
    <t>其他学生，教师。</t>
  </si>
  <si>
    <t>相扑</t>
  </si>
  <si>
    <t>市子（盲人）</t>
  </si>
  <si>
    <t>艺术（表演），聆听，学识（神道教），神秘学，历史，话术或说服，心理学，任意一项特长。※经KP同意，可以用「灵媒」技能代替一项自选技能。</t>
  </si>
  <si>
    <t>武术流派的使用方法：为自己的格斗或射击技能选择一个武术流派。若不选择，则意味着使用外国格斗术或普通酒吧斗殴</t>
  </si>
  <si>
    <t>言灵师/阴阳师</t>
  </si>
  <si>
    <t>艺术（书法，另任一），历史或图书馆，母语，学识（阴阳道），科学（天文），神秘学，任意一项其他个人或时代特长。</t>
  </si>
  <si>
    <t>炼丹师</t>
  </si>
  <si>
    <t>图书馆，医学，神秘学，科学（化学），博物学，学识（道教），外语（汉语），急救或精神分析。</t>
  </si>
  <si>
    <t>外语教师</t>
  </si>
  <si>
    <t>历史，聆听，母语，心理学，两项社交技能（取悦、话术、恐吓、说服），任意两项其他个人或时代特长。</t>
  </si>
  <si>
    <t>语言学校，学生和其他教育者。</t>
  </si>
  <si>
    <t>格斗（日本刀）：初始值等于格斗(剑)，两者不能通用</t>
  </si>
  <si>
    <t>非法移民</t>
  </si>
  <si>
    <t>乔装，话术，聆听，侦察，潜行，妙手，心理学，任意一项其他个人或时代特长。</t>
  </si>
  <si>
    <t>其他非法移民，蛇头。</t>
  </si>
  <si>
    <t>相扑力士(SIZ&gt;80,STR&gt;70)</t>
  </si>
  <si>
    <t>闪避，格斗（斗殴），恐吓，跳跃，心理学，侦察，任意两项其他个人或时代特长。(你的体型可以超过99)</t>
  </si>
  <si>
    <t>忍术流派：忍者职业自动取得，其他人不能取得。该流派可以保密</t>
  </si>
  <si>
    <t>渔民</t>
  </si>
  <si>
    <t>机械维修，操作重型机械，游泳，驾驶（船），科学（天文），导航，博物学，侦察。</t>
  </si>
  <si>
    <t>日系特定规则
《克苏鲁2010》
《克苏鲁与帝国》
《克苏鲁2015》
职业</t>
  </si>
  <si>
    <t>地方渔业部门，海警，养殖业者，潜水员。</t>
  </si>
  <si>
    <r>
      <rPr>
        <sz val="11"/>
        <color rgb="FF000000"/>
        <rFont val="微软雅黑 Light"/>
        <family val="2"/>
        <charset val="134"/>
      </rPr>
      <t>日系特定规则《克苏鲁2010》职业，</t>
    </r>
    <r>
      <rPr>
        <b/>
        <sz val="11"/>
        <color indexed="10"/>
        <rFont val="微软雅黑 Light"/>
        <family val="2"/>
        <charset val="134"/>
      </rPr>
      <t>使用前请征得KP同意。</t>
    </r>
  </si>
  <si>
    <t>心理治疗师</t>
  </si>
  <si>
    <t>艺术（任一），两项社交技能（取悦、话术、恐吓、说服），法律，外语，心理学，精神分析，任意一项其他个人或时代特长。</t>
  </si>
  <si>
    <t>精神病学家，心理学家，患者和咨询顾客，企业与学校等。</t>
  </si>
  <si>
    <t>女学生</t>
  </si>
  <si>
    <t>一项社交技能（取悦、话术、恐吓、说服），自行车驾驶，急救，聆听，艺术/ 工艺（任一），图书馆，格斗（矛）或射击（弓术），外语（任一）。</t>
  </si>
  <si>
    <r>
      <rPr>
        <sz val="11"/>
        <color rgb="FF000000"/>
        <rFont val="微软雅黑 Light"/>
        <family val="2"/>
        <charset val="134"/>
      </rPr>
      <t>日系特定规则《克苏鲁与帝国》职业，</t>
    </r>
    <r>
      <rPr>
        <b/>
        <sz val="11"/>
        <color indexed="10"/>
        <rFont val="微软雅黑 Light"/>
        <family val="2"/>
        <charset val="134"/>
      </rPr>
      <t>使用前请征得KP同意。</t>
    </r>
  </si>
  <si>
    <t>寄居学生</t>
  </si>
  <si>
    <t>急救，会计，手艺（木匠），说服，图书馆，外语（任一），任意两项其他个人或时代特长。</t>
  </si>
  <si>
    <t>寄宿家庭，赞助人，同乡会等。</t>
  </si>
  <si>
    <t>动物辅助治疗师</t>
  </si>
  <si>
    <t>聆听，心理学，精神分析，科学（动物学），跳跃，追踪，博物学，任意一项其他个人或时代特长。
跳跃，追踪，博物学，任意一项其他个人或时代特长。</t>
  </si>
  <si>
    <r>
      <rPr>
        <sz val="11"/>
        <color rgb="FF000000"/>
        <rFont val="微软雅黑 Light"/>
        <family val="2"/>
        <charset val="134"/>
      </rPr>
      <t>日系特定规则《克苏鲁2015》职业，</t>
    </r>
    <r>
      <rPr>
        <b/>
        <sz val="11"/>
        <color indexed="10"/>
        <rFont val="微软雅黑 Light"/>
        <family val="2"/>
        <charset val="134"/>
      </rPr>
      <t>使用前请征得KP同意。</t>
    </r>
  </si>
  <si>
    <t>小学生调查员的转换：
建议潜行的初始值仍为40，原躲藏技能的初始值和随年龄增长的变化均忽略。</t>
  </si>
  <si>
    <t>急诊医生/救援队员</t>
  </si>
  <si>
    <t>医学，急救，科学（化学），锁匠，机械维修，电气维修，攀爬，跳跃。</t>
  </si>
  <si>
    <t>密医</t>
  </si>
  <si>
    <t>医学，急救，会计，一项社交技能（取悦、话术、恐吓、说服），法律，科学（药学），外语，任意一项其他个人或时代特长。</t>
  </si>
  <si>
    <t>科学搜查研究员</t>
  </si>
  <si>
    <t>山岳救援队员</t>
  </si>
  <si>
    <t>急救，聆听，跳跃，追踪，攀爬，导航，生存（山地），外语。</t>
  </si>
  <si>
    <t>172（女学生）,173（寄居学生）号职业
仅限1920年代使用</t>
  </si>
  <si>
    <t>舞者</t>
  </si>
  <si>
    <t>服装设计师</t>
  </si>
  <si>
    <t xml:space="preserve">会计，技艺（摄影），技艺（任一），计算机或图书馆，乔装，心理学，侦察，任意一项其他个人特长。※可以通过成功的「侦察」检定，从对方的服饰判定其地位和收入等。
</t>
  </si>
  <si>
    <t>海上自卫队员</t>
  </si>
  <si>
    <t>电气维修或机械维修，格斗，射击，急救，导航，驾驶（船），生存（海上），游泳。</t>
  </si>
  <si>
    <t>海警</t>
  </si>
  <si>
    <t>急救，机械维修，博物学，导航，一项社交技能（取悦、话术、恐吓、说服），驾驶（船），侦察，游泳。</t>
  </si>
  <si>
    <t>陆上自卫队员</t>
  </si>
  <si>
    <t>私人军事公司成员</t>
  </si>
  <si>
    <t>冒险家教授</t>
  </si>
  <si>
    <t>攀爬或游泳，射击，历史，跳跃，博物学，导航，外语，生存。</t>
  </si>
  <si>
    <t>评论家</t>
  </si>
  <si>
    <t>偶像</t>
  </si>
  <si>
    <t>技艺（表演,歌唱,舞蹈），乔装，两项社交技能（取悦、话术、恐吓、说服），聆听，心理学，任意两项其他个人或时代特长。</t>
  </si>
  <si>
    <t>歌手</t>
  </si>
  <si>
    <t>技艺（歌唱,舞蹈,乐器），乔装，两项社交技能（取悦、话术、恐吓、说服），聆听，心理学，任意两项其他个人或时代特长。</t>
  </si>
  <si>
    <t>搞笑艺人</t>
  </si>
  <si>
    <t>技艺（表演,杂技,喜剧），乔装，两项社交技能（取悦、话术、恐吓、说服），聆听，心理学，任意两项其他个人或时代特长。</t>
  </si>
  <si>
    <t>运动员艺人</t>
  </si>
  <si>
    <t>攀爬，闪避，跳跃，投掷，侦察，游泳，任意两项其他个人或时代特长。</t>
  </si>
  <si>
    <t>播音员</t>
  </si>
  <si>
    <t>主持人</t>
  </si>
  <si>
    <t>电视解说员</t>
  </si>
  <si>
    <t>网络明星</t>
  </si>
  <si>
    <t>技艺（表演，歌唱，喜剧），乔装，两项社交技能（取悦、话术、恐吓、说服），聆听，心理学，计算机，电气维修。</t>
  </si>
  <si>
    <t>经纪人</t>
  </si>
  <si>
    <t>汽车驾驶、两项社交技能（取悦、话术、恐吓、说服），潜行，聆听，法律，任意两项其他个人或时代特长。</t>
  </si>
  <si>
    <t>捉鬼人</t>
  </si>
  <si>
    <t>神秘学，科学（物理，化学，生物），机械维修，艺术（摄影），电气维修，一项社交技能（取悦、话术、恐吓、说服）。</t>
  </si>
  <si>
    <t>占卜师、灵媒师</t>
  </si>
  <si>
    <t>教育×2＋教育或外貌×2</t>
  </si>
  <si>
    <t>艺术（表演），历史，图书馆，两项社交技能（取悦、话术、恐吓、说服），神秘学，心理学，任意一项其他个人或时代特长。</t>
  </si>
  <si>
    <t>机械师</t>
  </si>
  <si>
    <t>厨师</t>
  </si>
  <si>
    <t>手艺（烹饪），科学（生物，化学），格斗（斗殴），博物学，侦察，外语，任意一项其他个人或时代特长。</t>
  </si>
  <si>
    <t>网络犯罪者</t>
  </si>
  <si>
    <t>计算机，电气维修，电子学，图书馆，侦察，一项社交技能（取悦、话术、恐吓、说服），任意两项其他技能。</t>
  </si>
  <si>
    <t>佣兵</t>
  </si>
  <si>
    <t>自宅警备员</t>
  </si>
  <si>
    <t>1-10</t>
  </si>
  <si>
    <t xml:space="preserve">计算机，聆听，潜行，图书馆，母语，任意三项符合尼特族形象的特长。
</t>
  </si>
  <si>
    <t>壮汉保镖</t>
  </si>
  <si>
    <t>格斗（斗殴），射击，急救，一项社交技能（取悦、话术、恐吓、说服），法律，心理学，侦察和下面的一种个人特长：汽车驾驶或骑术。</t>
  </si>
  <si>
    <t>游戏测试员</t>
  </si>
  <si>
    <t>手艺（游戏），计算机，电气维修，电子学，聆听，一项社交技能（取悦、话术、恐吓、说服），任意两项其他个人或时代特长。</t>
  </si>
  <si>
    <t>交际花</t>
  </si>
  <si>
    <t>艺术（任意），估价，潜行，一项社交技能（取悦、话术、恐吓、说服），急救，其他语言（欧洲），心理学，骑术，（乔装、钳工）中的一种，任意一项其他个人或时代特长</t>
  </si>
  <si>
    <t>《克苏鲁煤气灯》
职业</t>
  </si>
  <si>
    <r>
      <rPr>
        <sz val="11"/>
        <color rgb="FF000000"/>
        <rFont val="微软雅黑 Light"/>
        <family val="2"/>
        <charset val="134"/>
      </rPr>
      <t>《克苏鲁煤气灯》1980s职业，</t>
    </r>
    <r>
      <rPr>
        <b/>
        <sz val="11"/>
        <color rgb="FFFF0000"/>
        <rFont val="微软雅黑 Light"/>
        <family val="2"/>
        <charset val="134"/>
      </rPr>
      <t>使用前请征得KP同意。</t>
    </r>
  </si>
  <si>
    <t>考古学家</t>
  </si>
  <si>
    <t>会计，艺术（任意），估价，历史，图书馆，其他语言（欧洲），一项社交技能（取悦、话术、恐吓、说服），心理学，侦查，任意两项其他个人或时代特长</t>
  </si>
  <si>
    <t>贵族</t>
  </si>
  <si>
    <t>70-99</t>
  </si>
  <si>
    <t>拉丁语，法律，其他语言（欧洲），一项社交技能（取悦、话术、恐吓、说服），骑术，射击（霰弹枪），任意三项其他个人或时代特长</t>
  </si>
  <si>
    <t>艺术及手艺（任意多种），估价，历史，图书馆，其他语言（欧洲），侦查，任意两项其他个人或时代特长</t>
  </si>
  <si>
    <t>作家</t>
  </si>
  <si>
    <t>艺术（写作），历史，图书馆，其他语言（欧洲），母语，一项社交技能（取悦、话术、恐吓、说服），心理学，任意两项其他个人或时代特长</t>
  </si>
  <si>
    <t>马车夫</t>
  </si>
  <si>
    <t>闪避，马车驾驶，跳跃，聆听，机械维修，博物学，导航，一项社交技能（取悦、话术、恐吓、说服），侦查，格斗（鞭），任意一项其他个人或时代特长</t>
  </si>
  <si>
    <t>牧师</t>
  </si>
  <si>
    <t>20-65</t>
  </si>
  <si>
    <t>历史，拉丁语，图书馆，一项社交技能（取悦、话术、恐吓、说服），心理学，任意两项其他个人或时代特长</t>
  </si>
  <si>
    <t>咨询侦探</t>
  </si>
  <si>
    <t>人类学，估价，科学（化学），急救，历史，法律，图书馆，聆听，心理学，其他语言（任意），侦查，追踪，任意两项其他个人或时代特长</t>
  </si>
  <si>
    <t>仅限维多利亚时代使用</t>
  </si>
  <si>
    <t>会计，估价，手艺（任意多种），机械维修，一项社交技能（取悦、话术、恐吓、说服），侦查，任意一项其他个人或时代特长</t>
  </si>
  <si>
    <t>罪犯</t>
  </si>
  <si>
    <t>估价，乔装，一项社交技能（取悦、话术、恐吓、说服），潜行，锁匠，格斗（任意两项），任意一项其他个人或时代特长</t>
  </si>
  <si>
    <t>业余艺术爱好者</t>
  </si>
  <si>
    <t>任意六项个人或时代特长</t>
  </si>
  <si>
    <t>艺术（任意多种），乔装，闪避，两项社交技能（取悦、话术、恐吓、说服），聆听，母语，心理学，任意三项其他个人或时代特长</t>
  </si>
  <si>
    <t>退役军官</t>
  </si>
  <si>
    <t>40-75</t>
  </si>
  <si>
    <t>潜行，急救，射击（手枪、来复枪）,导航，其他语言（任意）,一项社交技能（取悦、话术、恐吓、说服）,心理学，骑术,格斗（剑），侦查，（攀爬、游泳）中的一种</t>
  </si>
  <si>
    <t>探险家</t>
  </si>
  <si>
    <t>45-70</t>
  </si>
  <si>
    <t>人类学，考古学，估价，科学（生物学），攀爬，急救，射击（手枪、来复枪），格斗（斗殴），博物学，导航，其他语言（任意），驾驶（小艇，船，热气球），骑术，潜行，侦查，游泳，追踪</t>
  </si>
  <si>
    <t>会计，两项社交技能（取悦、话术、恐吓、说服），法律，图书馆，聆听，锁匠，艺术及手艺（摄影），侦查，任意一项其他个人或时代特长</t>
  </si>
  <si>
    <t>记者</t>
  </si>
  <si>
    <t>估价，闪避，两项社交技能（取悦、话术、恐吓、说服），图书馆，聆听，其他语言（欧洲），母语，艺术及手艺（摄影），心理学，侦查。</t>
  </si>
  <si>
    <t>劳工</t>
  </si>
  <si>
    <t>估价，一项社交技能（取悦、话术、恐吓、说服），闪避，急救，机械维修，重型机械操作，任意一项其他个人或时代特长，以及从以下任选两种：（攀爬，斗殴，手艺（任意），马车驾驶，驾驶：船）</t>
  </si>
  <si>
    <t>会计，估价，两项社交技能（取悦、话术、恐吓、说服），历史，拉丁语，法律，图书馆，聆听，心理学，任意两项其他个人或时代特长</t>
  </si>
  <si>
    <t>医生</t>
  </si>
  <si>
    <t>科学（生物学、药剂学），急救，拉丁语，图书馆，医学，心理学，任意两项其他个人或时代特长</t>
  </si>
  <si>
    <t>警察</t>
  </si>
  <si>
    <t>格斗（斗殴），闪避，一项社交技能（取悦、话术、恐吓、说服），急救，射击（手枪），法律，聆听，心理学，潜行，侦查</t>
  </si>
  <si>
    <t>教授/学者</t>
  </si>
  <si>
    <t>图书馆，其他语言（欧洲），一项社交技能（取悦、话术、恐吓、说服），心理学，至多六种额外的学识技巧作为个人专长</t>
  </si>
  <si>
    <t>手艺（任意），历史，图书馆，机械维修，一项社交技能（取悦、话术、恐吓、说服），侦查，至多六种其他学识技巧作为个人专长</t>
  </si>
  <si>
    <t>佣人</t>
  </si>
  <si>
    <t>手艺（任意），闪避，聆听，潜行，任意一项其他个人或时代特长，以及从以下中最多选取三个：（会计，估价，马车驾驶，礼仪，急救，其他语言（欧洲），说服）</t>
  </si>
  <si>
    <t>店主</t>
  </si>
  <si>
    <t>会计，估价，手艺（任意），聆听，一项社交技能（取悦、话术、恐吓、说服），心理学，侦查，任意一项其他个人或时代特长</t>
  </si>
  <si>
    <t>士兵</t>
  </si>
  <si>
    <t>闪避，急救，潜行，聆听，机械维修，射击（来复枪），潜行，侦查，任意两项其他个人或时代特长</t>
  </si>
  <si>
    <t>密探</t>
  </si>
  <si>
    <t>乔装，一项社交技能（取悦、话术、恐吓、说服），潜行，历史，图书馆，聆听，锁匠，导航，其他语言（欧洲），心理学，侦查，格斗（任意）</t>
  </si>
  <si>
    <t>技能成长表</t>
  </si>
  <si>
    <t>总计成长</t>
  </si>
  <si>
    <t>请填入模组名称</t>
  </si>
  <si>
    <t>模组2</t>
  </si>
  <si>
    <t>模组3</t>
  </si>
  <si>
    <t>模组4</t>
  </si>
  <si>
    <t>模组5</t>
  </si>
  <si>
    <t>模组6</t>
  </si>
  <si>
    <t>模组7</t>
  </si>
  <si>
    <t>模组8</t>
  </si>
  <si>
    <t>模组9</t>
  </si>
  <si>
    <t>模组10</t>
  </si>
  <si>
    <t>模组11</t>
  </si>
  <si>
    <t>模组12</t>
  </si>
  <si>
    <t>模组13</t>
  </si>
  <si>
    <t>模组14</t>
  </si>
  <si>
    <t>模组15</t>
  </si>
  <si>
    <t>模组16</t>
  </si>
  <si>
    <t>模组17</t>
  </si>
  <si>
    <t>模组18</t>
  </si>
  <si>
    <t>模组19</t>
  </si>
  <si>
    <t>模组20</t>
  </si>
  <si>
    <t>模组21</t>
  </si>
  <si>
    <t>模组22</t>
  </si>
  <si>
    <t>模组23</t>
  </si>
  <si>
    <t>模组24</t>
  </si>
  <si>
    <t>模组25</t>
  </si>
  <si>
    <t>模组26</t>
  </si>
  <si>
    <t>模组27</t>
  </si>
  <si>
    <t>模组28</t>
  </si>
  <si>
    <t>模组29</t>
  </si>
  <si>
    <t>模组30</t>
  </si>
  <si>
    <t>模组31</t>
  </si>
  <si>
    <t>模组32</t>
  </si>
  <si>
    <t>模组33</t>
  </si>
  <si>
    <t>模组34</t>
  </si>
  <si>
    <t>模组35</t>
  </si>
  <si>
    <t>模组36</t>
  </si>
  <si>
    <t>模组37</t>
  </si>
  <si>
    <t>模组38</t>
  </si>
  <si>
    <t>模组39</t>
  </si>
  <si>
    <t>模组40</t>
  </si>
  <si>
    <t>模组41</t>
  </si>
  <si>
    <t>模组42</t>
  </si>
  <si>
    <t>模组43</t>
  </si>
  <si>
    <t>模组44</t>
  </si>
  <si>
    <t>模组45</t>
  </si>
  <si>
    <t>模组46</t>
  </si>
  <si>
    <t>模组47</t>
  </si>
  <si>
    <t>模组48</t>
  </si>
  <si>
    <t>模组49</t>
  </si>
  <si>
    <t>模组50</t>
  </si>
  <si>
    <t>模组51</t>
  </si>
  <si>
    <t>模组52</t>
  </si>
  <si>
    <t>模组53</t>
  </si>
  <si>
    <t>模组54</t>
  </si>
  <si>
    <t>模组55</t>
  </si>
  <si>
    <t>模组56</t>
  </si>
  <si>
    <t>模组57</t>
  </si>
  <si>
    <t>模组58</t>
  </si>
  <si>
    <t>模组59</t>
  </si>
  <si>
    <t>模组60</t>
  </si>
  <si>
    <t>模组61</t>
  </si>
  <si>
    <t>模组62</t>
  </si>
  <si>
    <t>模组63</t>
  </si>
  <si>
    <t>模组64</t>
  </si>
  <si>
    <t>模组65</t>
  </si>
  <si>
    <t>模组66</t>
  </si>
  <si>
    <t>模组67</t>
  </si>
  <si>
    <t>模组68</t>
  </si>
  <si>
    <t>模组69</t>
  </si>
  <si>
    <t>模组70</t>
  </si>
  <si>
    <t>模组71</t>
  </si>
  <si>
    <t>模组72</t>
  </si>
  <si>
    <t>模组73</t>
  </si>
  <si>
    <t>模组74</t>
  </si>
  <si>
    <t>模组75</t>
  </si>
  <si>
    <t>模组76</t>
  </si>
  <si>
    <t>模组77</t>
  </si>
  <si>
    <t>模组78</t>
  </si>
  <si>
    <t>模组79</t>
  </si>
  <si>
    <t>模组80</t>
  </si>
  <si>
    <t>模组81</t>
  </si>
  <si>
    <t>模组82</t>
  </si>
  <si>
    <t>模组83</t>
  </si>
  <si>
    <t>模组84</t>
  </si>
  <si>
    <t>模组85</t>
  </si>
  <si>
    <t>模组86</t>
  </si>
  <si>
    <t>模组87</t>
  </si>
  <si>
    <t>模组88</t>
  </si>
  <si>
    <t>模组89</t>
  </si>
  <si>
    <t>模组90</t>
  </si>
  <si>
    <t>模组91</t>
  </si>
  <si>
    <t>模组92</t>
  </si>
  <si>
    <t>模组93</t>
  </si>
  <si>
    <t>模组94</t>
  </si>
  <si>
    <t>模组95</t>
  </si>
  <si>
    <t>模组96</t>
  </si>
  <si>
    <t>模组97</t>
  </si>
  <si>
    <t>模组98</t>
  </si>
  <si>
    <t>模组99</t>
  </si>
  <si>
    <t>模组100</t>
  </si>
  <si>
    <t>请填入成长数值</t>
  </si>
  <si>
    <t>后面依次类推哦</t>
  </si>
  <si>
    <t>以上这些是示例</t>
  </si>
  <si>
    <t>格斗：斗殴</t>
  </si>
  <si>
    <t>射击：手枪</t>
  </si>
  <si>
    <t>自定义职业</t>
  </si>
  <si>
    <t>事务所侦探</t>
  </si>
  <si>
    <t>非熟练工人</t>
  </si>
  <si>
    <t>司法家</t>
  </si>
  <si>
    <t>赛车手/赛艇手</t>
  </si>
  <si>
    <t>☆</t>
  </si>
  <si>
    <t>⊙</t>
  </si>
  <si>
    <t>☯</t>
  </si>
  <si>
    <t>※</t>
  </si>
  <si>
    <t>表演</t>
  </si>
  <si>
    <t>制图</t>
  </si>
  <si>
    <t>文学</t>
  </si>
  <si>
    <t>演☆</t>
  </si>
  <si>
    <t>伪造</t>
  </si>
  <si>
    <t>摄影</t>
  </si>
  <si>
    <t>表</t>
  </si>
  <si>
    <t>耕作</t>
  </si>
  <si>
    <t>摄影☆</t>
  </si>
  <si>
    <t>乐器</t>
  </si>
  <si>
    <t>驯养</t>
  </si>
  <si>
    <t>书法</t>
  </si>
  <si>
    <t>木匠</t>
  </si>
  <si>
    <t>歌唱</t>
  </si>
  <si>
    <t>厨艺</t>
  </si>
  <si>
    <t>游戏</t>
  </si>
  <si>
    <t>写作</t>
  </si>
  <si>
    <t>演</t>
  </si>
  <si>
    <t>艺☆</t>
  </si>
  <si>
    <t>字☆</t>
  </si>
  <si>
    <t>舞蹈</t>
  </si>
  <si>
    <t>喜剧</t>
  </si>
  <si>
    <t>焊接</t>
  </si>
  <si>
    <t>类</t>
  </si>
  <si>
    <t>记☆</t>
  </si>
  <si>
    <t>杂技</t>
  </si>
  <si>
    <t>管道</t>
  </si>
  <si>
    <t>鞭</t>
  </si>
  <si>
    <t>链锯</t>
  </si>
  <si>
    <t>矛</t>
  </si>
  <si>
    <t>剑</t>
  </si>
  <si>
    <t>步/霰</t>
  </si>
  <si>
    <t>弓术</t>
  </si>
  <si>
    <t>霰弹</t>
  </si>
  <si>
    <t>来复</t>
  </si>
  <si>
    <t>拉丁</t>
  </si>
  <si>
    <t>置换</t>
  </si>
  <si>
    <t>希伯来</t>
  </si>
  <si>
    <t>汉语</t>
  </si>
  <si>
    <t>欧洲</t>
  </si>
  <si>
    <t>梵语</t>
  </si>
  <si>
    <t>船</t>
  </si>
  <si>
    <t>飞行</t>
  </si>
  <si>
    <t>艇船球</t>
  </si>
  <si>
    <t>生物</t>
  </si>
  <si>
    <t>动物</t>
  </si>
  <si>
    <t>数学</t>
  </si>
  <si>
    <t>工程</t>
  </si>
  <si>
    <t>化学</t>
  </si>
  <si>
    <t>生物☆</t>
  </si>
  <si>
    <t>地质</t>
  </si>
  <si>
    <t>天文学</t>
  </si>
  <si>
    <t>天文</t>
  </si>
  <si>
    <t>药学</t>
  </si>
  <si>
    <t>物理</t>
  </si>
  <si>
    <t>植物</t>
  </si>
  <si>
    <t>司法</t>
  </si>
  <si>
    <t>植☆</t>
  </si>
  <si>
    <t>制药</t>
  </si>
  <si>
    <t>山</t>
  </si>
  <si>
    <t>海上</t>
  </si>
  <si>
    <t>海洋</t>
  </si>
  <si>
    <t>海</t>
  </si>
  <si>
    <t>移动力计算</t>
  </si>
  <si>
    <t>护甲表减值
是否开启</t>
  </si>
  <si>
    <t>护甲表减值</t>
  </si>
  <si>
    <t>年龄减值</t>
  </si>
  <si>
    <t>力量-体型</t>
  </si>
  <si>
    <t>技能雷达表</t>
  </si>
  <si>
    <t>值</t>
  </si>
  <si>
    <t>总数</t>
  </si>
  <si>
    <t>百分比</t>
  </si>
  <si>
    <t>伤害加值与体格</t>
  </si>
  <si>
    <t>shiyong</t>
  </si>
  <si>
    <t>计算</t>
  </si>
  <si>
    <t>敏捷-体型</t>
  </si>
  <si>
    <t>调查</t>
  </si>
  <si>
    <t>交涉</t>
  </si>
  <si>
    <t>战斗</t>
  </si>
  <si>
    <t>特技</t>
  </si>
  <si>
    <t>支援</t>
  </si>
  <si>
    <t>学问</t>
  </si>
  <si>
    <t>力量+体型</t>
  </si>
  <si>
    <t>力量大小</t>
  </si>
  <si>
    <t>检测是否为数字</t>
  </si>
  <si>
    <t>最终年龄减值</t>
  </si>
  <si>
    <t>敏捷大小</t>
  </si>
  <si>
    <t>非八十整数体格</t>
  </si>
  <si>
    <t>减485后八十的倍数</t>
  </si>
  <si>
    <t>最终体格出目</t>
  </si>
  <si>
    <t>总值</t>
  </si>
  <si>
    <t>护甲表最终减值</t>
  </si>
  <si>
    <t>属性最终值</t>
  </si>
  <si>
    <t>小于1D6的话</t>
  </si>
  <si>
    <t>超过1d6的话</t>
  </si>
  <si>
    <t>最终伤害加值出目</t>
  </si>
  <si>
    <t>最终补正值</t>
  </si>
  <si>
    <t>最终值</t>
  </si>
  <si>
    <t>格斗射击基础成功率</t>
  </si>
  <si>
    <t>教育+其他属性点数中的最大值（官方）</t>
  </si>
  <si>
    <t>格斗1</t>
  </si>
  <si>
    <t>射击1</t>
  </si>
  <si>
    <t>教育+其他属性点数中的所有值</t>
  </si>
  <si>
    <t>格斗2</t>
  </si>
  <si>
    <t>射击2</t>
  </si>
  <si>
    <t>属性雷达表</t>
  </si>
  <si>
    <t>基础属性</t>
  </si>
  <si>
    <t>出目</t>
  </si>
  <si>
    <t>格斗3</t>
  </si>
  <si>
    <t>射击3</t>
  </si>
  <si>
    <t>教育
EDU</t>
  </si>
  <si>
    <t>熟练下拉</t>
  </si>
  <si>
    <t>自定义技能剩余计算</t>
  </si>
  <si>
    <t>←请选择类型</t>
  </si>
  <si>
    <t>没有数值</t>
  </si>
  <si>
    <t>最大值</t>
  </si>
  <si>
    <t>最终出目</t>
  </si>
  <si>
    <t>随身物品下拉表</t>
  </si>
  <si>
    <t>san值计算</t>
  </si>
  <si>
    <t>颅————</t>
  </si>
  <si>
    <t>头部</t>
  </si>
  <si>
    <t>头发</t>
  </si>
  <si>
    <t>自定义</t>
  </si>
  <si>
    <t>名称</t>
  </si>
  <si>
    <t>耳朵</t>
  </si>
  <si>
    <t>1d10+5</t>
  </si>
  <si>
    <t>面部</t>
  </si>
  <si>
    <t>死亡</t>
  </si>
  <si>
    <t>任意</t>
  </si>
  <si>
    <t>特定时间</t>
  </si>
  <si>
    <t>1d10</t>
  </si>
  <si>
    <t xml:space="preserve">对目击尸体造成的理智损失免疫;初始年龄不能低于 25 岁;背景增加一项：警察工作相关的伤疤 / 疤痕或恐惧症 / 躁狂症；
</t>
  </si>
  <si>
    <t>颈部</t>
  </si>
  <si>
    <t>其他(头)</t>
  </si>
  <si>
    <t>躯————</t>
  </si>
  <si>
    <t>显露</t>
  </si>
  <si>
    <t>数</t>
  </si>
  <si>
    <t>目前值</t>
  </si>
  <si>
    <t>肩</t>
  </si>
  <si>
    <t>隐藏</t>
  </si>
  <si>
    <t>分类</t>
  </si>
  <si>
    <t>胸前</t>
  </si>
  <si>
    <t>最终</t>
  </si>
  <si>
    <t>公元调整</t>
  </si>
  <si>
    <t>未出现的</t>
  </si>
  <si>
    <t>未出现的发明</t>
  </si>
  <si>
    <t>背后</t>
  </si>
  <si>
    <t>已出现的</t>
  </si>
  <si>
    <t>已出现的发明</t>
  </si>
  <si>
    <t>肋</t>
  </si>
  <si>
    <t>经历包剩余点</t>
  </si>
  <si>
    <t>调整出目</t>
  </si>
  <si>
    <t>本年的发明</t>
  </si>
  <si>
    <t>裆</t>
  </si>
  <si>
    <t>腰</t>
  </si>
  <si>
    <t>职业点数</t>
  </si>
  <si>
    <t>检测大小</t>
  </si>
  <si>
    <t>查找发明的时间</t>
  </si>
  <si>
    <t>?</t>
  </si>
  <si>
    <t>胯</t>
  </si>
  <si>
    <t>研发中...</t>
  </si>
  <si>
    <t>其他(躯)</t>
  </si>
  <si>
    <t>服————</t>
  </si>
  <si>
    <t>年份</t>
  </si>
  <si>
    <t>国际重大时代标志</t>
  </si>
  <si>
    <t>中国重大时代标志</t>
  </si>
  <si>
    <t>重大事件</t>
  </si>
  <si>
    <t>名人</t>
  </si>
  <si>
    <t>本年发明</t>
  </si>
  <si>
    <t>衣兜</t>
  </si>
  <si>
    <t>梵高饮弹自尽</t>
  </si>
  <si>
    <t>发现火星“人工运河”</t>
  </si>
  <si>
    <t>十九世纪 九十年代</t>
  </si>
  <si>
    <t xml:space="preserve">庚寅虎年
</t>
  </si>
  <si>
    <t>清光绪16年</t>
  </si>
  <si>
    <t>芝加哥建设世界首座全钢结构建筑
伦敦首条电气地铁
英国鱼雷巡洋舰蛇号在西班牙海岸失事，死亡 167 人
坐牛在印第安人起义中被杀
首个圣代冰淇淋
美国总人口达到 629 万</t>
  </si>
  <si>
    <t>总统：
   本杰明·哈里森（共和党）</t>
  </si>
  <si>
    <t>实用水电站 手电 电影摄影机 收音机 霍乱疫苗 啤酒瓶盖 柴油发动机 双向电报 实用的胶卷 块麦片 电报 可口可乐 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</si>
  <si>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t>
  </si>
  <si>
    <t>电气地铁
圣代冰淇淋</t>
  </si>
  <si>
    <t>内衬</t>
  </si>
  <si>
    <t>马德里协定</t>
  </si>
  <si>
    <t>辛卯兔年</t>
  </si>
  <si>
    <t>清光绪17年</t>
  </si>
  <si>
    <t>日本浓尾大地震，毁坏 2 万房屋，死亡 2.5万人
首个实用水电站
英国普及手电
爱迪生申请到电影摄影机的专利权
爱迪生拿到收音机的专利</t>
  </si>
  <si>
    <t>霍乱疫苗 啤酒瓶盖 柴油发动机 双向电报 实用的胶卷 块麦片 电报 可口可乐 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</si>
  <si>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t>
  </si>
  <si>
    <t>实用水电站
手电
电影摄影机
收音机</t>
  </si>
  <si>
    <t>衣服内</t>
  </si>
  <si>
    <t>壬辰龙年</t>
  </si>
  <si>
    <t>清光绪18年</t>
  </si>
  <si>
    <t>宾夕法尼亚州石油城暴发洪水，死亡130 人
霍乱疫苗
开普敦 - 约翰内斯堡铁路竣工
啤酒瓶盖发明
柴油发动机取得专利
爱迪生获得双向电报的专利权</t>
  </si>
  <si>
    <t>书籍：
   阿瑟·柯南·道尔出版《福尔摩斯办案记》（The Adventures of Sherlock Holmes）
总统：
   本杰明·哈里森（共和党）</t>
  </si>
  <si>
    <t>实用的胶卷 块麦片 电报 可口可乐 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</si>
  <si>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t>
  </si>
  <si>
    <t>霍乱疫苗
啤酒瓶盖
柴油发动机
双向电报</t>
  </si>
  <si>
    <t>毒剂示例</t>
  </si>
  <si>
    <t>裤兜</t>
  </si>
  <si>
    <t>新西兰给予女性投票权</t>
  </si>
  <si>
    <t>第一次里夫战争</t>
  </si>
  <si>
    <t>癸巳蛇年</t>
  </si>
  <si>
    <t>清光绪19年</t>
  </si>
  <si>
    <t>飓风造成的洪水袭击美国南部西海岸 ,死亡 2000 人
首个实用的胶卷
块麦片
芝加哥万国博览会</t>
  </si>
  <si>
    <t>总统：
   本杰明·哈里森（共和党）
   格罗佛·克利夫兰（民主党）</t>
  </si>
  <si>
    <t>电报 可口可乐 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</si>
  <si>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t>
  </si>
  <si>
    <t>实用的胶卷
块麦片</t>
  </si>
  <si>
    <t>电报
可口可乐</t>
  </si>
  <si>
    <t>毒剂名称</t>
  </si>
  <si>
    <t>生效时间</t>
  </si>
  <si>
    <t>症状</t>
  </si>
  <si>
    <t>其他(服)</t>
  </si>
  <si>
    <t>朝鲜东学党起义</t>
  </si>
  <si>
    <t>奥林匹克委员会成立</t>
  </si>
  <si>
    <t>中日甲午战争</t>
  </si>
  <si>
    <t>孙中山建立兴中会</t>
  </si>
  <si>
    <t>甲午马年</t>
  </si>
  <si>
    <t>清光绪20年</t>
  </si>
  <si>
    <t>明尼苏达森林大火，死亡 480 人
德雷福斯事件，其被流放魔鬼岛
首份电报
瓶装可口可乐</t>
  </si>
  <si>
    <t>总统：
   格罗佛·克利夫兰（民主党）</t>
  </si>
  <si>
    <t>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</si>
  <si>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t>
  </si>
  <si>
    <t>年龄年龄补正</t>
  </si>
  <si>
    <t>鹅膏菌（毒蘑菇）</t>
  </si>
  <si>
    <t>6～24小时</t>
  </si>
  <si>
    <t>剧烈腹痛、呕吐、黄疸</t>
  </si>
  <si>
    <t>造成了95%的毒蘑菇致死事件，鬼笔鹅膏是最常见的一种蘑菇毒素。</t>
  </si>
  <si>
    <t>上肢————</t>
  </si>
  <si>
    <t>台湾民主国成立</t>
  </si>
  <si>
    <t>台湾民主国被日军占领</t>
  </si>
  <si>
    <t>《马关条约》</t>
  </si>
  <si>
    <t>公车上书</t>
  </si>
  <si>
    <t>乙未羊年</t>
  </si>
  <si>
    <t>清光绪21年</t>
  </si>
  <si>
    <t>伦琴发现 X 射线
卷烟机发明
卢米埃兄弟制成电影放映机并在巴黎首次放映电影
卡尔斯滕·埃格贝尔格·博克格尔文克成为第一名在南极洲大陆登陆的人
韦廉姆·G·摩根在美国发明排球</t>
  </si>
  <si>
    <t>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</si>
  <si>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 电影放映机 排球</t>
  </si>
  <si>
    <t>X 射线
卷烟机
电影放映机
排球</t>
  </si>
  <si>
    <t>力量体型共-5 E-5 L*2</t>
  </si>
  <si>
    <t>砷化物</t>
  </si>
  <si>
    <t>30分钟～24小时</t>
  </si>
  <si>
    <t>灼痛、呕吐、剧烈腹泻</t>
  </si>
  <si>
    <t>4D10</t>
  </si>
  <si>
    <t>砷中毒难以确认（这使得它作为毒杀工具大受欢迎），直到1836年马氏试砷法发明为止。</t>
  </si>
  <si>
    <t>左手</t>
  </si>
  <si>
    <t>雅典奥运会</t>
  </si>
  <si>
    <t>《中俄密约》</t>
  </si>
  <si>
    <t>丙申猴年</t>
  </si>
  <si>
    <t>清光绪22年</t>
  </si>
  <si>
    <t>克朗代克淘金热
印名片机取得专利
首辆福特车
潜望镜
雅典举办首届奥运会</t>
  </si>
  <si>
    <t>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</si>
  <si>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t>
  </si>
  <si>
    <t>印名片机
福特车
潜望镜</t>
  </si>
  <si>
    <t>教育进步*1</t>
  </si>
  <si>
    <t>颠茄</t>
  </si>
  <si>
    <t>2小时～2天</t>
  </si>
  <si>
    <t>心率加快、视力受损、惊厥</t>
  </si>
  <si>
    <t>世界上毒性最大的植物之一，成人食用10～20颗就可能死亡。</t>
  </si>
  <si>
    <t>右手</t>
  </si>
  <si>
    <t>丁酉鸡年</t>
  </si>
  <si>
    <t>清光绪23年</t>
  </si>
  <si>
    <t>油印蜡纸发明
首个阴极射线管</t>
  </si>
  <si>
    <t>总统：
   格罗佛·克利夫兰（民主党）
   威廉·麦金利（共和党）</t>
  </si>
  <si>
    <t>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</si>
  <si>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t>
  </si>
  <si>
    <t>油印蜡纸发明
阴极射线管</t>
  </si>
  <si>
    <t>进步*2,SCD共-5 A-5</t>
  </si>
  <si>
    <t>黑寡妇蜘蛛毒</t>
  </si>
  <si>
    <t>2～8小时</t>
  </si>
  <si>
    <t>寒战、出汗、恶心</t>
  </si>
  <si>
    <t>如果及时进行医治，基本不会死亡。</t>
  </si>
  <si>
    <t>双手</t>
  </si>
  <si>
    <t>美西战争</t>
  </si>
  <si>
    <t>美国兼并夏威夷共和国</t>
  </si>
  <si>
    <t>戊戌变法/百日维新</t>
  </si>
  <si>
    <t xml:space="preserve">十九世纪 九十年代
</t>
  </si>
  <si>
    <t>戊戌狗年</t>
  </si>
  <si>
    <t>清光绪24年</t>
  </si>
  <si>
    <t>飓风袭击美国南部数百人死亡
美西战争，死亡 2446 美军
唱片普及
商品阿司匹林出现
凯洛格牌玉米片
手电筒
居里夫妇宣布发现新的放射性元素钋
居里夫妇发现了化学元素镭
尼古拉·特斯拉开发第一个摇控器</t>
  </si>
  <si>
    <t>总统：
   威廉·麦金利（共和党）</t>
  </si>
  <si>
    <t>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</si>
  <si>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t>
  </si>
  <si>
    <t>商品阿司匹林
凯洛格牌玉米片
手电筒
钋
镭
摇控器</t>
  </si>
  <si>
    <t>进步*3,SCD共-10 A-10</t>
  </si>
  <si>
    <t>三氯甲烷（氯仿）</t>
  </si>
  <si>
    <t>1轮</t>
  </si>
  <si>
    <t>昏迷1小时</t>
  </si>
  <si>
    <t>无伤害</t>
  </si>
  <si>
    <t>在1800~1900s是常见的麻醉剂，不过高的摄入量也会致死。</t>
  </si>
  <si>
    <t>左臂</t>
  </si>
  <si>
    <t>第二次布尔战争</t>
  </si>
  <si>
    <t>己亥猪年</t>
  </si>
  <si>
    <t>清光绪25年</t>
  </si>
  <si>
    <t>纽约温莎酒店大火，数百万人受灾，死亡 14 人
卢瑟福发现 α 粒子和 β 粒子
打字机开始普及</t>
  </si>
  <si>
    <t>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</si>
  <si>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t>
  </si>
  <si>
    <t>α 粒子和 β 粒子
打字机</t>
  </si>
  <si>
    <t>进步*4,SCD共-20 A-15</t>
  </si>
  <si>
    <t>眼镜蛇毒</t>
  </si>
  <si>
    <t>15～60分钟</t>
  </si>
  <si>
    <t>惊厥、呼吸衰竭</t>
  </si>
  <si>
    <t>接触眼睛会产生直接的刺激，未经处理会失明。如果有血清，可以避免受重伤和死亡。</t>
  </si>
  <si>
    <t>右臂</t>
  </si>
  <si>
    <t>巴黎奥运会</t>
  </si>
  <si>
    <t>诺贝尔奖基金会</t>
  </si>
  <si>
    <t>八国联军侵华战争</t>
  </si>
  <si>
    <t>庚子国变</t>
  </si>
  <si>
    <t>二十世纪初</t>
  </si>
  <si>
    <t>庚子鼠年</t>
  </si>
  <si>
    <t>清光绪26年</t>
  </si>
  <si>
    <t>码头失火，蒸汽艇里约热内卢号在旧金山港沉没，死亡 128 人
大飓风加尔维斯顿，死亡 6000 人
庚子国变
柯达布朗尼相机
齐柏林伯爵起飞 420 英尺飞艇
美国公债12.63 亿美元
美国人口 760 万。</t>
  </si>
  <si>
    <t>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</si>
  <si>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t>
  </si>
  <si>
    <t>柯达布朗尼相机
齐柏林飞艇</t>
  </si>
  <si>
    <t>进步*4,SCD共-40 A-20</t>
  </si>
  <si>
    <t>箭毒碱</t>
  </si>
  <si>
    <t>肌肉麻痹、呼吸衰竭。</t>
  </si>
  <si>
    <t>南美洲人涂在箭上毒剂的通称。口服无害，只有通过皮肤伤口直接侵入才会导致瘫痪。</t>
  </si>
  <si>
    <t>双臂</t>
  </si>
  <si>
    <t>维多利亚时代结束（英国）</t>
  </si>
  <si>
    <t>《辛丑条约》</t>
  </si>
  <si>
    <t>辛丑牛年</t>
  </si>
  <si>
    <t>清光绪27年</t>
  </si>
  <si>
    <t>麦金莱总统遇刺
美国两次爆发伤寒
维多利亚女王逝世
人类血型发现
首份跨越大西洋电报</t>
  </si>
  <si>
    <t>总统：
   威廉·麦金利（共和党）
   西奥多·罗斯福（共和党）</t>
  </si>
  <si>
    <t>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</si>
  <si>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t>
  </si>
  <si>
    <t>人类血型
跨大西洋电报</t>
  </si>
  <si>
    <t>进步*4,SCD共-80 A-25</t>
  </si>
  <si>
    <t>氰化物</t>
  </si>
  <si>
    <t>1～15分钟</t>
  </si>
  <si>
    <t>眩晕、惊厥、晕厥、死亡。</t>
  </si>
  <si>
    <t>剧毒——摄入了氰化物盐或者通过气体吸入都会致死。</t>
  </si>
  <si>
    <t>肘部</t>
  </si>
  <si>
    <t>第二次布尔战争结束</t>
  </si>
  <si>
    <t>壬寅虎年</t>
  </si>
  <si>
    <t>清光绪28年</t>
  </si>
  <si>
    <t>布尔战争
马提尼克（中美洲岛屿 ) 培雷火山爆发，死亡 4 万人
首个汽轮机游船
现代柏油路产生
首个铝罐奶粉
爆米花
首个泰迪熊
首个卡鲁索电唱机
商用氢化油脂使得制皂和烹饪用油来源增加</t>
  </si>
  <si>
    <t>总统：
   西奥多·罗斯福（共和党）</t>
  </si>
  <si>
    <t>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</si>
  <si>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t>
  </si>
  <si>
    <t>汽轮机游船
现代柏油路
铝罐奶粉
爆米花
泰迪熊
卡鲁索电唱机
便宜的肥皂和烹饪用油</t>
  </si>
  <si>
    <t>年龄倍数</t>
  </si>
  <si>
    <t>scd</t>
  </si>
  <si>
    <t>a</t>
  </si>
  <si>
    <t>响尾蛇毒</t>
  </si>
  <si>
    <t>呕吐、剧烈抽搐、黄视。</t>
  </si>
  <si>
    <t>2D10</t>
  </si>
  <si>
    <t>毒液会破坏组织、引发坏死，不过很少致命（特别是一两个小时内就获得解药的话）。</t>
  </si>
  <si>
    <t>其他(上肢)</t>
  </si>
  <si>
    <t>癸卯兔年</t>
  </si>
  <si>
    <t>清光绪29年</t>
  </si>
  <si>
    <t>芝加哥易洛魁剧院大火，死亡 602 人，是美国历史上最严重的火灾
莱特兄弟试飞飞机
首个荧光灯
邮戳机产生
车架中心摩托车发动机</t>
  </si>
  <si>
    <t>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</si>
  <si>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t>
  </si>
  <si>
    <t>飞机
荧光灯
邮戳机
摩托车发动机</t>
  </si>
  <si>
    <t>氟硝西泮</t>
  </si>
  <si>
    <t>15～30分钟</t>
  </si>
  <si>
    <t>昏迷4～8小时，可能会失忆。</t>
  </si>
  <si>
    <t>无色无味，只在现代背景中出现。</t>
  </si>
  <si>
    <t>下肢————</t>
  </si>
  <si>
    <t xml:space="preserve">日俄战争
</t>
  </si>
  <si>
    <t>圣路易斯奥运会</t>
  </si>
  <si>
    <t>甲辰龙年</t>
  </si>
  <si>
    <t>清光绪30年</t>
  </si>
  <si>
    <t>伊甸火车在洪水中出轨，死亡 96 人
百老汇地铁在纽约城开通
热水瓶获得专利
轨道机械（相对于轮式 ) 出现在农业机械当中
木棉安全带
日俄战争</t>
  </si>
  <si>
    <t>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</si>
  <si>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t>
  </si>
  <si>
    <t>热水瓶
农业轨道机械
木棉安全带</t>
  </si>
  <si>
    <t>番木鳖碱（马钱子碱、士的宁）</t>
  </si>
  <si>
    <t>10～20分钟</t>
  </si>
  <si>
    <t>剧烈的肌肉痉挛、窒息、死亡。</t>
  </si>
  <si>
    <t>如果不及时医治，几小时内就会死亡。</t>
  </si>
  <si>
    <t>左脚</t>
  </si>
  <si>
    <t>俄国革命</t>
  </si>
  <si>
    <t>乙巳蛇年</t>
  </si>
  <si>
    <t>清光绪31年</t>
  </si>
  <si>
    <t>库利南钻石（3000 克拉 )，当时世界最大的钻石
英国海军标准配备蒸汽轮机
1905 年俄国革命
电动汽车喇叭
化学泡沫灭火器
狭义相对论</t>
  </si>
  <si>
    <t>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</si>
  <si>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t>
  </si>
  <si>
    <t>电动汽车喇叭
化学泡沫灭火器
狭义相对论</t>
  </si>
  <si>
    <t>请打开下拉栏选择</t>
  </si>
  <si>
    <t>右脚</t>
  </si>
  <si>
    <t>美军占领古巴</t>
  </si>
  <si>
    <t>印度民族解放运动</t>
  </si>
  <si>
    <t>丙午马年</t>
  </si>
  <si>
    <t>清光绪32年</t>
  </si>
  <si>
    <t>1906 年旧金山大地震引发大火，死亡700 人，28818 间房屋损毁
美军占领古巴到 1909年
卢西塔尼亚和毛里塔尼亚号下水
自动点唱机
舰艇舷外发动机量产</t>
  </si>
  <si>
    <t>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</si>
  <si>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t>
  </si>
  <si>
    <t>自动点唱机
量产舰艇舷外发动机</t>
  </si>
  <si>
    <t>双脚</t>
  </si>
  <si>
    <t>丁未羊年</t>
  </si>
  <si>
    <t>清光绪33年</t>
  </si>
  <si>
    <t>西弗吉尼亚州煤矿矿难死亡361 人
拉斯普京在沙俄飞扬跋扈
动画
电动洗衣机
家用洗洁精
立式吸尘器</t>
  </si>
  <si>
    <t>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</si>
  <si>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t>
  </si>
  <si>
    <t>动画
电动洗衣机
家用洗洁精
立式吸尘器</t>
  </si>
  <si>
    <t>左腿</t>
  </si>
  <si>
    <t>伦敦奥运会</t>
  </si>
  <si>
    <t>戊申猴年</t>
  </si>
  <si>
    <t>清光绪34年</t>
  </si>
  <si>
    <t>敏可夫斯基阐述他的四维几何
饮用纸杯</t>
  </si>
  <si>
    <t>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</si>
  <si>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t>
  </si>
  <si>
    <t>饮用纸杯</t>
  </si>
  <si>
    <t>←这个职业 要这样获得技能点→</t>
  </si>
  <si>
    <t>右腿</t>
  </si>
  <si>
    <t>二十世纪初
清·宣统元年</t>
  </si>
  <si>
    <t>己酉鸡年</t>
  </si>
  <si>
    <t>清宣统元年</t>
  </si>
  <si>
    <t>罗伯特·E·皮尔里抵达北极点
路易斯安那和密西西比州飓风，死亡350 人
首次穿越英吉利海峡的飞行
英国双层公交车</t>
  </si>
  <si>
    <t>总统：
   西奥多·罗斯福（共和党）
   威廉·霍华德·塔夫脱（共和党）</t>
  </si>
  <si>
    <t>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</si>
  <si>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t>
  </si>
  <si>
    <t>双层公交车</t>
  </si>
  <si>
    <t>双腿</t>
  </si>
  <si>
    <t>二十世纪 十年代
清·宣统二年</t>
  </si>
  <si>
    <t>庚戌狗年</t>
  </si>
  <si>
    <t>清宣统2年</t>
  </si>
  <si>
    <t>明尼苏达州弗吉尼亚，滑坡掩埋诺曼露天煤矿工人
华盛顿州惠灵顿火车被雪崩掩埋，死亡96 人
约翰·默里和约翰·休特进行首次深海探险
无线电测向仪
美国童子军成立
美国人口920 万人</t>
  </si>
  <si>
    <t>总统：
   威廉·霍华德·塔夫脱（共和党）</t>
  </si>
  <si>
    <t>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</si>
  <si>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t>
  </si>
  <si>
    <t>无线电测向仪</t>
  </si>
  <si>
    <t>膝部</t>
  </si>
  <si>
    <t>辛亥革命</t>
  </si>
  <si>
    <t>二十世纪 十年代
清·宣统三年</t>
  </si>
  <si>
    <t>辛亥猪年</t>
  </si>
  <si>
    <t>清宣统3年</t>
  </si>
  <si>
    <t>泽西市火车站40 吨炸药爆炸，死亡30 人
纽约三角女衬衫厂火灾，死亡145 人
埃米利亚诺·萨帕塔兵临墨西哥城
辛亥革命
电煎锅
挪威探险家罗阿尔德·阿蒙森抵达南极</t>
  </si>
  <si>
    <t>歌剧：
   巴托克·贝拉《蓝胡子公爵的城堡》
总统：
   威廉·霍华德·塔夫脱（共和党）</t>
  </si>
  <si>
    <t>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</si>
  <si>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t>
  </si>
  <si>
    <t>电煎锅</t>
  </si>
  <si>
    <t>其他(下肢)</t>
  </si>
  <si>
    <t>日本改元大正</t>
  </si>
  <si>
    <t>斯德哥尔摩奥运会</t>
  </si>
  <si>
    <t>中华民国成立</t>
  </si>
  <si>
    <t>清帝退位</t>
  </si>
  <si>
    <t>二十世纪 十年代
民国元年</t>
  </si>
  <si>
    <t>壬子鼠年</t>
  </si>
  <si>
    <t>民国元年</t>
  </si>
  <si>
    <t>泰坦尼克号撞上冰山，1517 名船员和乘客死亡
由威尔逊云室发现质子和电子
赛璐玢（玻璃纸) 获得专利
伦敦裁缝街发明战壕风衣
凯迪拉克展示首个汽车自动起动器
加利福尼亚州两个自助杂货店开业</t>
  </si>
  <si>
    <t>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</si>
  <si>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t>
  </si>
  <si>
    <t>质子和电子
玻璃纸
战壕风衣
汽车自动起动器</t>
  </si>
  <si>
    <t>其他————</t>
  </si>
  <si>
    <t>巴尔干战争</t>
  </si>
  <si>
    <t>二十世纪 十年代</t>
  </si>
  <si>
    <t>癸丑牛年</t>
  </si>
  <si>
    <t>民国2年</t>
  </si>
  <si>
    <t>两次巴尔干战争
英国轮船卡尔瓦达斯号在马尔马拉海的暴风雨中失踪，200 人失踪
伍德罗·威尔逊就任美国总统
汽车自动起动器应用
美国宪法第十六号（所得税)、第十七号修正案（参议员直选)</t>
  </si>
  <si>
    <t>总统：
   威廉·霍华德·塔夫脱（共和党）
   伍德罗·威尔逊（民主党）</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</si>
  <si>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t>
  </si>
  <si>
    <t>第一次世界大战</t>
  </si>
  <si>
    <t>甲寅虎年</t>
  </si>
  <si>
    <t>民国3年</t>
  </si>
  <si>
    <t>第一次世界大战爆发
首次空袭
巴拿马运河运行
加利福尼亚州太平洋轮船印度女皇号在圣劳伦斯河上与斯托斯塔德号[6]相撞，死亡1024 人
圣诞停火</t>
  </si>
  <si>
    <t>总统：
   伍德罗·威尔逊（民主党）</t>
  </si>
  <si>
    <t>新文化运动</t>
  </si>
  <si>
    <t>乙卯兔年</t>
  </si>
  <si>
    <t>民国4年</t>
  </si>
  <si>
    <t>卢西塔尼亚号被德国潜艇轰沉，死亡1199 人，美国表示惊愕与愤怒
第一次世界大战造成史无前例的重大伤亡
麦片上市
氯气用作毒气
防毒面具
拉链获得专利</t>
  </si>
  <si>
    <t>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</si>
  <si>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麦片
氯气毒气
防毒面具
拉链</t>
  </si>
  <si>
    <t>奥运停办</t>
  </si>
  <si>
    <t>袁世凯恢复帝制失败</t>
  </si>
  <si>
    <t>丙辰龙年</t>
  </si>
  <si>
    <t>民国5年</t>
  </si>
  <si>
    <t>凡尔登战役，死亡70 万人
索姆河战役，死亡100 万人
美国脊髓灰质炎流行，死亡7000 人并致2.7 万青少年残疾
加利波利战役
爱尔兰复活节起义
日德兰海战
机械雨刮器
广义相对论
潘兴入侵墨西哥镇压起义军</t>
  </si>
  <si>
    <t>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</si>
  <si>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t>
  </si>
  <si>
    <t>机械雨刮器
广义相对论</t>
  </si>
  <si>
    <t>这是个啥？</t>
  </si>
  <si>
    <t>十月革命</t>
  </si>
  <si>
    <t>张勋复辟失败</t>
  </si>
  <si>
    <t>护法运动</t>
  </si>
  <si>
    <t>丁巳蛇年</t>
  </si>
  <si>
    <t>民国6年</t>
  </si>
  <si>
    <t>美国参加协约国
二月革命和十月革命
芥子气
福特量产拖拉机
轮船卡斯塔利亚号在苏必利尔湖沉没，死亡22 人
宾夕法尼亚州军火库爆炸，死亡133 人
新斯科舍省哈利法克斯船舶爆炸沉没，1600 人死亡</t>
  </si>
  <si>
    <t>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</si>
  <si>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t>
  </si>
  <si>
    <t>芥子气
量产拖拉机</t>
  </si>
  <si>
    <t>戊午马年</t>
  </si>
  <si>
    <t>民国7年</t>
  </si>
  <si>
    <t>第一次世界大战结束
苏俄内战
固定美国航空邮件服务
西班牙大流感，死亡2160 万人
美国独眼巨人号离开巴巴多斯后失踪
飞机时速达到150 迈，飞行高度达3万英尺
电子钟</t>
  </si>
  <si>
    <t>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</si>
  <si>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t>
  </si>
  <si>
    <t>电子钟</t>
  </si>
  <si>
    <t>巴黎和会</t>
  </si>
  <si>
    <t>五四爱国运动</t>
  </si>
  <si>
    <t>己未羊年</t>
  </si>
  <si>
    <t>民国8年</t>
  </si>
  <si>
    <t>美国宪法第十八号修正案（禁酒令)
首次跨大西洋飞行（1880 英里，16 小时12 分钟)
黄油枪
降落伞</t>
  </si>
  <si>
    <t>书籍：
   威尔 · 罗杰斯《禁酒时代的牛仔哲学家》
影视：
   “妖妇”蒂达·巴拉主演《莎乐美》
   D·W·格里菲斯导演《残花泪》
   朗 · 钱尼《奇人》
总统：
   伍德罗·威尔逊（民主党）</t>
  </si>
  <si>
    <t>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</si>
  <si>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t>
  </si>
  <si>
    <t>黄油枪
降落伞</t>
  </si>
  <si>
    <t>咆哮的二十年代（美国）</t>
  </si>
  <si>
    <t>安特卫普奥运会</t>
  </si>
  <si>
    <t>海原大地震</t>
  </si>
  <si>
    <t>二十世纪 二十年代</t>
  </si>
  <si>
    <t>庚申猴年</t>
  </si>
  <si>
    <t>民国9年</t>
  </si>
  <si>
    <t>禁酒令生效
布尔什维克赢得苏俄内战
中国海原大地震，死亡 20 万人
首次广播电台播音
茶包
美国公债 243 亿美元
美国人口 1.057 亿</t>
  </si>
  <si>
    <t>书籍：
   赞恩·格雷：《林中人》
   弗·斯科特·菲茨杰拉德：《人间天堂》
影视：
   朗·钱尼：主演《惩罚》
   丽莲·吉许：主演《暴风雨中的孤儿》
   约翰·巴里摩尔：出演《化身博士》
   玛丽·毕克馥：出演《波丽安娜》
   老道格拉斯·范朋克：出演《佐罗的面具》
   查理·卓别林、玛丽·毕克馥、道格拉斯·范朋克和传奇制片人兼导演 D·W·格里菲斯成立联美电影公司。
流行歌曲：
   《I'll be With You at Apple Blossom Time》
   杰 洛 姆· 科 恩《Look for the Silver Lining》
   《When My Baby Smiles at Me》
百老汇舞台：
   齐格菲尔德歌舞团女星范妮·布莱斯出演《华盛顿广场的玫瑰》
总统：
   威廉·塔夫脱（共和党）</t>
  </si>
  <si>
    <t>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</si>
  <si>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t>
  </si>
  <si>
    <t>广播电台
茶包</t>
  </si>
  <si>
    <t>中国共产党成立</t>
  </si>
  <si>
    <t>辛酉鸡年</t>
  </si>
  <si>
    <t>民国10年</t>
  </si>
  <si>
    <t>罗夏墨迹测验获得专利
德国恶性通胀开始
KDKA 电台转播体育赛事
恰佩克提出“机器人”一词</t>
  </si>
  <si>
    <t>书籍：
   赫伯特·乔治·威尔斯《世界史纲》
   赞恩·格雷《神秘骑手》
   伊迪斯·华顿《纯真年代》
   伊迪斯·霍尔《酋长》
影视：
   鲁道夫·瓦伦蒂诺凭借《启示录四骑士》和《沙漠情酋》一夜成名
   马克·森内特制作《小城偶像》
   卓别林主演《寻子遇仙记》
   道格拉斯·范朋克出演《三个火枪手》
流行歌曲：
   《Sheik of Araby》
   《I'm Just Wild About Harry》
   《Ain't We Got Fun》
百老汇舞台：
   萨蒂斯餐厅在曼哈顿剧院区开张
   范妮·布莱斯出演《二手玫瑰》保持去年的热度
总统：
   伍德罗·威尔逊（民主党）
   沃伦·甘梅利尔·哈定（共和党）</t>
  </si>
  <si>
    <t>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</si>
  <si>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t>
  </si>
  <si>
    <t>罗夏墨迹测验
“机器人”</t>
  </si>
  <si>
    <t>壬戌狗年</t>
  </si>
  <si>
    <t>民国11年</t>
  </si>
  <si>
    <t>三K 党死灰复燃
英国飞艇AR-2 断成两段，死亡62 人
分离胰岛素
首个实用邮戳机
苏联五一口号去掉“世界革命”
滑水
墨索里尼入主罗马</t>
  </si>
  <si>
    <t>书籍：
   辛克莱·刘易斯《巴比特》
   《饮食与健康》首次介绍了卡路里计算方法，连续五年成为畅销书
   房龙《人类的故事》
   埃德娜·费伯《演艺船》
   J·A·汤姆孙《科学大纲》
   詹姆斯·乔伊斯《尤利西斯》
影视：
   亨利·赫尔和卡洛儿·代姆斯特合作主演《恐怖之夜》
   道格拉斯·范朋克出演《罗宾汉》
   F·W·茂瑙在德导演《诺斯费拉图》
   罗伯特·弗拉哈迪《北方的纳努克》开创了文献纪录片
   约翰·巴里摩尔出演《哈姆雷特》成为当时评价最高的莎士比亚剧演员
流行歌曲：
   《Chicago (That Toddlin' Town)》
   《Toot, Toot, Tootsie Goodbye》
   《Way Down Yonder in New Orleans》
   《I Wish I Could Shimmy Like My Sister Kate》
   《Carolina in the Morning》
百老汇舞台：
   萨姆·哈里斯创作《雨》
总统：
   沃伦·甘梅利尔·哈定（共和党）</t>
  </si>
  <si>
    <t>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</si>
  <si>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t>
  </si>
  <si>
    <t>胰岛素
实用邮戳机
滑水</t>
  </si>
  <si>
    <t>癸亥猪年</t>
  </si>
  <si>
    <t>民国12年</t>
  </si>
  <si>
    <t>茶壶山丑闻动摇哈定总统
加利福尼亚州伯克利大火，毁坏600 栋房屋，造成损失1000 万美元，死亡60 人
德国恶性通胀结束
佐治亚州持续三K 党恐怖活动
德国啤酒馆暴动
图坦卡蒙陵墓发掘
百日咳疫苗</t>
  </si>
  <si>
    <t>书籍：
   爱弥儿·柯尔《通过有意识地自我暗示掌握自我》，激发了心理健康和自我完善的风潮
   艾米莉·波斯特《礼仪：社交规范蓝皮书》
影视：
   朗·钱尼主演《钟楼怪人》
   赛西尔·德米尔制作《十诫》
   威廉·S·哈特主演《狂野比尔》
   喜剧演员哈罗德·劳埃德主演《安全至下》
   喜剧导演麦克·塞纳特《尖叫》
流行歌曲：
   《 是 的！ 我 们 没 有 香 蕉》
   《Who's Sorry Now?》
   《That Old Gang of Mine》
   贝西·史密斯录制《Downhearted Blues》
百老汇舞台：
   约瑟芬·贝克主演的《拖着脚步走》从哈林区一路公演到百老汇
   大卫·贝拉斯科创作《笑，小丑，笑》
总统：
   沃伦·甘梅利尔·哈定（共和党）
   卡尔文·柯立芝（共和党）</t>
  </si>
  <si>
    <t>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</si>
  <si>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t>
  </si>
  <si>
    <t>百日咳疫苗</t>
  </si>
  <si>
    <t>国共两党第一次合作</t>
  </si>
  <si>
    <t>甲子鼠年</t>
  </si>
  <si>
    <t>民国13年</t>
  </si>
  <si>
    <t>李奥波德与勒伯案
纸制鸡蛋托应用
面巾纸</t>
  </si>
  <si>
    <t>书籍：
   赞恩·格雷《大峡谷的呼唤》
影视：
   哈罗德·劳埃德出演《真情难诉》
   巴斯特·基顿出演《航海家》
   道格拉斯·范朋克出演《巴格达大盗》
   约翰·福特导演《铁骑》
流行歌曲：
   《Indian Love Call》
   格什温《Fascinating Rhythm》
   《It Had to Be You》
   《鸳鸯茶》(Tea for Two)
   《California Here I Come》
百老汇舞台：
   诺埃尔·科沃德《漩涡》
   马克斯兄弟登场《I'll Say She Is》
   保罗·罗伯逊主演尤金·奥尼尔的《琼斯皇帝》
   约瑟芬·贝克在《巧克力浪子》中登场，随后离开美国前往巴黎
总统：
   卡尔文·柯立芝（共和党）</t>
  </si>
  <si>
    <t>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</si>
  <si>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t>
  </si>
  <si>
    <t>纸制鸡蛋托
面巾纸</t>
  </si>
  <si>
    <t>孙中山逝世</t>
  </si>
  <si>
    <t>乙丑牛年</t>
  </si>
  <si>
    <t>民国14年</t>
  </si>
  <si>
    <t>W·泡利阐述不相容原理
I·G·法本化工成立
孙中山逝世
中西部地区龙卷风，一天死亡792 人
美国飞艇谢南多厄号解体，死亡14 人
纳粹党卫军成立
斯科普斯猿猴诉讼案
商用飞机农药喷撒</t>
  </si>
  <si>
    <t>书籍：
   辛克莱·刘易斯《阿罗史密斯》
   弗·斯科特·菲茨杰拉德《了不起的盖茨比》
   弗吉尼亚·伍尔芙《达洛维夫人》
   西奥多·德雷塞《美国的悲剧》
   厄尔·德尔·比格斯《没有钥匙的住宅》
影视：
   朗·钱尼主演《歌剧魅影》
   威廉·S· 哈特出演《风滚草》
   哈罗德·劳埃德出演《新生》
   阿道夫·门吉欧出演《撒旦的悲伤》 
   巴斯特·基顿出演《七次机会》
   查理·卓别林出演《淘金记》
   威利斯·奥布莱恩制作了《失落的世界》，将史前生物带入人们视野
流行歌曲：
   《I'm Sittin' On Top of the World》; 
   《Alabamy Bound》
   《If You Knew Susie Like I Know Susie》
   《Sweet Georgia Brown》
   《Yes Sir, That's My Baby》
   胖子沃勒《Squeeze Me》
百老汇舞台：
   诺埃尔·科沃德《枯草热》
   萨姆·哈里斯创作《爵士歌王》，乔治·杰塞尔主演
   马克斯兄弟主演《可可豆》
总统：
   卡尔文·柯立芝（共和党）</t>
  </si>
  <si>
    <t>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</si>
  <si>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t>
  </si>
  <si>
    <t>商用飞机农药喷撒</t>
  </si>
  <si>
    <t>日本改元昭和</t>
  </si>
  <si>
    <t>北伐开始</t>
  </si>
  <si>
    <t>丙寅虎年</t>
  </si>
  <si>
    <t>民国15年</t>
  </si>
  <si>
    <t>戈达德博士发射首枚液体燃料火箭
闪电引爆新泽西州丹麦湖的军火库，损失8500万美元，死亡30 人
佛罗里达和亚拉巴马州飓风，死亡243 人
蒋介石发动北伐
托洛茨基被逐出苏共政治局
劳力士防水表
杰克·登普西负于吉恩·滕尼，让出拳王名号</t>
  </si>
  <si>
    <t>书籍：
   阿加莎·克里斯蒂《罗杰疑案》，此书是其成名作
   威尔·杜兰特《哲学的故事》，售出了 200 万册
   海明威《太阳照常升起》
   安妮塔·卢斯《绅士爱美人》
影视：
   琼·克劳馥在《漂亮女士》中出道
   葛丽泰·嘉宝主演《激流》
   弗里茨·朗导演经典作品《大都会》
   约翰·巴里摩尔出演首部有声歌舞电影《唐璜》
   巴斯特·基顿导演《将军号》
   弗朗西斯·X·布什曼主演《宾虚》
   瓦伦蒂诺的葬礼触发曼哈顿群体歇斯底里事件，会场被前来寻求纪念品的人洗劫
流行歌曲：
   《Are You Lonesome Tonight》
   《Bye, Bye, Blackbird》
   《When the Red, Red Robin (Comes Bob, Bob, Bobbin' Along)》
   《Tip Toe Through the Tulips》
百老汇舞台：
   梅·韦斯特的《性》轰动
   大卫·贝拉斯科创作《Lu Lu Belle》
总统：
   卡尔文·柯立芝（共和党）</t>
  </si>
  <si>
    <t>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</si>
  <si>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t>
  </si>
  <si>
    <t>液体燃料火箭
劳力士防水表</t>
  </si>
  <si>
    <t>南昌起义</t>
  </si>
  <si>
    <t>秋收起义</t>
  </si>
  <si>
    <t>丁卯兔年</t>
  </si>
  <si>
    <t>民国16年</t>
  </si>
  <si>
    <t>查尔斯·A·林德伯格单人从纽约直飞巴黎
爵士乐歌手首次主演有声电影
首个遥控电唱机
面包机
萨科与万泽蒂被处决，直到1977 年才恢复名誉
美国体育专栏作家保罗·加利科组织了首场金手套业余拳击赛</t>
  </si>
  <si>
    <t>书籍：
   辛克莱·刘易斯《埃尔默·甘特利》
   弗吉尼亚·伍尔芙《到灯塔去》
   威尔 · 罗杰斯《自学成才的外交官致总统先生的信》、《俄罗斯没有泳衣》
影视：
   朗·钱尼出演《午夜伦敦》
   塞西尔·德米尔制作《万王之王》
   葛丽泰·嘉宝主演《灵与肉》和约翰·吉尔伯特共演《爱情》
   乔生主演首部完整有声电影《爵士歌王》
   威廉·福克斯发明幕维通新闻电影机克拉拉·鲍因为电影《攀上枝头》中的形象而成为“It girl”
流行歌曲：
   《Lucky Lindy》
   《My Blue Heaven》
   《Swonderful》
   《Side by Side》
   《Ain't She Sweet》
   《Me and My Shadow》
百老汇舞台：
   《演艺船》公演超过 500 场，创下纪录
   百老汇人气登顶，全年共举行 268 场首演
总统：
   卡尔文·柯立芝（共和党）</t>
  </si>
  <si>
    <t>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</si>
  <si>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t>
  </si>
  <si>
    <t>遥控电唱机
面包机</t>
  </si>
  <si>
    <t>阿姆斯特丹奥运会</t>
  </si>
  <si>
    <t>井冈山会师</t>
  </si>
  <si>
    <t>戊辰龙年</t>
  </si>
  <si>
    <t>民国17年</t>
  </si>
  <si>
    <t>电视实验
南佛罗里达州飓风，死亡1836 人
伯德探险队驶往南极
电传打字机投入使用
防水赛璐玢发明
盖革计数器
纯维生素C</t>
  </si>
  <si>
    <t>书籍：
   阿道司·赫胥黎《针锋相对》
   D·H·劳伦斯《查泰莱夫人的情人》被广泛禁止发行
   桑顿·怀尔德《圣路易·莱之桥》荣获普利策奖
影视：
   琼·克劳馥主演《我们跳舞的姑娘们》
   查理·卓别林出演《马戏团》
   维克多·麦克劳伦出演《港口女郎》
   米老鼠在《威利号汽船》中登场
   克拉拉·鲍出演《红发女郎》、《三个周末》、《那个舰队》
   霍华德·休斯导演《两个阿拉伯骑士》
流行歌曲：
   《I Can't Give You Anything But Love》
   《You ' re the C ream in My Coffee》
   《Makin' Whoopee》
   《I Wanna Be Loved by You》贝蒂娃娃角色形象脱胎于此曲
百老汇舞台：
   专栏作家本·赫克特创作《头版》，大受欢迎
   马克斯兄弟主演《动物饼干》
   梅·韦斯特登场《Diamond Lil》
   伯特·拉尔《Hold Everything》
总统：
   卡尔文·柯立芝（共和党）</t>
  </si>
  <si>
    <t>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</si>
  <si>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t>
  </si>
  <si>
    <t>防水玻璃纸
电传打字机
盖革计数器
纯维生素C</t>
  </si>
  <si>
    <t>经济大危机</t>
  </si>
  <si>
    <t>己巳蛇年</t>
  </si>
  <si>
    <t>民国18年</t>
  </si>
  <si>
    <t>10 月24 日华尔街股灾
齐柏林伯爵号飞艇环游世界
苏联客轮伏尔加号在黑海被一战残余水雷击中，死亡31 人
16 毫米彩色电影胶片发明
透明胶带
音乐汽车喇叭</t>
  </si>
  <si>
    <t>书籍：
   赫尔曼·黑塞《荒原狼》英译版发行
   辛克莱·刘易斯《道兹沃斯》
   海明威《永别了，武器》
   托马斯·沃尔夫《天使望故乡》
   埃里希·玛利亚·雷马克《西线无战事》回忆圣诞停火
   威廉·福克纳《喧哗与骚动》
   达希尔·哈米特《丹恩家的诅咒》
   罗伯特·雷普利《信不信由你！》
影视：
   加里·库珀主演《维吉尼亚人》
   葛丽泰·嘉宝出演《野兰花》
   马克斯兄弟出演《可可豆》
   罗纳德·考尔曼出演《名媛双胞案》
   道格拉斯·范朋克出演《铁面人》
   莱昂纳尔·巴里摩尔出演《神秘岛》
   阿尔弗雷德·希区柯克导演《讹诈》
   路易斯·布努埃尔《一条安达鲁狗》
流行歌曲：
   《Pu t tin ' On th e Ri t z》
   《Ain ' t Misbehavin'》
   《Star Dust》
   《雨中曲》(Singin' in the Rain)
   《Wi th a Song in My Heart》
   《Wedding Bells Are Breaking Up That Old Gang of Mine》
百老汇舞台：
   诺 埃 尔· 科 沃 德 创 作 音 乐 剧《Bittersweet》
   碧莉·伯克在《Happy Husbands》中登场
总统：
   卡尔文·柯立芝（共和党）
   赫伯特·胡佛（共和党）</t>
  </si>
  <si>
    <t>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</si>
  <si>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t>
  </si>
  <si>
    <t>彩色电影胶片
透明胶带
音乐汽车喇叭</t>
  </si>
  <si>
    <t>二十世纪 三十年代</t>
  </si>
  <si>
    <t>庚午牛年</t>
  </si>
  <si>
    <t>民国19年</t>
  </si>
  <si>
    <t>技术官僚运动达到高潮
闪光灯取代镁粉
速冻食品上市
球形潜水舱
回旋加速器
发现冥王星
折叠式雨伞
美国公债161.8亿美元
美国人口1.228 亿</t>
  </si>
  <si>
    <t>影视：
   葛丽泰·嘉宝出演威利斯·奥布莱恩导演的《安娜·克莉丝蒂》
   马克斯兄弟出演《疯狂的动物》
   约瑟夫·冯·斯登堡导演、玛琳·黛德丽出演《蓝天使》
   霍华德·休斯制作《地狱天使》
   沃尔特·休斯顿出演《林肯传》
   约翰·巴里摩尔在《白鲸记》当中饰演亚哈船长
   朗 · 钱尼重拍自自己早先的经典默片《三个邪恶的人》
   约翰·巴里摩尔《白鲸记》
流行歌曲：
   《I Got Rhythm》
   《Embraceable You》
   《On the Sunny Side of the Street》
百老汇舞台：
   艾索尔·摩曼主演戈什温的《疯狂女郎》
   范妮·布莱斯出演《Sweet and Low》
总统：
   赫伯特·胡佛（共和党）</t>
  </si>
  <si>
    <t>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</si>
  <si>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t>
  </si>
  <si>
    <t>闪光灯
速冻食品
球形潜水舱
回旋加速器
折叠式雨伞</t>
  </si>
  <si>
    <t>九一八事变</t>
  </si>
  <si>
    <t>富蕴地震</t>
  </si>
  <si>
    <t>辛未羊年</t>
  </si>
  <si>
    <t>民国20年</t>
  </si>
  <si>
    <t>德国富豪赞助纳粹建设
英国海军因弗戈登兵变
帝国大厦正式开放
阿尔·卡彭入狱
电动剃须刀
乔治·华盛顿大桥（3500英尺) 竣工</t>
  </si>
  <si>
    <t>影视：
   路易斯·布努埃尔《黄金年代》
   约翰·巴里摩尔《斯文加利》
   威尔 · 罗杰斯《康涅狄格的美国佬》
总统：
   赫伯特·胡佛（共和党）</t>
  </si>
  <si>
    <t>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</si>
  <si>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 xml:space="preserve">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t>
  </si>
  <si>
    <t>电动剃须刀</t>
  </si>
  <si>
    <t>洛杉矶奥运会</t>
  </si>
  <si>
    <t>伪满洲国成立</t>
  </si>
  <si>
    <t>上海事变</t>
  </si>
  <si>
    <t>壬申猴年</t>
  </si>
  <si>
    <t>民国21年</t>
  </si>
  <si>
    <t>甘地被捕
英国潜艇[7] 在英吉利海峡沉没
罗斯福以压倒优势获得总统竞选
墨索里尼抽干彭甸沼泽
林德伯格绑架案
首个车载收音机
首个盖洛普民意调查
玛氏巧克力棒
变焦镜头发明
Zippo 打火机引进</t>
  </si>
  <si>
    <t>总统：
   赫伯特·胡佛（共和党）</t>
  </si>
  <si>
    <t>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</si>
  <si>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t>
  </si>
  <si>
    <t>车载收音机
玛氏巧克力棒
变焦镜头</t>
  </si>
  <si>
    <t>日本退出国联事件</t>
  </si>
  <si>
    <t>县叠溪镇地震</t>
  </si>
  <si>
    <t>癸酉鸡年</t>
  </si>
  <si>
    <t>民国22年</t>
  </si>
  <si>
    <t>希特勒就任德国总理
日本退出国联
美国放弃金本位
洛杉矶长滩地震，死亡123 人
古巴起义死亡数百人
甘地被释放，体重仅90 磅
首个德国集中营（达豪集中营)建立
大富翁桌游发行
荧光灯商业应用</t>
  </si>
  <si>
    <t>影视：
   威尔 · 罗杰斯《爱州博览会》
总统：
   赫伯特·胡佛（共和党）
   富兰克林·罗斯福（民主党）</t>
  </si>
  <si>
    <t>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</si>
  <si>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t>
  </si>
  <si>
    <t>大富翁桌游</t>
  </si>
  <si>
    <t>长征开始</t>
  </si>
  <si>
    <t>甲戌狗年</t>
  </si>
  <si>
    <t>民国23年</t>
  </si>
  <si>
    <t>美国经济衰退持续，饥饿和动荡蔓延
干旱从纽约州延续到加利福尼亚州
桑地诺被索摩查的支持者暗杀
旧金山大罢工结束
休伊·朗成为路易斯安那州独裁者
首个商业洗衣店</t>
  </si>
  <si>
    <t>总统：
   富兰克林·罗斯福（民主党）</t>
  </si>
  <si>
    <t>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</si>
  <si>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t>
  </si>
  <si>
    <t>商业洗衣店</t>
  </si>
  <si>
    <t>遵义会议</t>
  </si>
  <si>
    <t>吴起镇会师</t>
  </si>
  <si>
    <t>乙亥猪年</t>
  </si>
  <si>
    <t>民国24年</t>
  </si>
  <si>
    <t>严重沙尘暴袭击美国大平原和中西部地带
泛美的快速飞机从旧金山飞往中国
颁布社会保障系统
休伊·朗遭暗杀
毛泽东抵达延安
DC-3 型飞机首飞
畅销平装书
里氏震级
磁带录音机发售</t>
  </si>
  <si>
    <t>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</si>
  <si>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t>
  </si>
  <si>
    <t>畅销平装书
里氏震级
磁带录音机</t>
  </si>
  <si>
    <t>柏林奥运会</t>
  </si>
  <si>
    <t>会宁会师</t>
  </si>
  <si>
    <t>西安事变</t>
  </si>
  <si>
    <t>丙子鼠年</t>
  </si>
  <si>
    <t>民国25年</t>
  </si>
  <si>
    <t>纳粹占据莱茵兰
意大利占领阿比西尼亚
西班牙内战
美国热浪，死亡3000 人
美国沙尘暴继续
杰西·欧文斯在柏林奥运会赢得4 块金牌
德意同盟条约
胡佛水坝启用
首辆大众汽车</t>
  </si>
  <si>
    <t>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</si>
  <si>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t>
  </si>
  <si>
    <t>大众汽车</t>
  </si>
  <si>
    <t>卢沟桥事变</t>
  </si>
  <si>
    <t>平型关大捷</t>
  </si>
  <si>
    <t>南京大屠杀</t>
  </si>
  <si>
    <t>丁丑牛年</t>
  </si>
  <si>
    <t>民国26年</t>
  </si>
  <si>
    <t>德克萨斯学校瓦斯爆炸，死亡294 人
兴登堡号飞艇坠毁，死亡36 人
苏联大清洗处决8 位将军
杜邦获得尼龙专利
日军轰沉美军班乃岛号炮艇
金门大桥（4200 英尺)建成
首个超市推车
布痕瓦尔德集中营</t>
  </si>
  <si>
    <t>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</si>
  <si>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t>
  </si>
  <si>
    <t>超市推车</t>
  </si>
  <si>
    <t>台儿庄战役</t>
  </si>
  <si>
    <t>《论持久战》</t>
  </si>
  <si>
    <t>戊寅虎年</t>
  </si>
  <si>
    <t>民国27年</t>
  </si>
  <si>
    <t>墨西哥没收外国石油股份
德奥合并
水晶之夜
带温控器的电熨斗
速溶咖啡
尼龙
圆珠笔获得专利
复印机雏形
德裔
美国人投资重建麦迪逊广场花园
德国搜捕犹太人</t>
  </si>
  <si>
    <t>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</si>
  <si>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t>
  </si>
  <si>
    <t>带温控器的电熨斗
速溶咖啡
尼龙
圆珠笔</t>
  </si>
  <si>
    <t>第二次世界大战</t>
  </si>
  <si>
    <t>己卯兔年</t>
  </si>
  <si>
    <t>民国28年</t>
  </si>
  <si>
    <t>德国吞并捷克斯洛伐克
佛朗哥入主马德里
美国角鲨号潜艇沉没，26 人死亡
法国潜艇凤凰号沉没，63 人死亡
德国闪击波兰，英法对德宣战
洛克菲勒中心开放
黄热病疫苗
雷达</t>
  </si>
  <si>
    <t>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</si>
  <si>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t>
  </si>
  <si>
    <t>黄热病疫苗
雷达</t>
  </si>
  <si>
    <t>百团大战</t>
  </si>
  <si>
    <t>二十世纪 四十年代</t>
  </si>
  <si>
    <t>庚辰龙年</t>
  </si>
  <si>
    <t>民国29年</t>
  </si>
  <si>
    <t>芬兰对苏联投降
纳粹闪击丹麦和挪威
丘吉尔就任英国首相
荷兰比利时陷落
敦刻尔克大撤退
苏芬战争，数千人死亡
德国猛攻英吉利海峡
伦敦大轰炸和英国的反轰炸，双方死亡数万人
罗斯福第三次当选
汽车自动变速箱
充气救生衣
雷达在英国应用并部署
人工授精出现
青霉素量产
美国公债429.7 亿美元
美国人口1.317 亿</t>
  </si>
  <si>
    <t>书籍：
   海明威《丧钟为谁而鸣》
总统：
   富兰克林·罗斯福（民主党）</t>
  </si>
  <si>
    <t>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</si>
  <si>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t>
  </si>
  <si>
    <t>汽车自动变速箱
充气救生衣
人工授精
青霉素</t>
  </si>
  <si>
    <t>皖南事变</t>
  </si>
  <si>
    <t>辛巳蛇年</t>
  </si>
  <si>
    <t>民国30年</t>
  </si>
  <si>
    <t>参加英国空战
租借法案
美国征兵
奇袭珍珠港，死亡2500 人
椰林夜总会大火，死亡491 人
吉普车成为主要军用车辆
巴巴罗萨行动</t>
  </si>
  <si>
    <t>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</si>
  <si>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t>
  </si>
  <si>
    <t>军用吉普车</t>
  </si>
  <si>
    <t>壬午马年</t>
  </si>
  <si>
    <t>民国31年</t>
  </si>
  <si>
    <t>新加坡和菲律宾陷落
中途岛战役
列宁格勒战役
克里米亚陷落
杜立特空袭东京
斯大林格勒会战
瓜达尔卡纳尔岛战役
盟军登陆北非
原子裂变成功
火箭筒
凝固汽油弹</t>
  </si>
  <si>
    <t>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</si>
  <si>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t>
  </si>
  <si>
    <t>原子裂变
火箭筒
凝固汽油弹</t>
  </si>
  <si>
    <t>癸未羊年</t>
  </si>
  <si>
    <t>民国32年</t>
  </si>
  <si>
    <t>斯大林格勒会战，德方死亡19 万人，苏军和平民死亡人数更多[9]
斯大林格勒会战德军告负
华沙犹太人起义
库尔斯克会战，世界最大的坦克战役，德军告负
西西里登陆
盟军占领意大利
第聂伯河会战
马绍尔群岛战役[10]
底特律种族暴乱，死亡29人
圆珠笔开始应用
水肺
麦角酸二乙酰胺（LSD)(药力最强的迷幻剂)</t>
  </si>
  <si>
    <t>书籍：
   盖瑟瑞的自传《奔向光荣》
总统：
   富兰克林·罗斯福（民主党）</t>
  </si>
  <si>
    <t>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</si>
  <si>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t>
  </si>
  <si>
    <t>水肺
麦角酸二乙酰胺（LSD)(药力最强的迷幻剂，毒品)</t>
  </si>
  <si>
    <t>第二次世界大战
奥运停办</t>
  </si>
  <si>
    <t>甲申猴年</t>
  </si>
  <si>
    <t>民国33年</t>
  </si>
  <si>
    <t>戴高乐成为自由法国总司令
继续空袭德国
解放克里米亚；盟军攻占罗马
诺曼底登陆
马里亚纳海战
光复巴黎
罗斯福四度当选总统
揭露德国集中营屠杀
V-1和V-2 导弹击中伦敦
麦克阿瑟重回菲律宾
突出部战役
飓风在东海岸杀死46 人，在海上死亡344 人
玲玲马戏团场馆大火死亡168 人
加利福尼亚州芝加哥港军火库爆炸，死亡322 人
神经毒气</t>
  </si>
  <si>
    <t>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</si>
  <si>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t>
  </si>
  <si>
    <t>神经毒气</t>
  </si>
  <si>
    <t>抗战胜利</t>
  </si>
  <si>
    <t>收复台湾</t>
  </si>
  <si>
    <t>收复东北</t>
  </si>
  <si>
    <t>乙酉鸡年</t>
  </si>
  <si>
    <t>民国34年</t>
  </si>
  <si>
    <t>德累斯顿轰炸，死亡13 万人
长崎原子弹爆炸死亡6 万人，其他对日本的轰炸死亡更多
第二次世界大战共造成5000 万人死亡，欧洲和日本需要15 年的时间明显恢复
美国因战争死亡405399 人
解放奥斯维辛
雅尔塔会议
硫磺岛战役
攻占雷玛根大桥
罗斯福逝世
墨索里尼被处决
希特勒自杀
纳粹集中营罪行完全暴露
攻占柏林
冲绳战役
联合国成立
波茨坦宣言
日本投降
朝鲜分治
杰基·罗宾逊成为首个非裔大联盟球员
纽伦堡审判
特百惠</t>
  </si>
  <si>
    <t>总统：
   富兰克林·罗斯福（民主党）
   哈里·S·杜鲁门（民主党）</t>
  </si>
  <si>
    <t>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</si>
  <si>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t>
  </si>
  <si>
    <t>原子弹
特百惠</t>
  </si>
  <si>
    <t>人民解放战争</t>
  </si>
  <si>
    <t>丙戌狗年</t>
  </si>
  <si>
    <t>民国35年</t>
  </si>
  <si>
    <t>芝加哥旅馆火灾，死亡58 人
军方公开ENIAC 计算机
丘吉尔提出“铁幕”
巴勒斯坦持续暴力事件
中国国共内战
传言吸烟导致肺癌
越南起义
切斯特·F·卡尔逊公开静电复印法
比基尼泳衣
浓缩咖啡机</t>
  </si>
  <si>
    <t>总统：
   哈里·S·杜鲁门（民主党）</t>
  </si>
  <si>
    <t>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</si>
  <si>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t>
  </si>
  <si>
    <t>计算机
静电复印法
比基尼泳衣
浓缩咖啡机</t>
  </si>
  <si>
    <t>美苏冷战开始</t>
  </si>
  <si>
    <t>丁亥猪年</t>
  </si>
  <si>
    <t>民国36年</t>
  </si>
  <si>
    <t>美国放弃维护中国局势调停
印度宗教争端
马歇尔计划开始
纽约有轨电车完全退役
印巴分治
宝丽来相机</t>
  </si>
  <si>
    <t>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</si>
  <si>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t>
  </si>
  <si>
    <t>宝丽来相机</t>
  </si>
  <si>
    <t>第一次中东战争</t>
  </si>
  <si>
    <t>三大战役</t>
  </si>
  <si>
    <t>戊子鼠年</t>
  </si>
  <si>
    <t>民国37年</t>
  </si>
  <si>
    <t>甘地遇刺
捷克斯洛伐克二月事件
巴勒斯坦托管地持续内战
以色列建国，第一次中东战争
帕洛玛山建立200 英寸天文望远镜
纽约地铁车费加倍到10 美分
金赛性学报告
拼字盘
实心电吉他
尼龙扣发明
贝尔实验室发明晶体管
33 又1/3 转唱片应用</t>
  </si>
  <si>
    <t>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</si>
  <si>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t>
  </si>
  <si>
    <t>拼字盘
实心电吉他
尼龙扣
晶体管
黑胶唱片</t>
  </si>
  <si>
    <t>红色恐慌</t>
  </si>
  <si>
    <t>开国大典</t>
  </si>
  <si>
    <t>己丑牛年</t>
  </si>
  <si>
    <t>共和国成立</t>
  </si>
  <si>
    <t>北平和平解放
北约成立
柏林封锁结束
德意志联邦共和国（西德) 成立
美国红色恐慌持续
中国国民党转进台湾
印度尼西亚宣布独立
有线电视
电视显像管
汽车自动点火装置</t>
  </si>
  <si>
    <t>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</si>
  <si>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t>
  </si>
  <si>
    <t>有线电视
电视显像管
汽车自动点火装置</t>
  </si>
  <si>
    <t>朝鲜战争</t>
  </si>
  <si>
    <t>抗美援朝</t>
  </si>
  <si>
    <t>墨脱地震</t>
  </si>
  <si>
    <t>二十世纪 五十年代</t>
  </si>
  <si>
    <t>中华人民共和国1周年</t>
  </si>
  <si>
    <t>凯迪拉克安装一体式前挡风玻璃
RCA（美国无线电公司) 播出彩色电视节目
法国请求援助对抗越盟
美国暴风雪死亡数百人
朝鲜战争开始，数千人死亡
仁川登陆
中国志愿军进入朝鲜
古西·莫兰在温网身着蕾丝网球裙登场
大莱卡
施乐914 复印机
美国公债2560 亿美元
美国人口1.507 亿</t>
  </si>
  <si>
    <t>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</si>
  <si>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t>
  </si>
  <si>
    <t>大莱卡（信用卡）
复印机</t>
  </si>
  <si>
    <t>特殊适用</t>
  </si>
  <si>
    <t>难度等级取决于</t>
  </si>
  <si>
    <t>技能注释</t>
  </si>
  <si>
    <t>普通难度</t>
  </si>
  <si>
    <t>困难难度</t>
  </si>
  <si>
    <t>孤注一掷示例</t>
  </si>
  <si>
    <t>孤注一掷失败的范例结果</t>
  </si>
  <si>
    <t>疯狂调查员孤注一掷失败的范例结果</t>
  </si>
  <si>
    <t>西藏解放</t>
  </si>
  <si>
    <t>土地改革</t>
  </si>
  <si>
    <t>中华人民共和国2周年</t>
  </si>
  <si>
    <t>麦克阿瑟被解职
美国空难死亡50 人
从帝国大厦传送彩色电视信号
在埃尼威托克环礁试验氢弹
朝鲜休战商谈
宽荧幕电影
克莱斯勒发明动力转向器
三色停车灯发明</t>
  </si>
  <si>
    <t>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</si>
  <si>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t>
  </si>
  <si>
    <t>宽荧幕电影
动力转向器
三色停车灯</t>
  </si>
  <si>
    <t>5%</t>
  </si>
  <si>
    <t>如果有人想要隐瞒什么，那么难度等级将会取决于进行隐藏的人的会计技能。</t>
  </si>
  <si>
    <t>· 使你理解会计工作的流程以及一个企业或者个人的金融职务。
· 通过检查账簿，你可以发现做假账的员工，对资金的偷偷挪用，对行贿或者敲诈的款项支付，以及经济状况是否比表面陈述的更好或者更差。
· 通过仔细检查旧账户，你可以了解过去的资金的得与失（谷物，奴隶贸易，威士忌酒的运营等）以及这些资金是付给了谁以及为了什么款项而支付。</t>
  </si>
  <si>
    <t>详尽以及良好整理的会计账簿。</t>
  </si>
  <si>
    <t>无序或者残缺的会计账簿。</t>
  </si>
  <si>
    <t>· 花费更多的时间来阅览文档
· 拜访银行或者企业来确认自己的发现
· 复核里面的账目和数据</t>
  </si>
  <si>
    <t>· 调查员与其他人之间的讨论让敌对势力对调查员的意图起了警觉
· 账簿最重要的一部分被摧毁或者丢失了（可能调查员因为疲劳将咖啡洒出在了上面）。</t>
  </si>
  <si>
    <t>他可能会被发现他把部分的账簿吃下了肚。</t>
  </si>
  <si>
    <t>赫尔辛基奥运会</t>
  </si>
  <si>
    <t>中华人民共和国3周年</t>
  </si>
  <si>
    <t>英王伊丽莎白二世登基
最严重美国公交车车祸，死亡28 人
法国潜艇西比尔号在地中海失踪，舰上有49 人
美国脊髓灰质炎死亡3300 人，影响5.7 万儿童
纽约人行红绿灯
通用汽车在1953 型汽车中装入车载空调
贝隆夫人逝世
晶体管助听器
氢弹
录像带</t>
  </si>
  <si>
    <t>书籍：
   海明威《老人与海》
总统：
   哈里·S·杜鲁门（民主党）</t>
  </si>
  <si>
    <t>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</si>
  <si>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t>
  </si>
  <si>
    <t>人行红绿灯
晶体管助听器
氢弹
录像带</t>
  </si>
  <si>
    <t>1%</t>
  </si>
  <si>
    <t>· 使使用者能够通过观察来辨认和理解一个人的生活方式。
· 如果技能使用者持续观察一个其他的文化一段时间，或者在有着关于某种已消失文化的正确资料环境下工作，那么他可以对文化方式以及道德习惯进行简单的预测，即使证据可能并不完整。
· 通过学习文化一个月或者更久，人类学家开始理解这种文化是如何运作的以及，如果结合心理学，可以预测那些研究文化的行为和信仰。</t>
  </si>
  <si>
    <t>花费一个月时间或者更多时间与人接触。</t>
  </si>
  <si>
    <t>花费仅仅一周或者更少时间与人接触。</t>
  </si>
  <si>
    <t>· 花费更多的时间来研究目标
· 去“当地“体验一段时间
· 在一场仪式或祭奠等等活动上扮演一个积极活跃的角色</t>
  </si>
  <si>
    <t>· 被作为研究对象的人群攻击或者监禁
· 由于一些被察觉的对于他们法律以及风俗的违反行为
· 遭受严重的副作用作为参与一场包括了摄入精神影响类植物的仪式的结果</t>
  </si>
  <si>
    <t>他将会在他研究的文化中迷失自我，举例来说，就像电影“现代启示录”中丹尼斯·霍珀演的摄影记者角色一样。</t>
  </si>
  <si>
    <t>一五计划</t>
  </si>
  <si>
    <t>中华人民共和国4周年</t>
  </si>
  <si>
    <t>斯大林逝世
英国北海风暴，死亡200 人
DNA 双螺旋结构
教皇庇护十二世赞同心理分析和心理治疗
罗森堡夫妇被处决；东柏林6·17 事件
朝鲜停战
美国郊区化受到关注
肯尼迪、杰奎琳大婚
雪人搜寻探险队
麻疹疫苗</t>
  </si>
  <si>
    <t>总统：
   哈里·S·杜鲁门（民主党）
   德怀特·戴维·艾森豪威尔（共和党）</t>
  </si>
  <si>
    <t>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</si>
  <si>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t>
  </si>
  <si>
    <t>DNA双螺旋结构
麻疹疫苗</t>
  </si>
  <si>
    <t>· 用来估计某种物品的价值，包括质量，使用的材料以及工艺。
· 相关的，技能使用者可以准确地辨认出物品的年龄，评估它的历史关联性以及发现赝品。</t>
  </si>
  <si>
    <t>一件在制造年代并不稀有的物品，以及用常见材料制作（e.g.50 年的金手表）</t>
  </si>
  <si>
    <t>一件不寻常的物品，也许用非寻常材料制成（e.g.几百年历史的外国制品，例如古代卷册）</t>
  </si>
  <si>
    <t>· 与另一名专家一同确认物品的正确性
· 进行检验
· 对物品进行研究</t>
  </si>
  <si>
    <t>· 在研究中意外地毁坏了物品
· 使这件物品引起了别人的注意，导致这件物品被偷
· 激活了这件物品的功用</t>
  </si>
  <si>
    <t>· 他可能会相信这件物品是被诅咒的并摧毁了它
· 或者他们视这件物品为他们个人的救星，并拒绝放弃这件物品给其他人</t>
  </si>
  <si>
    <t>中华人民共和国5周年</t>
  </si>
  <si>
    <t>鹦鹉螺号，首艘核潜艇
陆军- 麦卡锡听证会
首枚氢弹爆炸
默罗批评麦卡锡
奠边府战役
首枚氢弹爆炸
南北越并立
按动圆珠笔
硅晶体管</t>
  </si>
  <si>
    <t>总统：
   德怀特·戴维·艾森豪威尔（共和党）</t>
  </si>
  <si>
    <t>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</si>
  <si>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t>
  </si>
  <si>
    <t>按动圆珠笔
硅晶体管</t>
  </si>
  <si>
    <t>· 允许从过去的文化中鉴定一件古董的年代以及辨别它，以及可以用来发现赝品。
· 使获得建立以及开掘一个挖掘遗址的专业知识。
· 通过对遗址的勘察，使用者可以推断留下这遗址的生物的目的和生活方式。
· 人类学可能对此会有所帮助。
· 考古学还有助于辨认已消失的人类语言的书面形式。</t>
  </si>
  <si>
    <t>足够的时间和资源来进行工作。</t>
  </si>
  <si>
    <t>缺乏时间以及/或者有限的资源。</t>
  </si>
  <si>
    <t>· 花费更多的时间来研究物品或者遗址
· 进行进一步的调查研究
· 咨询其他专家</t>
  </si>
  <si>
    <t>· 遗址受到损坏，同时发现品因为不适当的操作而损毁，被故意毁坏，或者被偷窃
· 更高的权威占据了遗址，从你的掌控中夺取了发现
· 宣传出去的消息导致发现品被偷盗</t>
  </si>
  <si>
    <t>他会不停得挖掘得更深更深，并且相信真相就在这下面的某处。</t>
  </si>
  <si>
    <t>万隆会议</t>
  </si>
  <si>
    <t>上山下乡</t>
  </si>
  <si>
    <t>中华人民共和国6周年</t>
  </si>
  <si>
    <t>核导弹在内华达核试验场爆炸
爱因斯坦逝世
华约成立
米老鼠俱乐部处女秀
空对空导弹
迪士尼乐园营业</t>
  </si>
  <si>
    <t>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</si>
  <si>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t>
  </si>
  <si>
    <t>核导弹
空对空导弹
迪士尼乐园</t>
  </si>
  <si>
    <t>——————————</t>
  </si>
  <si>
    <t>墨尔本奥运会</t>
  </si>
  <si>
    <t>双百方针</t>
  </si>
  <si>
    <t>中华人民共和国7周年</t>
  </si>
  <si>
    <t>肯尼亚茅茅运动，4 年间死亡10000 人
蒙哥马利巴士抵制运动
美国郊区繁荣
赫鲁晓夫批判斯大林
纳赛尔将苏伊士运河收归国有
匈牙利事件
特氟龙公司成立
卡丁车</t>
  </si>
  <si>
    <t>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</si>
  <si>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t>
  </si>
  <si>
    <t>特氟龙
卡丁车</t>
  </si>
  <si>
    <t>艺术与手艺</t>
  </si>
  <si>
    <t>专业化</t>
  </si>
  <si>
    <t>· 许多这些例子都是与专业直接相联系的技能，但是这些技能可能只是休闲嗜好。
· 你可以花费技能在任意专业化技能上。不可以加点在作为类属的“艺术与手艺”上。
· 这项技能可能能使你制作或者修理一样东西—通常需要工具和时间，由 KP 来决定，如果必要的话。
· 在适用成功程度分度的情况下，一个更高等级的成功表示这件物品有着高品质以及/或精致度高。
· 一个艺术或者手艺技能可能可以用于制作一个复制品或者赝品。在这情况下，难度等级将取决于需要复制的原品的复杂程度以及独特性。
· 在伪造文件的场合下，将使用一个专门的专业化技能（伪造）。
· 一个成功的检定可能可以提供一个物品的相关信息，例如这个物品在何时以及哪里被制造，与之相关的一些历史或者技艺，或者谁可能制作了它。
· 拥有这个技能的专家将会在某个专门的领域里有着广泛的知识—对于物品本身，它的历史以及当代从事相关行业的人的知识，以及去实践知识的能力。</t>
  </si>
  <si>
    <t>制作一个标准而适于贩卖的物品。</t>
  </si>
  <si>
    <t>制作一个更高质量或者特别复杂的部件。</t>
  </si>
  <si>
    <t>· 从头开始重做物品，部件或者创作
· 进行进一步的研究调查
· 与另一位专家核对</t>
  </si>
  <si>
    <t>· 大量的时间与金钱被浪费在创造一个失败的作品上
· 观众或者顾客由于你的工作的某方面而感到被严重冒犯或者收到了物理性伤害
· 你的工作被评论家抨击，并且没人会再想要你的服务</t>
  </si>
  <si>
    <t>他创造了一个有犯罪倾向的作品，并且这件作品冲击并导致了观赏者的暴力反应—也许只有颓废派艺术家会欣赏这件作品</t>
  </si>
  <si>
    <t>人造卫星</t>
  </si>
  <si>
    <t>太空竞赛开始</t>
  </si>
  <si>
    <t>中华人民共和国8周年</t>
  </si>
  <si>
    <t>证实吸烟导致癌症
大力神地对空核导弹
斯普特尼克2 号升空[11] 震惊全美
麦基诺大桥（3800 英尺) 竣工</t>
  </si>
  <si>
    <t>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</si>
  <si>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t>
  </si>
  <si>
    <t>地对空核导弹</t>
  </si>
  <si>
    <t>技艺的子项</t>
  </si>
  <si>
    <t>· 表演者收到过戏剧以及/或电影演技的训练（在现代，这可能也包括电视），使你能适应一个人物角色，记住剧本，以及使用舞台/电影化妆来改变他们的外貌。</t>
  </si>
  <si>
    <t>大跃进</t>
  </si>
  <si>
    <t>中华人民共和国9周年</t>
  </si>
  <si>
    <t>埃尔维斯·普雷斯利（“猫王”) 入伍
芝加哥学校大火，死亡90 人
鹦鹉螺号在冰层下横穿北极
小石城事件，福布斯封锁学校
泛美航空开通首条707 巴黎航线
沙宾疫苗
通讯卫星
呼啦圈</t>
  </si>
  <si>
    <t>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</si>
  <si>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t>
  </si>
  <si>
    <t>沙宾疫苗
通讯卫星
呼啦圈</t>
  </si>
  <si>
    <t>美术</t>
  </si>
  <si>
    <t>· 艺术家在艺术绘画上十分熟练（油画、丙烯画、水彩画），同样在用铅笔、彩色蜡笔、粉笔的素描上十分熟练。
· 然而这各种各样的艺术工作许多天或者许多月来完成，艺术家可能能快速素描出准确的印象，物体或者人物。
· 这项技能也代表了对艺术世界的熟悉，以及技术家能确定特定艺术家的作品，他们的学校，以及了解的历史。</t>
  </si>
  <si>
    <t>反右倾运动</t>
  </si>
  <si>
    <t>刘少奇主席上任</t>
  </si>
  <si>
    <t>中华人民共和国10周年</t>
  </si>
  <si>
    <t>卡斯特罗在古巴掌权
福特埃德塞销售惨淡
沃尔沃发明安全带</t>
  </si>
  <si>
    <t>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</si>
  <si>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t>
  </si>
  <si>
    <t>安全带</t>
  </si>
  <si>
    <t>· 同时包括静止以及运动摄影。
· 这项技能允许某人拍摄清晰的照片，恰当地修饰照片，并且强化半掩的细节。
· 在 1920 年代，使用者可以准备必须的化学用品来制作闪光粉。
· 在现代，这个技能拓展到包括摄影机，视频播放设备，数码摄影以及数码编辑，使用者熟练于对数字图像的操作修改。
可以从原始的资源中创造出完全不同的版本，例如改变照片中一个人所处的地点，和谁在一起，以及在做什么。
· 这些专家也可能可以发现一张图像什么时候被修改过了。
·正常的快拍不需要技能检定。
当想要进行有效的偷拍，或者进行细节捕捉—特别是远距离，快速，以及低光，时将会被要求进行这个检定。
· 这项技能也允许调查员判断一张照片是否被篡改或者捏造，以及进行这张照片拍摄的角度和位置。</t>
  </si>
  <si>
    <t>罗马奥运会</t>
  </si>
  <si>
    <t>二十世纪 六十年代</t>
  </si>
  <si>
    <t>中华人民共和国11周年</t>
  </si>
  <si>
    <t>阿尔及利亚民族解放战争
飓风唐娜毁坏美国东海岸和波多黎各，死亡165 人
人工肾脏发明
午餐台静坐
巴西利亚（首个完全新建规划的行政城市) 开城
避孕药在美国发售
首个气象卫星
便携晶体管收音机开始畅销
美国公债2840 亿美元
美国人口1.793 亿</t>
  </si>
  <si>
    <t>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</si>
  <si>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t>
  </si>
  <si>
    <t>人工肾脏
避孕药
气象卫星
便携晶体管收音机</t>
  </si>
  <si>
    <t>· 熟练于细节，使用者可以制作高质量的伪造文档，使它以某人的笔迹写成，制作官僚作风的形式或许可，或者进行卷册的复制。
· 伪造者需要合适的材料（墨水，不同的纸张等）以及想要复制的文档的原件。
·  一个成功的检定表示伪造文档将通过一个普通而草率的检查。
· 当有人花费时间并仔细检查伪造品时需要使用估价技能（与原始的伪造者的技能进行对抗）来决定是否能辨认出是伪造品。</t>
  </si>
  <si>
    <t>载人宇宙飞船</t>
  </si>
  <si>
    <t>中华人民共和国12周年</t>
  </si>
  <si>
    <t>艾森豪威尔警示军工复合体
李奇[12]发现人类最早遗迹
柏林墙
美国和平队成立
猪湾登陆
安定</t>
  </si>
  <si>
    <t>总统：
   德怀特·戴维·艾森豪威尔（共和党）
   约翰·肯尼迪（民主党）</t>
  </si>
  <si>
    <t>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</si>
  <si>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t>
  </si>
  <si>
    <t>安定</t>
  </si>
  <si>
    <t>· 作家可以通过写作来写出一篇脍炙人口的名章。
· 如果想要将一个怪物将其用文字记录下来，那么建议过一个困难以上的鉴定，否则冠以不可名状即可。</t>
  </si>
  <si>
    <t>河源地震</t>
  </si>
  <si>
    <t>中华人民共和国13周年</t>
  </si>
  <si>
    <t>古巴导弹危机，几乎导致热核战争
砷化镓半导体激光器
首次连接英美的卫星通讯
宝丽来彩色胶卷</t>
  </si>
  <si>
    <t>总统：
   约翰·肯尼迪（民主党）</t>
  </si>
  <si>
    <t>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</si>
  <si>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t>
  </si>
  <si>
    <t>砷化镓半导体激光器</t>
  </si>
  <si>
    <t>· 使用者可以使用书法挥斥方遒，力透纸背。
· 如果了解对方的书法习惯的话，可以伪造出近乎一模一样的笔迹。
· 也可以替人写字卖钱养家糊口。书法家的名头也是赚足了眼球的。</t>
  </si>
  <si>
    <t>中华人民共和国14周年</t>
  </si>
  <si>
    <t>华盛顿出现多次人权示威游行
肯尼迪遇刺
南越军事政变推翻吴廷琰政府
美国寒潮，死亡150 人
飓风弗罗拉在海地和古巴造成7000 人死亡
南方种族暴乱持续</t>
  </si>
  <si>
    <t>总统：
   约翰·肯尼迪（民主党）
   林登·约翰逊（民主党）</t>
  </si>
  <si>
    <t>乐理</t>
  </si>
  <si>
    <t>· 使用者可以通过乐理鉴定听到的乐声是来自何种乐器、何种曲子、曲子的节奏。</t>
  </si>
  <si>
    <t>东京奥运会</t>
  </si>
  <si>
    <t>原子弹</t>
  </si>
  <si>
    <t>中华人民共和国15周年</t>
  </si>
  <si>
    <t>阿斯旺水库运行
披头士火爆
美国误释放1 千克钚进入大气
尼赫鲁逝世
韦拉札诺海峡大桥（4280 英尺) 竣工
美国总统约翰逊签署1964 年民权法案
东京湾决议
三维全息技术
穆格合成器
联邦贸易委员会要求香烟标注健康警示信息</t>
  </si>
  <si>
    <t>总统：
   林登·约翰逊（民主党）</t>
  </si>
  <si>
    <t>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</si>
  <si>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t>
  </si>
  <si>
    <t>三维全息技术
合成器
香烟健康警示</t>
  </si>
  <si>
    <t>· 当使用者需要做饭时可以通过该鉴定决定做出的饭菜是否美观可口。
· 如果是食品雕刻则需要非常高级的刀工与设计，没有传授会十分困难。</t>
  </si>
  <si>
    <t>刘少奇主席连任</t>
  </si>
  <si>
    <t>中华人民共和国16周年</t>
  </si>
  <si>
    <t>马尔科姆·艾克斯被刺
洛杉矶瓦茨黑人暴乱
梵蒂冈对犹宣言
1965 年北美大停电
凯夫拉纤维
子午胎
IBM 文字处理机</t>
  </si>
  <si>
    <t>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</si>
  <si>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t>
  </si>
  <si>
    <t>凯夫拉纤维
子午胎
IBM 文字处理机</t>
  </si>
  <si>
    <t>裁缝</t>
  </si>
  <si>
    <t>· 裁缝可以使用针或者缝纫机将布匹丝绸缝纫成某件布制品，根据成品所需难度提高鉴定难度。 比如双面绣就十分困难，除非是一脉单传。
· 有缝自有裁，也可以使用剪刀等工具对物品进行裁切。
· 超出剪刀等工具的范围就不适用该技能。（比如制皮）</t>
  </si>
  <si>
    <t>文化大革命</t>
  </si>
  <si>
    <t>邢台地震</t>
  </si>
  <si>
    <t>中华人民共和国17周年</t>
  </si>
  <si>
    <t>中国文化大革命
反对越战声音高涨
德克萨斯钟楼狙击案，死亡12 人
选举产生首位黑人参议员
杜比A 型降噪器
滑雪板
越战统计死亡人数</t>
  </si>
  <si>
    <t>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</si>
  <si>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t>
  </si>
  <si>
    <t>杜比A 型降噪器
滑雪板</t>
  </si>
  <si>
    <t>理发</t>
  </si>
  <si>
    <t>· 理发师可以使用剪刀等工具帮他人理发，如果要给自己理发可能比较困难。
· “理发全套”可能包括洗头、吹头发、染发、恤发、定型、刮胡子甚至是美甲、按摩等。</t>
  </si>
  <si>
    <t>中华人民共和国18周年</t>
  </si>
  <si>
    <t>第三次中东战争
爱之夏
美国首位黑人大法官
阿波罗1 号大火，3 名宇航员死亡
美国在越南战场损失500 架飞机
纽瓦克种族暴乱，4 天死亡26 人
底特律种族暴乱，死亡31 人
反战抗议增加
佐治亚州缴获209 磅海洛因
喇叭裤</t>
  </si>
  <si>
    <t>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</si>
  <si>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t>
  </si>
  <si>
    <t>喇叭裤</t>
  </si>
  <si>
    <t>建筑</t>
  </si>
  <si>
    <t>· 使用者可以通过建筑鉴定了解某栋建筑的基本构造。
· 也可以通过建筑对房屋进行修缮维护，比如添瓦加砖铺地板，刷墙壁纸两不闲。</t>
  </si>
  <si>
    <t>墨西哥城奥运会</t>
  </si>
  <si>
    <t>中华人民共和国19周年</t>
  </si>
  <si>
    <t>春节攻势
马丁·路德·金遇害
1968年种族运动
1968 年巴黎学潮
罗伯特·肯尼迪遇刺
携带4 枚氢弹的B-52 轰炸机在格陵兰海岸坠毁
布拉格之春
西班牙撤销1492 年对犹太人的禁令
美国民主党全国代表大会骚乱
阿波罗8 号围绕月球飞行</t>
  </si>
  <si>
    <t>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</si>
  <si>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t>
  </si>
  <si>
    <t>绕月载人火箭</t>
  </si>
  <si>
    <t>· 使用者可以根据所学习的程度跳出相应的舞蹈。
· 越难的舞蹈鉴定遇难。比如冰上华尔兹，可能就得进行联合鉴定才能成功。</t>
  </si>
  <si>
    <t>恐惧症状表</t>
  </si>
  <si>
    <t>狂躁症状表</t>
  </si>
  <si>
    <t>首次登月</t>
  </si>
  <si>
    <t>互联网</t>
  </si>
  <si>
    <t>中华人民共和国20周年</t>
  </si>
  <si>
    <t>劫机前往古巴持续
巴纳德学院合并男子宿舍[13]
首次人工心脏移植
同一周末在超过40 座城市同时出现反越战游行
伍德斯托克音乐节
25 万反战者在华盛顿游行
阿波罗11 号登陆月球
纽约因暴风雪关闭
美莱村惨案披露
波音747 喷气式客机
圣塔芭芭拉原油泄漏
协和超音速喷气客机首飞</t>
  </si>
  <si>
    <t>总统：
   林登·约翰逊（民主党）
   理查德·尼克松（共和党）</t>
  </si>
  <si>
    <t>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</si>
  <si>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t>
  </si>
  <si>
    <t>人工心脏移植
波音747 喷气式客机
互联网</t>
  </si>
  <si>
    <t>酿酒</t>
  </si>
  <si>
    <t>· 技艺者可以花费一段时间来酿酒。如果失败了或许酿出来的只是酒糟吧。
· 也有品酒师精通于通过品酒来知道酒的度数、类别、产地、日期、树种环境、酿酒用具等</t>
  </si>
  <si>
    <t>恐惧症是对某些事物的持久性恐惧。守秘人可以投 D100 随机选择，也可以直接选择一个恰当的症状。守秘人应将狂躁症的症状添加到调查员的背景故事栏中。</t>
  </si>
  <si>
    <t>狂躁症会带来对某一事物的狂热迷恋与强迫倾向。守秘人可以投 D100 随机选择，也可以直接选择一个恰当的症状。守秘人应将狂躁症的症状添加到调查员的背景故事栏中。</t>
  </si>
  <si>
    <t>东方红1号</t>
  </si>
  <si>
    <t>二十世纪 七十年代</t>
  </si>
  <si>
    <t>中华人民共和国21周年</t>
  </si>
  <si>
    <t>激进时尚[14]
巴勒斯坦人劫持5 架次飞机
戴高乐逝世
艾斯拜瑞公园市暴乱死亡46 人
气象员派成员因为炸弹恐怖行为被捕
受汞污染的金枪鱼被召回
条形码
软盘
帆板
美国公债3700 亿美元
美国人口2.033亿</t>
  </si>
  <si>
    <t>总统：
   理查德·尼克松（共和党）</t>
  </si>
  <si>
    <t>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</si>
  <si>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t>
  </si>
  <si>
    <t>条形码
软盘
帆板</t>
  </si>
  <si>
    <t>捕鱼</t>
  </si>
  <si>
    <t>· 技艺者可以使用鱼竿、鱼叉、渔网等工具进行捕鱼。
· 和普通的垂钓不同，以此为生的人往往需要在短时间获得更多的收获，于是这个技能可能会更倾向于使用大型渔网、渔船等进行捕鱼，所以可能会拥有驾驶渔船的知识。
· 一些情况下还可能会选择使用炸药，或者高压电来进行捕鱼，不过这往往都是犯法的。</t>
  </si>
  <si>
    <t>洗澡恐惧症（Ablutophobia）：对于洗涤或洗澡的恐惧。</t>
  </si>
  <si>
    <t>沐浴癖（Ablutomania）：执着于清洗自己。</t>
  </si>
  <si>
    <t>联合国大会第2758号决议</t>
  </si>
  <si>
    <t>中华人民共和国22周年</t>
  </si>
  <si>
    <t>洛杉矶地震，死亡51 人
热裤
尼克松对毒品宣战
五角大楼文件事件
液晶显示</t>
  </si>
  <si>
    <t>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</si>
  <si>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t>
  </si>
  <si>
    <t>热裤
液晶显示</t>
  </si>
  <si>
    <t>· 唱歌有很多唱法，在选择歌唱的时候请自行选择一种唱法写入背景故事，比如：演歌、歌剧歌唱、流行歌等。
· 如果歌唱失败，会让人恨不得撕烂他的嘴。
· 死亡歌声或许能吓退什么呢？</t>
  </si>
  <si>
    <t>恐高症（Acrophobia）：对于身处高处的恐惧。</t>
  </si>
  <si>
    <t>犹豫癖（Aboulomania）：病态地犹豫不定。</t>
  </si>
  <si>
    <t>慕尼黑奥运会</t>
  </si>
  <si>
    <t>尼克松访华</t>
  </si>
  <si>
    <t>中华人民共和国23周年</t>
  </si>
  <si>
    <t>欧共体成员达到10 个[15]
尼克松访华
水门事件
慕尼黑惨案
美国建立飞机反劫机预案
便携电子计算器
乒乓球电视游戏</t>
  </si>
  <si>
    <t>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</si>
  <si>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t>
  </si>
  <si>
    <t>便携电子计算器
电视游戏</t>
  </si>
  <si>
    <t>制陶</t>
  </si>
  <si>
    <t>· 使用者可以用来伪造陶瓷器，或者能理解某些陶瓷器的烧制过程。
· 或许在某些时候（荒野求生）能有所帮助吧。</t>
  </si>
  <si>
    <t>飞行恐惧症（Aerophobia）：对飞行的恐惧。</t>
  </si>
  <si>
    <t>喜暗狂（Achluomania）：对黑暗的过度热爱。</t>
  </si>
  <si>
    <t>杂交水稻</t>
  </si>
  <si>
    <t>中华人民共和国24周年</t>
  </si>
  <si>
    <t>最近一次登陆月球
第一次石油危机
博斯普鲁斯海峡大桥（3524 英尺) 竣工
DNA 重组技术</t>
  </si>
  <si>
    <t>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</si>
  <si>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t>
  </si>
  <si>
    <t>DNA 重组技术</t>
  </si>
  <si>
    <t>雕塑</t>
  </si>
  <si>
    <t>· 使用者可以以雕塑为生，也可以通过一个困难以上鉴定来进行速刻。
· 通过一个普通鉴定能了解到某些雕塑的诞生过程以及他的材质。
· 当然，有时候你也可以大开脑洞凿个中空的雕塑做点什么？</t>
  </si>
  <si>
    <t>广场恐惧症（Agoraphobia）：对于开放的（拥挤）公共场所的恐惧。</t>
  </si>
  <si>
    <t>喜高狂（Acromaniaheights）：狂热迷恋高处。</t>
  </si>
  <si>
    <t>中华人民共和国25周年</t>
  </si>
  <si>
    <t>帕蒂·赫斯特被共生解放军绑架
美国广泛的石油短缺
尼克松辞职
美国飓风两天死亡315 人
农业技术绿色革命</t>
  </si>
  <si>
    <t>总统：
   理查德·尼克松（共和党）
   杰拉尔德·福特（共和党）</t>
  </si>
  <si>
    <t>· 技艺者可以进行某些杂耍技巧，或者变戏法之类的技巧。
· 可以配合跳跃进行空中动作，配合妙手变魔术等。
· 如果进行跑酷的话也可以使用杂技进行鉴定。
· 在跳楼的时候可以通过该技能代替跳跃来减免伤害。</t>
  </si>
  <si>
    <t>恐鸡症（Alektorophobia）：对鸡的恐惧。</t>
  </si>
  <si>
    <t>亲切癖（Agathomania）：病态地对他人友好。</t>
  </si>
  <si>
    <t>太空竞赛结束</t>
  </si>
  <si>
    <t>海城地震</t>
  </si>
  <si>
    <t>中华人民共和国26周年</t>
  </si>
  <si>
    <t>南越被推翻
美军撤离柬埔寨，红色高棉执政
黎巴嫩内战
雅达利电子游戏机</t>
  </si>
  <si>
    <t>总统：
   杰拉尔德·福特（共和党）</t>
  </si>
  <si>
    <t>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</si>
  <si>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t>
  </si>
  <si>
    <t>电子游戏机</t>
  </si>
  <si>
    <t>风水</t>
  </si>
  <si>
    <t>· 风水是一门很神奇的技艺。
· 风水本为相地之术，也就是临场校察地理的方法，也叫地相、古称堪舆术。
· 可以使用查看罗盘等风水工具来得知住宅基地、坟地等的自然形势的方位格局，以辨凶吉。
· 如果迷路，或许也能凭此逃出生天。
（该技能KP可以选择暗骰）</t>
  </si>
  <si>
    <t>大蒜恐惧症（Alliumphobia）：对大蒜的恐惧。</t>
  </si>
  <si>
    <t>喜旷症（Agromania）：强烈地倾向于待在开阔空间中。</t>
  </si>
  <si>
    <t>蒙特利尔奥运会</t>
  </si>
  <si>
    <t>四五运动</t>
  </si>
  <si>
    <t>唐山地震</t>
  </si>
  <si>
    <t>毛主席去世</t>
  </si>
  <si>
    <t>中华人民共和国27周年</t>
  </si>
  <si>
    <t>动物灭绝成为公众话题
毛泽东逝世
飓风利兹在墨西哥造成2500 人死亡
CRAY-1，世界首台超级计算机</t>
  </si>
  <si>
    <t>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</si>
  <si>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t>
  </si>
  <si>
    <t>超级计算机</t>
  </si>
  <si>
    <t>技术制图</t>
  </si>
  <si>
    <t>· 技术制图，主要是建筑师凭此设计建筑的技术。</t>
  </si>
  <si>
    <t>乘车恐惧症（Amaxophobia）：对于乘坐地面载具的恐惧。</t>
  </si>
  <si>
    <t>喜尖狂（Aichmomania）：痴迷于尖锐或锋利的物体。</t>
  </si>
  <si>
    <t>中华人民共和国28周年</t>
  </si>
  <si>
    <t>阿拉斯加输油管道开工
以色列在约旦河西岸建立定居点
光纤
东方快车停运
美国抗议者试图停工西布鲁克核电站</t>
  </si>
  <si>
    <t>总统：
   杰拉尔德·福特（共和党）
   吉米·卡特（民主党）</t>
  </si>
  <si>
    <t>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</si>
  <si>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t>
  </si>
  <si>
    <t>光纤</t>
  </si>
  <si>
    <t>· 耕作，指从事农耕。泛指农事。
· 耕作制度是指在农业生产中，为了达到持续高产所采取的全部农田技术措施。
· 它主要包括种植制度、土壤耕作制、施肥和杂草防除制度等环节。</t>
  </si>
  <si>
    <t>恐风症（Ancraophobia）：对风的恐惧。</t>
  </si>
  <si>
    <t>恋猫狂（Ailuromania）：近乎病态地对猫友善。</t>
  </si>
  <si>
    <t>中华人民共和国29周年</t>
  </si>
  <si>
    <t>巴拿马运河条约
加州通过第13 号议案，削减征收财产税
1 美元兑换175 日元
圣地亚哥空难，死亡150 人
人民圣殿教琼斯镇集体自杀事件，死亡909 人
伦敦诞生首名试管婴儿</t>
  </si>
  <si>
    <t>总统：
   吉米·卡特（民主党）</t>
  </si>
  <si>
    <t>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</si>
  <si>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t>
  </si>
  <si>
    <t>试管婴儿</t>
  </si>
  <si>
    <t>打字</t>
  </si>
  <si>
    <t>· 打字也称文字录入，包括数字录入、中文录入、英文录入（字母）、日文录入（平假名）、德文录入等。
· 以前使用打字机来打字，在现代这个职业因为电脑的普及，能纯粹靠打字为职业的情况越来越少。</t>
  </si>
  <si>
    <t>男性恐惧症（Androphobia）：对于成年男性的恐惧。</t>
  </si>
  <si>
    <t>疼痛癖（Algomania）：痴迷于疼痛。</t>
  </si>
  <si>
    <t>中华人民共和国30周年</t>
  </si>
  <si>
    <t>伊朗国王流亡
三里岛核事故
伊朗人质危机
苏联入侵阿富汗
魔方
索尼Walkman</t>
  </si>
  <si>
    <t>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</si>
  <si>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t>
  </si>
  <si>
    <t>魔方
索尼Walkman</t>
  </si>
  <si>
    <t>速记</t>
  </si>
  <si>
    <t>· 速记是一门用特殊符号系统记录语音的快写实用技术。
· 大多数人印象中的速记还是传统的手写速记，记录后的稿件是一个个类似蝌蚪的符号，而且需要一段时间把速记符号转化成文字。
· 现在兴起的电脑速记，记录的结果是普通文字信息，不需要再做文字转写工作，能够跟说话同步。
· 电视里现场直播中能够立即出现字幕，电脑速记员就是幕后英雄。</t>
  </si>
  <si>
    <t>恐英症（Anglophobia）：对英格兰或英格兰文化的恐惧。</t>
  </si>
  <si>
    <t>喜蒜狂（Alliomania）：痴迷于大蒜。</t>
  </si>
  <si>
    <t>莫斯科奥运会</t>
  </si>
  <si>
    <t>二十世纪 八十年代</t>
  </si>
  <si>
    <t>中华人民共和国31周年</t>
  </si>
  <si>
    <t>美国每盎司黄金达到802 美元
美国通胀率33 年来最高
银行业放松管制
圣海伦火山喷发死亡超过50 人
伊朗人质解救失败
波兰团结公会成立
亚马逊淘金热
杜比C型降噪器
美国公债9080 亿美元
美国人口2.265 亿</t>
  </si>
  <si>
    <t>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</si>
  <si>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t>
  </si>
  <si>
    <t>杜比C型降噪器</t>
  </si>
  <si>
    <t>· 木匠，亦称“木工”，指在制造家具零件、门窗框架，或其他木制品过程中用手工工具或机器工具进行操作的人。
· 木匠从事的行业是很广泛的，他们不仅可以制作各种家具，在建筑行业、装饰行业、广告行业等都离不开木匠。</t>
  </si>
  <si>
    <t>恐花症（Anthophobia）：对花的恐惧。</t>
  </si>
  <si>
    <t>乘车癖（Amaxomania）：痴迷于乘坐车辆。</t>
  </si>
  <si>
    <t>宋庆龄名誉主席</t>
  </si>
  <si>
    <t>中华人民共和国32周年</t>
  </si>
  <si>
    <t>伊朗释放人质
1981 年波兰罢工
以色列空袭摧毁伊拉克核反应堆
亨伯大桥（4626英尺) 竣工
美国公债达到1 兆美元
欧洲多地发生反对核武器装备的游行集会
美国疾控中心发现奇怪的免疫疾病</t>
  </si>
  <si>
    <t>总统：
   吉米·卡特（民主党）
   罗纳德·里根（共和党）</t>
  </si>
  <si>
    <t>莫里斯舞蹈</t>
  </si>
  <si>
    <t>· 莫里斯舞蹈，在英国的历史“久远”二字都不足以形容。
· 在古代凯尔特人的传统节日庆祝活动中，往往会绕着石圈或者石阵跳舞。这种舞就是最初的莫里斯舞蹈，而随着时间的发展，莫里斯舞蹈后来又转移到了墓地进行。</t>
  </si>
  <si>
    <t>截肢者恐惧症（Apotemnophobia）：对截肢者的恐惧。</t>
  </si>
  <si>
    <t>欣快癖（Amenomania）：不正常地感到喜悦。</t>
  </si>
  <si>
    <t>中华人民共和国33周年</t>
  </si>
  <si>
    <t>全球石油过剩
马岛战争
波托马克河空难，死亡78 人
纽芬兰石油钻井平台毁坏，死亡84 人
新奥尔良飞机失事，死亡149 人
纽约80 万人游行反对核武器
第五次中东战争
巴勒斯坦解放组织迁到突尼斯</t>
  </si>
  <si>
    <t>总统：
   罗纳德·里根（共和党）</t>
  </si>
  <si>
    <t>歌剧歌唱</t>
  </si>
  <si>
    <t>· 歌剧是一门西方舞台表演艺术，简单而言就是主要或完全以歌唱和音乐来交代和表达剧情的戏剧。
· 歌手和合唱团常有一队乐器手负责伴奏，有的歌剧只需一队小乐队，有的则需要一团完整的管弦乐团。有些歌剧中都会穿插有舞蹈表演，如不少法语歌剧都有一场芭蕾舞表演。
· 歌剧被视为西方古典音乐传统的一部分。</t>
  </si>
  <si>
    <t>蜘蛛恐惧症（Arachnophobia）：对蜘蛛的恐惧。</t>
  </si>
  <si>
    <t>喜花狂（Anthomania）：痴迷于花朵。</t>
  </si>
  <si>
    <t>李先念主席上任</t>
  </si>
  <si>
    <t>中华人民共和国34周年</t>
  </si>
  <si>
    <t>阿基诺二世被杀
欧洲大规模反导弹抗议
估计世界人口47 亿</t>
  </si>
  <si>
    <t>粉刷匠与油漆工</t>
  </si>
  <si>
    <t>· 油漆工制定了油漆工规范及相关标准。
· 油漆工是土建专业的专业工种之一，指使用手工工具或机具，把涂料涂刷或喷刷在建筑物表面和门窗表面，以及裱糊饰面和裁装玻璃的专业人员。</t>
  </si>
  <si>
    <t>闪电恐惧症（Astraphobia）：对闪电的恐惧。</t>
  </si>
  <si>
    <t>计算癖（Arithmomania）：狂热地痴迷于数字。</t>
  </si>
  <si>
    <t>中华人民共和国35周年</t>
  </si>
  <si>
    <t>磁带摄像在美国得到法律认可
两伊战争波及海湾运油船
印尼排华暴乱，死亡4000 人
贝鲁特战斗持续
分离出艾滋病毒
美国估计有35 万无家可归者
证实被动吸烟会引发疾病
马尼拉90 万人游行
里根提出“你从未有过那么好的政府”</t>
  </si>
  <si>
    <t>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</si>
  <si>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t>
  </si>
  <si>
    <t>艾滋病毒</t>
  </si>
  <si>
    <t>吹真空管</t>
  </si>
  <si>
    <t>· 吹真空管实为吹真空管。吹真空管分为人工吹制和机械吹制。
· 人工吹制是一项古老的工艺。人工吹制时使用长约1.5m中空铁吹管，一端蘸取玻璃液，一端为吹嘴。挑料后在滚料板（碗）上滚匀、吹气，形成玻璃料泡，在模中吹成制品。
·机械吹制时，玻璃液由玻璃熔窑出口流出，经供料机形成设定重量和形状的料滴，剪入初型模中吹成或压成初型，再转入成型模中吹成制品。</t>
  </si>
  <si>
    <t>废墟恐惧症（Atephobia）：对遗迹或残址的恐惧。</t>
  </si>
  <si>
    <t>消费癖（Asoticamania）：鲁莽冲动地消费。</t>
  </si>
  <si>
    <t>中华人民共和国36周年</t>
  </si>
  <si>
    <t xml:space="preserve">贝鲁特绑架事件持续
戈尔巴乔夫当选苏联主席
洛克·哈德森确诊艾滋病
法国轰沉绿色和平的船只
墨西哥城大地震死亡2.5 万人
美国贸易赤字
恐怖主义成为分离组织的主要思想
阿奇劳罗号劫案
联邦出资促进经济发展
美国公债1.82 兆美元，是1980 年的二倍
</t>
  </si>
  <si>
    <t>长笛恐惧症（Aulophobia）：对长笛的恐惧。</t>
  </si>
  <si>
    <t>隐居癖*（Automania）：过度地热爱独自隐居。（原文如此，存疑，Automania 实际上是恋车癖）</t>
  </si>
  <si>
    <t>日本泡沫经济时代</t>
  </si>
  <si>
    <t>中华人民共和国37周年</t>
  </si>
  <si>
    <t>挑战者号爆炸，美国航天局数年未再进行载人航天项目
英吉利海峡隧道坎特布利条约
切尔诺贝利核泄漏事故，数十位英雄牺牲自己控制了灾难扩大，专家估计几年中共有2.4 万人受释放出的放射性物质影响死亡
强效可卡因席卷美国</t>
  </si>
  <si>
    <t>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</si>
  <si>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t>
  </si>
  <si>
    <t>强效可卡因（毒品）</t>
  </si>
  <si>
    <t>15%</t>
  </si>
  <si>
    <t>交涉技能</t>
  </si>
  <si>
    <t>对方的因素，即对此来说恰当的社交技能或心理学技能 （取较高的那个）</t>
  </si>
  <si>
    <t>· 取悦允许通过许多形式来使用，包括肉体魅力、诱惑、奉承或是单纯令人感到温暖的人格魅力。
· 取悦可能可以被用于迫使某人进行特定的行动，但是不会是与个人日常举止完全相反的行为。
· 取悦或是心理学技能可以用于对抗取悦技能。
· 取悦技能可以被用于讨价还价来使一件物品或者服务的价格降低。如果成功，使用者得到了卖家的赞同，并且他们可能乐意降低一点价格。</t>
  </si>
  <si>
    <t>若对方的技能低于 50%</t>
  </si>
  <si>
    <t>若对方的技能大于等于 50%
而大于90%需要一个极难成功</t>
  </si>
  <si>
    <t>· 以友善的态度明显地赞美对象
· 赠送一件昂贵的礼物
· 通过透露一个秘密来建立信任</t>
  </si>
  <si>
    <t>· 对象感到自己被冒犯了，并且不会再继续与你进行任何交流
· 对象与你的敌人有某种方式的联系，尽管他可能会照着你的吩咐做，但是将会告发你
· 第三者可能会出来调解并阻止你继续搭讪他们的妹子</t>
  </si>
  <si>
    <t>他可能会死心塌地地喜欢上他的目标并且会表现得像是对方成功地对他使用了一个支配术</t>
  </si>
  <si>
    <t>细菌恐惧症（Bacteriophobia）：对细菌的恐惧。</t>
  </si>
  <si>
    <t>芭蕾癖（Balletmania）：痴迷于芭蕾舞。</t>
  </si>
  <si>
    <t>中华人民共和国38周年</t>
  </si>
  <si>
    <t>两伊战争100 万人死亡
1987 年美国股灾
美国因艾滋病死亡13468 人
阿拉伯复兴社会党成立
美国录像机达到5000 万台</t>
  </si>
  <si>
    <t>20%</t>
  </si>
  <si>
    <t>·攀爬表面是否坚固，是否有可以用手握住的地方，风力，可见度，雨等等坏境状况都可能会影响难度等级。</t>
  </si>
  <si>
    <t>· 这项技能允许一名角色借助或者不借助绳索或者登山工具进行爬树、墙以及其他垂直表面。
· 这项技能也同样包括用绳索下降。
· 第一次在这个技能上失败可能意味着这攀爬超出了调查员的能力范围。
· 一个成功的攀爬检定应当允许调查员在任何场合下完成攀爬（而不是进行反复检定）。
· 一次富有挑战性或者长距离的攀爬则应当增加难度等级。</t>
  </si>
  <si>
    <t>· 相当多的落手点
· 也许有绳索或者排水管帮助攀爬</t>
  </si>
  <si>
    <t>没有落手点，或者表面被雨水打湿而变得滑手</t>
  </si>
  <si>
    <t>· 重新评估这次攀爬
· 绕远路进行迂回攀爬
· 拉住某人的手。</t>
  </si>
  <si>
    <t>· 从高处摔下来并且受到伤害（如果摔在草地上，1D6 伤害每 10 英尺，摔在混凝土上则是 1D10 伤害每 10 英尺）
· 某件有价值的持有物从你的口袋中掉了下去（你可能直到事后才发现到）
· 陷入困境之中，无法继续上爬也无法下去</t>
  </si>
  <si>
    <t>他将全力保住自己可贵的生命，并且竭尽全力大声尖叫直到筋疲力尽</t>
  </si>
  <si>
    <t>导弹/子弹恐惧症（Ballistophobia）：对导弹或子弹的恐惧。</t>
  </si>
  <si>
    <t>窃书癖（Biliokleptomania）：无法克制偷窃书籍的冲动。</t>
  </si>
  <si>
    <t>汉城（首尔）奥运会</t>
  </si>
  <si>
    <t>澜沧、耿马地震</t>
  </si>
  <si>
    <t>杨尚昆主席上任</t>
  </si>
  <si>
    <t>中华人民共和国39周年</t>
  </si>
  <si>
    <t>温室效应成为常用词
洛克比空难，机上259 人全部遇难
亚美尼亚地震死亡2.5万人，40 万人无家可归
RU-486；美国大范围干旱
美国艾滋病病例超过6 万
估计本年美国因毒品损失516 亿美元</t>
  </si>
  <si>
    <t>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</si>
  <si>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t>
  </si>
  <si>
    <t>温室效应</t>
  </si>
  <si>
    <t>计算机使用</t>
  </si>
  <si>
    <t>现代专用</t>
  </si>
  <si>
    <t>· 这项技能允许调查员用各种不同的电脑语言进行编程、恢复或者分析隐藏的数据、解除被加了保护的系统、探索一个复杂的网络、或者发现别人的骇入、后门程序、病毒。
· 对电脑系统的特殊操作可能会需要这个检定。
· 互联网将大量的信息放置在了调查员的指尖上。使用互联网来找到高度详细以及/或模糊不清的咨询可能会需要一个计算机使用和图书馆使用的组合检定。
· 这项技能在用电脑上网，检查电子邮件，或者运行一般的商品化软件时不需要使用。</t>
  </si>
  <si>
    <t>· 对电脑程序进行编写、分析以及除错。</t>
  </si>
  <si>
    <t>破译密码以及骇入一个有保护的网络，并且没有被发现或者追踪。</t>
  </si>
  <si>
    <t>· 花费更长的时间来改良一个程序
· 使用别人的代码作为捷径
· 使用未测试的软件（e.g.一个病毒）来利用一个系统。</t>
  </si>
  <si>
    <t>· 意外消除了好用的文件，或者使整个系统崩溃
· 留下了证据或者你的行为使对方警觉了起来
· 你的电脑/网络感染上了病毒</t>
  </si>
  <si>
    <t>他迷失在虚拟空间中，并且需要物理上的介入来让他停止使用电脑，或者将视线从屏幕上移开。</t>
  </si>
  <si>
    <t>跌落恐惧症（Basophobia）：对于跌倒或摔落的恐惧。</t>
  </si>
  <si>
    <t>恋书狂（Bibliomania）：痴迷于书籍和/或阅读</t>
  </si>
  <si>
    <t>日本改元平成</t>
  </si>
  <si>
    <t>中华人民共和国40周年</t>
  </si>
  <si>
    <t>美国“毒品战争”
苏联政治改革
衣阿华号炮塔爆炸，死亡42 人
飓风休戈死亡71 人
萨尔曼·鲁西迪事件
巴拿马战争
美国银行业损失保险估计5000 亿美元
CD 成为美国主流音乐播放媒体</t>
  </si>
  <si>
    <t>总统：
   罗纳德·里根（共和党）
   乔治·赫伯特·沃克·布什（共和党）</t>
  </si>
  <si>
    <t>暗物质 暗能量 太阳能飞行器 甲型H1N1流感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</si>
  <si>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t>
  </si>
  <si>
    <t>CD</t>
  </si>
  <si>
    <t>0%</t>
  </si>
  <si>
    <r>
      <rPr>
        <sz val="10"/>
        <color rgb="FF000000"/>
        <rFont val="微软雅黑"/>
        <family val="2"/>
        <charset val="134"/>
      </rPr>
      <t xml:space="preserve">· 衡量了调查员表现出来的富裕程度以及经济上的自信度
· 信用评级可以被用来取代APP来评估第一印象
※ </t>
    </r>
    <r>
      <rPr>
        <b/>
        <sz val="10"/>
        <color rgb="FF000000"/>
        <rFont val="微软雅黑"/>
        <family val="2"/>
        <charset val="134"/>
      </rPr>
      <t>信用评级并不是一个被用于评估经济富裕度的技能，也不应该与其他技能挂钩
· 每个职业有着起始的信用评级范围，并且应当花费技能点来达到这个评级范围内
· 一名调查员的信用评级可以随着时间而改变。
· 调查员的克苏鲁神话技能有着易于疯狂的倾向，而这个技能可能导致失业并因此变成一个更低的信用评级</t>
    </r>
  </si>
  <si>
    <t>· 从银行或企业得到一笔贷款
· 绕开对证明书的需求
· 在商店或者赌场得到信用额度
· 在高档餐厅得到最好的桌子</t>
  </si>
  <si>
    <t>· 在涉及到（或被判有罪）一名犯罪调查员时仍得到信用或者贷款
· 在被媒体诽谤后仍得到正面的关注</t>
  </si>
  <si>
    <t>· 你提供你的房子以及/或者其他有价值的东西来作为作为担保从高利贷者那获得贷款
· 你尝试对银行经理施压来让他给你贷款。</t>
  </si>
  <si>
    <t>· 高利贷者的态度变得恶劣，并且命令他的手下给你上♂了一课
· 银行经理呼叫了警察
· 你贷款到了钱，但是这是一个策略来让你陷入更深的债务中，并且有个恶人计划着赎买你的债务并且在之后要求你给予帮助</t>
  </si>
  <si>
    <t>他失去所有在资本上的信用，并且开始免费分发他的钱给路人。</t>
  </si>
  <si>
    <t>书籍恐惧症（Bibliophobia）：对书籍的恐惧。</t>
  </si>
  <si>
    <t>磨牙癖（Bruxomania）：无法克制磨牙的冲动。</t>
  </si>
  <si>
    <t>亚运会</t>
  </si>
  <si>
    <t>二十世纪 九十年代</t>
  </si>
  <si>
    <t>中华人民共和国41周年</t>
  </si>
  <si>
    <t>伊拉克入侵科威特，美国入侵伊拉克
南非政府发布戒严令
美国公债3.23 兆美元
估计本年美国因毒品损失400 亿美元
美国人口2.487 亿</t>
  </si>
  <si>
    <t>总统：
   乔治·赫伯特·沃克·布什（共和党）</t>
  </si>
  <si>
    <t>· 这项技能反应了对非人类（洛夫克拉夫特的）克苏鲁神话的了解
· 这个技能并不像学术技能一样建立在知识的积累之上，它像是“哪些是人类不该知道的”，克苏鲁神话是与人类的理解相对立的，并且接触它将会侵蚀人类的理智
· 没有调查员能在初始技能设定时给克苏鲁神话加点（除非被KP同意）
· 成功的使用克苏鲁神话技能并不会提供给调查员在这个技能百分比上的提升
· 当克苏鲁神话点数上升，它将减少理智上限，并且使得调查员变得脆弱
· 每当神话生物的足迹或者其他证据被发现，一个成功的克苏鲁神话检定可以允许调查员辨认出这个神话生物，推测出有关它行为的一些资讯，或者猜测出它所拥有的某些特性。
· 一个成功的克苏鲁神话检定也可能允许调查员回想起一些关于神话的真实，通过看见咒语的施展来辨认出它，回想起克苏鲁书卷中详细的咒语或者部分的信息，或者完成一些其他的任务。
· 克苏鲁神话技能也可以被用来展现出魔法的“咒语一样的”效果。</t>
  </si>
  <si>
    <t>正确地根据第二手证据（足迹、创痕、第一手报告）来辨认出神话生物。</t>
  </si>
  <si>
    <t>· 通过谣传、传说或者极少的证据来辨认出一个神话生物
· 通过调查研究以及第一手经验辨认出一个神话生物可能的弱点或者能够给予一些优势的知识</t>
  </si>
  <si>
    <t>· 更加接近生物以获得一个更好的观察
· 翻阅咨询有着专业知识的可怕书卷或是人类学问与传说（或者其他的）
· 进行一场尸体解剖来了解更多
· 当你回忆起奇怪的密码电文时高声读出来</t>
  </si>
  <si>
    <t>· 太过于接近而让自己遭受到伤害或者怀疑
· 无意识地将书卷中的一段文字大声读了出来从而激活了一个召唤咒术
· 意外地损坏或毁坏了用于研究的证据。</t>
  </si>
  <si>
    <t>他会体验到一段揭示了新的关于克鲁苏深化的真实的幻影或者天启，相似地导致了对疯狂的领悟（伴随着可能的克苏鲁神话技能的增长以及/或是理智的损失）</t>
  </si>
  <si>
    <t>植物恐惧症（Botanophobia）：对植物的恐惧。</t>
  </si>
  <si>
    <t>灵臆症（Cacodemomania）：病态地坚信自己已被一个邪恶的灵体占据。</t>
  </si>
  <si>
    <t>中华人民共和国42周年</t>
  </si>
  <si>
    <t>第一次海湾战争死亡5 万余伊拉克人
伊拉克倾倒4000 万桶原油到海湾中，又烧掉600 座油井
美国奥克兰山火，烧毁3000座房屋，死亡数十人
吕宋岛皮纳图博火山大喷发
八一九政变
阿以和谈
到5 月底，美国因艾滋病死亡113426 人
外国产汽车已占到美国汽车销量的1/3
苏联解体
戈尔巴乔夫辞职
据信1/5 的黑非洲大学毕业生为HIV 阳性</t>
  </si>
  <si>
    <t>· 使用在当你想要演出除你自己外的别人时。
· 使用者改变了态度，习惯，以及/或声音来进行一个乔装，以另一个人或者另一类人的形象出现。
· 戏剧化妆品可能会有所帮助，还有伪造的身份证。
· 这项技能有着明显的两个方向：要么你试图隐瞒你的真实身份（例如当警察正在寻找你）或者你在模仿他人。
· 如果在一场面对面的见面中装作一个特定的人士，并且有某位认识你模仿的这个人的人，那么要通过这个场合就超出了这个技能的范围，并且可能意味着需要一个更高难度的组合技能检定（与说服，取悦，或者话术结合）。</t>
  </si>
  <si>
    <t>使陌生人相信你就是你说你是的那个人。例如，回到你昨天犯案的犯罪现场并且逃过注意</t>
  </si>
  <si>
    <t>在一场面对面的见面中使一名专家相信你就是你说你是的那个人。例如，装扮成一名银行员工来获得进入银行金库的许可</t>
  </si>
  <si>
    <t>· 经过一个完全拟真以及加强过的准备（将自己沉入到角色中去）
· 偷走个人物品并且将之利用进伪装中
· 用明显而夸张的手法来让对方感到混乱
· 假装患了疾病来迷惑观察者</t>
  </si>
  <si>
    <t>· 被拘捕
· 造成了对方的抵触，造成了暴力行为或者刑事指控
· 发现自己所模仿的对象正在被找来为了报复的黑帮所通缉</t>
  </si>
  <si>
    <t>这名调查员不再能认清自己在镜子中的脸，即使伪装已经被除去</t>
  </si>
  <si>
    <t>美女恐惧症（Caligynephobia）：对美貌女性的恐惧。</t>
  </si>
  <si>
    <t>美貌狂（Callomania）：痴迷于自身的美貌。</t>
  </si>
  <si>
    <t>巴塞罗那奥运会</t>
  </si>
  <si>
    <t>九二共识</t>
  </si>
  <si>
    <t>中华人民共和国43周年</t>
  </si>
  <si>
    <t>发达国家经济衰退，无家可归和失业现象增多
罗德尼·金事件导致洛杉矶等多地出现骚乱，死亡52 人，损失超过10 亿美元
美军进入索马里，解决饥饿和内战问题
前南斯拉夫数万人因“种族清洗”被屠杀
佛罗里达、路易斯安那、夏威夷飓风死亡数十人，毁坏数千房屋
南加州和埃及发生地震死亡重大
估计感染HIV 人数达到1300 万
捷克和斯洛伐克分立</t>
  </si>
  <si>
    <t>DEX一半的%</t>
  </si>
  <si>
    <t>闪避技能大多数用于战斗中，作为对抗技能的一部分并且不存在难度等级</t>
  </si>
  <si>
    <t>· 允许调查员本能地闪避攻击，投掷过来的投射物以及诸如此类的
· 一名角色可以尝试在一场战斗轮中使用任何次数的闪避（但是对抗一次特定的攻击只能一次）
· 闪避可以通过经验来提升，就像其他的技能一样
· 如果一次攻击可以被看见，一名角色可以尝试闪避开它
· 想要闪避子弹是不可能的，因为运动中的它们是不可能被看见的，一名角色所能做到的最好的是做逃避的行动来造成自己更难被命中</t>
  </si>
  <si>
    <t>作为一个战斗技能，这项技能不存在孤注一掷</t>
  </si>
  <si>
    <t>寒冷恐惧症（Cheimaphobia）：对寒冷的恐惧。</t>
  </si>
  <si>
    <t>地图狂（Cartacoethes）：在何时何处都无法控制查阅地图的冲动。</t>
  </si>
  <si>
    <t>江泽民主席上任</t>
  </si>
  <si>
    <t>中华人民共和国44周年</t>
  </si>
  <si>
    <t xml:space="preserve">1993 年世贸中心爆炸案
FBI 围困大卫教派总部韦科镇，死亡80 人
克林顿当选美国总统
是卡特之后首位民主党总统
波斯尼亚战争[16] 持续
朝鲜宣称退出不扩散核武器条约
美军撤出索马里
国会批准美军关闭130 个军事基地
美国失业率下降
美国公债4.35 兆美元
</t>
  </si>
  <si>
    <t>总统：
   乔治·赫伯特·沃克·布什（共和党）
   比尔·克林顿（民主党）</t>
  </si>
  <si>
    <t>因情况可改变为不同名称</t>
  </si>
  <si>
    <t>· 任何有着这项技能的人都可以驾驶一辆汽车或者轻型卡车，进行常规的移动，并且处理机动车的一般毛病
· 如果调查员想要甩掉一名追踪者或者追踪某人，则需要一个汽车驾驶检定
· 一些其他的文化可能用相似的事物来取代这个技能
· 因纽特人可能使用狗撬驾驶，或者维多利亚人可能使用四轮马车驾驶</t>
  </si>
  <si>
    <t>在不繁忙的交通状况下成功地迂回前进，甩掉了追踪者</t>
  </si>
  <si>
    <t>在拥堵的交通状况下成功地迂回前进，甩掉了追踪者</t>
  </si>
  <si>
    <t>· 驾驶交通工具直至其极限
· 无视危险，不减速前进</t>
  </si>
  <si>
    <t>· 撞车
· 因打滑而停止，无法再前进
· 被警察追赶</t>
  </si>
  <si>
    <t>他将被发现正位于一个静止的交通工具的轮子后面并发出“brum-brum”的车子运行的声音</t>
  </si>
  <si>
    <t>恐钟表症（Chronomentrophobia）：对于钟表的恐惧。</t>
  </si>
  <si>
    <t>跳跃狂（Catapedamania）：痴迷于从高处跳下。</t>
  </si>
  <si>
    <t>中华人民共和国45周年</t>
  </si>
  <si>
    <t>北美自由贸易协定施行
奥德里奇·艾姆斯被逮捕
安立甘教会任命首位女神父
南非举行首次不分种族大选，标明白人种族隔离统治结束
巴以签署巴勒斯坦自治原则宣言
辛普森杀妻案
诺曼底登陆50 周年纪念
1994 棒球大罢工标志该运动的衰退
美国出兵海地，阿里斯蒂德重返总统职位</t>
  </si>
  <si>
    <t>总统：
   比尔·克林顿（民主党）</t>
  </si>
  <si>
    <t>10%</t>
  </si>
  <si>
    <t>· 使调查员能够修理或者改装电气设备，例如自动点火装置，电动机，保险丝盒，以及防盗自动警铃
· 在现代，这项技能对现代电子器件几乎做不到什么。
· 为了维修电气设备，可能需要特殊的部件或者工具。
· 在1920年代的职业可能会需要这个技能，并且需要机械维修技能作为组合
· 电气维修也可能在现代的爆破上被使用，例如雷管，C-4塑料炸弹，以及地雷。
· 这些武器被设计得简单易用
· 只有一个大失败的结果才会造成不启动（记住这检定可以使用孤注一掷）
· 拆除爆炸物是远远更为复杂的，因为它们可能被安装了反拆改装置
· 当用于解除爆炸物时应当提高难度等级——见爆破技能</t>
  </si>
  <si>
    <t>修理或者制作一个常规的电气设备</t>
  </si>
  <si>
    <t>· 修理已经被严重损坏的东西
· 在没有合适的工具的情况下工作</t>
  </si>
  <si>
    <t>· 花费更长的时间来修理或者改装设备
· 进行有风险的捷径行动</t>
  </si>
  <si>
    <t>· 因为电击而受伤
· 保险丝断了并且整座建筑陷入了黑暗中
· 将你正在修理的东西损坏到了不可修理的地步</t>
  </si>
  <si>
    <t>他将尝试将活体生物的电能利用进设备中</t>
  </si>
  <si>
    <t>幽闭恐惧症（Claustrophobia）：对于处在封闭的空间中的恐惧。</t>
  </si>
  <si>
    <t>喜冷症（Cheimatomania）：对寒冷或寒冷的物体的反常喜爱。</t>
  </si>
  <si>
    <t>中华人民共和国46周年</t>
  </si>
  <si>
    <t>苏梅克- 列维9 号彗木相撞
俄克拉荷马城爆炸案，死亡161 人
美国每10 人就有1 人上网
O·J·辛普森被判无罪
北爱尔兰、波斯尼亚和中东的和平进程
伊扎克·拉宾在以色列被暗杀
柯林·鲍威尔放弃竞选美国总统
美国公债达到5 兆美元</t>
  </si>
  <si>
    <t>时间限制和对应的指南和部件</t>
  </si>
  <si>
    <t>· 用来发现并对电子设备的故障进行维修
· 允许制作简单的电子设备
· 这是个现代技能—在1920年代则是使用物理学以及电气维修来应对电子设备
· 不像电气维修技能，电子学工作的部件通常是不能临时配备的：它们通过精密的工作被设计出来
· 通常如果没有正确的微晶片或者电路板，技能的使用者就无法进行工作，除非他们可以策划出一些形式的应急方案
· 如果一名调查员有着正确的部件和指导建议，将一台标准的电脑组装起来甚至不应被需要一个技能检定</t>
  </si>
  <si>
    <t>对电脑或者电子设备不严重的损伤进行修理—这类服务可以期待在保修范围内</t>
  </si>
  <si>
    <t>收集废弃部件来临时制作一个追踪设备用于安置在某人的车内</t>
  </si>
  <si>
    <t>· 花费更长的时间来制作或者维修一个设备
· 研究新的或者其他的方法</t>
  </si>
  <si>
    <t>· 烧毁了线路或者其他的易损部件
· 因电击而受伤
· 制作出了与预期目的不同用处的设备</t>
  </si>
  <si>
    <t>他将变得偏执而且疑神疑鬼，深信遭遇的一切事物里都有着窃听装置：电话，电视，电冰箱</t>
  </si>
  <si>
    <t>小丑恐惧症（Coulrophobia）：对小丑的恐惧。</t>
  </si>
  <si>
    <t>舞蹈狂（Choreomania）：无法控制地起舞或发颤。</t>
  </si>
  <si>
    <t>亚特兰大奥运会</t>
  </si>
  <si>
    <t>中华人民共和国47周年</t>
  </si>
  <si>
    <t>1995-96 美国政府停摆
亚特兰大爆炸案，造成1 人当场死亡
地球表面平均温度达到新高
明尼苏达州百年来最冷的冬天
1996 年珠峰山难，死亡率增加
塔利班占领喀布尔
参议院堕胎争议
中美知识产权争端
美国公债达到5.2 兆美元
提摩太·麦克维制造俄克拉荷马城爆炸事件
希尔多·卡辛斯基被捕</t>
  </si>
  <si>
    <t>· 话术特别限定于言语上的哄骗，欺骗以及误导，例如迷惑一名门卫来让你进入一间俱乐部，让某人在一张他还没有读的文件上签字，误导警察看向另一边，以及诸如此类的
· 这项技能的对立技能为心理学或者话术。经过一段时间的相信期后（通常在使用话术的人离开场景之后），对方会意识到自己被欺骗了
· 话术的效果总是暂时性的，尽管如果达成了更高的难度等级可能会使这个效果更加长一点
· 可以被用来对一件物品或者服务的价格进行砍价
如果成功，卖家会暂时性地觉得这是一场不错得交易。然而，如果买家打算归还或者试图购买别的物品，卖家可能会拒绝继续提供降价，并且甚至可能会提高价格为了补回他们在上一次交易中所造成的损失。</t>
  </si>
  <si>
    <t>· 与目标关系变得更加接近与私人
· 用富有异国风情的口味说话，为了让目标感到困惑
-记住这项技能是话术，所以如果调查员开始选择尝试其他的方法，KP可能会要求使用一个不同的技能
如果进行了威胁，则将要求恐吓技能，或者如果进行了一场较长的讨论，则要使用说服技能。
从一个技能转换到了使用另一个技能来得到第二个检定机会仍然算是进行了一次孤注一掷。</t>
  </si>
  <si>
    <t>造成了严重的不愉快，导致暴力，愤怒，或者犯罪行径的发生</t>
  </si>
  <si>
    <t>他会开始用各种各样不定的骂人言语开始对着人进行谩骂</t>
  </si>
  <si>
    <t>恐犬症（Cynophobia）：对狗的恐惧。</t>
  </si>
  <si>
    <t>恋床癖（Clinomania）：过度地热爱待在床上。</t>
  </si>
  <si>
    <t>对香港恢复行使主权</t>
  </si>
  <si>
    <t>中华人民共和国48周年</t>
  </si>
  <si>
    <t>海地渡轮沉没，超过200 人死亡
新感染艾滋病病例估计达到300 万人
累计死亡约580 万人
美国居民达到约2.75 亿，40%使用互联网
拉链门事件
七月道- 琼斯指数跌破8000 点
烟草公司承认吸烟有上瘾性
海尔- 波普彗星过近日点
香港回归
艾姆斯研究中心设立天体生物学部门
戴安娜王妃车祸
泰德·特纳向联合国捐助10 亿美元</t>
  </si>
  <si>
    <t>恶魔恐惧症（Demonophobia）：对邪灵或恶魔的恐惧。</t>
  </si>
  <si>
    <t>恋墓狂（Coimetormania）：痴迷于墓地。</t>
  </si>
  <si>
    <t>江泽民主席连任</t>
  </si>
  <si>
    <t>中华人民共和国49周年</t>
  </si>
  <si>
    <t>克林顿被指控作伪证并阻挠司法
美国经济增长放缓
厄尔尼诺冲刷加利福尼亚州，并造成中西部地区风暴
欧洲风暴
亚拉巴马州龙卷风，死亡34 人
希尔多·卡辛斯基被判有罪
美国联邦预算30 年来首次盈余
卢旺达问题国际刑事法庭[17] 以种族灭绝罪处决22 人
联合国对伊拉克进行武器核查
1998 年俄罗斯金融危机
奥黑尔机场出入港旅客达到7000 万</t>
  </si>
  <si>
    <t>专业化
战斗技能</t>
  </si>
  <si>
    <t>· 格斗技能指的是一名角色在近距离战斗上的技能。
· 你可以花费一定的点数来获得任何的专业化技能。
· 作为类属的“格斗”技能不能够获得。选择对你的调查员的职业以及当时历史合适的专业格斗技能。
· 那些有着50%或者以上的格斗（斗殴）技能的调查员可能会希望选择一种正规的训练，并且作为背景的一部分来对他们的技能程度进行解释。格斗方式存在着各种各样的。
· 武术只是单纯的一种提升一个人战斗技巧的方式。
· 决定角色是如何学习格斗的，是否是从正规的军队训练，武术教室，或者以自己的努力从街头格斗中学会。
· 术语斗殴可能会觉得对于作为一个技能化的武术来说过于粗糙，并且可以被代替（例如用“空手道”），如果玩家是这样希望的话。</t>
  </si>
  <si>
    <t>作为一个战斗技能，这个技能不存在孤注一掷</t>
  </si>
  <si>
    <t>人群恐惧症（Demophobia）：对人群的恐惧。</t>
  </si>
  <si>
    <t>色彩狂（Coloromania）：痴迷于某种颜色。</t>
  </si>
  <si>
    <t>北约组织轰炸南斯拉夫</t>
  </si>
  <si>
    <t>对澳门恢复行使主权</t>
  </si>
  <si>
    <t>神舟一号</t>
  </si>
  <si>
    <t>中华人民共和国50周年</t>
  </si>
  <si>
    <t>克林顿弹劾案，众议院认为其有罪，参议院认为无罪
美国经济急增
道指首次收于11000 点以上
美国暴力事件发生率从1973 年以来持续增加
美国医学协会提议成立医师公会</t>
  </si>
  <si>
    <t>鞭子</t>
  </si>
  <si>
    <t>格斗的子项
战斗技能</t>
  </si>
  <si>
    <t>· 套索以及鞭子</t>
  </si>
  <si>
    <t>牙科恐惧症①（Dentophobia）：对牙医的恐惧。</t>
  </si>
  <si>
    <t>小丑狂（Coulromania）：痴迷于小丑。</t>
  </si>
  <si>
    <t>悉尼奥运会</t>
  </si>
  <si>
    <t>千年虫</t>
  </si>
  <si>
    <t>普及义务教育</t>
  </si>
  <si>
    <t>二十一世纪初</t>
  </si>
  <si>
    <t>中华人民共和国51周年</t>
  </si>
  <si>
    <t>美国证券市场泡沫破裂，社会保障与证券和其他金融工具挂钩的提案终止
俄罗斯核潜艇在巴伦支海沉没，死亡118 人
法国航空4590 号班机空难，协和式飞机冲进旅馆，死亡113 人
墨西哥制度革命党执政71 年后下野
爱德华·戈里逝世，享年75 岁
布什当选美国总统。</t>
  </si>
  <si>
    <t>电锯</t>
  </si>
  <si>
    <t>· 第一个以汽油为能源，大量生产的链锯出现于1927年
· 然而，也存在着一些早期版本
· 链锯被包括入作为一种武器是因为它在电影中被大量使用，但是玩家必须记住这武器大失败的结果也是一般的两倍，并且它存在杀死使用着的调查员的可能性（或者失去四肢中一条）</t>
  </si>
  <si>
    <t>丢弃恐惧症（Disposophobia）：对于丢弃物件的恐惧（贮藏癖）。</t>
  </si>
  <si>
    <t>恐惧狂（Countermania）：执着于经历恐怖的场面。</t>
  </si>
  <si>
    <t>昆仑山大地震</t>
  </si>
  <si>
    <t>中华人民共和国52周年</t>
  </si>
  <si>
    <t>世界人口达到62 亿
连环恐怖袭击造成纽约和弗吉尼亚3000 余人死亡
美军潜艇格林维尔号与日本渔船相撞，死亡9 人
近年感染艾滋病的人数估计达到5300 万
总死亡人数达到2180 万
对“暗物质”和“暗能量”的观测造成旧宇宙学的革新
太阳能飞行器太阳神号达到96500 英尺高度
55%的美国家庭有电脑
炭疽事件导致两院停止办公，5 人死亡
第二次阿富汗战争</t>
  </si>
  <si>
    <t>总统：
   比尔·克林顿（民主党）
   乔治·沃克·布什（共和党）</t>
  </si>
  <si>
    <t>甲型H1N1流感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</si>
  <si>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t>
  </si>
  <si>
    <t>“暗物质”“暗能量”
太阳能飞行器</t>
  </si>
  <si>
    <t>斧</t>
  </si>
  <si>
    <t>25%</t>
  </si>
  <si>
    <t>· 包括空手格斗以及任何人都可以捡起并使用的基础武器，例如棍棒（例如板球棒或者棒球棍），小刀，以及许多临时武器，例如瓶子以及椅子腿
· 为了决定这些临时武器所造成的伤害，KP应当参考武器表并且挑选那些类似的武器</t>
  </si>
  <si>
    <t>皮毛恐惧症（Doraphobia）：对动物皮毛的恐惧。</t>
  </si>
  <si>
    <t>杀戮癖（Dacnomania）：痴迷于杀戮。</t>
  </si>
  <si>
    <t>盗版猖獗</t>
  </si>
  <si>
    <t>SARS事件</t>
  </si>
  <si>
    <t>中华人民共和国53周年</t>
  </si>
  <si>
    <t>布什认为世界存在邪恶轴心
朝鲜宣称已秘密研制出核武器
欧元成为奥地利、比利时、芬兰、法国、德国、希腊、爱尔兰、意大利、卢森堡、荷兰、葡萄牙、西班牙等国的货币
米洛舍维奇审判开始
美国暴露大量商业假账继以破产事件
因盗版猖獗导致全球音乐销量下降</t>
  </si>
  <si>
    <t>总统：
   乔治·沃克·布什（共和党）</t>
  </si>
  <si>
    <t>· 当使用大型的木斧时使用这个技能
· 短柄小斧则可以用基础的斗殴技能
· 如果投掷出去，使用投掷技能</t>
  </si>
  <si>
    <t>过马路恐惧症（Dromophobia）：对于过马路的恐惧。</t>
  </si>
  <si>
    <t>魔臆症（Demonomania）：病态地坚信自己已被恶魔附身。</t>
  </si>
  <si>
    <t>SARS结束</t>
  </si>
  <si>
    <t>胡锦涛主席上任</t>
  </si>
  <si>
    <t>中华人民共和国54周年</t>
  </si>
  <si>
    <t>2003 年美国东北部和加拿大夏季大停电
欧洲受到史无前例的酷暑炙烤，法国气温达到105 ℉，1.1 万人死亡
伽利略号木星探测器坠落木星，结束14 年的行星探测任务
刚果北部发现奇特猿种，像是大猩猩和黑猩猩的混种，但比二者都大</t>
  </si>
  <si>
    <t>绞具</t>
  </si>
  <si>
    <t>· 所有的长度超过两英尺的剑器</t>
  </si>
  <si>
    <t>教堂恐惧症（Ecclesiophobia）：对教堂的恐惧。</t>
  </si>
  <si>
    <t>抓挠癖（Dermatillomania）：执着于抓挠自己的皮肤。</t>
  </si>
  <si>
    <t>中华人民共和国55周年</t>
  </si>
  <si>
    <t>马德里311 爆炸案，恐怖分子在4 辆高峰时段列车上隐藏炸弹，死亡191 人
别斯兰人质事件，恐怖分子劫持学校中1200 余人，俄军包围学校，死亡335 人，伤700 余人
世界最大的远洋客轮轮玛丽皇后二号处女航
赫顿报告，认为布莱尔政府没有恶意修改情报以发动伊拉克战争
中情局承认伊拉克没有大规模杀伤性武器
圣海伦火山重新活跃
台北101 大楼开放，高509 米，是当时最高的大楼</t>
  </si>
  <si>
    <t>链枷</t>
  </si>
  <si>
    <t>· 任何长度的材料被用于绞死对方
· 需要受害者进行一个战技检定来逃脱，否则就要遭受每轮1D6的伤害</t>
  </si>
  <si>
    <t>镜子恐惧症（Eisoptrophobia）：对镜子的恐惧。</t>
  </si>
  <si>
    <t>正义狂（Dikemania）：痴迷于目睹正义被伸张。</t>
  </si>
  <si>
    <t>中华人民共和国56周年</t>
  </si>
  <si>
    <t>飓风卡特里娜袭击美国墨西哥湾，死亡1800 人
维珍大西洋环球飞行者号打破单人不间断飞行环游世界纪录
年末增加闰秒</t>
  </si>
  <si>
    <t>· 索连棍，钉锤，以及相似的中世纪兵器</t>
  </si>
  <si>
    <t>针尖恐惧症（Enetophobia）：对针或大头针的恐惧。</t>
  </si>
  <si>
    <t>嗜酒狂（Dipsomania）：反常地渴求酒精。</t>
  </si>
  <si>
    <t>熊猫烧香</t>
  </si>
  <si>
    <t>中华人民共和国57周年</t>
  </si>
  <si>
    <t>朝鲜宣称进行首次核试验
庆祝沃尔夫冈·阿玛多伊斯·莫扎特诞辰250 周年</t>
  </si>
  <si>
    <t>· 长枪或者投矛
· 如果投掷，使用投掷技能</t>
  </si>
  <si>
    <t>昆虫恐惧症（Entomophobia）：对昆虫的恐惧。</t>
  </si>
  <si>
    <t>毛皮狂（Doramania）：痴迷于拥有毛皮。（存疑）</t>
  </si>
  <si>
    <t>中华人民共和国58周年</t>
  </si>
  <si>
    <t>俄罗斯恢复战略轰炸机全球例行战斗巡逻
哈利·波特和死亡圣器出版，成为出版史上销售最快的书</t>
  </si>
  <si>
    <t>恐猫症（Felinophobia）：对猫的恐惧。</t>
  </si>
  <si>
    <t>赠物癖（Doromania）：痴迷于赠送礼物。</t>
  </si>
  <si>
    <t>北京奥运会</t>
  </si>
  <si>
    <t>胡锦涛主席连任</t>
  </si>
  <si>
    <t>中华人民共和国59周年</t>
  </si>
  <si>
    <t>美国最大诈骗案嫌犯伯纳德·麦道夫被捕
威尔金斯冰架崩塌
巴拉克·奥巴马当选美国第44 任总统，是首位非裔美国总统
雷曼兄弟公司破产，标示新一轮世界财政危机开始
索马里海岸海盗猖獗</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</si>
  <si>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t>
  </si>
  <si>
    <t>射击</t>
  </si>
  <si>
    <t>距离、稳定性</t>
  </si>
  <si>
    <t>· 包括了各种形式的火器，也包括了弓箭和弩
· 你可以花费技能点数来获得任何专业化技能
· 作为属类的“射击”技能不能被获得
· 选择与你调查员的职业与时代历史相契合的专业化技能</t>
  </si>
  <si>
    <t>过桥恐惧症（Gephyrophobia）：对于过桥的恐惧。</t>
  </si>
  <si>
    <t>漂泊症（Drapetomania）：执着于逃离。</t>
  </si>
  <si>
    <t>中华人民共和国60周年</t>
  </si>
  <si>
    <t>冰岛国家破产
甲型H1N1 流感暴发，达到世界大流行
亚洲和太平洋地区发生本世纪最壮观日全食，持续约6 分38.8 秒
朝鲜第二次核试验</t>
  </si>
  <si>
    <t>总统：
   乔治·沃克·布什（共和党）
   贝拉克·奥巴马（民主党）</t>
  </si>
  <si>
    <t>希格斯玻色子 引力波</t>
  </si>
  <si>
    <t>甲型H1N1 流感</t>
  </si>
  <si>
    <t>射击的子项
战斗技能</t>
  </si>
  <si>
    <t>· 这个技能可以用于射击任何类型的步枪（无论是杠杆作用，手动栓式或者半自动的）或者霰弹枪
· 因为霰弹枪中装填的弹药会以散射的方式发射，所以使用者的命中几率不会因为距离而减少，但是造成的伤害会受到影响
· 当突击步枪进行单次射击时（或者多次进行单次），使用这个技能</t>
  </si>
  <si>
    <t>恐老症（Gerontophobia）：对于老年人或变老的恐惧。</t>
  </si>
  <si>
    <t>漫游癖（Ecdemiomania）：执着于四处漫游。</t>
  </si>
  <si>
    <t>玉树地震</t>
  </si>
  <si>
    <t>钓鱼岛事件</t>
  </si>
  <si>
    <t>二十一世 十年代</t>
  </si>
  <si>
    <t>中华人民共和国61周年</t>
  </si>
  <si>
    <t>墨西哥湾漏油事件，深水地平线号钻井平台爆炸，死亡11 名钻井工人，原油连续泄漏七个月
艾雅法拉火山从冰帽下方喷发，火山灰阻碍了欧洲航空运输
维基解密网站泄露数万份秘密外交文件</t>
  </si>
  <si>
    <t>总统：
   贝拉克·奥巴马（民主党）</t>
  </si>
  <si>
    <t>冲锋枪</t>
  </si>
  <si>
    <t>· 当用任何自动手枪或者冲锋枪开火时使用这个技能
· 同样也用于突击步枪的全自动模式</t>
  </si>
  <si>
    <t>恐女症（Gynophobia）：对女性的恐惧。</t>
  </si>
  <si>
    <t>自恋狂（Egomania）：近乎病态地以自我为中心或自我崇拜。</t>
  </si>
  <si>
    <t>人口突破70亿</t>
  </si>
  <si>
    <t>中华人民共和国62周年</t>
  </si>
  <si>
    <t>美国宣布伊拉克战争结束
东日本大地震（9.1 级)，造成海啸增加伤亡并引发福岛第一核电站核泄漏
世界人口据信已达70 亿
基地组织头目本·拉登在巴基斯坦被美国特种部队击毙
突尼斯小贩穆罕默德·布瓦吉吉自焚引发全国动乱，政府被推翻
中东地区发生类似的革命事件</t>
  </si>
  <si>
    <t xml:space="preserve">弓术 </t>
  </si>
  <si>
    <t>用来使用弓以及弩，包括从中世纪的长弓到现代高性能的复合弓</t>
  </si>
  <si>
    <t>恐血症（Haemaphobia）：对血的恐惧。</t>
  </si>
  <si>
    <t>职业狂（Empleomania）：对于工作的无尽病态渴求。</t>
  </si>
  <si>
    <t>阿拉伯之春</t>
  </si>
  <si>
    <t>世界末日谣言</t>
  </si>
  <si>
    <t>神舟九号</t>
  </si>
  <si>
    <t>中华人民共和国63周年</t>
  </si>
  <si>
    <t>伊利莎白二世女王钻石庆
阿拉伯之春
本世纪第二次（也是最后一次) 金星凌日
世界最高的自立式电波塔东京晴空塔（634米) 对公众开放
CERN（欧洲粒子物理研究所) 宣布发现了希格斯玻色子“上帝粒子”
奥地利跳伞家费利克斯·鲍姆加特纳在新墨西哥罗斯威尔从24 英里高高空跳伞，成功在无辅助下突破音障并创造跳伞的高度新纪录</t>
  </si>
  <si>
    <t>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</si>
  <si>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</si>
  <si>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希格斯玻色子</t>
  </si>
  <si>
    <t>喷射器</t>
  </si>
  <si>
    <t>· 喷射出一连串点燃的可燃烧液体或者气体的武器
· 可以被操作者携带或者架设在交通工具上</t>
  </si>
  <si>
    <t>宗教罪行恐惧症（Hamartophobia）：对宗教罪行的恐惧。</t>
  </si>
  <si>
    <t>臆罪症（Enosimania）：病态地坚信自己带有罪孽。</t>
  </si>
  <si>
    <t>甲型H7N9流感病毒</t>
  </si>
  <si>
    <t>英国脱欧公投</t>
  </si>
  <si>
    <t>习近平主席上任</t>
  </si>
  <si>
    <t>台风“海燕”</t>
  </si>
  <si>
    <t>一带一路计划</t>
  </si>
  <si>
    <t>中华人民共和国64周年</t>
  </si>
  <si>
    <t>甲型H7N9流感病毒
反种族主义者，南非前总统纳尔逊·罗利赫拉赫拉·曼德拉去世
“棱镜门”事件曝光美国国家安全局电子监听计划
“好奇”号火箭钻取火星基岩样品
俄罗斯车里雅宾斯克州发生陨石坠落事件、损失高达10亿卢布
伊朗核问题对话取得了积极成果
朝鲜进行第三次核试验
中美建立新型大国关系
英国首次提出脱欧
一带一路计划
“伊拉克伊斯兰国”宣布与叙利亚反对派武装组织“胜利阵线”联合，建立ISIS
台风“海燕”</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</si>
  <si>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甲型H1N2 流感 希格斯玻色子</t>
  </si>
  <si>
    <t>机枪</t>
  </si>
  <si>
    <t>· 用两脚架或者三脚架架设的进行连续射击的武器
· 如果两脚架的类型进行单次射击，那么使用步枪技能
· 对于今日来说，突击步枪，冲锋枪以及轻机枪之间的差别已经是十分细微的了</t>
  </si>
  <si>
    <t>触摸恐惧症（Haphophobia）：对于被触摸的恐惧。</t>
  </si>
  <si>
    <t>学识狂（Epistemomania）：痴迷于获取学识。</t>
  </si>
  <si>
    <t>苏格兰独立公投</t>
  </si>
  <si>
    <t>西非埃博拉疫情</t>
  </si>
  <si>
    <t>欧洲难民潮</t>
  </si>
  <si>
    <t>马航失踪</t>
  </si>
  <si>
    <t>昆明火车站事件</t>
  </si>
  <si>
    <t>也门撤侨</t>
  </si>
  <si>
    <t>中华人民共和国65周年</t>
  </si>
  <si>
    <t>苏格兰独立公投失败
欧洲难民潮
昆明火车站暴力恐怖案
马航失踪事件
也门政变
ISIS恐怖主义组织更名为伊斯兰国</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</si>
  <si>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甲型H1N3 流感 希格斯玻色子</t>
  </si>
  <si>
    <t>重武器</t>
  </si>
  <si>
    <t>· 用来使用所有的类似于手枪的火器，进行非连续的射击
· 对于现代游戏中的全自动手枪（MAC-11，乌兹手枪，等等），当使用全自动模式时，用冲锋枪的技能进行判定</t>
  </si>
  <si>
    <t>爬虫恐惧症（Herpetophobia）：对爬行动物的恐惧。</t>
  </si>
  <si>
    <t>静止癖（Eremiomania）：执着于保持安静。</t>
  </si>
  <si>
    <t>欧洲难民危机</t>
  </si>
  <si>
    <t>印度洋出海口</t>
  </si>
  <si>
    <t>南海仲裁案</t>
  </si>
  <si>
    <t>中华人民共和国66周年</t>
  </si>
  <si>
    <t>欧洲难民危机爆发
伊朗核谈判成功
巴黎恐怖袭击
火星发现水源
尼泊尔8.1级大地震
巴基斯坦政府确认了中国海外港口控股有限公司对瓜港的运营权
中菲南海仲裁案</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</si>
  <si>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甲型H1N4 流感 希格斯玻色子</t>
  </si>
  <si>
    <t>· 用于使用枪榴弹发射器，反坦克火箭炮等等</t>
  </si>
  <si>
    <t>迷雾恐惧症（Homichlophobia）：对雾的恐惧。</t>
  </si>
  <si>
    <t>乙醚上瘾（Etheromania）：渴求乙醚。</t>
  </si>
  <si>
    <t>里约奥运会</t>
  </si>
  <si>
    <t>中华人民共和国67周年</t>
  </si>
  <si>
    <t>朝鲜两次核试验
英国脱欧公投
南海仲裁案废弃，中菲关系“化敌为友”
萨德入韩事件、朴槿惠弹劾案
LIGO科学团队与处女座干涉仪团队直接观测到引力波
寨卡病毒</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</si>
  <si>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甲型H1N5 流感 希格斯玻色子 引力波</t>
  </si>
  <si>
    <t>火器恐惧症（Hoplophobia）：对火器的恐惧。</t>
  </si>
  <si>
    <t>求婚狂（Gamomania）：痴迷于进行奇特的求婚。</t>
  </si>
  <si>
    <t>比特币勒索病毒</t>
  </si>
  <si>
    <t>AlphaGo</t>
  </si>
  <si>
    <t>中华人民共和国68周年</t>
  </si>
  <si>
    <t>比特币病毒勒索事件
蓝鲸死亡游戏
AlphaGo获得围棋九段称号</t>
  </si>
  <si>
    <t>总统：
   贝拉克·奥巴马（民主党）
   唐纳德·特朗普（共和党）</t>
  </si>
  <si>
    <t>30%</t>
  </si>
  <si>
    <t>对人类进行急救永远是常规难度。如果某人正在对一名并不熟悉对方生理机能的异种生命进行处理，难度等级将会上升</t>
  </si>
  <si>
    <t>· 使用者有能力可以提供紧急的医疗处理
· 这可能包括：对摔断了的腿用夹板进行处理，止血，处理烧伤，对一名溺水的受害者进行复苏处理，包扎以及清理伤口等等
· 急救不能用于治疗疾病（这需要医学技能）
· 急救必须在一小时内进行处理，在这情况下，能回复1生命值的损伤
· 这项技能可以尝试一次，并且后续的尝试将为进行孤注一掷
· 两个人可以合作进行急救，只要其中一人成功便可以得到生命值的回复
· 成功的急救的使用可以将一名昏迷的角色唤醒过来
· 一名角色被限制只能进行一次成功的急救或者医学，直到受到其他伤害
· 当处理一名濒死的角色，成功的急救可以稳定他的状态一小时，并且得到一点临时生命
在一小时结束后，在那之后每经过一小时，那名角色必须进行一次成功的体质（CON）检定来维持伤势的稳定，否则那名角色陷入濒死并且失去临时生命，之后每轮必须进行一次体质检定来避免死亡
如果那名角色存活到下一轮，可以再次尝试对其使用急救（最多可以两人使用）。这个可以不断持续下去（不算是使用孤注一掷）直到伤势被稳定或者其死亡
· 只有急救可以拯救一名濒死角色的生命，在之后他必须接受一个成功的医学检定或者被送往医院</t>
  </si>
  <si>
    <t>· 花费更长的时间来处理病人
· 采用高风险的方法来稳定伤势</t>
  </si>
  <si>
    <t>让事物变得更加糟糕，造成一点额外的伤害</t>
  </si>
  <si>
    <t>· 他将感觉自己不得不“治疗”那人，尽管这可能意味着对其进行截肢或者更糟糕
· 实际上，如果他不被停下，他的尝试将会包括可能会导致谋杀的物理攻击</t>
  </si>
  <si>
    <t>恐水症（Hydrophobia）：对水的恐惧。</t>
  </si>
  <si>
    <t>狂笑癖（Geliomania）：无法自制地，强迫性的大笑。</t>
  </si>
  <si>
    <t>霍金去世</t>
  </si>
  <si>
    <t>中美贸易战</t>
  </si>
  <si>
    <t>习近平主席连任</t>
  </si>
  <si>
    <t>中华人民共和国69周年</t>
  </si>
  <si>
    <t>霍金去世
斯坦·李去世
金庸去世
基因编辑婴儿
中美贸易战
北朝鲜和美国两国元首会面，朝鲜半岛局势相对缓和</t>
  </si>
  <si>
    <t>总统：
   唐纳德·特朗普（共和党）</t>
  </si>
  <si>
    <t>· 让一名调查员能够记住一个国家，城市，区域或者个人及其相关的重要情报
· 一个成功的检定可以用来帮助辨认先祖所熟悉的工具，科技，或者想法，但是对当下的所知甚少</t>
  </si>
  <si>
    <t>回忆起一些相关并且有用的信息</t>
  </si>
  <si>
    <t>了解一些晦涩的，细节的并且有用的信息</t>
  </si>
  <si>
    <t>· 花费更多时间进行检查
· 进行进一步的研究
· 咨询另一位专家
· 雇佣助手来进行仔细的研究，花费数月，以及巨额花费</t>
  </si>
  <si>
    <t>· 这次商讨使你的对手变得警觉，并且意识到了你的意图
· 你得到的真相是错误的，并且引你陷入了危险之中
· 大量的时间和金钱浪费在了无用的研究中</t>
  </si>
  <si>
    <t>· 他将深信他迟早会被以某种方式替换
· 或者可能他开始相信他正生活在某个历史中的时段
· 以古代的方法进行衣装以及对话</t>
  </si>
  <si>
    <t>催眠恐惧症①（Hypnophobia）：对于睡眠或被催眠的恐惧。</t>
  </si>
  <si>
    <t>巫术狂（Goetomania）：痴迷于女巫与巫术。</t>
  </si>
  <si>
    <t>第一张黑洞照片</t>
  </si>
  <si>
    <t>第二次阿拉伯之春</t>
  </si>
  <si>
    <t>非洲猪瘟</t>
  </si>
  <si>
    <t>新冠病毒被发现</t>
  </si>
  <si>
    <t>中华人民共和国70周年</t>
  </si>
  <si>
    <t>法国巴黎“黄背心”运动
非洲猪瘟
草地贪夜蛾对多国农业造成重大损失
京都动画纵火案
巴黎圣母院大火
澳大利亚丛林大火
黑洞首次被人类观测到
新冠病毒在中国武汉第一次被发现</t>
  </si>
  <si>
    <t>· 恐吓可以以许多形式使用，包括武力威慑，心理操控，以及威胁
· 这通常被用来使某人害怕，并迫使其进行某种特定的行为
· 恐吓的对抗技能为恐吓或者心理学
· 携带武器或者其他的有力的威胁或诱因来协助恐吓可能可以降低难度等级
· 恐吓可以被用于降低一件物品或者服务的价格
如果成功，卖家可能会降低价格，或者免费交出，但是根据情况，对方可能会将这事情举报给警察或者当地犯罪组织的成员
一个非常需要注意的事情是对恐吓进行孤注一掷意味着将事物推到极限。
这可能包括数日的审讯，或者将一把枪指着对方的脑袋来下达最后通牒。无论是哪一种，孤注一掷的结果为要么为得到了你想要的情报，要么对该场合下造成的结果予以偿还</t>
  </si>
  <si>
    <t>· 对目标或者其重视的某物某人造成实际上的物理伤害，记住这个技能是恐吓
· 如果调查员开始尝试另一种不同的方法，KP可能会要求一个不同的技能使用
· 如果撤回威胁并且调查员开始尝试与目标套近乎，可能会要求取悦技能
· 或者如果进行了一个长时间并且不含威胁的讨论，可能会变成说服技能
从一个技能转换到另一个技能的使用来获得第二次检定机会仍然属于使用了一个孤注一掷检定</t>
  </si>
  <si>
    <t>· 可能对目标进行了远远超过本身意图的恐吓
· 意外地扣下了你正在目标脸前晃悠着用来威胁的枪的扳机
· 目标的思想断弦了
· 造成了暴力或者无意义地喋喋不休，并且无法得到更多的情报
· 目标单纯地开始嘲笑你并且不管你做什么都不停止
· 目标以某种方式扭转形式，并且开始对恐吓者进行恐吓</t>
  </si>
  <si>
    <t>他对目标感到极度地恐惧，并且立刻接受当下的条件</t>
  </si>
  <si>
    <t>白袍恐惧症（Iatrophobia）：对医生的恐惧。</t>
  </si>
  <si>
    <t>写作癖（Graphomania）：痴迷于将每一件事写下来。</t>
  </si>
  <si>
    <t>新冠病毒席卷全球</t>
  </si>
  <si>
    <t>奥运推迟</t>
  </si>
  <si>
    <t>英国脱欧</t>
  </si>
  <si>
    <t>天问火星探测计划</t>
  </si>
  <si>
    <t>成功防控新冠病毒</t>
  </si>
  <si>
    <t>港区国安法表决通过</t>
  </si>
  <si>
    <t>二十一世 二十年代</t>
  </si>
  <si>
    <t>中华人民共和国71周年</t>
  </si>
  <si>
    <t>新冠病毒
特朗普弹劾案
伊朗将军苏莱曼尼遇袭身亡
英国正式脱欧
首次因非战争事件推迟奥运会
美股连续熔断
原油期货价格跌负
港区国安法表决通过</t>
  </si>
  <si>
    <t>· 如果成功，调查员可以在垂直方向上跳起或跳下，或者从一个站立点或起步点水平向外跳
· 当坠落时，跳跃可以被用来降低可能造成的坠落伤害
· 为了分辨哪些算在正常跳跃，困难跳跃以及极难跳跃，必须对判断进行训练
· 作为一个指导：
· 当调查员想要安全地从垂直等同于其自身高度的地方跳下来时，需要一个常规难度的成功，或者水平地从其站立点跳过长度等同于他自身高度的坑，或者助跑后跳过两倍于其自身高度的距离
· 如果要达成两倍距离的跳跃，则需要一个极难难度的成功，尽管应当牢记，最长跳跃的世界纪录为大约29英尺
· 如果从高处摔落下来，一个成功的跳跃检定可以使对坠落有所准备，降低一半的坠落伤害</t>
  </si>
  <si>
    <t>· 安全地从垂直等同于其自身高度的地方跳下
· 水平地从其站立点跳过长度等同于他自身高度的坑
· 助跑后跳过两倍于其自身高度的距离</t>
  </si>
  <si>
    <t>· 按照常规难度的标准，但是距离提高了50%
· 也许尝试从屋顶起跳并且越过小巷然后穿入隔壁建筑的窗户</t>
  </si>
  <si>
    <t>· 延迟或者花费时间来对跳跃进行评估
· 充分利用自己的能力，利用全身的重量和力气进行纵身一跃
· 在某些情况下，是无法进行孤注一掷的
· 如果某人试图跳跃过一道深渊，那么他不能进行第二次尝试
· 然而，如果某人陷在了一个陷阱中，并且试图跳出来逃跑，他可以拥有随意多少次的尝试，但是将被统合为一次孤注一掷的技能检定</t>
  </si>
  <si>
    <t>· 摔落并且遭受到了物理伤害
· 成功进行了跳跃，但是一件有价值的所有物（由KP来选择）在跳跃过程中掉落了</t>
  </si>
  <si>
    <t>他将深信他会飞~</t>
  </si>
  <si>
    <t>鱼类恐惧症（Ichthyophobia）：对鱼的恐惧。</t>
  </si>
  <si>
    <t>裸体狂（Gymnomania）：执着于裸露身体。</t>
  </si>
  <si>
    <t>首次奇数年奥运会</t>
  </si>
  <si>
    <t>外语</t>
  </si>
  <si>
    <t>· 当选择这个技能，必须明确一个具体的语言并且写在技能后面
· 一个人可以了解任何数量的语言
· 这项技能代表使用者可以了解，说，读以及写一门不是他母语的语言的可能性
· 远古或者不知名语言（例如Aklo，Hyperborean这两种神话语言）不能被选择（除非KP同意），但是常见的古语可以被选择
如果遇见了用那门语言的古式的演讲或者写作，KP可以提高难度等级
· 单次的其他语言技能检定的成功通常允许对整本书的理解
· 进行有着使对话清晰的停顿的正常交流（当与一名对这语言并不流畅的外国人）对于一个熟练的人来说并不需要进行检定
·在一门语言上5%的技能将能够正确地辨认出这门语言而不需要检定。
·在一门语言上10%的技能可以交流简单的想法
·在一门语言上30%的技能可以对社交上的需求进行理解
·在一门语言上50%的技能可以进行流畅的交流。
·在一门语言上75%的技能可以将一门外国语言说得像是本地人一样。
·辨认一门当下在使用的人类语言（调查员所不清楚的），使用知识检定。
·辨认一门已消逝的人类语言，使用考古学或者历史检定。
·辨认一门外星语言，使用克苏鲁神话，或者也许神秘学检定</t>
  </si>
  <si>
    <t>· 交流（也许是较快语速的）
· 写作材料中包括了一些学术性的或者非常用的术语</t>
  </si>
  <si>
    <t>· 大量非常用的学术性术语
· 历史上的古式的短语
· 说话者有着罕见的方言</t>
  </si>
  <si>
    <t>· 花费更长的时间来思考你想要说的词语
· 在长停顿后回答你被告知的内容
· 查阅其他的书来进行翻译</t>
  </si>
  <si>
    <t>· 过大或者过响的调查员与第三者之间的讨论让敌对集团对调查员的意图开始警觉
· 一个词语或者短句被错误地理解了（也许意思颠倒了）
· 听者感到自己被一个无意的模糊发言冒犯了，并且用他的拳头予以回应，或者联合周围的人一起来反对你</t>
  </si>
  <si>
    <t>他开始将不为人知的话，或者想象他正在使用以诺语（一种神秘学语言）</t>
  </si>
  <si>
    <t>蟑螂恐惧症（Katsaridaphobia）：对蟑螂的恐惧。</t>
  </si>
  <si>
    <t>妄想狂（Habromania）：近乎病态地充满愉快的妄想（而不顾现实状况如何）。</t>
  </si>
  <si>
    <t>EDU%</t>
  </si>
  <si>
    <t>· 当选择这项技能时，必须明确一门具体的语言并且写在技能的后面
· 在婴儿期或者童年早期，大多数人使用单一一门语言
· 玩家所选择作为母语的语言自动地以等同于调查员教育（EDU）属性为起始
· 此后，调查员以那个百分比或者更高的来进行理解，说，读以及写（如果更多的技能点数在调查员创作时加了上去）
· 对于母语来说，通常并不需要技能检定。
· 即使当学术性的、古式的或者深奥的术语被使用，如果同类里的人对其他人都很友好并且有足够的时间来进行交流，那么大多数的事情将不需要一个骰子检定
· 如果一份文件是极其难以阅读或者以一种古式的方言来写，那么KP可能会要求一个检定</t>
  </si>
  <si>
    <t>雷鸣恐惧症（Keraunophobia）：对雷声的恐惧。</t>
  </si>
  <si>
    <t>蠕虫狂（Helminthomania）：过度地喜爱蠕虫。</t>
  </si>
  <si>
    <t>· 代表你对相关法律、早期事件、法庭辩术或者法院程序了解的可能性
· 一个在法律实务上的专家可能会获得巨大的奖励以及政治事务所，但是这可能需要长达几年的认真申请—— 一个较高的信用评级在这关系上也十分重要。
· 在美国，一个州的州法庭（StateBar）必须批准某人的法律实务。
· 当到一个外国国家时，使用这项技能的难度等级可能会上升，除非这名角色花费数月的时间来学习这个国家的法律系统</t>
  </si>
  <si>
    <t>理解和使用相关法律或者法律流程的细节</t>
  </si>
  <si>
    <t>记住或者理解一个不清楚的法律流程，或者反审讯一名有着强烈敌意的证人</t>
  </si>
  <si>
    <t>· 推迟来对你的辩论言论进行思考
· 对事例/处境的细微差别进行极其详细的解释
· 用重要的时间进行调查研究
· 曲解法律的字面意思来使你的言论变得合理</t>
  </si>
  <si>
    <t>· 误解了一条法律或者超出了可接受的法律程序的行为使你触犯了法律，并且吸引了警察的注意
· 浪费了宝贵的时间和金钱在调查以及法律费用上
· 你蔑视法庭，并且被丢进了牢房-至少24小时</t>
  </si>
  <si>
    <t>他会相信他此刻凌驾于法律之上</t>
  </si>
  <si>
    <t>蔬菜恐惧症（Lachanophobia）：对蔬菜的恐惧。</t>
  </si>
  <si>
    <t>枪械狂（Hoplomania）：痴迷于火器。</t>
  </si>
  <si>
    <t>美联社，1848，美国</t>
  </si>
  <si>
    <t>美国——————————</t>
  </si>
  <si>
    <t>美国——————</t>
  </si>
  <si>
    <t>· 图书馆使用使一名调查员能在图书馆找到一些信息，例如特定的一本书，新闻或者参考书，搜集文件或者资料库，假设需要的东西确实在那里的话。
· 使用这个技能需要数小时的连续的调查
· 这项技能可以定位寻找一件隐藏的案例或者一本特殊收藏的稀有书籍，但是可能会需要说服，话术，取悦，恐吓，信用评级，或者特殊的证明书来获得阅读这书或者信息的许可</t>
  </si>
  <si>
    <t>· 迫请图书管理员来获得更广的援助
· 花费更长的时间在一排排书架中进行系统的工作</t>
  </si>
  <si>
    <t>· 找到了一本相似的书籍，包含着有误导性的内容，并可能导致调查员陷入危险之中
· 与对手有所牵连—也许他们会因你的调查以及反抗他们的行动而有所警觉，或者他们检查了你们所搜索的书本（或者单纯地撕去了有内容的页子）
· 与图书管理员陷入了争吵之中，导致你图书馆会员的身份被撤销</t>
  </si>
  <si>
    <t>· 他开始收集书，将页子撕下来并且钉在他卧室的墙上，写了大量离奇内容的笔记，将页子用棉线和别针串在一起
· 或者，调查员沉迷于寻找正确的书本或者一段信息，花费了所有的时间在偷窃以及审阅书本上</t>
  </si>
  <si>
    <t>噪音恐惧症（Ligyrophobia）：对刺耳噪音的恐惧。</t>
  </si>
  <si>
    <t>饮水狂（Hydromania）：反常地渴求水分。</t>
  </si>
  <si>
    <t>美国合众社，1907，美国</t>
  </si>
  <si>
    <t>阿卡姆 密斯卡托尼克大学</t>
  </si>
  <si>
    <t>华盛顿特区</t>
  </si>
  <si>
    <t>与潜行对抗时，对方的潜行技能等级</t>
  </si>
  <si>
    <t>· 此技能是衡量一名调查员理解声音的能力，包括偶然听到的对话，一扇关着的门后的轻声嘀咕，以及咖啡厅里的私语
· KP可以用这来决定一场即将发生的遭遇的形式：比如你注意到了被踩碎的树枝的声音而警觉到可能遇到什么人
· 此外，一个较高的聆听技能可以理解为一名角色有着较高的警觉能力
· 当某人正在悄悄接近你时，聆听的对抗技能为潜行</t>
  </si>
  <si>
    <t>· 听见某物（潜行技能低于50）正在接近你
· 偷听一场在你附近发生的谈话</t>
  </si>
  <si>
    <t>· 听见某物（潜行技能从50至89）悄悄接近你的声音
· 偷听一场低声的谈话</t>
  </si>
  <si>
    <t>· 保持静止不动并且进行聆听
· 接近声音源（e.g.将耳朵贴在车轨或者门上）
· 让每个人都安静下来（自己制造一个噪音）然后进行聆听</t>
  </si>
  <si>
    <t>· “那个东西”在你没有意识到的时候抓住了你（你感到惊讶）
· 你错听了对话的内容，并且将内容混在了一起
· 你在偷听的行为被人捉住了，并且发现自己正在一个非常尴尬的困境之中</t>
  </si>
  <si>
    <t>他将会变得对所有声音过度敏感，并且无法在没有耳塞或者相似物体的情况下控制自己</t>
  </si>
  <si>
    <t>恐湖症（Limnophobia）：对湖泊的恐惧。</t>
  </si>
  <si>
    <t>喜鱼癖（Ichthyomania）：痴迷于鱼类。</t>
  </si>
  <si>
    <t>路透社，1849，英国</t>
  </si>
  <si>
    <t>《华盛顿先驱报》</t>
  </si>
  <si>
    <t>· 锁匠技能可以打开车门，短路电线来发动汽车，用铁撬撬开图书馆的窗子，解决中国机关箱，以及穿过常规的商用警报系统
· 使用者可能学会过修锁、配钥匙，或者使用万能钥匙、特殊工具打开锁
· 打开一个特别困难的锁可能会需要一个更高的难度等级</t>
  </si>
  <si>
    <t>打开或者修复一般的锁</t>
  </si>
  <si>
    <t>打开一个高安全性能的锁</t>
  </si>
  <si>
    <t>· 完全地将锁拆卸下来
· 花费更长时间
· 用力量强行撬开机械装置</t>
  </si>
  <si>
    <t>· 锁被破坏到了不可修复的程度（也许你的开锁工具折断在了锁里）
· 你破坏了机关箱（也许现在只有打碎它才能开启箱子）
· 你触发了警报，或者造成了足够响的噪音让某人或者某物过来查看发生了什么</t>
  </si>
  <si>
    <t>他放弃了眼前要解决的锁，并且意识到他更高的目的是解放他自己的思想
他们的双眼不再被迷雾所遮蔽，并且他开始以新的方式开始看待这个对他来说完全合理的世界，但是对于其他任何有着健全心智的人来说是完全不合理的</t>
  </si>
  <si>
    <t>机械恐惧症（Mechanophobia）：对机器或机械的恐惧。</t>
  </si>
  <si>
    <t>图标狂（Iconomania）：痴迷于图标与肖像</t>
  </si>
  <si>
    <t>交换电讯社，1872，英国</t>
  </si>
  <si>
    <t>华盛顿 美国国家地理学会</t>
  </si>
  <si>
    <t>《华盛顿新闻》</t>
  </si>
  <si>
    <t>· 这项技能允许调查员修理或制造一个机器
· 这项技能可以完成木工和管道工的大部分工作内容，比如滑轮组或者蒸汽泵之类的
· 在使用技能中可能会需要特殊的工具或者零件
· 这项技能可以打开普通的锁，但是专业的锁则需要使用锁匠技能
· 机械维修和电气维修是一个经常同时使用的技能，他们共同用于维修某种复杂的机械，例如汽车或者某些飞行器</t>
  </si>
  <si>
    <t>· 修理或者制作一件简单的设备
· 打开一个基础锁</t>
  </si>
  <si>
    <t>· 将设备完全的拆开
· 花费更长的时间
· 危险地使用过度的暴力来“敲”设备来使其运行（e.g.击打某物直至其运行）</t>
  </si>
  <si>
    <t>· 你将设备破坏至无法修理的程度
· 当你在对着设备进行工作时弄伤了自己（也许切到了自己的手，等等）
· 你沉浸于处理这个设备中，并且发现自己花费了一整天一整晚来处理它</t>
  </si>
  <si>
    <t>他密密麻麻将草写的设计写满了一本电话号码簿大小的便条本，以致甚至会创造使用生体物质以及家用电器为材料的离奇设备</t>
  </si>
  <si>
    <t>巨物恐惧症（Megalophobia）：对于庞大物件的恐惧。</t>
  </si>
  <si>
    <t>偶像狂（Idolomania）：痴迷于甚至愿献身于某个偶像。</t>
  </si>
  <si>
    <t>英国国家通讯社，1868，英国</t>
  </si>
  <si>
    <t>华盛顿 史密森学会</t>
  </si>
  <si>
    <t>《华盛顿邮报》</t>
  </si>
  <si>
    <t>· 使用者可以诊断并治疗事故，创伤，疾病，毒药等，并且可以提供公共健康建议
· 医学技能可以理解大部分药物的功效、副作用、制造工艺、用药禁忌等
· 用医学技能来进行治疗最少要花费1小时时间，并且可以在受到了伤害后的任何时间进行处理，但是如果没有在受伤的同一天内进行治疗，难度等级将会上升（需要一个困难难度的成功）
· 一名角色如果被成功地用医学技能进行治疗，他将恢复1D3的生命值（此效果和急救不冲突），除非是在一名角色濒死的情况，他必须先接受一个成功的急救技能检定来稳定伤势，然后才能接受一个医学检定
· 一名角色只能接受一次成功的急救和医学的治疗，直到遭受了进一步的伤害（除了在角色濒死的情况可能需要多次的急救检定来稳定伤势）
· 成功的医学技能的使用可以将一名昏迷的角色从昏迷中唤醒
· 当处理重伤时，成功的医学技能可以让病人在每周的恢复检定上增加一个奖励骰
· 如果一个时代还没有对某种疾病的有效疗法，那么这项技能的效果是有限的，不确定的，或者无效的
· 如果是在一个当代设备完善的医院中，KP可能准许医学治疗自动成功</t>
  </si>
  <si>
    <t>诊断并治疗普通的医学疾病，并且拥有可以使用的装备（至少得有药物和工具）以及一个合适的环境</t>
  </si>
  <si>
    <t>在一个脏乱并且不安全的环境中进行诊断与治疗，并且只有最低限度的装备</t>
  </si>
  <si>
    <t>· 咨询同僚
· 进行进一步的研究
· 尝试实验性的或者更加危险的事物
· 表现得有某种形式的临床经验</t>
  </si>
  <si>
    <t>· 你误诊了疾病并且使病人的状况变得更糟（甚至可能会杀死他）
· 你良好的信誉遭到了质疑，并且因治疗不当而受到了调查
· 在有临死角色的场合下，如果医学的孤注一掷的检定失败，病人则会就死亡</t>
  </si>
  <si>
    <t>· 他陷入了极度的烦恼之中
· 他会将动物的残肢或其他部分嫁接到病人的身上</t>
  </si>
  <si>
    <t>捆绑恐惧症（Merinthophobia）：对于被捆绑或紧缚的恐惧。</t>
  </si>
  <si>
    <t>信息狂（Infomania）：痴迷于积累各种信息与资讯。</t>
  </si>
  <si>
    <t>法国新闻通讯社，1929，法国</t>
  </si>
  <si>
    <t>华盛顿 美国国会图书馆</t>
  </si>
  <si>
    <t>《华盛顿时报》</t>
  </si>
  <si>
    <t>· 这项技能最开始是指对在自然环境中的植物以及动物生命的研究
· 直到19世纪，这门学科被分开到一系列的专业学术学科（生物学、植物学等）
· 博物学其实是一种非科学的知识，可能包括渔民、农夫、业余者的经验、或者只是因为个人爱好而观察到的知识
· 它可以对一般的物种、栖息地进行辨认，并且可以辨认踪迹、足迹以及叫声，也可以用某种线索或迹象对特定物种进行重要的推测
· 如果想对事物进行科学的理解分析，则应该使用生物学，植物学以及动物学的技能
· 博物学可能准确也可能不准确：这只是对某种事物的猜测、评估、民间知识，或者是对这种食物非常感兴趣而获得的知识
· 使用博物学可以判断市场的肉是否新鲜，或者查看蝴蝶标本是本身就很棒还是只是很棒的排列了起来</t>
  </si>
  <si>
    <t>· 辨认一种特定的物种（比如辨认蚂蚁的种类）
· 记住一些普通的学问
· 知道最佳捕鱼点</t>
  </si>
  <si>
    <t>· 辨认一种罕见的样品
· 定位找到一种动物或者植物的稀有物种（比如巨大的甲虫）
· 记住一些非常晦涩的事实或者一部分的学问</t>
  </si>
  <si>
    <t>· 花费更长的时间（忘却了时间）来仔细检查栖息地
· 得知一种不出名的蘑菇或植物的种类与作用
· 询问当地老人关于附近野生生物的知识</t>
  </si>
  <si>
    <t>· 你花费了很长的几个小时着迷地仔细看着书来辨认物种
· 你得到了错误的知识，并且正在攻击你的蜜蜂没有被你身上的泥土植物混合物所赶走
· 你吃了毒蘑菇，几小时后发现你正全裸的走向一名警察</t>
  </si>
  <si>
    <t>他在森林中迷失了方向只能等待救援</t>
  </si>
  <si>
    <t>流星恐惧症（Meteorophobia）：对流星或陨石的恐惧。</t>
  </si>
  <si>
    <t>射击狂（Klazomania）：反常地执着于射击。</t>
  </si>
  <si>
    <t>哈瓦斯通讯社，1832，法国</t>
  </si>
  <si>
    <t>华盛顿 美国国家自然历史博物馆</t>
  </si>
  <si>
    <t>· 允许使用者在任何时间与任何天气中辨认行进的方向
· 拥有高导航技能的人会非常熟练的使用天文图标工具、定位工具、GPS设备
· 这项技能可以用来测绘某个区域的地图（制图学），判断一个区域或一个岛屿的面积，如果拥有现代工具可以降低难度等级或取消检定
· KP可以暗骰这个技能的检定
· 如果他非常熟悉这个地区，那么可以在检定中增加一个奖励骰</t>
  </si>
  <si>
    <t>· 没有任何疑惑的走在一条路上
· 使用太阳与星辰来确定方位
· 绘制一小块地区的地形图</t>
  </si>
  <si>
    <t>· 没有明确的路或地标时，仍向着正确的方向前进
· 测绘一块又大又复杂的区域</t>
  </si>
  <si>
    <t>· 花费比较多的时间在地图上来尝试辨认出你在哪里
· 回到你的起点并重新尝试走一遍</t>
  </si>
  <si>
    <t>· 你迷路了，并且发现你自己被一头熊盯上或伏击了
· 你不断地绕着圈，并且掉队了
· 你认错了北极星，并且最终回到了邪教的隐藏根据地（失败的逃跑）</t>
  </si>
  <si>
    <t>他扔掉了设备并且凭着直觉行走，但是他的直觉一点都不准。</t>
  </si>
  <si>
    <t>孤独恐惧症（Monophobia）：对于一人独处的恐惧。</t>
  </si>
  <si>
    <t>偷窃癖（Kleptomania）：反常地执着于偷窃。</t>
  </si>
  <si>
    <t>每日通讯社，阿根廷</t>
  </si>
  <si>
    <t>加利福尼亚州</t>
  </si>
  <si>
    <t>· 使用者可以识别出神秘学道具，用语和概念，以及民间传统，并且可以辨认魔法书以及神秘学记号
· 神秘学家对于代代相传的各类神秘知识十分熟悉，包 括从埃及和苏美尔，从中世纪和文艺复兴时期的西方，以及也许从亚洲或者非洲
· 理解特定的书籍可能可以增加神秘学技能的百分比。这项技能不能运用于与克苏鲁神话相关的咒术， 书本，以及魔法，尽管旧日支配者的崇拜者对于神秘学有着很高的接受能力
· 由KP决定在这场游戏中非神话魔法是真实存在的 或者是虚构的</t>
  </si>
  <si>
    <t>· 从民间传说或者神秘学理论中回忆起了有用的知识
· 理解一张占卜卡的含义或者其他的占卦技巧</t>
  </si>
  <si>
    <t>· 辨认出稀少或者独特的神秘学书籍
· 想起秘密神秘学执行以及仪式的详细细节</t>
  </si>
  <si>
    <t>· 花费更多的时间来研究地址和物品
· 进行进一步的调查
· 咨询另一位专家
· 在仪式前提前净化自身，并且做好万全的个人准备</t>
  </si>
  <si>
    <t>· 误记了信息，以错误的方式进行了仪式，并且造成了极坏的结果（也许房子被烧成了平地）
· 在准备保护的圆圈时，你使用了错误的材料，并且你并没有挡开灵魂，而是真正地召唤出了具有邪恶心灵的事物
· 你在调查中发现了一个迄今为止都不知道的神话链接，并且你在那认识到的东西粉碎了你的思想（失去SAN）。</t>
  </si>
  <si>
    <t>很可能表现为某种形式的着魔现象：
也许调查员在自己的脸和手掌上纹上了神秘学的符号，或者在没有用占卜水晶进行占卜未来前无法进行行动</t>
  </si>
  <si>
    <t>不洁恐惧症（Mysophobia）：对污垢或污染的恐惧。</t>
  </si>
  <si>
    <t>噪音癖（Ligyromania）：无法自制地执着于制造响亮或刺耳的噪音。</t>
  </si>
  <si>
    <t>雅典通讯社，1896，希腊雅典</t>
  </si>
  <si>
    <t>纽约 美国自然历史博物馆</t>
  </si>
  <si>
    <t>《洛杉矶观察家报》</t>
  </si>
  <si>
    <t>· 当驾驶以及操纵一辆坦克，反铲挖土机，蒸汽挖土机或者其他巨型建造机械时需要这个技能
· 对于种 类非常不同的机械，KP可以决定提高难度等级，如果遇到的问题是极大程度上不熟悉的
· 例如，过去常常开推土机的某人，不会立刻能够掌握对船的引擎舱中的蒸汽涡轮机的使用</t>
  </si>
  <si>
    <t>操作起重机或挖掘机</t>
  </si>
  <si>
    <t>操作机械来完成熟练的或者独特的任务，例如用机械的挖掘机熟练地挖掘出恐龙蛋而不破坏它。</t>
  </si>
  <si>
    <t>· 在操作指南的帮助下一步步进行操作
· 花费时间来进行练习
· 寻找一名老师</t>
  </si>
  <si>
    <t>你正在驾驶推土机，但是在过度自信下，失去了对机械的控制，因此它调转方向撞向了一面砖头墙（这面墙倒向了你，或许更糟）</t>
  </si>
  <si>
    <t>他可能会相信他被派去挖掘或者建造一座旧日支配者的神庙</t>
  </si>
  <si>
    <t>黏液恐惧症（Myxophobia）：对黏液（史莱姆）的恐惧。</t>
  </si>
  <si>
    <t>喜线癖（Linonomania）：痴迷于线绳。</t>
  </si>
  <si>
    <t>澳大利亚联合通讯社，1928，澳大利亚</t>
  </si>
  <si>
    <t>纽约 布法罗自然科学学会</t>
  </si>
  <si>
    <t>《洛杉矶先驱报》</t>
  </si>
  <si>
    <t>· 使用说服来通过一场有理有据的论述、争辩以及讨论让目标相信一个确切的想法，概念，或者信仰
· 说服并不一定需要涉及真实的内容
· 成功的说服技能的运用将花费不少的时间：至少半小时。如果你想快速地说服某人，你应该使用话术技能
· 取决于玩家表述的目标，如果调查员花费了足够的时间，说服造成的影响可能一直持续下去，并且无意识地影响着别人
· 可能会持续好几年，直到某件事件或者另一次得说服改变了目标的想法
· 说服可以被用于讨价还价，以此来削低某样物品或者服务的价格
· 如果成功，卖家将会完全地相信自己做了一场好买卖</t>
  </si>
  <si>
    <t>· 接近目标，与目标变得更加亲密，以此来增强你的论述的说服力，或者对目标拒绝的理由进行反驳
· 通过详细地展现有逻辑的理由和例子
· 使用提前仔细准备好的建议技巧（也许是传递潜意识信息）来使你的观点为众人所重视
· 记住这项技能是说服，如果调查员开始尝试一种不同的方法，KP可能会要求使用一个不一样的技能。
如果进行了威胁，那么这项技能可能会变为恐吓；或者如果调查员依赖于亲近目标，这项技能可能会变成取悦。
技能间的转换来获得第二次检定机会仍旧视为使用了一次孤注一掷检定。</t>
  </si>
  <si>
    <t>· 目标感到极度的不悦，并且拒绝与你进行更多的交流
· 你的贿赂起效了，并且目标签署了文件—然而在一天清晨，他们突然觉得被欺骗了，并且雇佣了一名私家侦探来找出你准备干什么，或者对你进行起诉
· 对象并不喜欢你的长篇大论，并且从某处拿起一把餐刀扔向了你
· 你说服了保安对你的偷盗睁一只眼闭一只眼—然而对方却因此失去了他的工作，并且内心因自责而受损，最终导致了自杀行径（这整一个由于你的行动而带来的结果冲击了你，并且你因造成了一名无辜者的死亡而失 去SAN）。</t>
  </si>
  <si>
    <t>他可能会在之后被发现在一条街角上试图说服路人来相信他的言论或者离奇的观点</t>
  </si>
  <si>
    <t>尸体恐惧症（Necrophobia）：对尸体的恐惧。</t>
  </si>
  <si>
    <t>彩票狂（Lotterymania）：极端地执着于购买彩票。</t>
  </si>
  <si>
    <t>比利时通讯社，1920，比利时</t>
  </si>
  <si>
    <t>纽约 哥伦比亚大学</t>
  </si>
  <si>
    <t>《洛杉矶时报》</t>
  </si>
  <si>
    <t>驾驶（飞行器）：
理解以及足以操作飞行器类的载具。
当进行任何的降落时，即使是在最好的环境下，也必须进行一个驾驶检定。失败的结果将取决于具体的情况。
如果在一个平整的，有着绿草覆盖的地方进行降落，且是一个风平浪静的夏季日子，那么在飞机降落上检定的失败也许只是意味着导致了一次颠簸不稳的降落，可能会让一些心灵脆弱的乘客不敢次乘坐飞机。
在极端情况下，在一个暴风雨的天气里在冰川上进行降落的失败检定可能会导致飞机的坠毁并且里面所有人都受伤或者死亡。
失败的检定通常意味着对飞行器造成了损伤，并且在下次起飞前必须先进行修复。
如果检定的结果为100，那么将会导致一起令人难忘的灾难性事件。
每种不同的飞行器的技能都需要独立计算，并且分开罗列，或者依照KP觉得合适的方式来做。
1920年代：仅有驾驶热气球/飞船/民用螺旋桨飞机。现代：驾驶民用螺旋桨飞机，驾驶民用喷气飞机，驾驶客机，驾驶喷气战斗机，驾驶直升飞机。
对于一件飞行器的驾驶技能可以被转而用于一个别的形式的飞行器，但是难度等级可能会提升。
驾驶（船）：
理解在风，暴风雨以及潮流下操纵小型摩托艇以及轮船的机理，并且可以读懂潮流以及风的流向，以此来得到暗礁以及将要逼近的暴风雨的情报。
初学的水手将会发现到在大风中停靠一艘小船是多么困难。</t>
  </si>
  <si>
    <t>数字8恐惧症（Octophobia）：对数字 8 的恐惧。</t>
  </si>
  <si>
    <t>抑郁症（Lypemania）：近乎病态的重度抑郁倾向。</t>
  </si>
  <si>
    <t>保加利亚通讯社，1898，保加利亚</t>
  </si>
  <si>
    <t>纽约 美国印第安人博物馆</t>
  </si>
  <si>
    <t>《奥克兰追问者邮报》</t>
  </si>
  <si>
    <t>· 这项技能指的是广泛的情感上的治疗，不单是弗洛伊德的疗法。在1890年代，正规的心理治疗仍处于发展的初期阶段，尽管一些疗法有着人类存在般悠久的历史
· 一些时候，这看上去像是一门欺诈性的研究，即使是在1920年代
· 在之后用来称呼那些精神病医师或者对情绪障碍进行研究的学者的通用术语为精神病学家
· 在现代，心理治疗的各种方面都有了很大的发展，并且这项技能已经不能仅仅用精神病治疗来命名了
· 短期强化的精神分析可以恢复一名调查员患者的理智值
· 进行心理治疗时，游戏时间每月一次，精神病医师或医生进行一次精神分析技能检定。如果成功了，病人恢复1D3的理智值。如果检定失败了，没任何恢复
· 如果检定为大失败，那么病人失去1d6的理智值，并且由心理医师进行的治疗到此结束
可能在心理治疗中发生了一些严重的事变或者戏剧性的阻碍，并且在病人与治疗专家之间的关系破损到了难以修复的地步
· 在游戏中，单独的精神分析并不能加速不定时疯狂的恢复，恢复需要1D6个月的系统全面（或者相似的）的照顾，而精神疗法只是构成了其中的一部分 
· 成功使用这项技能将允许角色在短期内克服恐惧症状，或者看穿幻觉。在游戏中，这允许一名疯狂的调查员在短期内免受恐惧症或者躁狂症的影响，例如允许一名幽闭恐惧症患者躲藏在扫把柜中十分钟
· 同样的，一名角色可以进行一个精神分析检定来帮助一名处于妄想中的调查员在短期内看破幻觉不受影响
· 由一名心理治疗专家进行的治疗可以在不定性疯狂期间内回复理智值</t>
  </si>
  <si>
    <t>在医院中进行标准的心理治疗。</t>
  </si>
  <si>
    <t>在长期内进行着断断续续的治疗。</t>
  </si>
  <si>
    <t>· 这项技能可以多月进行反复的尝试而不需要孤注一掷检定
· 然而，如果在某个月中对技能的检定失败了，那么也许可以选择在接下来的单个疗程中进行孤注一掷检定，通过某些形式的更加激进的治疗方法（如果需要一个快速的成效的话）
· 例如，强迫病人去面对他们的恐惧，通过主动强迫他们面对现实
· 让病人的亲友以及亲近的同事来积极地参与到心理治疗之中</t>
  </si>
  <si>
    <t>为了治疗病人对蜘蛛的恐惧而把他关进满是狼蛛的房间里，并造成了反效果而使病人变得狂暴（也许对他自己或者他人造成了伤害）并且开始相信自己是“蜘蛛之王”
（病人现在有了一个新的躁狂症状并且将失去额外的理智值—心理治疗专家也需要进行一个理智检定，因为是他们的所作所为导致了这个结果！）</t>
  </si>
  <si>
    <t>很像是由盲人引导盲人，由一名疯狂的角色来进行精神分析是有可能的。
一名在孤注一掷上失败的疯狂角色可能会成为一名邪教领袖，而他/她的病人将会被招募为教众。</t>
  </si>
  <si>
    <t>恐牙症（Odontophobia）：对牙齿的恐惧。</t>
  </si>
  <si>
    <t>巨石狂（Megalithomania）：当站在石环中或立起的巨石旁时，就会近乎病态地写出各种奇怪的创意。</t>
  </si>
  <si>
    <t>中央通讯社，1924，中国</t>
  </si>
  <si>
    <t>纽约 纽约公共图书馆</t>
  </si>
  <si>
    <t>《橘郡纪事报》</t>
  </si>
  <si>
    <t>· 心理学可以与其他所有形式的社交行为检定进行对抗：恐吓、话术、说服以及取悦
· 这项技能也同样可以被用于看破某人的隐瞒（例如对方使用乔装技能时）</t>
  </si>
  <si>
    <t>· 对所有人来说都很通用的察觉方面的技能，允许使用者研究个人并且形成对于其他某人动机和人格的了解
· KP可以选择替代玩家暗骰心理学技能，根据检定结果，向玩家声明真或假的信息（不告知玩家检定成功与否以及信息的真伪）</t>
  </si>
  <si>
    <t>· 不再旁敲侧击，而是非常直接地询问一些高度私人的或者直截了当的问题
· 将自己沉浸于有关特定目标（你想要研究的目标）的信息之中，以此来让自己如同对方一样思考，并且理解对方的动机</t>
  </si>
  <si>
    <t>· 你在某种程度上反而把自己的动机与意图展现给了你的目标
· 目标觉得被你刺探性质的问题或者好奇的目光冒犯了，并且拒绝 进一步与你进行交谈，或者直接用行为来反抗你（也许是暴力行为或者打电话叫了警察）
· 你并不知道， 但是你的目标与你的对手有着联系，并且你无意中将自己接下来的计划透露给了对方
· 花费整周的时间将你自己锁在自己的房间里来构建对方的轮廓，但是对你造成了生理或者心理上的损害（直到你恢复前，所有的检定都要受到一个惩罚骰）。</t>
  </si>
  <si>
    <t>他将相信他能听见目标的邪恶思想，并且对对方展开了物 理性上的攻击</t>
  </si>
  <si>
    <t>恐梦症（Oneirophobia）：对梦境的恐惧。</t>
  </si>
  <si>
    <t>旋律狂（Melomania）：痴迷于音乐或一段特定的旋律。</t>
  </si>
  <si>
    <t>加拿大通讯社，1917，加拿大</t>
  </si>
  <si>
    <t>纽约 纽约州立博物馆</t>
  </si>
  <si>
    <t>《萨克拉门托蜜蜂报》</t>
  </si>
  <si>
    <t>基础的动物操纵或者对坐骑以步行速度进行骑乘并不需要一个骑术检定</t>
  </si>
  <si>
    <t>· 这项技能被用于给坐在鞍上驾驭马，驴子或者骡子，以及获得对这些骑乘动物、骑乘工具的基础照料知识，以及如何在疾驰中或困难地形上操纵坐骑
· 当坐骑出乎意外地抬起身子或失足时，骑手保持自己在坐骑上不摔落的几率等同于他的骑术技能
· 偏坐在马鞍上进行骑乘将会提高一个等级的难度等级
· 对于不熟悉的坐骑（例如骆驼）也可以成功地骑乘，但是可能会需要更高的难度等级
· 如果一名调查员从坐骑上摔落下来，可能是因为坐骑垮了，摔落了或者是死了（或者因为骑术的孤注一掷检定失败），这次意外将造成至少1D6生命值的损失—尽管跳跃检定可以抵消这个损失</t>
  </si>
  <si>
    <t>· 高速骑乘
· 稳住一匹受到惊吓的坐骑</t>
  </si>
  <si>
    <t>在天气状况不佳的情况下骑乘坐骑在不平稳且不熟悉的地形上飞奔（比如：在夜晚并下着倾盆大雨的有着繁茂树木的森林之中）。</t>
  </si>
  <si>
    <t>· 激进地鞭打或者强迫坐骑——也许强迫一匹马跳过深谷或者高的沟壑
· 当麻烦逼近时，承担继续操纵你的坐骑的风险而不是坐骑背上跳走逃跑</t>
  </si>
  <si>
    <t>骑师被从坐骑背上甩了出去，并且受到了坠落伤害
坐骑受伤了
骑师的脚与缰绳缠在了一起，并且被坐骑拖了一段距离</t>
  </si>
  <si>
    <t>他将变得对动物万分着迷</t>
  </si>
  <si>
    <t>称呼恐惧症（Onomatophobia）：对于特定词语的恐惧。</t>
  </si>
  <si>
    <t>作诗癖（Metromania）：无法抑制地想要不停作诗。</t>
  </si>
  <si>
    <t>捷通社，1918，捷克斯洛伐克</t>
  </si>
  <si>
    <t>纽约州伊萨卡 康奈尔大学</t>
  </si>
  <si>
    <t>《圣迭戈太阳报》</t>
  </si>
  <si>
    <t>恐蛇症（Ophidiophobia）：对蛇的恐惧。</t>
  </si>
  <si>
    <t>憎恨癖（Misomania）：憎恨一切事物，痴迷于憎恨某个事物或团体。</t>
  </si>
  <si>
    <t>信仰通讯社，1926，梵蒂冈</t>
  </si>
  <si>
    <t>《旧金山呼声报》</t>
  </si>
  <si>
    <t>科学</t>
  </si>
  <si>
    <t>· 科学专业上的理论和实践的能力，拥有这个技能的人接受过一定程度的正式的教育或者训练，尽管一名博览群书的业余科学家也是可能存在的
· 对于知识的理解和认识受到游戏时代的限制
· 你可以花费点数来获得任何你想要的专业化技能
· 作为属类的“科学” 技能不能被获得
· 每个专业化技能包括了一门专门的学科，并且列表所给出的并不是全部
· 许多专业跨越了不同的知识领域，并且有所重叠，例如数学和密码学，植物学和生物学，化学和药学
· 当一名角色没有完全对应的专业学科技能，他可以用一个相似的技能进行检定，但是由KP来判断是否要增加难度等级（或者一个惩罚骰）</t>
  </si>
  <si>
    <t>· 进行一场实验
· 想起你所擅长的专业领域中的现代科学理论
· 在有着合适的设备下进行工作</t>
  </si>
  <si>
    <t>· 进行一场极度苛刻的实验
· 解读无序 的/残缺的科学记录
· 在临时设备下进行工作</t>
  </si>
  <si>
    <t>· 花费更多的时间来进行研究；
· 进行进一步的研究调查（也许去一个有着更加优良设备的实验室）
· 咨询请教其他的专家
· 冒着一定风险进行实验。</t>
  </si>
  <si>
    <t>· 实验的进展方向完全地偏离了，并造成了意料之外的伤害（爆炸，着火，电击，被驱逐进了六维空间，等等）
· 你错误地准备 了魔法粉末的配方，并导致了灾难性的结果</t>
  </si>
  <si>
    <t>他开始对他专业中某种古怪的科学进行探索。
这可能最终导致与那些活魔人（Crawford Tillinghast）相似的发展结果（来自于爱手艺的故事From Beyond）。</t>
  </si>
  <si>
    <t>恐鸟症（Ornithophobia）：对鸟的恐惧。</t>
  </si>
  <si>
    <t>偏执狂（Monomania）：近乎病态地痴迷与专注某个特定的想法或创意。</t>
  </si>
  <si>
    <t>犹太通讯社，1919，巴勒斯坦</t>
  </si>
  <si>
    <t>芝加哥 芝加哥菲尔德自然博物馆</t>
  </si>
  <si>
    <t>《圣迭戈联合报》</t>
  </si>
  <si>
    <t>地质学</t>
  </si>
  <si>
    <t>科学的子项</t>
  </si>
  <si>
    <t>· 用来决定大致的岩层年龄，辨认出化石的类型
· 区分矿物和水晶，确定合理的采矿和挖掘地址，评估土地，预测火山活动、地震、雪崩以及其他类似的现象</t>
  </si>
  <si>
    <t>寄生虫恐惧症（Parasitophobia）：对寄生虫的恐惧。</t>
  </si>
  <si>
    <t>夸大癖（Mythomania）：以一种近乎病态的程度说谎或夸大事物。</t>
  </si>
  <si>
    <t>挪威通讯社，1867，挪威</t>
  </si>
  <si>
    <t>芝加哥 芝加哥大学</t>
  </si>
  <si>
    <t>《旧金山纪事报》</t>
  </si>
  <si>
    <t>· 有关物质组成，温度的影响，能量，以及作用于其上的压力的研究，也包括物质如何互相影响
· 在化学的帮助下，某人可以创造或者提取复杂的化学复合物，包括简单的炸药，毒药，气体以及酸液，需要至少一天以上并且在合适的设备以及化学药剂的帮助
· 使用者也可以对一种不明的物质进行分析，如果有这合适的设备以及试剂</t>
  </si>
  <si>
    <t>人偶恐惧症（Pediophobia）：对人偶的恐惧。</t>
  </si>
  <si>
    <t>臆想症（Nosomania）：妄想自己正在被某种臆想出的疾病折磨。</t>
  </si>
  <si>
    <t>新西兰报联社，1879，新西兰</t>
  </si>
  <si>
    <t>芝加哥 克雷拉图书馆</t>
  </si>
  <si>
    <t>《旧金山观察家报》</t>
  </si>
  <si>
    <t>生物学</t>
  </si>
  <si>
    <t>· 关于生命和存活的有机物的学科，包括细胞学、生态学、基因学、组织学、微观生物学、生理学等等。
· 在这项技能的帮助下，一个人可能能够研究出能够对抗可怕的克苏鲁神话细菌的疫苗，将自己从能够令人产生幻觉的丛林植物下隔离开来，或者对鲜血以及/或者有机物质进行分析</t>
  </si>
  <si>
    <t>吞咽恐惧症（Phagophobia）：对于吞咽或被吞咽的恐惧。</t>
  </si>
  <si>
    <t>记录癖（Notomania）：执着于记录一切事物（例如摄影）</t>
  </si>
  <si>
    <t>丹麦通讯社，1866，丹麦</t>
  </si>
  <si>
    <t>芝加哥 纽伯利图书馆</t>
  </si>
  <si>
    <t>《旧金山新闻报》</t>
  </si>
  <si>
    <t>· 对于数字和逻辑的研究，包括数学理论、应用以及理论上的解决方法设计和推演发展
· 这项技能可能允许使用者辨认非欧几里得几何，解决困难的公式，以及破译复杂的图样或者暗码（专业的暗码的研究见密码学）</t>
  </si>
  <si>
    <t>药物恐惧症（Pharmacophobia）：对药物的恐惧。</t>
  </si>
  <si>
    <t>恋名狂（Onomamania）：痴迷于名字（人物的、地点的、事物的）</t>
  </si>
  <si>
    <t>瑞士通讯社，1894，瑞士</t>
  </si>
  <si>
    <t>· 使用者可以知道在某个特定的日子或者一天早晚某个时间时哪颗恒星或者行星位于正上方，何时彗星和流星雨会出现，以及重要的恒星的名字
· 这项技能同样会提供有关其他世界的生命，银河的存在和结构，以及类似的知识的现代概念
· 一名学者可能能够计算轨道，判断恒星生命周期，以及（在现代）有关红外天文学或者超长基线干涉测量的相关知识</t>
  </si>
  <si>
    <t>幽灵恐惧症（Phasmophobia）：对鬼魂的恐惧。</t>
  </si>
  <si>
    <t>称名癖（Onomatomania）：无法抑制地不断重复某个词语的冲动。</t>
  </si>
  <si>
    <t>塔斯社，1925，苏联</t>
  </si>
  <si>
    <t>巴尔的摩 巴尔的摩美术馆</t>
  </si>
  <si>
    <t>纽约州</t>
  </si>
  <si>
    <t>物理学</t>
  </si>
  <si>
    <t>· 使使用者能够理论上了解压力、 材料、运动、磁力、电力、光学、辐射和相关的现象，以及给予一定的能力来构建实验器材来验证想法
· 对于知识的了解程度取决于所在的年代
· 实际运用的装置，例如汽车，并不是物理学家的范围，然而实验设备可能会是，也许要结合电气维修或者机械维修。</t>
  </si>
  <si>
    <t>日光恐惧症（Phenogophobia）：对日光的恐惧。</t>
  </si>
  <si>
    <t>剔指癖（Onychotillomania）：执着于剔指甲。</t>
  </si>
  <si>
    <t>巴尔的摩 伊诺克·普拉特自由图书馆</t>
  </si>
  <si>
    <t>《奥尔巴尼联合时报》</t>
  </si>
  <si>
    <t>· 关于化学复合物以及它们的在有机生命体上的效果的研究
· 传统上来说，这包括药物的配方、创造以及施用（不管是一名巫医进行药草组合或者是现代的药剂师在实验室里进行操作）
· 这个技能的应用在与确认药物被安全以及有效地使用，包括人工合成原料，毒素的检定，以及有可能产生的副作用的相关知识。</t>
  </si>
  <si>
    <t>胡须恐惧症（Pogonophobia）：对胡须的恐惧。</t>
  </si>
  <si>
    <t>恋食癖（Opsomania）：对某种食物的病态热爱。</t>
  </si>
  <si>
    <t>费城 费城自然科学博物馆</t>
  </si>
  <si>
    <t>《布法罗新闻报》</t>
  </si>
  <si>
    <t>植物学</t>
  </si>
  <si>
    <t>· 关于植物生命的研究，包括物种分类，结构，生长，繁殖，化学特性，进化原理，疾病，以及显微研究
· 植物学的分支学科包括农学，森林学，园艺和古植物学
· 在这项技能的帮助下，某人可以辨认出某种特定植物的特性（例如是否有毒性，是否可食用，或者具有精神治疗作用）以及它的具体用处</t>
  </si>
  <si>
    <t>河流恐惧症（Potamophobia）：对河流的恐惧。</t>
  </si>
  <si>
    <t>抱怨癖（Paramania）：一种在抱怨时产生的近乎病态的愉悦感。</t>
  </si>
  <si>
    <t>费城 宾夕法尼亚大学</t>
  </si>
  <si>
    <t>《纽约美国人报》</t>
  </si>
  <si>
    <t>动物学</t>
  </si>
  <si>
    <t>· 对专门联系到动物王国的生物学的研究，包括仍存在以及灭绝动物的生态结构，进化，分类，行为习性，以及分布
· 使用这项技能来从动物与环境的互动（脚印，兽粪，痕迹等等），行为举止，以及区域特点上辨认出其物种</t>
  </si>
  <si>
    <t>酒精恐惧症（Potophobia）：对酒或酒精的恐惧。</t>
  </si>
  <si>
    <t>面具狂（Personamania）：执着于佩戴面具。</t>
  </si>
  <si>
    <t>纽黑文 耶鲁大学</t>
  </si>
  <si>
    <t>《纽约每日新闻》</t>
  </si>
  <si>
    <t>密码学</t>
  </si>
  <si>
    <t>· 关于由其他人发展出来的用于隐藏对话或者信息内容用的暗码或者密语的研究
· 一种数学的专业分支，这项技能使使用者能够辨认，创造或破译暗码
· 暗码通常上来说是写下来的，但也可能通过其他的形式，例如隐藏在乐曲、画作或者电脑编码下的信息
· 破译一个暗码可能会是一个漫长的工作，通常需要很长时间的调查研究以及大量的演算处理</t>
  </si>
  <si>
    <t>恐火症（Pyrophobia）：对火的恐惧。</t>
  </si>
  <si>
    <t>幽灵狂（Phasmomania）：痴迷于幽灵。</t>
  </si>
  <si>
    <t>纽黑文 耶鲁大学皮博迪自然博物馆</t>
  </si>
  <si>
    <t>《纽约新闻报》</t>
  </si>
  <si>
    <t>工程学</t>
  </si>
  <si>
    <t>· 尽管严格上来说这并不是科学，但是为了方便归到了这里
· 科学是与辨认特定的现象相关（通过观察和记录）
· 然而工程学将这些发现利用起来进行实际利用，例如机器，结构，以及材料</t>
  </si>
  <si>
    <t>魔法恐惧症（Rhabdophobia）：对魔法的恐惧。</t>
  </si>
  <si>
    <t>谋杀癖（Phonomania）：病态的谋杀倾向。</t>
  </si>
  <si>
    <t>《纽约邮报》</t>
  </si>
  <si>
    <t>气象学</t>
  </si>
  <si>
    <t>· 这是门关于大气的科学研究，包括天气系统和形态，以及大气现象
· 使用这项技能可以判断长期的天气形态以及对其影响进行预报，例如雨、雪以及雾</t>
  </si>
  <si>
    <t>黑暗恐惧症（Scotophobia）：对黑暗或夜晚的恐惧。</t>
  </si>
  <si>
    <t>渴光癖（Photomania）：对光的病态渴求。</t>
  </si>
  <si>
    <t>剑桥 哈佛大学</t>
  </si>
  <si>
    <t>《纽约电讯报》</t>
  </si>
  <si>
    <t>司法科学</t>
  </si>
  <si>
    <t>· 对于证据的分析和检定的研究
· 通常与犯罪现场调查（检验指纹、DNA、头发以及体液）和实验室工作相联系，以此来确定真相以及为法庭争论提供专业的证人和证据</t>
  </si>
  <si>
    <t>恐月症（Selenophobia）：对月亮的恐惧。</t>
  </si>
  <si>
    <t>背德癖（Planomania）：病态地渴求违背社会道德（原文如此，存疑，Planomania 实际上是漂泊症）</t>
  </si>
  <si>
    <t>旧金山 加利福尼亚科学院</t>
  </si>
  <si>
    <t>《纽约时报》</t>
  </si>
  <si>
    <t>火车恐惧症（Siderodromophobia）：对于乘坐火车出行的恐惧。</t>
  </si>
  <si>
    <t>求财癖（Plutomania）：对财富的强迫性的渴望。</t>
  </si>
  <si>
    <t>伯克利 加州大学伯克利分校</t>
  </si>
  <si>
    <t>《罗彻斯特日报》</t>
  </si>
  <si>
    <t>· 妙手通常来说与侦查相对抗
· 根据目标物品的体积来调整难度等级
· 如果是将一个小物品（可以放入口袋中或者袖套中）盖于掌中或者藏匿起来，那么并不需要任何的调整
· 如果物品更加大，那么可能需要增加难度等级。</t>
  </si>
  <si>
    <t>· 允许对物体进行视觉上的遮住，藏匿，或者掩盖，也许通过残害，衣服或者其他的干涉或促成错觉的材料，也许通过使用一个秘密的嵌板或者隔间
· 任何种类的巨大物件应当增加藏匿的难度
· 妙手包括偷窃，卡牌魔术，以及秘密使用手机</t>
  </si>
  <si>
    <t>对有着低于50%侦查技能的对象进行偷盗。</t>
  </si>
  <si>
    <t>对有着位于50%至89%之间的侦查技能的对象进行偷盗</t>
  </si>
  <si>
    <t>· 花费更多的时间来对目标以及其行为来进行研究
· 物理性上触碰或者冲撞目标
· 在某人的夹克里设置机关来藏匿卡片或者灌铅骰子
· 分散某人的注意力</t>
  </si>
  <si>
    <t>· 你感觉到警察把他的手搭到了你的肩上
· 尽管没有人可以证明你偷走了无价的钻石，但是某些人在怀疑你并且你开始注意到你从上周起就被一个神秘的黑影追踪着
· 你被抓了个现行并且对方对于你这个小偷毫无仁慈，你被带走并且被一对棒球棍猛揍了一通。</t>
  </si>
  <si>
    <t>他将会表现地像是一名有偷窃癖的人</t>
  </si>
  <si>
    <t>恐星症（Siderophobia）：对星星的恐惧。</t>
  </si>
  <si>
    <t>欺骗狂（Pseudomania）：无法抑制的执着于撒谎。</t>
  </si>
  <si>
    <t>匹兹堡 卡内基学院</t>
  </si>
  <si>
    <t>《锡拉丘兹日报》</t>
  </si>
  <si>
    <t>当对一名躲藏起来的角色进行搜索时，这项技能将根据对抗者的潜行技能来决定检定的难度</t>
  </si>
  <si>
    <t>· 这项技能允许使用者发现密门或者秘密隔间，注意到隐藏的闯入者，发现并不明显的线索，发现重新涂过漆的汽车，意识到埋伏，注意到鼓出的口袋，或者任何类似的事情
· 对于调查员来说，这是一个很重要的技能。
· 如果一名角色仅有很短的时间来进行侦查，例如飞奔经过对方时，KP可能会提升难度等级
· 如果一名角色正在进行一场完整的调查，那么KP也许会允许一个自动成功
· 这项技能的难度等级同样也会环境的情况来调整，在一个杂乱的房间中进行侦查将会更加困难</t>
  </si>
  <si>
    <t>对一间房间进行搜索来寻找线索</t>
  </si>
  <si>
    <t>搜索被刻意隐藏起来的某物</t>
  </si>
  <si>
    <t>· 花费更多的时间来观察区域
· 将地区划分开来
· 将家具拆开并且打碎瓷像</t>
  </si>
  <si>
    <t>· 在你搜查的时候疏忽大意地把你自己的东西掉了，这样东西清楚地显示出了你在那里过（调查员可能并不会当场意识到掉了）
· 你并没有成功认出泥里的爪印并且受到了红着眼睛从树上向你跳下来的野兽的惊吓
· 当你尝试发现 一些线索时，你并没有意识到邪教徒正好到家了</t>
  </si>
  <si>
    <t>他开始相信有些什么东西存在着并且躲藏在壁纸的后面，水泥墙中，或者地板之下。</t>
  </si>
  <si>
    <t>狭室恐惧症（Stenophobia）：对狭小物件或地点的恐惧。</t>
  </si>
  <si>
    <t>纵火狂（Pyromania）：执着于纵火。</t>
  </si>
  <si>
    <t>辛辛那提 辛辛那提博物馆协会</t>
  </si>
  <si>
    <t>《华尔街日报》</t>
  </si>
  <si>
    <t>· 当尝试进行躲藏，这项技能的对抗技能为侦查或者聆听技能，以此决定这项技能检定的难度等级
· 这项技能的难度等级同样也受到环境的影响</t>
  </si>
  <si>
    <t>· 安静地移动以及/或者躲藏的技巧，不惊扰到那些可能在听或者看的人们
· 当尝试躲避探查，玩家应当进行一个潜行的技能检定
· 与这项技能相关的能力意味着要么角色能够安静地移动（轻声轻足）以及/或者在伪装技巧上有所训练
· 这项技能也同样意味着角色可以在长时间维持一定程度的谨慎心态以及冷静的头脑来使自己保持静止和隐秘</t>
  </si>
  <si>
    <t>在房子里安静地移动并避免被普通人发现（那些侦查、聆听技能低于50%的人）。</t>
  </si>
  <si>
    <t>· 悄然无声地从一条忠于职守的守卫狗身边经过
· 仅有几秒钟时间来让你寻找隐藏地点</t>
  </si>
  <si>
    <t>· 花费更多的时间来调查这个区域
· 脱掉你的鞋子
· 分散对方的注意力
· 一直潜伏着直到危机过去</t>
  </si>
  <si>
    <t>· 虽然你并不知道，对方虽然没有直接接近你，但是已经发现了你，然后邪教徒决定召唤“某些东西”来解决你
· 你所躲藏的地方的橱柜门被锁上了然后被钉死了</t>
  </si>
  <si>
    <t>他可能会相信他是隐形的，尽管实际上每个人都能看见他</t>
  </si>
  <si>
    <t>对称恐惧症（Symmetrophobia）：对对称的恐惧。</t>
  </si>
  <si>
    <t>提问狂（Questiong-Asking Mania）：执着于提问。</t>
  </si>
  <si>
    <t>丹佛 科罗拉多州自然历史博物馆</t>
  </si>
  <si>
    <t>根据所处的环境或者情况可能会有所调整，或者当一名角色没有对应该环境的专业化技能时。</t>
  </si>
  <si>
    <t>· 提供专业的如何在极端环境下生存的知识和技巧，例如在沙漠中或者极地环境，也包括海洋上或者荒野
· 内容包括狩猎的知识，搭建住所，可能遇到的危险的知识（例如如何避开有毒性的植物）等等，取决于所处的环境
· 你可以花费技能点来获得任何的专业化技能
· 作为属类的“生存”技能本身不能被获得。
· 专业环境的生存技巧应当在技能选择时就决定下来，例如：生存（沙漠），（海洋），（极地），等等。
· 当一名角色没有明显对应的生存专业技能，他可以使用相似的专业进行检定，但是将会提升难度等级（或者惩罚骰），取决于KP的判断</t>
  </si>
  <si>
    <t>· 寻找/制作居所
· 定位并寻找到水资源与食物资源</t>
  </si>
  <si>
    <t>在你收到了严重伤势或者极端的天气环境下进行上面的行动。</t>
  </si>
  <si>
    <t>· 尝试一些有风险的行为：
直接饮用没有经过净化的水
食用没有辨明过的浆果
· 使用某人所有的衣物来加固一所住所
· 燃烧所有的持有物来制造一个标志火焰</t>
  </si>
  <si>
    <t>· 你所找到的洞穴实际上是一头极度饥饿的熊的住所
· 你燃烧了所有的衣物来制造一个标志火焰，然而却将你的位置泄露给了你的追踪者—搭救你的人会在你的追踪者找到你前到达吗？</t>
  </si>
  <si>
    <t>如果一个疯狂的调查员在孤注一掷上失败，他将相信自己是不受物质影响的，并且能够直接从大气中获得营养（breatharian—不需要食物和水也能存活）</t>
  </si>
  <si>
    <t>活埋恐惧症（Taphephobia）：对于被活埋或墓地的恐惧。</t>
  </si>
  <si>
    <t>挖鼻癖（Rhinotillexomania）：执着于挖鼻子。</t>
  </si>
  <si>
    <t>厄巴纳-香槟 伊利诺伊大学</t>
  </si>
  <si>
    <t>德克萨斯州</t>
  </si>
  <si>
    <t>根据环境或者所处的情况而有所变动。
在游泳池长度的地方游泳：不需要检定。</t>
  </si>
  <si>
    <t>· 有能力在水或者其他液体中漂浮以及移动
· 只有在遭遇危险的时候需要进行游泳技能检定，或者当KP认为合适的时候
· 当进行游泳的孤注一掷失败时，可能会导致生命值的损失
· 也可能会导致人物被顺着水流向下冲走，被水流半淹或者完全淹没</t>
  </si>
  <si>
    <t>在急流中游泳</t>
  </si>
  <si>
    <t>穿着全套的衣服抗着急流游泳；不利的天气状况。</t>
  </si>
  <si>
    <t>· 进行一次深呼吸然后用尽你所有剩余的力气来行动
· 将你自己的体能推至极限</t>
  </si>
  <si>
    <t>· 水流将你吞没并且你失去了意识，醒来后发现自己在一个不知名的海滩上
· 你被水流冲了下去并且因为撞到了水中的岩石而受伤
· 你努力抓住救生艇，但是当你刚刚成功时，你感觉到有某些冰冷而且粘滑的东西抓住了你的脚踝</t>
  </si>
  <si>
    <t>· 他将不断地继续游泳，并且可能因为某些理由觉得干燥的地面对他来说是很危险的</t>
  </si>
  <si>
    <t>公牛恐惧症（Taurophobia）：对公牛的恐惧。</t>
  </si>
  <si>
    <t>涂鸦癖（Scribbleomania）：沉迷于涂鸦。</t>
  </si>
  <si>
    <t>安娜堡 密歇根大学</t>
  </si>
  <si>
    <t>《达拉斯晨报》</t>
  </si>
  <si>
    <t>· 根据投掷的物品的重量，或者是一个非常轻的物体，是否顺风可能会调整检定的难度</t>
  </si>
  <si>
    <t>· 当需要用物体击中目标或者用物件的正确部分击中目标（例如小刀或者短柄小斧的刃）时，使用投掷技能
· 一件有着合理平衡构架的可以藏于手中大小的物品可以被投掷至多等同于STR码距离
· 如果投掷技能检定失败，投掷物将会掉落在距离目标随机距离的地方
· KP应当将骰子检定数与最高的能够达成成功的数值相比较，然后判断投掷物落在目标和投资者之间合适的距离的地方
· 投掷技能被用于在战斗中投掷小刀，石头，投矛 或者回力标时</t>
  </si>
  <si>
    <t>将篮球投入框内</t>
  </si>
  <si>
    <t>· 在有一定距离的情况下准确地投射中目标
· 从中场将篮球射入框中</t>
  </si>
  <si>
    <t>· 花费更多的时间来评估距离或者等待最佳的时机与情况
· 将全身心与每一分力气都灌注到投掷上
· 接连投出一连串的东西，希望其中某一件能够命中目标
· 借助助跑并且借助能够使你飞跃峡谷一样的势头</t>
  </si>
  <si>
    <t>· 你将物体投掷给你的同伴时不慎失足坠落，并且一块带棱角的岩石砸中了你的脑袋
· 你投掷时用力过猛，因此物品飞过了高大的教堂墙壁，进入了墓地中
· 炸药管从你手中滑落—你只能徒劳地看着它落地，并且闻到了导火线点燃的味道</t>
  </si>
  <si>
    <t>他将拒绝将应当扔出去的东西扔出</t>
  </si>
  <si>
    <t>电话恐惧症（Telephonophobia）：对电话的恐惧。</t>
  </si>
  <si>
    <t>列车狂（Siderodromomania）：认为火车或类似的依靠轨道交通的旅行方式充满魅力。</t>
  </si>
  <si>
    <t>明尼阿波利斯、圣保罗 明尼苏达大学</t>
  </si>
  <si>
    <t>《厄尔巴索邮报》</t>
  </si>
  <si>
    <t>· 如果追踪某个试图逃开你的人，对抗潜行
· 天气或者地形将会影响难度等级</t>
  </si>
  <si>
    <t>· 调查员可以使用追踪技能来辨认土壤上的脚印、穿过植被时留下的痕迹之类的来追踪人、动物、或交通工具
· 时间的经过、雨水的冲刷、以及土地的质感都可能会影响追踪的难度等级</t>
  </si>
  <si>
    <t>在正常的环境下追踪一个动物或者人</t>
  </si>
  <si>
    <t>追踪数天前留下的踪迹</t>
  </si>
  <si>
    <t>· 原路返回并且花费更多的时间来研究这片区域
· 进行螺旋式搜索来寻找踪迹（花费更长的时间，也可能会造成更多的动静，甚至可能会被发现）</t>
  </si>
  <si>
    <t>· 你所追踪的踪迹将你直接导向了一头饥饿的熊/狮子/食人族
· 你发现你自己只是在原地绕圈，并且在你注意到自己迷路前，夜晚就已经降临了
· 你跟着踪迹，这踪迹却把你引向了一个陷阱，最终你被伏击或者被抓了起来</t>
  </si>
  <si>
    <t>他将会极度着迷地跟随着任何踪迹（相信自己是正确的）直到他被物理上限制住了或者被转而相信其他的某些东西</t>
  </si>
  <si>
    <t>怪物恐惧症①（Teratophobia）：对怪物的恐惧。</t>
  </si>
  <si>
    <t>臆智症（Sophomania）：臆想自己拥有难以置信的智慧。</t>
  </si>
  <si>
    <t>塞勒姆 塞勒姆皮博迪航海图书馆</t>
  </si>
  <si>
    <t>《沃斯堡新闻报》</t>
  </si>
  <si>
    <t>动物驯养</t>
  </si>
  <si>
    <t>非常规</t>
  </si>
  <si>
    <t>· 命令以及训练已驯化动物去完成一些简单任务的技能。
· 这个技能最常用于狗上，但也包括鸟、猫、猴子以及其他（取决于 KP 的判断）。
· 至于对动物的骑乘，例如马或者骆驼，则要用骑术技能来进行行动以及操控这些坐骑。</t>
  </si>
  <si>
    <t>命令经过训练的狗坐下，将东西拿过来或者攻击别人。</t>
  </si>
  <si>
    <t>命令没有经过训练或者不熟悉的狗执行任务。</t>
  </si>
  <si>
    <t>采取更大个人风险的行为，特别是更加接近或者直接触摸动物。</t>
  </si>
  <si>
    <t>· 动物攻击训练者或者附近的人，通常会造成伤害
· 动物逃跑了</t>
  </si>
  <si>
    <t>他可能被发现他的表现举止变得就像他尝试要去操控的动物一样</t>
  </si>
  <si>
    <t>深海恐惧症（Thalassophobia）：对海洋的恐惧。</t>
  </si>
  <si>
    <t>科技狂（Technomania）：痴迷于新的科技。</t>
  </si>
  <si>
    <t>普林斯顿 普林斯顿大学</t>
  </si>
  <si>
    <t>《沃斯堡明镜电讯报》</t>
  </si>
  <si>
    <t>· 使用者接受过在深海游泳的使用以及维持潜水设备的训练，水下导航，合适的下潜配重，以及应对紧急情况的方法。
· 在1942年的水肺[潜水氧气筒]发明前，严格的潜水套装是装备着能从水面输送空气的连接管道。
· 在现代，一名水肺潜水员将会熟悉当呼吸增压氧气时发生的潜水时的物理现象，气压，以及生理学的过程。</t>
  </si>
  <si>
    <t>使用正确以及良好维护的设备的常规潜水。</t>
  </si>
  <si>
    <t>在危险的环境下潜水，或者只凭借着不良维护的设备。</t>
  </si>
  <si>
    <t>· 一直进行到设备极限的程度
· 有条理地对设备进行复核
· 得到专业人士的帮助</t>
  </si>
  <si>
    <t>· 被困在水下
· 被海洋生物攻击
· 遭受了水中的暗流</t>
  </si>
  <si>
    <t>· 他开始能理解鲸歌（类似鲸鱼的语言）
· 你所能做的所有只是遵从它们的指令。</t>
  </si>
  <si>
    <t>手术恐惧症（Tomophobia）：对外科手术的恐惧。</t>
  </si>
  <si>
    <t>臆咒狂（Thanatomania）：坚信自己已被某种死亡魔法所诅咒。</t>
  </si>
  <si>
    <t>托莱多 托莱多美术馆</t>
  </si>
  <si>
    <t>《休斯敦纪事报》</t>
  </si>
  <si>
    <t>· 在这项技能的帮助下，使用者将熟练于安全使用爆破，包括设置以及拆除炸药、地雷以及相似的设备被设计得容易设置（不需要检定）但是相对较为困难地进行除去或拆除。
· 这项技能也包含军用等级的爆炸物（反人类地雷，塑料炸弹，等）。
· 给予足够的时间和资源，这些专家可以装设炸药来摧毁一幢建筑，清除一个被堵住的隧道，以及赋予炸药不同用处（例如构造微量炸药，诡雷，以及其他）。</t>
  </si>
  <si>
    <t>· 拆除一个爆炸设备
· 用来了解当摧毁一座大桥或者建筑时，哪里放置炸药会有最好的效果</t>
  </si>
  <si>
    <t>在限时内拆除一个爆炸设备</t>
  </si>
  <si>
    <t>· 一直尝试直到最后一秒解除了炸弹
· 亲自对线路/联结进行双重检验</t>
  </si>
  <si>
    <t>· 如果是在移去或者拆除一个爆炸设备，孤注一掷失败的结果是很明显的—它爆炸了！
· 如果使用爆炸技能来设置炸药，孤注一掷失败的结果可能是没能在正确的时间引爆（或者根本没能引爆），或者爆炸并没有造成预期的效果（可能是太强也可能是太弱）</t>
  </si>
  <si>
    <t>他使用最离奇的方法来运送爆炸物，例如将爆炸物绑在猫上或者是他们自己身上</t>
  </si>
  <si>
    <t>十三恐惧症（Triskadekaphobia）：对数字 13 的恐惧症。</t>
  </si>
  <si>
    <t>臆神狂（Theomania）：坚信自己是一位神灵。</t>
  </si>
  <si>
    <t>《休斯敦邮报》</t>
  </si>
  <si>
    <t>读唇通常来说不存在对抗。如果对一名想要对一名保持在隐藏中或者没有察觉到的目标进行读唇，这项技能也许要和目标的潜行进行对抗</t>
  </si>
  <si>
    <t>· 这项技能允许好奇的调查员听懂一段交谈对话， 而不需要听见对方说了什么
· 能看到对方的视线是必须的，并且如果只能看到其中一名说话者的唇（另一名可能只能看到背），那么只能辨认出一半的对话
· 读唇也可以用于与另一个人进行无声的交流（如 果双方都是专家），允许相对更加复杂的短语以及含义</t>
  </si>
  <si>
    <t>了解在有着清楚视距并且相对较近位置的人所进行的谈话。</t>
  </si>
  <si>
    <t>对时不时性被掩住嘴的人进行读唇，或在一个较远的距离。比如在拥挤的人群中</t>
  </si>
  <si>
    <t>· 你自己来到一个显眼的位置并且毫不掩饰地盯着目标
· 将目标拍摄下来（并且因此很可能被发现你在拍摄对方）</t>
  </si>
  <si>
    <t>· 目标意识到你正专注地盯着他看，然后动怒了并且要与你对质
· 酒吧另一边的醉汉错误地认为你正在看着他，并且十分生气，然后揍了你
· 你太过于专注地盯着目标，以至于你忽视了发生在你身边得事情（某人偷走了你的箱子，或者你撞到了灯柱上）</t>
  </si>
  <si>
    <t>他开始大量幻想各种奇怪的行为以及有人在述说着离奇的内容</t>
  </si>
  <si>
    <t>衣物恐惧症（Vestiphobia）：对衣物的恐惧。</t>
  </si>
  <si>
    <t>抓挠癖（Titillomaniac）：抓挠自己的强迫倾向。</t>
  </si>
  <si>
    <t>其他——————————</t>
  </si>
  <si>
    <t>《休斯敦新闻报》</t>
  </si>
  <si>
    <t>对于一个非自愿目标，催眠将与心理学或者意志（POW）进行对抗</t>
  </si>
  <si>
    <t>· 使用者可以在一名自愿并经历过高度暗示、放松的目标身上引出出神似的状态，并且可能回忆起忘却的记忆
· 对于催眠的限制应当由KP根据适应自己游戏的情况来制定
· 这可能是只有自愿的目标可以被催眠，或者KP可能会允许这项技能以一种更加富有侵略性的方式被用在非自愿的目标身上
· 对那些遭受了精神创伤的人，这项技能可以当做催眠疗法来使用，减轻一名病人的恐惧或者躁狂
（成功的使用这个技能意味着这名病人在该场合克服了恐惧或者躁狂）
· 为了完全治愈某人的恐惧，可能会需要一系列成功的催眠疗法疗程
（最少1D6疗程，由KP决定）</t>
  </si>
  <si>
    <t>· 通过获得对方专心一致的注意来增加你对目标的影响
· 用令人混乱的光照或者其他道具来使目标在感觉上感到难受
· 用药物来使目标更容易受暗示影响</t>
  </si>
  <si>
    <t>· 一些过去的记忆或者创伤将被带到表面，造成目标1D6的理智损失
· 目标沉浸入了出神状态，造成他在之后不知不觉走到了公共汽车的前方
· 目标的思想（或者调查员的思想）暂时性地变得一片空白，允许被邪恶的存在所占有</t>
  </si>
  <si>
    <t>他的思想将退化到婴儿般的状况直到获得治疗</t>
  </si>
  <si>
    <t>女巫恐惧症（Wiccaphobia）：对女巫与巫术的恐惧。</t>
  </si>
  <si>
    <t>手术狂（Tomomania）：对进行手术的不正常爱好。</t>
  </si>
  <si>
    <t>英国伦敦 大英博物馆</t>
  </si>
  <si>
    <t>《圣安东尼奥光明报》</t>
  </si>
  <si>
    <t>非常规
战斗技能</t>
  </si>
  <si>
    <t>· 这项技能呈现出对一些形式的军事训练和经历
· 使用者具有在战争中操作战地武器的经验：可以在一个工作队或“派遣队”中工作，进行对超过个人武器射击距离的武器的操作
· 这些武器通常过于巨大 以至于无法单人进行操作，并且个人无法再没有工作队支援的情况下使用这武器，或者应当提高难度等级（取决于KP的判断，也取决于使用的武器类型）
· 存在着许多不同的专业化武器，取决于游戏设定 的时期，包括加农炮、榴弹炮、迫击炮以及火箭发射器。</t>
  </si>
  <si>
    <t>如果炮击武器维护良好并且在有利的环境下使用。</t>
  </si>
  <si>
    <t>如果炮击武器维护不良，或者在奔跑中使用以及/或在火力覆盖下使用。</t>
  </si>
  <si>
    <t>黄色恐惧症（Xanthophobia）：对黄色或“黄”字的恐惧。</t>
  </si>
  <si>
    <t>拔毛癖（Trichotillomania）：执着于拔下自己的头发。</t>
  </si>
  <si>
    <t>法国巴黎 法国国家图书馆</t>
  </si>
  <si>
    <t>非常规
专业化</t>
  </si>
  <si>
    <t>· 这项技能代表一名觉得对一个超出人类常规知识范畴的事物的专业理解。
· 学识的专业化应该具体并且不同寻常，例如：
    ·梦学识
    ·死灵之书学识（e.g.历史的）
    ·UFO学识
    ·吸血鬼学识
    ·狼人学识
    ·亚狄斯星人学识
· 当KP想要测试某位调查员归属于于这些领域学识其中之一的某物的知识时，但是调查员缺少相关的专业学识，KP可以允许一个其他的（更加通用的）技能的使用，但是需要一个更高难度等级的成功
例如，
如果KP测试一名现代调查员对于1980年代外星人诱拐的知识，他可以要求一个常规难度的UFO学识的成功检定，或者一个困难难度的历史技能的成功检定。
· 对于KP来说，学识技能也可以用作对表示一个非玩家角色知识量的简单记录。
· 在主流中，知识由教育属性（EDU）以及专门的技能来表示，例如历史或者克苏鲁神话
· KP应当决定何时应当将学识技能放入游戏中—通常只有当一块特殊领域的专业知识成为整场游戏核心的时候</t>
  </si>
  <si>
    <t>外语恐惧症（Xenoglossophobia）：对外语的恐惧。</t>
  </si>
  <si>
    <t>臆盲症（Typhlomania）：病理性的失明。</t>
  </si>
  <si>
    <t>梵蒂冈 教皇图书馆</t>
  </si>
  <si>
    <t>俄亥俄州</t>
  </si>
  <si>
    <t>异域恐惧症（Xenophobia）：对陌生人或外国人的恐惧。</t>
  </si>
  <si>
    <t>嗜外狂（Xenomania）：痴迷于异国的事物。</t>
  </si>
  <si>
    <t>《阿克伦时报》</t>
  </si>
  <si>
    <t>请选择
你想了解的技能</t>
  </si>
  <si>
    <t>动物恐惧症（Zoophobia）：对动物的恐惧。</t>
  </si>
  <si>
    <t>喜兽癖（Zoomania）：对待动物的态度近乎疯狂地友好。</t>
  </si>
  <si>
    <t>《辛辛那提邮报》</t>
  </si>
  <si>
    <t>注释：①催眠恐惧症（Hypnophobia）、恐牙症（牙医恐惧症 \ Odontophobia）、魔法恐惧症（权杖恐惧症\ Rhabdophobia）和怪物恐惧症（畸形恐惧症 Teratophobia）四条疑原文理解有误，目前按原文翻出。</t>
  </si>
  <si>
    <t>《克利夫兰老实人报》</t>
  </si>
  <si>
    <t>该症状表由  Achronidas 翻译。</t>
  </si>
  <si>
    <t>《克利夫兰日报》</t>
  </si>
  <si>
    <t>《哥伦布公民杂志》</t>
  </si>
  <si>
    <t>《哥伦布快报》</t>
  </si>
  <si>
    <t>《托莱多蜜蜂新闻》</t>
  </si>
  <si>
    <t>飞行器</t>
  </si>
  <si>
    <t>资产表</t>
  </si>
  <si>
    <t>《扬斯敦电讯报》</t>
  </si>
  <si>
    <t>美元 1920/现代</t>
  </si>
  <si>
    <t>信用成功率</t>
  </si>
  <si>
    <t>年代分流</t>
  </si>
  <si>
    <t>马萨诸塞州</t>
  </si>
  <si>
    <t>《波士顿广告人报》</t>
  </si>
  <si>
    <t>《波士顿美国人报》</t>
  </si>
  <si>
    <t>当前现金</t>
  </si>
  <si>
    <t>《波士顿环球报》</t>
  </si>
  <si>
    <t>《波士顿先驱报》</t>
  </si>
  <si>
    <t>货币单位：</t>
  </si>
  <si>
    <t>《基督教科学箴言报》</t>
  </si>
  <si>
    <t>时代：</t>
  </si>
  <si>
    <t>根据时代选择的货币</t>
  </si>
  <si>
    <t>伊利诺伊州</t>
  </si>
  <si>
    <t>《芝加哥先锋观察家报》</t>
  </si>
  <si>
    <t>《芝加哥美国人报》</t>
  </si>
  <si>
    <t>《芝加哥论坛报》</t>
  </si>
  <si>
    <t>过万</t>
  </si>
  <si>
    <t>《埃文斯维尔新闻报》</t>
  </si>
  <si>
    <t>是否过万</t>
  </si>
  <si>
    <t>科罗拉多州</t>
  </si>
  <si>
    <t>《丹佛晚报》</t>
  </si>
  <si>
    <t>过亿</t>
  </si>
  <si>
    <t>《丹佛落基山新闻报》</t>
  </si>
  <si>
    <t>佛罗里达州</t>
  </si>
  <si>
    <t>《迈阿密先驱报》</t>
  </si>
  <si>
    <t>《奥兰多哨兵报》</t>
  </si>
  <si>
    <t>《坦帕论坛报》</t>
  </si>
  <si>
    <t>主流货币换算</t>
  </si>
  <si>
    <t>佐治亚州</t>
  </si>
  <si>
    <t>《亚特兰大宪章报》</t>
  </si>
  <si>
    <t>★亚洲————</t>
  </si>
  <si>
    <t>亚洲————</t>
  </si>
  <si>
    <t>《亚特兰大佐治亚人报》</t>
  </si>
  <si>
    <t>人民币</t>
  </si>
  <si>
    <t>港币</t>
  </si>
  <si>
    <t>印第安纳州</t>
  </si>
  <si>
    <t>新台币</t>
  </si>
  <si>
    <t>《印第安纳波利斯时报》</t>
  </si>
  <si>
    <t>日币</t>
  </si>
  <si>
    <t>《特雷霍特邮报》</t>
  </si>
  <si>
    <t>韩币</t>
  </si>
  <si>
    <t>泰铢</t>
  </si>
  <si>
    <t>亚利桑那州</t>
  </si>
  <si>
    <t>新加坡元</t>
  </si>
  <si>
    <t>《菲尼克斯共和报》</t>
  </si>
  <si>
    <t>★欧洲————</t>
  </si>
  <si>
    <t>欧洲————</t>
  </si>
  <si>
    <t>《亚利桑那共和报》</t>
  </si>
  <si>
    <t>欧元</t>
  </si>
  <si>
    <t>英镑</t>
  </si>
  <si>
    <t>马里兰州</t>
  </si>
  <si>
    <t>卢布</t>
  </si>
  <si>
    <t>《巴尔的摩美国人报》</t>
  </si>
  <si>
    <t>★美洲————</t>
  </si>
  <si>
    <t>美洲————</t>
  </si>
  <si>
    <t>《巴尔的摩新闻报》</t>
  </si>
  <si>
    <t>加元</t>
  </si>
  <si>
    <t>《巴尔的摩邮报》</t>
  </si>
  <si>
    <t>墨西哥元</t>
  </si>
  <si>
    <t>《巴尔的摩太阳报》</t>
  </si>
  <si>
    <t>雷亚尔</t>
  </si>
  <si>
    <t>★其他————</t>
  </si>
  <si>
    <t>密苏里州</t>
  </si>
  <si>
    <t>澳元</t>
  </si>
  <si>
    <t>《堪萨斯城市之星》</t>
  </si>
  <si>
    <t>南非兰特</t>
  </si>
  <si>
    <t>《圣路易斯快邮报》</t>
  </si>
  <si>
    <t>密歇根州</t>
  </si>
  <si>
    <t>《底特律时报》</t>
  </si>
  <si>
    <t>《底特律新闻报》</t>
  </si>
  <si>
    <t>《底特律自由报》</t>
  </si>
  <si>
    <t>宾夕法尼亚州</t>
  </si>
  <si>
    <t>《费城询问报》</t>
  </si>
  <si>
    <t>《匹兹堡新闻》</t>
  </si>
  <si>
    <t>《匹兹堡太阳电讯》</t>
  </si>
  <si>
    <t>田纳西州</t>
  </si>
  <si>
    <t>《诺克斯尔新闻哨兵》</t>
  </si>
  <si>
    <t>《孟菲斯弯刀新闻》</t>
  </si>
  <si>
    <t>威斯康星州</t>
  </si>
  <si>
    <t>《密尔沃基新闻》</t>
  </si>
  <si>
    <t>《密尔沃基哨兵报》</t>
  </si>
  <si>
    <t>肯塔基州卡温顿</t>
  </si>
  <si>
    <t>《肯塔基邮报》</t>
  </si>
  <si>
    <t>路易斯安那州</t>
  </si>
  <si>
    <t>《新奥尔良平民时报》</t>
  </si>
  <si>
    <t>亚拉巴马州</t>
  </si>
  <si>
    <t>《伯明翰邮报》</t>
  </si>
  <si>
    <t>明尼苏达州</t>
  </si>
  <si>
    <t>《明尼阿波利斯明星论坛报》</t>
  </si>
  <si>
    <t>新泽西州</t>
  </si>
  <si>
    <t>《纽瓦克明星纪事报》</t>
  </si>
  <si>
    <t>新墨西哥州阿尔伯克基</t>
  </si>
  <si>
    <t>《新墨西哥州论坛报》</t>
  </si>
  <si>
    <t>俄克拉荷马州</t>
  </si>
  <si>
    <t>《俄克拉荷马城新闻》</t>
  </si>
  <si>
    <t>俄勒冈州</t>
  </si>
  <si>
    <t>《波特兰俄勒冈人报》</t>
  </si>
  <si>
    <t>华盛顿州</t>
  </si>
  <si>
    <t>《西雅图邮讯报》</t>
  </si>
  <si>
    <t>英国——————</t>
  </si>
  <si>
    <t>伦敦</t>
  </si>
  <si>
    <t>《每日纪事报》</t>
  </si>
  <si>
    <t>《每日快报》</t>
  </si>
  <si>
    <t>《每日镜报》</t>
  </si>
  <si>
    <t>《每日电讯报》</t>
  </si>
  <si>
    <t>《金融时报》</t>
  </si>
  <si>
    <t>《标准晚报》</t>
  </si>
  <si>
    <t>《卫报》</t>
  </si>
  <si>
    <t>《英国早报》</t>
  </si>
  <si>
    <t>《世界新闻报》</t>
  </si>
  <si>
    <t>《观察家报》</t>
  </si>
  <si>
    <t>《周日时人》</t>
  </si>
  <si>
    <t>《星期日快报》</t>
  </si>
  <si>
    <t>《周日新闻》</t>
  </si>
  <si>
    <t>《星期日泰晤士报》</t>
  </si>
  <si>
    <t>《泰晤士报》</t>
  </si>
  <si>
    <t>英国其他地区</t>
  </si>
  <si>
    <t>《伯明翰邮讯晚报》</t>
  </si>
  <si>
    <t>《伯明翰公报》</t>
  </si>
  <si>
    <t>《布拉德福德电讯守卫报》</t>
  </si>
  <si>
    <t>《赫尔每日邮报》</t>
  </si>
  <si>
    <t>《格里姆斯比电讯报》</t>
  </si>
  <si>
    <t>《兰开夏每日邮报》</t>
  </si>
  <si>
    <t>《林肯郡记事报》</t>
  </si>
  <si>
    <t>《利物浦信使快报》</t>
  </si>
  <si>
    <t>利物浦</t>
  </si>
  <si>
    <t>《回声报》</t>
  </si>
  <si>
    <t>《诺丁汉晚报》</t>
  </si>
  <si>
    <t>《诺丁汉日报》</t>
  </si>
  <si>
    <t>达灵顿</t>
  </si>
  <si>
    <t>《北方回声报》</t>
  </si>
  <si>
    <t>《设菲尔德独立报》</t>
  </si>
  <si>
    <t>《设菲尔德邮报》</t>
  </si>
  <si>
    <t>《约克郡晚报》</t>
  </si>
  <si>
    <t>《约克郡公报》</t>
  </si>
  <si>
    <t>《约克郡观察家报》</t>
  </si>
  <si>
    <t>加拿大——————</t>
  </si>
  <si>
    <t>蒙特利尔</t>
  </si>
  <si>
    <t>《哈利法克斯记事报》</t>
  </si>
  <si>
    <t>《新闻报》（法）</t>
  </si>
  <si>
    <t>《曼尼托巴自由报》</t>
  </si>
  <si>
    <t>《蒙特利尔星报》</t>
  </si>
  <si>
    <t>《蒙特利尔公报》</t>
  </si>
  <si>
    <t>多伦多</t>
  </si>
  <si>
    <t>《环球报》</t>
  </si>
  <si>
    <t>《温哥华省报》</t>
  </si>
  <si>
    <t>墨西哥——————</t>
  </si>
  <si>
    <t>梅里达</t>
  </si>
  <si>
    <t>《尤卡坦日报》</t>
  </si>
  <si>
    <t>《马萨特兰晚邮报》</t>
  </si>
  <si>
    <t>墨西哥城</t>
  </si>
  <si>
    <t>《至上报》</t>
  </si>
  <si>
    <t>瓜达拉哈拉</t>
  </si>
  <si>
    <t>《报道者报》</t>
  </si>
  <si>
    <t>《宇宙报》</t>
  </si>
  <si>
    <t>《宇宙画报》</t>
  </si>
  <si>
    <t>瓜伊马斯</t>
  </si>
  <si>
    <t>《护民官报》</t>
  </si>
  <si>
    <t>阿根廷——————</t>
  </si>
  <si>
    <t>布宜诺斯艾利斯</t>
  </si>
  <si>
    <t>《布宜诺斯艾利斯日报》</t>
  </si>
  <si>
    <t>《民族报》</t>
  </si>
  <si>
    <t>《新闻报》</t>
  </si>
  <si>
    <t>《真理报》</t>
  </si>
  <si>
    <t>《布宜诺斯艾利斯先驱报》（英）</t>
  </si>
  <si>
    <t>《标准报》（英）</t>
  </si>
  <si>
    <t>巴西——————</t>
  </si>
  <si>
    <t>里约热内卢</t>
  </si>
  <si>
    <t>《晚报》</t>
  </si>
  <si>
    <t>《家园报》</t>
  </si>
  <si>
    <t>《晨邮报》</t>
  </si>
  <si>
    <t>《商报》</t>
  </si>
  <si>
    <t>《国内报》</t>
  </si>
  <si>
    <t>圣保罗</t>
  </si>
  <si>
    <t>《凡弗拉》（意）</t>
  </si>
  <si>
    <t>累西腓</t>
  </si>
  <si>
    <t>《伯南布哥日报》</t>
  </si>
  <si>
    <t>《圣保罗州报》</t>
  </si>
  <si>
    <t>智利——————</t>
  </si>
  <si>
    <t>圣地亚哥</t>
  </si>
  <si>
    <t>《每日画报》</t>
  </si>
  <si>
    <t>瓦尔帕莱索/圣地亚哥/安托法加斯塔</t>
  </si>
  <si>
    <t>《信使报》</t>
  </si>
  <si>
    <t>瓦尔帕莱索/圣地亚哥</t>
  </si>
  <si>
    <t>《联合报》</t>
  </si>
  <si>
    <t>秘鲁——————</t>
  </si>
  <si>
    <t>利马</t>
  </si>
  <si>
    <t>《纪事报》</t>
  </si>
  <si>
    <t>《消息报》</t>
  </si>
  <si>
    <t>中国——————</t>
  </si>
  <si>
    <t>汉口</t>
  </si>
  <si>
    <t>《楚报》（英）</t>
  </si>
  <si>
    <t>英占香港</t>
  </si>
  <si>
    <t>《德臣西报》（英晚报）</t>
  </si>
  <si>
    <t>《士蔑西报》（英晚报）</t>
  </si>
  <si>
    <t>《南华早报》（英）</t>
  </si>
  <si>
    <t>上海</t>
  </si>
  <si>
    <t>《时报》（英）</t>
  </si>
  <si>
    <t>《中国报》（美日报）</t>
  </si>
  <si>
    <t>《孖剌西报》（英）</t>
  </si>
  <si>
    <t>《北京新闻》（法晨报）</t>
  </si>
  <si>
    <t>《中法新汇报》（法晨报）</t>
  </si>
  <si>
    <t>《字林西报》（英）</t>
  </si>
  <si>
    <t>《文汇西报》（英晚报）</t>
  </si>
  <si>
    <t>天津</t>
  </si>
  <si>
    <t>《津郡权务报》（法晨报）</t>
  </si>
  <si>
    <t>《华北每日邮报》（英晚报）</t>
  </si>
  <si>
    <t>《华北明星报》（美晨报）</t>
  </si>
  <si>
    <t>《北京导报》（美晨报）</t>
  </si>
  <si>
    <t>《京津泰晤士报》（英）</t>
  </si>
  <si>
    <t>印度——————</t>
  </si>
  <si>
    <t>拉合尔《军民公报》（英）</t>
  </si>
  <si>
    <t>加尔各答《英国人报》（英）</t>
  </si>
  <si>
    <t>《马德拉斯邮报》（英）</t>
  </si>
  <si>
    <t>《政治家报》（英）</t>
  </si>
  <si>
    <t>安拉阿巴德</t>
  </si>
  <si>
    <t>《先锋报》（英）</t>
  </si>
  <si>
    <t>孟买</t>
  </si>
  <si>
    <t>《印度时报》（英）</t>
  </si>
  <si>
    <t>日本——————</t>
  </si>
  <si>
    <t>《日本广告人报》（美）</t>
  </si>
  <si>
    <t>《日本纪事报》（英）</t>
  </si>
  <si>
    <t>《日本时报》（日，英文）</t>
  </si>
  <si>
    <t>《大阪朝日新闻》</t>
  </si>
  <si>
    <t>《大阪每日新闻》</t>
  </si>
  <si>
    <t>《东京朝日新闻》</t>
  </si>
  <si>
    <t>《东京日日新闻》</t>
  </si>
  <si>
    <t>苏联——————</t>
  </si>
  <si>
    <t>莫斯科</t>
  </si>
  <si>
    <t>列宁格勒</t>
  </si>
  <si>
    <t>《红色公报》</t>
  </si>
  <si>
    <t>南非——————</t>
  </si>
  <si>
    <t>开普敦</t>
  </si>
  <si>
    <t>《公民报》（荷）</t>
  </si>
  <si>
    <t>《国家报》（荷）</t>
  </si>
  <si>
    <t>《开普敦守卫报》</t>
  </si>
  <si>
    <t>《开普时报》</t>
  </si>
  <si>
    <t>约翰内斯堡</t>
  </si>
  <si>
    <t>《星报》</t>
  </si>
  <si>
    <t>比勒陀利亚</t>
  </si>
  <si>
    <t>《人民之声》（荷）</t>
  </si>
  <si>
    <t>澳大利亚——————</t>
  </si>
  <si>
    <t>《墨尔本时代报》（早报）</t>
  </si>
  <si>
    <t>《墨尔本百眼巨人报》（早报）</t>
  </si>
  <si>
    <t>《悉尼每日卫报》</t>
  </si>
  <si>
    <t>《悉尼先驱晨报》</t>
  </si>
  <si>
    <t>需要注意的是：艺术与手艺是试做部分，这些技能的注释仅供参考。
玩家也可以添加更多手艺，比如：游戏，木工，油漆工，铁匠之类的。
具体作用和KP交流好左边是自定义表,在下面写好改技能的备注(用法)</t>
  </si>
  <si>
    <t>技能查询</t>
  </si>
  <si>
    <t>技能成功等级与注释</t>
  </si>
  <si>
    <t>基础成功率</t>
  </si>
  <si>
    <t>成功难度等级取决于</t>
  </si>
  <si>
    <t>解释</t>
  </si>
  <si>
    <t>0</t>
  </si>
  <si>
    <t>并不知晓有这种学问或技能的存在。</t>
  </si>
  <si>
    <t>1-5</t>
  </si>
  <si>
    <t>完完全全的门外汉，仅仅是知道有这种技能而已</t>
  </si>
  <si>
    <t>经过了最基础的了解，可以说出一两个专业名词，但是实际操作几乎不可能。</t>
  </si>
  <si>
    <t>11-19</t>
  </si>
  <si>
    <t>自行摸索的自学或经过一段不认真的教育（指学习与教课双方）之后获取的知识。</t>
  </si>
  <si>
    <t>20-25</t>
  </si>
  <si>
    <t>非常有天赋或非常努力的人可以在短时间内达到这种程度，再或者一些知识渊博的人也能得到这个级别的知识。</t>
  </si>
  <si>
    <t>26-39</t>
  </si>
  <si>
    <t>一定时间内经过了系统式的教育或名师指导。对这方面拥有了一个初步的了解，专业性上比普通人都要强，
但是实际操作依旧有些困难。</t>
  </si>
  <si>
    <t>40-49</t>
  </si>
  <si>
    <t>对这方面拥有很高的热情，但基础知识或学习时间依旧没有达到标准。
这阶段很可能是一个瓶颈期</t>
  </si>
  <si>
    <t>50</t>
  </si>
  <si>
    <t>已经可以以此为生但依旧不是非常熟练
如果以该技能为职业至少要达到50</t>
  </si>
  <si>
    <t>51-70</t>
  </si>
  <si>
    <t>不断精进的技术，虽然放到同行里一抓一大把但是基本上已经可以独当一面了。</t>
  </si>
  <si>
    <t>71-80</t>
  </si>
  <si>
    <t>在一定范围内你具有了比较高的知名度，虽然不至于成为权威但是已经是一个很好  的咨询对象了。
对于这个技能你无论怎么操作都非常得心应手（除了更加精进的钻研自己  的技术或说服流氓同行）</t>
  </si>
  <si>
    <t>81-90</t>
  </si>
  <si>
    <t>该专业的权威，即使你仅靠这方面的技能也能得到很多人的重视与保护。</t>
  </si>
  <si>
    <t xml:space="preserve">91-99 </t>
  </si>
  <si>
    <t>伟人级别，如果你有时间有精力，绝对可以创造一个不可磨灭的瑰宝留给后世子孙。</t>
  </si>
  <si>
    <t>100</t>
  </si>
  <si>
    <t>在当代，和这方面有关的事情你已经无所不知了，如果出现了一种你不认识的东西，这种东西就会被称为：新大陆</t>
  </si>
  <si>
    <t>101-110</t>
  </si>
  <si>
    <t>对于这方面拥有全新的解释或发现，并且已经初步了解了这些新知识。</t>
  </si>
  <si>
    <t>111-140</t>
  </si>
  <si>
    <t>超越本时代几乎所有人，能和你平起平坐的应该不会超过十个人。拥有着大量的发明创造，
甚至在之后很长一段时间内都会不分国界的被世人记住</t>
  </si>
  <si>
    <t>技能解释</t>
  </si>
  <si>
    <t>150</t>
  </si>
  <si>
    <t>进入了超时代的知识领域，即使穿越也可以成为该领域的专家 
从这个阶段开始和其相关的领域知识也会一并提高，并且可能是超时代的</t>
  </si>
  <si>
    <t>500</t>
  </si>
  <si>
    <t>在这方面上几乎所有知识的获取，已经没有任何成长的必要了，再获取的知识也不过是一些鸡毛蒜皮的小事</t>
  </si>
  <si>
    <t>技能可选规则</t>
  </si>
  <si>
    <t>专业技能：可以转移的技能优势</t>
  </si>
  <si>
    <t>艺术和手艺</t>
  </si>
  <si>
    <t>语言</t>
  </si>
  <si>
    <t>当一名角色的某些类似的技能与学识的成功率
提升到50%以上的时候：</t>
  </si>
  <si>
    <t>当一名角色的某些类似的技能与学识的成功率
提升到90%以上的时候：</t>
  </si>
  <si>
    <r>
      <rPr>
        <sz val="14"/>
        <color rgb="FF000000"/>
        <rFont val="微软雅黑"/>
        <family val="2"/>
        <charset val="134"/>
      </rPr>
      <t>当一名角色将一种</t>
    </r>
    <r>
      <rPr>
        <b/>
        <sz val="14"/>
        <color indexed="8"/>
        <rFont val="微软雅黑"/>
        <family val="2"/>
        <charset val="134"/>
      </rPr>
      <t>非母语语言</t>
    </r>
    <r>
      <rPr>
        <sz val="14"/>
        <color rgb="FF000000"/>
        <rFont val="微软雅黑"/>
        <family val="2"/>
        <charset val="134"/>
      </rPr>
      <t>的成功率
提升到了</t>
    </r>
    <r>
      <rPr>
        <b/>
        <sz val="14"/>
        <color indexed="8"/>
        <rFont val="微软雅黑"/>
        <family val="2"/>
        <charset val="134"/>
      </rPr>
      <t>50%</t>
    </r>
    <r>
      <rPr>
        <sz val="14"/>
        <color rgb="FF000000"/>
        <rFont val="微软雅黑"/>
        <family val="2"/>
        <charset val="134"/>
      </rPr>
      <t>以上的时候：</t>
    </r>
  </si>
  <si>
    <r>
      <rPr>
        <sz val="14"/>
        <color rgb="FF000000"/>
        <rFont val="微软雅黑"/>
        <family val="2"/>
        <charset val="134"/>
      </rPr>
      <t>当一名角色将一种</t>
    </r>
    <r>
      <rPr>
        <b/>
        <sz val="14"/>
        <color indexed="8"/>
        <rFont val="微软雅黑"/>
        <family val="2"/>
        <charset val="134"/>
      </rPr>
      <t>非母语语言</t>
    </r>
    <r>
      <rPr>
        <sz val="14"/>
        <color rgb="FF000000"/>
        <rFont val="微软雅黑"/>
        <family val="2"/>
        <charset val="134"/>
      </rPr>
      <t>的成功率
提升到了</t>
    </r>
    <r>
      <rPr>
        <b/>
        <sz val="14"/>
        <color indexed="8"/>
        <rFont val="微软雅黑"/>
        <family val="2"/>
        <charset val="134"/>
      </rPr>
      <t>90%</t>
    </r>
    <r>
      <rPr>
        <sz val="14"/>
        <color rgb="FF000000"/>
        <rFont val="微软雅黑"/>
        <family val="2"/>
        <charset val="134"/>
      </rPr>
      <t>以上的时候：</t>
    </r>
  </si>
  <si>
    <t>其他所有类似技能都会提升10%
但是不能超过50%</t>
  </si>
  <si>
    <t>其他所有类似技能又会提升10%
但是不能超过90%</t>
  </si>
  <si>
    <t>其他所有同语系的语言都会提升10%
但是不能超过50%</t>
  </si>
  <si>
    <t>其他所有同语系的语言都会提升10%
但是不能超过90%</t>
  </si>
  <si>
    <t>例如：作画成功率上升到50%的时候
书法、伪造、技术制图之类的的成功率都会提升10%
但假如技术制图的成功率是70%，那么它将则不会成长</t>
  </si>
  <si>
    <t>例如：德语成功率上升到50%的时候
在印欧语系内的英语、法语、意大利语、西班牙等的成功率都会提升10%
但假如英语的成功率是70%，那么英语则不会成长</t>
  </si>
  <si>
    <t>格斗、生存、驾驶、社交类、治疗类、维修类、科学、神话等
只要是KP认为有关联的技能都可以运用此规则</t>
  </si>
  <si>
    <t>当然这属于一个可选规则，kp也可以不选择此规则（看看我们的KP是善良还是邪恶呢~）</t>
  </si>
  <si>
    <t>另外，上述的10%是直接在现有值里增长10点，不是现有的成功率乘以0.1</t>
  </si>
  <si>
    <t>可选规则：给技能等级安个保险</t>
  </si>
  <si>
    <t>如果你担心原版规则的职业技能最高可以达到90%这点会影响游戏的话。
你可以要求PL在车卡的时候不能将技能的成功率点到XX%以上。
当然兴趣技能也可以运用此规则。</t>
  </si>
  <si>
    <r>
      <rPr>
        <sz val="12"/>
        <color rgb="FF000000"/>
        <rFont val="微软雅黑"/>
        <family val="2"/>
        <charset val="134"/>
      </rPr>
      <t>例如：KP在跑团之前放公告或提醒大家“这次跑团的技能上限是70/60”
这里的70/60，就是职业技能</t>
    </r>
    <r>
      <rPr>
        <b/>
        <sz val="12"/>
        <color rgb="FF000000"/>
        <rFont val="微软雅黑"/>
        <family val="2"/>
        <charset val="134"/>
      </rPr>
      <t>成功率</t>
    </r>
    <r>
      <rPr>
        <sz val="12"/>
        <color rgb="FF000000"/>
        <rFont val="微软雅黑"/>
        <family val="2"/>
        <charset val="134"/>
      </rPr>
      <t>最高70%
兴趣技能</t>
    </r>
    <r>
      <rPr>
        <b/>
        <sz val="12"/>
        <color rgb="FF000000"/>
        <rFont val="微软雅黑"/>
        <family val="2"/>
        <charset val="134"/>
      </rPr>
      <t>成功率</t>
    </r>
    <r>
      <rPr>
        <sz val="12"/>
        <color rgb="FF000000"/>
        <rFont val="微软雅黑"/>
        <family val="2"/>
        <charset val="134"/>
      </rPr>
      <t>最高可以达到60%</t>
    </r>
  </si>
  <si>
    <t>游戏系统少见规则</t>
  </si>
  <si>
    <r>
      <rPr>
        <sz val="18"/>
        <color rgb="FF000000"/>
        <rFont val="微软雅黑"/>
        <family val="2"/>
        <charset val="134"/>
      </rPr>
      <t>幕间成长：</t>
    </r>
    <r>
      <rPr>
        <sz val="12"/>
        <color rgb="FF000000"/>
        <rFont val="微软雅黑"/>
        <family val="2"/>
        <charset val="134"/>
      </rPr>
      <t xml:space="preserve">90%或更多的技能值 </t>
    </r>
  </si>
  <si>
    <t>对抗检定平手</t>
  </si>
  <si>
    <t>超越人体极限：多调查员协作检定</t>
  </si>
  <si>
    <t>调查员幕间成长（超越100）</t>
  </si>
  <si>
    <t>于幕间成长中：
若一位调查员有技能达到了 90%或更高，为他的当前SAN值增加 2D6 。
这一奖励表示经过磨练从精通一项技能中获得的自信。</t>
  </si>
  <si>
    <t>若在同属性或同技能的对抗中双方的成功等级相同：
技能（或属性）更高的一方获胜
若仍然相同则双方重新再骰一次
对抗不能孤注一掷</t>
  </si>
  <si>
    <t>调查员们只是人类，所以物理上存在能力的极限。
当对手拥有90或更高的属性时难度等级将为极难。
超过100+的技能和属性对于调查员来说是无法对抗的。比如一个人类不可能在力量方面上对抗一个力量220的黑山羊幼崽。</t>
  </si>
  <si>
    <t>除了意志和体型，人类的属性最大值都被定为了99，但是技能和属性不一样。
技能不仅能够更加精进更加熟练，而且用的越多越容易更熟练，而且还可以超越时代的熟练。
当你获得了99点的技能，不要担心ta会就此止步。
在幕间成长投出大于95的数字就可以为技能增加1D10的成功率，哪怕这个技能的成功率已经10000了也可以成长</t>
  </si>
  <si>
    <t>但是人类之所以是人类就是因为他们能做到不可能的事情</t>
  </si>
  <si>
    <t>将很多调查员的力量揉到一起，他们就能做到一个人类做不到的事情，在游戏中为以下表现。</t>
  </si>
  <si>
    <t>这是一只黑山羊幼崽
（STR 220）</t>
  </si>
  <si>
    <t>左上人类
（STR 50）</t>
  </si>
  <si>
    <t>右上人类
（STR 70）</t>
  </si>
  <si>
    <t>肥宅人类
（STR 20）</t>
  </si>
  <si>
    <t>大熊人类
（STR 90）</t>
  </si>
  <si>
    <t>公式：强大的存在-（人类①+人类②+人类③......）=x&lt;100</t>
  </si>
  <si>
    <t>例1：</t>
  </si>
  <si>
    <t>左上人类（STR60）面对着一个黑山羊幼崽，他想要和他掰手腕，但是很明显这会把自己掰了。于是他叫来了右上人类（STR70），他们两个人（STR50+70=120）用尽力气和黑山羊幼崽对抗。
220-（50+70）=100
这样就不是不可能了，虽然是极难难度但是已经从不可能变成可能了。于是右下人类骰出了骰子
D100=70（普通成功）</t>
  </si>
  <si>
    <t>例2：</t>
  </si>
  <si>
    <t>这两个人类很简单的就被掰傻了
但是他们不甘心，依然希望赢过黑山羊幼崽
正好一个STR20的肥宅人类路过。
于是他们就把肥宅人类当成朋友（消耗道具）用了。
220-（50+70+20）=80
这里力量最大的还是右上人类（STR 70）
80不在他的成功范围内但是已经低于90了于是就是困难难度
D100=100（大失败）</t>
  </si>
  <si>
    <t>例3：</t>
  </si>
  <si>
    <t>很可惜。。我们刚刚失去了肥宅
但是幸运的是天降大熊，有了他的帮助我们一定能成功的
220-（50+70+90）=10
终于，常规难度出现了，大熊人类是这里力量最大的
也就是说他骰出小于等于90的任何数字都可以成功！
D100=100（大失败）</t>
  </si>
  <si>
    <t>唉</t>
  </si>
  <si>
    <t>每个属性由什么决定？</t>
  </si>
  <si>
    <t>力量 STR</t>
  </si>
  <si>
    <t>体质 CON</t>
  </si>
  <si>
    <t>体型 SIZ</t>
  </si>
  <si>
    <t>敏捷 DEX</t>
  </si>
  <si>
    <t>外貌 APP</t>
  </si>
  <si>
    <t>智力 INT</t>
  </si>
  <si>
    <t>意志 POW</t>
  </si>
  <si>
    <t>教育 EDU</t>
  </si>
  <si>
    <t>3D6×5</t>
  </si>
  <si>
    <t>（2D6+6）×5</t>
  </si>
  <si>
    <t>各个属性的数字意味着什么？</t>
  </si>
  <si>
    <r>
      <rPr>
        <sz val="10"/>
        <color rgb="FF000000"/>
        <rFont val="微软雅黑 Light"/>
        <family val="2"/>
        <charset val="134"/>
      </rPr>
      <t>衰弱：没法站起来甚至端起一杯茶</t>
    </r>
    <r>
      <rPr>
        <sz val="10"/>
        <color indexed="8"/>
        <rFont val="Arial Unicode MS"/>
        <family val="2"/>
      </rPr>
      <t>｡</t>
    </r>
  </si>
  <si>
    <t>死亡。</t>
  </si>
  <si>
    <t>没人知道他去了哪。</t>
  </si>
  <si>
    <t>没有协助无法行动。</t>
  </si>
  <si>
    <r>
      <rPr>
        <sz val="10"/>
        <color rgb="FF000000"/>
        <rFont val="微软雅黑 Light"/>
        <family val="2"/>
        <charset val="134"/>
      </rPr>
      <t>如此的难看</t>
    </r>
    <r>
      <rPr>
        <sz val="10"/>
        <color indexed="8"/>
        <rFont val="Arial Unicode MS"/>
        <family val="2"/>
      </rPr>
      <t>｡</t>
    </r>
    <r>
      <rPr>
        <sz val="10"/>
        <color rgb="FF000000"/>
        <rFont val="微软雅黑 Light"/>
        <family val="2"/>
        <charset val="134"/>
      </rPr>
      <t>他人会对你报以恐惧</t>
    </r>
    <r>
      <rPr>
        <sz val="10"/>
        <color indexed="8"/>
        <rFont val="Arial Unicode MS"/>
        <family val="2"/>
      </rPr>
      <t>､</t>
    </r>
    <r>
      <rPr>
        <sz val="10"/>
        <color rgb="FF000000"/>
        <rFont val="微软雅黑 Light"/>
        <family val="2"/>
        <charset val="134"/>
      </rPr>
      <t>厌恶和怜悯</t>
    </r>
    <r>
      <rPr>
        <sz val="10"/>
        <color indexed="8"/>
        <rFont val="Arial Unicode MS"/>
        <family val="2"/>
      </rPr>
      <t>｡</t>
    </r>
  </si>
  <si>
    <r>
      <rPr>
        <sz val="10"/>
        <color rgb="FF000000"/>
        <rFont val="微软雅黑 Light"/>
        <family val="2"/>
        <charset val="134"/>
      </rPr>
      <t>没有智商,无法理解周遭的世界</t>
    </r>
    <r>
      <rPr>
        <sz val="10"/>
        <color indexed="8"/>
        <rFont val="Arial Unicode MS"/>
        <family val="2"/>
      </rPr>
      <t>｡</t>
    </r>
  </si>
  <si>
    <r>
      <rPr>
        <sz val="10"/>
        <color rgb="FF000000"/>
        <rFont val="微软雅黑 Light"/>
        <family val="2"/>
        <charset val="134"/>
      </rPr>
      <t>0：弱者的心,没有意志力,没有魔法潜能</t>
    </r>
    <r>
      <rPr>
        <sz val="10"/>
        <color indexed="8"/>
        <rFont val="Arial Unicode MS"/>
        <family val="2"/>
      </rPr>
      <t>｡</t>
    </r>
  </si>
  <si>
    <r>
      <rPr>
        <sz val="10"/>
        <color rgb="FF000000"/>
        <rFont val="微软雅黑 Light"/>
        <family val="2"/>
        <charset val="134"/>
      </rPr>
      <t>新生儿</t>
    </r>
    <r>
      <rPr>
        <sz val="10"/>
        <color indexed="8"/>
        <rFont val="Arial Unicode MS"/>
        <family val="2"/>
      </rPr>
      <t>｡</t>
    </r>
  </si>
  <si>
    <t>体弱多病，易病难愈，可能在没有帮助的情况下无法自理。</t>
  </si>
  <si>
    <t>婴儿(1~10斤)。</t>
  </si>
  <si>
    <r>
      <rPr>
        <sz val="10"/>
        <color rgb="FF000000"/>
        <rFont val="微软雅黑 Light"/>
        <family val="2"/>
        <charset val="134"/>
      </rPr>
      <t>任何方面都没有受过教育</t>
    </r>
    <r>
      <rPr>
        <sz val="10"/>
        <color indexed="8"/>
        <rFont val="Arial Unicode MS"/>
        <family val="2"/>
      </rPr>
      <t>｡</t>
    </r>
  </si>
  <si>
    <r>
      <rPr>
        <sz val="10"/>
        <color rgb="FF000000"/>
        <rFont val="微软雅黑 Light"/>
        <family val="2"/>
        <charset val="134"/>
      </rPr>
      <t>弱者,虚弱</t>
    </r>
    <r>
      <rPr>
        <sz val="10"/>
        <color indexed="8"/>
        <rFont val="Arial Unicode MS"/>
        <family val="2"/>
      </rPr>
      <t>｡</t>
    </r>
  </si>
  <si>
    <t>身体虚弱，易突发疾病，易感到疼痛。</t>
  </si>
  <si>
    <r>
      <rPr>
        <sz val="10"/>
        <color rgb="FF000000"/>
        <rFont val="微软雅黑 Light"/>
        <family val="2"/>
        <charset val="134"/>
      </rPr>
      <t>孩童,或身短体瘦(矮人)(15kg)</t>
    </r>
    <r>
      <rPr>
        <sz val="10"/>
        <color indexed="8"/>
        <rFont val="Arial Unicode MS"/>
        <family val="2"/>
      </rPr>
      <t>｡</t>
    </r>
  </si>
  <si>
    <t>缓慢笨拙难以行动自如。</t>
  </si>
  <si>
    <r>
      <rPr>
        <sz val="10"/>
        <color rgb="FF000000"/>
        <rFont val="微软雅黑 Light"/>
        <family val="2"/>
        <charset val="134"/>
      </rPr>
      <t>挫</t>
    </r>
    <r>
      <rPr>
        <sz val="10"/>
        <color indexed="8"/>
        <rFont val="Arial Unicode MS"/>
        <family val="2"/>
      </rPr>
      <t>｡</t>
    </r>
    <r>
      <rPr>
        <sz val="10"/>
        <color rgb="FF000000"/>
        <rFont val="微软雅黑 Light"/>
        <family val="2"/>
        <charset val="134"/>
      </rPr>
      <t>估计是因为受伤事故或先天如此</t>
    </r>
    <r>
      <rPr>
        <sz val="10"/>
        <color indexed="8"/>
        <rFont val="Arial Unicode MS"/>
        <family val="2"/>
      </rPr>
      <t>｡</t>
    </r>
  </si>
  <si>
    <t>学得很慢,只能理解最常用的数字,或阅读学前级的书。</t>
  </si>
  <si>
    <t>意志力弱,经常成为高智力或高意志人士的人的玩物</t>
  </si>
  <si>
    <r>
      <rPr>
        <sz val="10"/>
        <color rgb="FF000000"/>
        <rFont val="微软雅黑 Light"/>
        <family val="2"/>
        <charset val="134"/>
      </rPr>
      <t>高中毕业</t>
    </r>
    <r>
      <rPr>
        <sz val="10"/>
        <color indexed="8"/>
        <rFont val="Arial Unicode MS"/>
        <family val="2"/>
      </rPr>
      <t>｡</t>
    </r>
  </si>
  <si>
    <r>
      <rPr>
        <sz val="10"/>
        <color rgb="FF000000"/>
        <rFont val="微软雅黑 Light"/>
        <family val="2"/>
        <charset val="134"/>
      </rPr>
      <t>普通人水平</t>
    </r>
    <r>
      <rPr>
        <sz val="10"/>
        <color indexed="8"/>
        <rFont val="Arial Unicode MS"/>
        <family val="2"/>
      </rPr>
      <t>｡</t>
    </r>
  </si>
  <si>
    <t>普通人水平。</t>
  </si>
  <si>
    <r>
      <rPr>
        <sz val="10"/>
        <color rgb="FF000000"/>
        <rFont val="微软雅黑 Light"/>
        <family val="2"/>
        <charset val="134"/>
      </rPr>
      <t>普通人类体型(中等身高和体重)(75kg)</t>
    </r>
    <r>
      <rPr>
        <sz val="10"/>
        <color indexed="8"/>
        <rFont val="Arial Unicode MS"/>
        <family val="2"/>
      </rPr>
      <t>｡</t>
    </r>
  </si>
  <si>
    <t>普通人</t>
  </si>
  <si>
    <t>大学毕业。</t>
  </si>
  <si>
    <t>你见过的力气最大的人。</t>
  </si>
  <si>
    <t>不惧寒冷，强壮而精神。</t>
  </si>
  <si>
    <r>
      <rPr>
        <sz val="10"/>
        <color rgb="FF000000"/>
        <rFont val="微软雅黑 Light"/>
        <family val="2"/>
        <charset val="134"/>
      </rPr>
      <t>非常高,强健的体格或非常胖(110kg)</t>
    </r>
    <r>
      <rPr>
        <sz val="10"/>
        <color indexed="8"/>
        <rFont val="Arial Unicode MS"/>
        <family val="2"/>
      </rPr>
      <t>｡</t>
    </r>
  </si>
  <si>
    <r>
      <rPr>
        <sz val="10"/>
        <color rgb="FF000000"/>
        <rFont val="微软雅黑 Light"/>
        <family val="2"/>
        <charset val="134"/>
      </rPr>
      <t>高速而灵活,可以达成超凡的技艺(例如伟大的舞者)</t>
    </r>
    <r>
      <rPr>
        <sz val="10"/>
        <color indexed="8"/>
        <rFont val="Arial Unicode MS"/>
        <family val="2"/>
      </rPr>
      <t>｡</t>
    </r>
  </si>
  <si>
    <r>
      <rPr>
        <sz val="10"/>
        <color rgb="FF000000"/>
        <rFont val="微软雅黑 Light"/>
        <family val="2"/>
        <charset val="134"/>
      </rPr>
      <t>你见过的最漂亮的人,有着天然的吸引力</t>
    </r>
    <r>
      <rPr>
        <sz val="10"/>
        <color indexed="8"/>
        <rFont val="Arial Unicode MS"/>
        <family val="2"/>
      </rPr>
      <t>｡</t>
    </r>
  </si>
  <si>
    <r>
      <rPr>
        <sz val="10"/>
        <color rgb="FF000000"/>
        <rFont val="微软雅黑 Light"/>
        <family val="2"/>
        <charset val="134"/>
      </rPr>
      <t>超凡之脑,可以理解多门语言或法则</t>
    </r>
    <r>
      <rPr>
        <sz val="10"/>
        <color indexed="8"/>
        <rFont val="Arial Unicode MS"/>
        <family val="2"/>
      </rPr>
      <t>｡</t>
    </r>
  </si>
  <si>
    <r>
      <rPr>
        <sz val="10"/>
        <color rgb="FF000000"/>
        <rFont val="微软雅黑 Light"/>
        <family val="2"/>
        <charset val="134"/>
      </rPr>
      <t>坚强的心,对沟通不可视之物和魔法有着高潜质</t>
    </r>
    <r>
      <rPr>
        <sz val="10"/>
        <color indexed="8"/>
        <rFont val="Arial Unicode MS"/>
        <family val="2"/>
      </rPr>
      <t>｡</t>
    </r>
  </si>
  <si>
    <t>研究生毕业。</t>
  </si>
  <si>
    <t>世界水平(奥赛举重冠军)｡人类极限。</t>
  </si>
  <si>
    <t>钢铁之躯。能够承受巨大的疼痛。人类极限。</t>
  </si>
  <si>
    <r>
      <rPr>
        <sz val="10"/>
        <color rgb="FF000000"/>
        <rFont val="微软雅黑 Light"/>
        <family val="2"/>
        <charset val="134"/>
      </rPr>
      <t>某方面已经是超大号了(150kg)</t>
    </r>
    <r>
      <rPr>
        <sz val="10"/>
        <color indexed="8"/>
        <rFont val="Arial Unicode MS"/>
        <family val="2"/>
      </rPr>
      <t>｡</t>
    </r>
  </si>
  <si>
    <r>
      <rPr>
        <sz val="10"/>
        <color rgb="FF000000"/>
        <rFont val="微软雅黑 Light"/>
        <family val="2"/>
        <charset val="134"/>
      </rPr>
      <t>世界级运动员</t>
    </r>
    <r>
      <rPr>
        <sz val="10"/>
        <color indexed="8"/>
        <rFont val="Arial Unicode MS"/>
        <family val="2"/>
      </rPr>
      <t>｡</t>
    </r>
    <r>
      <rPr>
        <sz val="10"/>
        <color rgb="FF000000"/>
        <rFont val="微软雅黑 Light"/>
        <family val="2"/>
        <charset val="134"/>
      </rPr>
      <t>人类极限</t>
    </r>
    <r>
      <rPr>
        <sz val="10"/>
        <color indexed="8"/>
        <rFont val="Arial Unicode MS"/>
        <family val="2"/>
      </rPr>
      <t>｡</t>
    </r>
  </si>
  <si>
    <r>
      <rPr>
        <sz val="10"/>
        <color rgb="FF000000"/>
        <rFont val="微软雅黑 Light"/>
        <family val="2"/>
        <charset val="134"/>
      </rPr>
      <t>魅力和酷的巅峰(超级名模或世界影星)</t>
    </r>
    <r>
      <rPr>
        <sz val="10"/>
        <color indexed="8"/>
        <rFont val="Arial Unicode MS"/>
        <family val="2"/>
      </rPr>
      <t>｡</t>
    </r>
    <r>
      <rPr>
        <sz val="10"/>
        <color rgb="FF000000"/>
        <rFont val="微软雅黑 Light"/>
        <family val="2"/>
        <charset val="134"/>
      </rPr>
      <t>人类极限</t>
    </r>
    <r>
      <rPr>
        <sz val="10"/>
        <color indexed="8"/>
        <rFont val="Arial Unicode MS"/>
        <family val="2"/>
      </rPr>
      <t>｡</t>
    </r>
  </si>
  <si>
    <r>
      <rPr>
        <sz val="10"/>
        <color rgb="FF000000"/>
        <rFont val="微软雅黑 Light"/>
        <family val="2"/>
        <charset val="134"/>
      </rPr>
      <t>天才(爱因斯坦</t>
    </r>
    <r>
      <rPr>
        <sz val="10"/>
        <color indexed="8"/>
        <rFont val="Arial Unicode MS"/>
        <family val="2"/>
      </rPr>
      <t>､</t>
    </r>
    <r>
      <rPr>
        <sz val="10"/>
        <color rgb="FF000000"/>
        <rFont val="微软雅黑 Light"/>
        <family val="2"/>
        <charset val="134"/>
      </rPr>
      <t>达芬奇</t>
    </r>
    <r>
      <rPr>
        <sz val="10"/>
        <color indexed="8"/>
        <rFont val="Arial Unicode MS"/>
        <family val="2"/>
      </rPr>
      <t>､</t>
    </r>
    <r>
      <rPr>
        <sz val="10"/>
        <color rgb="FF000000"/>
        <rFont val="微软雅黑 Light"/>
        <family val="2"/>
        <charset val="134"/>
      </rPr>
      <t>特斯拉等等)</t>
    </r>
    <r>
      <rPr>
        <sz val="10"/>
        <color indexed="8"/>
        <rFont val="Arial Unicode MS"/>
        <family val="2"/>
      </rPr>
      <t>｡</t>
    </r>
    <r>
      <rPr>
        <sz val="10"/>
        <color rgb="FF000000"/>
        <rFont val="微软雅黑 Light"/>
        <family val="2"/>
        <charset val="134"/>
      </rPr>
      <t>人类极限</t>
    </r>
    <r>
      <rPr>
        <sz val="10"/>
        <color indexed="8"/>
        <rFont val="Arial Unicode MS"/>
        <family val="2"/>
      </rPr>
      <t>｡</t>
    </r>
  </si>
  <si>
    <r>
      <rPr>
        <sz val="10"/>
        <color rgb="FF000000"/>
        <rFont val="微软雅黑 Light"/>
        <family val="2"/>
        <charset val="134"/>
      </rPr>
      <t>钢铁之心,与灵能领域和不可视世界有着强烈的链接</t>
    </r>
    <r>
      <rPr>
        <sz val="10"/>
        <color indexed="8"/>
        <rFont val="Arial Unicode MS"/>
        <family val="2"/>
      </rPr>
      <t>｡</t>
    </r>
  </si>
  <si>
    <r>
      <rPr>
        <sz val="10"/>
        <color rgb="FF000000"/>
        <rFont val="微软雅黑 Light"/>
        <family val="2"/>
        <charset val="134"/>
      </rPr>
      <t>博士学位,教授</t>
    </r>
    <r>
      <rPr>
        <sz val="10"/>
        <color indexed="8"/>
        <rFont val="Arial Unicode MS"/>
        <family val="2"/>
      </rPr>
      <t>｡</t>
    </r>
  </si>
  <si>
    <r>
      <rPr>
        <sz val="10"/>
        <color rgb="FF000000"/>
        <rFont val="微软雅黑 Light"/>
        <family val="2"/>
        <charset val="134"/>
      </rPr>
      <t>超越人类之力(例如大猩猩或马)</t>
    </r>
    <r>
      <rPr>
        <sz val="10"/>
        <color indexed="8"/>
        <rFont val="Arial Unicode MS"/>
        <family val="2"/>
      </rPr>
      <t>｡</t>
    </r>
  </si>
  <si>
    <r>
      <rPr>
        <sz val="10"/>
        <color rgb="FF000000"/>
        <rFont val="微软雅黑 Light"/>
        <family val="2"/>
        <charset val="134"/>
      </rPr>
      <t>超越人类之体格(大象)</t>
    </r>
    <r>
      <rPr>
        <sz val="10"/>
        <color indexed="8"/>
        <rFont val="Arial Unicode MS"/>
        <family val="2"/>
      </rPr>
      <t>｡</t>
    </r>
  </si>
  <si>
    <r>
      <rPr>
        <sz val="10"/>
        <color rgb="FF000000"/>
        <rFont val="微软雅黑 Light"/>
        <family val="2"/>
        <charset val="134"/>
      </rPr>
      <t>马或牛(436kg)</t>
    </r>
    <r>
      <rPr>
        <sz val="10"/>
        <color indexed="8"/>
        <rFont val="Arial Unicode MS"/>
        <family val="2"/>
      </rPr>
      <t>｡</t>
    </r>
  </si>
  <si>
    <t>超越人类之敏捷。</t>
  </si>
  <si>
    <t>超越人类之智。</t>
  </si>
  <si>
    <t>超越人类,基本上是异界存在。</t>
  </si>
  <si>
    <r>
      <rPr>
        <sz val="10"/>
        <color rgb="FF000000"/>
        <rFont val="微软雅黑 Light"/>
        <family val="2"/>
        <charset val="134"/>
      </rPr>
      <t>某研究领域的世界级权威</t>
    </r>
    <r>
      <rPr>
        <sz val="10"/>
        <color indexed="8"/>
        <rFont val="Arial Unicode MS"/>
        <family val="2"/>
      </rPr>
      <t>｡</t>
    </r>
  </si>
  <si>
    <t>有记录的最重的人类(634kg)。</t>
  </si>
  <si>
    <r>
      <rPr>
        <sz val="10"/>
        <color rgb="FF000000"/>
        <rFont val="微软雅黑 Light"/>
        <family val="2"/>
        <charset val="134"/>
      </rPr>
      <t>人类极限</t>
    </r>
    <r>
      <rPr>
        <sz val="10"/>
        <color indexed="8"/>
        <rFont val="Arial Unicode MS"/>
        <family val="2"/>
      </rPr>
      <t>｡</t>
    </r>
  </si>
  <si>
    <t>200+</t>
  </si>
  <si>
    <t>怪物之力。</t>
  </si>
  <si>
    <t>怪物之体,免疫大部分地球疾病。</t>
  </si>
  <si>
    <t>872kg。</t>
  </si>
  <si>
    <r>
      <rPr>
        <sz val="10"/>
        <color rgb="FF000000"/>
        <rFont val="微软雅黑 Light"/>
        <family val="2"/>
        <charset val="134"/>
      </rPr>
      <t>闪电之速,可以在人类反应过来之前完成系列动作</t>
    </r>
    <r>
      <rPr>
        <sz val="10"/>
        <color indexed="8"/>
        <rFont val="Arial Unicode MS"/>
        <family val="2"/>
      </rPr>
      <t>｡</t>
    </r>
  </si>
  <si>
    <t>210+</t>
  </si>
  <si>
    <t>怪物之智,可以理解并操作多重次元。</t>
  </si>
  <si>
    <t>怪物的魔法潜质和力量,超越凡人之理解力。</t>
  </si>
  <si>
    <t>属性解释</t>
  </si>
  <si>
    <t>力量是调查员肌肉能力的量化。</t>
  </si>
  <si>
    <t>体质意味着健康、生气和活力。</t>
  </si>
  <si>
    <t>体型值将身高和体重整合成了一个数字。</t>
  </si>
  <si>
    <t>高敏捷的调查员更为迅捷灵敏，肉体更加柔韧。</t>
  </si>
  <si>
    <t>外貌统括了肉体吸引力和人格魅力。</t>
  </si>
  <si>
    <t>智力表示为调查员学习力、理解力、信息分析力和解密能力的优劣度。</t>
  </si>
  <si>
    <t>意志正是心意的力量；意志越高，学习和抵抗魔法的资质就越高。</t>
  </si>
  <si>
    <t>教育表明了调查员在全日制学习中花费了多长时间。</t>
  </si>
  <si>
    <t>属
性
高
的
话</t>
  </si>
  <si>
    <t>更大的力量：可以使你能举起更重的东西</t>
  </si>
  <si>
    <t>更高的体质可以让你的免疫力、毒药抗性等更加强大</t>
  </si>
  <si>
    <t>大体型可以带来更高的生命值与攻击力
但是会难以隐蔽</t>
  </si>
  <si>
    <t>高敏捷的调查员可以进行更加细微的操作，比如穿针，或者从墙上完整的撕下一张脆弱的纸</t>
  </si>
  <si>
    <t>高外貌的人更容易让周围的人接受
但是更容易被犯罪</t>
  </si>
  <si>
    <t>高智力更容易让人学到更多东西
但也容易学到不该学到的东西</t>
  </si>
  <si>
    <t>教育高代表着这个人在自己的职业上有多么认真</t>
  </si>
  <si>
    <t>有
什
么
坏
处</t>
  </si>
  <si>
    <t>但是你的肌肉也会更明显</t>
  </si>
  <si>
    <t>体质过低则更容易患病、更可能进入病症晚期</t>
  </si>
  <si>
    <t>小体型将会更容易隐蔽
但是生命和攻击力会降低</t>
  </si>
  <si>
    <t>低敏捷将会控制不好自己的身体</t>
  </si>
  <si>
    <t>低外貌更容易被排斥</t>
  </si>
  <si>
    <t>低智力证明这个人脑子不太好使
但是有时候无知是福</t>
  </si>
  <si>
    <t>敏捷并不代表你跑的多快，而是代表你能有多好的控制你自己</t>
  </si>
  <si>
    <t>外貌同时代表行为和颜值
外貌越偏离50越难扮演</t>
  </si>
  <si>
    <t>意志=初始san值
意志/5 = 魔法值</t>
  </si>
  <si>
    <t>教育不一定是指你上了几年学
更可能是指你对你的工作有多么熟悉</t>
  </si>
  <si>
    <t>各种属性会造成的影响</t>
  </si>
  <si>
    <t>(体质+体型)/10
=
HP最大值、HP初始值</t>
  </si>
  <si>
    <t>敏捷/2=闪避初始值</t>
  </si>
  <si>
    <t>智力×2=兴趣点数</t>
  </si>
  <si>
    <t>意志=san初始值
但不等于san最大值！</t>
  </si>
  <si>
    <t>教育=母语初始值</t>
  </si>
  <si>
    <t>力量敏捷如果皆大于体型</t>
  </si>
  <si>
    <t>那么移动力+1</t>
  </si>
  <si>
    <t>体型可以超过100
意志可以超过100
这是唯二可以超过100的属性</t>
  </si>
  <si>
    <t>意志/5 = 魔法值</t>
  </si>
  <si>
    <t>力量、敏捷如果都小等于体型</t>
  </si>
  <si>
    <t>那么移动力-1</t>
  </si>
  <si>
    <t>99-克苏鲁神话成功率
=san最大值
=精神分析最大恢复值</t>
  </si>
  <si>
    <t>15-19岁</t>
  </si>
  <si>
    <t>从力量和体型里总共-5，教育-5
之后骰 2 次幸运，取较大值</t>
  </si>
  <si>
    <t>增加POW</t>
  </si>
  <si>
    <t>将力量与体型相加之后</t>
  </si>
  <si>
    <t>结果：</t>
  </si>
  <si>
    <t>伤害加值</t>
  </si>
  <si>
    <t>体格</t>
  </si>
  <si>
    <t>体格的作用</t>
  </si>
  <si>
    <t>2-64</t>
  </si>
  <si>
    <t>可以扔很远</t>
  </si>
  <si>
    <t>①：成功释放需要对抗POW的法术后
骰1D100 若大于当前POW或大于95
POW永久增加1D10点</t>
  </si>
  <si>
    <t>65-84</t>
  </si>
  <si>
    <t>可以扔出去</t>
  </si>
  <si>
    <t>20-39岁</t>
  </si>
  <si>
    <t>一次教育进步检定</t>
  </si>
  <si>
    <t>85-124</t>
  </si>
  <si>
    <t xml:space="preserve">可以举起来 </t>
  </si>
  <si>
    <t>125-164</t>
  </si>
  <si>
    <t xml:space="preserve"> +1d4</t>
  </si>
  <si>
    <t>这是你</t>
  </si>
  <si>
    <t>165-204</t>
  </si>
  <si>
    <t xml:space="preserve"> +1d6</t>
  </si>
  <si>
    <t>能被被举起来</t>
  </si>
  <si>
    <t>+1</t>
  </si>
  <si>
    <t>40+</t>
  </si>
  <si>
    <r>
      <rPr>
        <sz val="12"/>
        <rFont val="微软雅黑 Light"/>
        <family val="2"/>
        <charset val="134"/>
      </rPr>
      <t>从</t>
    </r>
    <r>
      <rPr>
        <sz val="12"/>
        <color rgb="FFFF0000"/>
        <rFont val="微软雅黑 Light"/>
        <family val="2"/>
        <charset val="134"/>
      </rPr>
      <t>力量</t>
    </r>
    <r>
      <rPr>
        <sz val="12"/>
        <rFont val="微软雅黑 Light"/>
        <family val="2"/>
        <charset val="134"/>
      </rPr>
      <t>、</t>
    </r>
    <r>
      <rPr>
        <sz val="12"/>
        <color rgb="FF7F5F00"/>
        <rFont val="微软雅黑 Light"/>
        <family val="2"/>
        <charset val="134"/>
      </rPr>
      <t>体质</t>
    </r>
    <r>
      <rPr>
        <sz val="12"/>
        <rFont val="微软雅黑 Light"/>
        <family val="2"/>
        <charset val="134"/>
      </rPr>
      <t>、</t>
    </r>
    <r>
      <rPr>
        <sz val="12"/>
        <color rgb="FF2F75B6"/>
        <rFont val="微软雅黑 Light"/>
        <family val="2"/>
        <charset val="134"/>
      </rPr>
      <t>敏捷</t>
    </r>
    <r>
      <rPr>
        <sz val="12"/>
        <rFont val="微软雅黑 Light"/>
        <family val="2"/>
        <charset val="134"/>
      </rPr>
      <t>里总共-5，</t>
    </r>
    <r>
      <rPr>
        <sz val="12"/>
        <color rgb="FFFC17FF"/>
        <rFont val="微软雅黑 Light"/>
        <family val="2"/>
        <charset val="134"/>
      </rPr>
      <t>APP-5</t>
    </r>
    <r>
      <rPr>
        <sz val="12"/>
        <rFont val="微软雅黑 Light"/>
        <family val="2"/>
        <charset val="134"/>
      </rPr>
      <t xml:space="preserve">
</t>
    </r>
    <r>
      <rPr>
        <b/>
        <sz val="12"/>
        <color rgb="FFD58B43"/>
        <rFont val="微软雅黑 Light"/>
        <family val="2"/>
        <charset val="134"/>
      </rPr>
      <t>之后进行 2 次教育进步</t>
    </r>
    <r>
      <rPr>
        <sz val="12"/>
        <rFont val="微软雅黑 Light"/>
        <family val="2"/>
        <charset val="134"/>
      </rPr>
      <t xml:space="preserve">
</t>
    </r>
    <r>
      <rPr>
        <b/>
        <sz val="12"/>
        <rFont val="微软雅黑 Light"/>
        <family val="2"/>
        <charset val="134"/>
      </rPr>
      <t>移动-1</t>
    </r>
  </si>
  <si>
    <t>②：在幸运检定中掷出1D100=1后
骰1D100 若大于当前POW或大于95
POW永久增加1D10点</t>
  </si>
  <si>
    <t>205-284</t>
  </si>
  <si>
    <t xml:space="preserve"> +2d6</t>
  </si>
  <si>
    <t>能被被扔出去</t>
  </si>
  <si>
    <t>+2</t>
  </si>
  <si>
    <t>285-364</t>
  </si>
  <si>
    <t xml:space="preserve"> +3d6</t>
  </si>
  <si>
    <t>能被被打飞</t>
  </si>
  <si>
    <t>+3</t>
  </si>
  <si>
    <t>365-444</t>
  </si>
  <si>
    <t xml:space="preserve"> +4d6</t>
  </si>
  <si>
    <t>千万别惹</t>
  </si>
  <si>
    <t>+4</t>
  </si>
  <si>
    <t>50+</t>
  </si>
  <si>
    <r>
      <rPr>
        <sz val="12"/>
        <rFont val="微软雅黑 Light"/>
        <family val="2"/>
        <charset val="134"/>
      </rPr>
      <t>从</t>
    </r>
    <r>
      <rPr>
        <sz val="12"/>
        <color rgb="FFFF0000"/>
        <rFont val="微软雅黑 Light"/>
        <family val="2"/>
        <charset val="134"/>
      </rPr>
      <t>力量</t>
    </r>
    <r>
      <rPr>
        <sz val="12"/>
        <rFont val="微软雅黑 Light"/>
        <family val="2"/>
        <charset val="134"/>
      </rPr>
      <t>、</t>
    </r>
    <r>
      <rPr>
        <sz val="12"/>
        <color rgb="FF7F5F00"/>
        <rFont val="微软雅黑 Light"/>
        <family val="2"/>
        <charset val="134"/>
      </rPr>
      <t>体质</t>
    </r>
    <r>
      <rPr>
        <sz val="12"/>
        <rFont val="微软雅黑 Light"/>
        <family val="2"/>
        <charset val="134"/>
      </rPr>
      <t>、</t>
    </r>
    <r>
      <rPr>
        <sz val="12"/>
        <color rgb="FF2F75B6"/>
        <rFont val="微软雅黑 Light"/>
        <family val="2"/>
        <charset val="134"/>
      </rPr>
      <t>敏捷</t>
    </r>
    <r>
      <rPr>
        <sz val="12"/>
        <rFont val="微软雅黑 Light"/>
        <family val="2"/>
        <charset val="134"/>
      </rPr>
      <t>里总共-10，</t>
    </r>
    <r>
      <rPr>
        <sz val="12"/>
        <color rgb="FFFC17FF"/>
        <rFont val="微软雅黑 Light"/>
        <family val="2"/>
        <charset val="134"/>
      </rPr>
      <t>APP-10</t>
    </r>
    <r>
      <rPr>
        <sz val="12"/>
        <rFont val="微软雅黑 Light"/>
        <family val="2"/>
        <charset val="134"/>
      </rPr>
      <t xml:space="preserve">
</t>
    </r>
    <r>
      <rPr>
        <b/>
        <sz val="12"/>
        <color rgb="FFD58B43"/>
        <rFont val="微软雅黑 Light"/>
        <family val="2"/>
        <charset val="134"/>
      </rPr>
      <t>之后进行 3 次教育进步</t>
    </r>
    <r>
      <rPr>
        <sz val="12"/>
        <rFont val="微软雅黑 Light"/>
        <family val="2"/>
        <charset val="134"/>
      </rPr>
      <t xml:space="preserve">
</t>
    </r>
    <r>
      <rPr>
        <b/>
        <sz val="12"/>
        <rFont val="微软雅黑 Light"/>
        <family val="2"/>
        <charset val="134"/>
      </rPr>
      <t>移动-2</t>
    </r>
  </si>
  <si>
    <t>*此后合计值每超过一个80，就+1d6伤害加成与+1体型，不足80的按照80算。</t>
  </si>
  <si>
    <t>60+</t>
  </si>
  <si>
    <r>
      <rPr>
        <sz val="12"/>
        <rFont val="微软雅黑 Light"/>
        <family val="2"/>
        <charset val="134"/>
      </rPr>
      <t>从</t>
    </r>
    <r>
      <rPr>
        <sz val="12"/>
        <color rgb="FFFF0000"/>
        <rFont val="微软雅黑 Light"/>
        <family val="2"/>
        <charset val="134"/>
      </rPr>
      <t>力量</t>
    </r>
    <r>
      <rPr>
        <sz val="12"/>
        <rFont val="微软雅黑 Light"/>
        <family val="2"/>
        <charset val="134"/>
      </rPr>
      <t>、</t>
    </r>
    <r>
      <rPr>
        <sz val="12"/>
        <color rgb="FF7F5F00"/>
        <rFont val="微软雅黑 Light"/>
        <family val="2"/>
        <charset val="134"/>
      </rPr>
      <t>体质</t>
    </r>
    <r>
      <rPr>
        <sz val="12"/>
        <rFont val="微软雅黑 Light"/>
        <family val="2"/>
        <charset val="134"/>
      </rPr>
      <t>、</t>
    </r>
    <r>
      <rPr>
        <sz val="12"/>
        <color rgb="FF2F75B6"/>
        <rFont val="微软雅黑 Light"/>
        <family val="2"/>
        <charset val="134"/>
      </rPr>
      <t>敏捷</t>
    </r>
    <r>
      <rPr>
        <sz val="12"/>
        <rFont val="微软雅黑 Light"/>
        <family val="2"/>
        <charset val="134"/>
      </rPr>
      <t>里总共-20，</t>
    </r>
    <r>
      <rPr>
        <sz val="12"/>
        <color rgb="FFFC17FF"/>
        <rFont val="微软雅黑 Light"/>
        <family val="2"/>
        <charset val="134"/>
      </rPr>
      <t>APP-15</t>
    </r>
    <r>
      <rPr>
        <sz val="12"/>
        <rFont val="微软雅黑 Light"/>
        <family val="2"/>
        <charset val="134"/>
      </rPr>
      <t xml:space="preserve">
</t>
    </r>
    <r>
      <rPr>
        <b/>
        <sz val="12"/>
        <color rgb="FFD58B43"/>
        <rFont val="微软雅黑 Light"/>
        <family val="2"/>
        <charset val="134"/>
      </rPr>
      <t>之后进行 4 次教育进步</t>
    </r>
    <r>
      <rPr>
        <b/>
        <sz val="12"/>
        <rFont val="微软雅黑 Light"/>
        <family val="2"/>
        <charset val="134"/>
      </rPr>
      <t xml:space="preserve">
移动-3</t>
    </r>
  </si>
  <si>
    <t>70+</t>
  </si>
  <si>
    <r>
      <rPr>
        <sz val="12"/>
        <rFont val="微软雅黑 Light"/>
        <family val="2"/>
        <charset val="134"/>
      </rPr>
      <t>从</t>
    </r>
    <r>
      <rPr>
        <sz val="12"/>
        <color rgb="FFFF0000"/>
        <rFont val="微软雅黑 Light"/>
        <family val="2"/>
        <charset val="134"/>
      </rPr>
      <t>力量</t>
    </r>
    <r>
      <rPr>
        <sz val="12"/>
        <rFont val="微软雅黑 Light"/>
        <family val="2"/>
        <charset val="134"/>
      </rPr>
      <t>、</t>
    </r>
    <r>
      <rPr>
        <sz val="12"/>
        <color rgb="FF7F5F00"/>
        <rFont val="微软雅黑 Light"/>
        <family val="2"/>
        <charset val="134"/>
      </rPr>
      <t>体质</t>
    </r>
    <r>
      <rPr>
        <sz val="12"/>
        <rFont val="微软雅黑 Light"/>
        <family val="2"/>
        <charset val="134"/>
      </rPr>
      <t>、</t>
    </r>
    <r>
      <rPr>
        <sz val="12"/>
        <color rgb="FF2F75B6"/>
        <rFont val="微软雅黑 Light"/>
        <family val="2"/>
        <charset val="134"/>
      </rPr>
      <t>敏捷</t>
    </r>
    <r>
      <rPr>
        <sz val="12"/>
        <rFont val="微软雅黑 Light"/>
        <family val="2"/>
        <charset val="134"/>
      </rPr>
      <t>里总共-40，</t>
    </r>
    <r>
      <rPr>
        <sz val="12"/>
        <color rgb="FFFC17FF"/>
        <rFont val="微软雅黑 Light"/>
        <family val="2"/>
        <charset val="134"/>
      </rPr>
      <t>APP-20</t>
    </r>
    <r>
      <rPr>
        <sz val="12"/>
        <rFont val="微软雅黑 Light"/>
        <family val="2"/>
        <charset val="134"/>
      </rPr>
      <t xml:space="preserve">
</t>
    </r>
    <r>
      <rPr>
        <b/>
        <sz val="12"/>
        <color rgb="FFD58B43"/>
        <rFont val="微软雅黑 Light"/>
        <family val="2"/>
        <charset val="134"/>
      </rPr>
      <t>之后进行 4 次教育进步</t>
    </r>
    <r>
      <rPr>
        <sz val="12"/>
        <rFont val="微软雅黑 Light"/>
        <family val="2"/>
        <charset val="134"/>
      </rPr>
      <t xml:space="preserve">
</t>
    </r>
    <r>
      <rPr>
        <b/>
        <sz val="12"/>
        <rFont val="微软雅黑 Light"/>
        <family val="2"/>
        <charset val="134"/>
      </rPr>
      <t>移动-4</t>
    </r>
  </si>
  <si>
    <t xml:space="preserve">   以此类推</t>
  </si>
  <si>
    <t>属性可选规则</t>
  </si>
  <si>
    <t>花费幸运值</t>
  </si>
  <si>
    <t>回复幸运值</t>
  </si>
  <si>
    <t>当一次失败的技能检定出现的时候
PL可以选择消耗
（骰子出目-成功率）的幸运值
来取得成功。
例：PL1的话术技能成功率为60%
但是他使用的时候骰出了76.
这时他如果想消耗幸运值来得到成功那么他将
需要消耗76-60=16的幸运值</t>
  </si>
  <si>
    <t>一次进行了多个技能检定的话
PL只能改变其中一个技能检定的结果</t>
  </si>
  <si>
    <t>在每次游戏之后（After each session of play），每个玩家可以做幸运增强检定，就和技能成长一样。</t>
  </si>
  <si>
    <t>首先骰一个D100，
如果出目大于当前幸运值，则增加1D10的幸运值
如果出目小于等于当前幸运值，则幸运值不改变</t>
  </si>
  <si>
    <t>调查员的幸运值在游戏中也和san值一样会变化
依然和san值一样，他们的初始值在之后都不会再起到作用。并且最大值永远是99。</t>
  </si>
  <si>
    <t>当技能检定失败的时候
PL可以选择孤注一掷或花费幸运值</t>
  </si>
  <si>
    <t>孤注一掷的结果不能消耗幸运值来改变</t>
  </si>
  <si>
    <t>大成功、大失败、枪械故障的结果是必定的
无法被改变</t>
  </si>
  <si>
    <t>使用幸运改变结果的技能不会获得成长标记</t>
  </si>
  <si>
    <t>魔法可选规则</t>
  </si>
  <si>
    <t>克苏鲁神话技能的自发用法</t>
  </si>
  <si>
    <t>对单一目标造成物理伤害</t>
  </si>
  <si>
    <t>驱逐怪物</t>
  </si>
  <si>
    <t>和死者交流</t>
  </si>
  <si>
    <t>克苏鲁知识不仅可以让调查员理解和学习法术。
也可以让其即兴产生一些类似法术的效果：
首先调查员需要向守秘人表达自己希望达到的效果，然后守秘人决定同意或减小该“法术”的效果。
这样使用的难度等级默认为普通难度。</t>
  </si>
  <si>
    <t>右边是一些“即兴法术”的用法示例</t>
  </si>
  <si>
    <t>施法者需要自行选择想要消耗的魔法值点数，并且损失该数值一半的理智值。（向下取整）
之后进行克苏鲁神话与意志的对抗</t>
  </si>
  <si>
    <t>如果对抗胜出</t>
  </si>
  <si>
    <t>施法者需要消耗等于怪物意志五分之一的魔法值与1d3的理智值
之后进行克苏鲁神话与意志的对抗</t>
  </si>
  <si>
    <t>施法者需要消耗10点魔法值与1D10点理智值。效果将会持续数轮。</t>
  </si>
  <si>
    <t>将会对施法目标造成等同于魔法值的伤害</t>
  </si>
  <si>
    <t>将会赶走或驱散目标</t>
  </si>
  <si>
    <t>如果对抗失败</t>
  </si>
  <si>
    <t>当调查员赶到时，查理已经快咽气了。
他们问查理“告诉我们是谁杀了你”，但为时已晚。薇奥莱特的玩家消耗 10 点魔法值和 3 点理智值，并通过了一次「克苏鲁神话」技能检定。
KP 解释道：“你们听见薇奥莱特的喉咙里传来沙哑的查理的话音……”现在其他玩家可以在几轮之内和查理进行对话。
KP 认为说出的信息已经足够，于是说道：“薇奥莱特喉咙里的血液在沸腾……你回来了！但是你感觉很冷，冷得不得了！”</t>
  </si>
  <si>
    <t>魔法和理智白掉了
而且还浪费一轮行动</t>
  </si>
  <si>
    <t>无事发生
而且还浪费一轮行动</t>
  </si>
  <si>
    <t>尼尔森伸出手臂喝道：“呔！死吧！”他手臂上的青筋鼓起来变成紫黑，集中在走近的野兽上。
尼尔森的玩家消耗 8 点魔法值和 4 点理智值，并进行一次「克苏鲁神话」技能检定，获得困难成功（比技能值一半低）。
KP 为目标进行 POW 检定，获得了普通成功——尼尔森胜出了。KP 描述道，野兽的血管炸裂喷出凝固的血液，损失了 8 点耐久值。</t>
  </si>
  <si>
    <t>在莎布-尼古拉丝的子嗣、黑山羊幼崽从树荫中踏步而出时，伊诺克静静地站着，双眼紧闭。
伊诺克有14 点魔法值，若想驱逐这头怪物，他需要消耗 18 点。他照做了，受到 4点伤害（超出的魔法值用耐久值支付）。
他对着这只怪兽低语着奇怪的字眼，睁开眼睛流出了血泪也不去理会。伊诺克的玩家做一次「克苏鲁神话」技能检定，获得普通成功。KP 为黑山羊幼崽进行一次 POW 检定，获得了困难成功——黑山羊幼崽胜出。KP 讲述黑山羊幼崽如何跨步走向伊诺克，而伊诺克魔法值不足，无法孤注一掷，于是掉头逃跑。</t>
  </si>
  <si>
    <t>如果调查员希望用这种方式去影响反抗自己的目标，那么视为他使用克苏鲁神话对抗目标的意志，而不是意志对抗意志。并且KP必须决定魔法值和理智值的消耗。
KP应当斟酌需要消耗多少才能和对抗的法术相似。</t>
  </si>
  <si>
    <t>资产参考表</t>
  </si>
  <si>
    <t>必须以本职技能点加至范围下限才可以分配兴趣技能点</t>
  </si>
  <si>
    <t>1920S 美国 美元$</t>
  </si>
  <si>
    <t>2010S 中国 软妹币￥</t>
  </si>
  <si>
    <t>2010S 日本 円￥</t>
  </si>
  <si>
    <t>现金</t>
  </si>
  <si>
    <t>身无分文</t>
  </si>
  <si>
    <t>没有</t>
  </si>
  <si>
    <t>本职技能点也可以分配给信用评级，
但要记住信用评级的范围由你的职业决定。
不过这个范围不是强制的，为了符合角色也可以低于或高于这个范围，但不要太过分</t>
  </si>
  <si>
    <t>拮据</t>
  </si>
  <si>
    <t xml:space="preserve"> 1-9</t>
  </si>
  <si>
    <t>CR x 1</t>
  </si>
  <si>
    <t>CR x 10</t>
  </si>
  <si>
    <t>CR × 100</t>
  </si>
  <si>
    <t>CR × 1000</t>
  </si>
  <si>
    <t>CR × 2000</t>
  </si>
  <si>
    <t>CR × 2万</t>
  </si>
  <si>
    <t>标准</t>
  </si>
  <si>
    <t xml:space="preserve">  10-49</t>
  </si>
  <si>
    <t>CR × 2</t>
  </si>
  <si>
    <t>CR × 50</t>
  </si>
  <si>
    <t>CR × 200</t>
  </si>
  <si>
    <t>CR × 5000</t>
  </si>
  <si>
    <t>10-49</t>
  </si>
  <si>
    <t>CR × 4000</t>
  </si>
  <si>
    <t>CR × 15万</t>
  </si>
  <si>
    <t>小康</t>
  </si>
  <si>
    <t>50-89</t>
  </si>
  <si>
    <t>CR × 5</t>
  </si>
  <si>
    <t>CR × 500</t>
  </si>
  <si>
    <t>CR × 4万</t>
  </si>
  <si>
    <t>CR × 12000</t>
  </si>
  <si>
    <t>CR × 100万</t>
  </si>
  <si>
    <t>10万</t>
  </si>
  <si>
    <t>调查员的信用评级初始为０。每个职业都有它特定的信用评级起始点数和增长范围，而玩家在信用评级上的分配也会展现出该调查员不同的风范。</t>
  </si>
  <si>
    <t>富裕</t>
  </si>
  <si>
    <t>90-98</t>
  </si>
  <si>
    <t>CR × 20</t>
  </si>
  <si>
    <t>CR × 3000</t>
  </si>
  <si>
    <t>CR × 25万</t>
  </si>
  <si>
    <t>2万</t>
  </si>
  <si>
    <t>CR × 75000</t>
  </si>
  <si>
    <t>CR × 600万</t>
  </si>
  <si>
    <t>50万</t>
  </si>
  <si>
    <t>富豪</t>
  </si>
  <si>
    <t>5万</t>
  </si>
  <si>
    <t>500万+</t>
  </si>
  <si>
    <t>100万</t>
  </si>
  <si>
    <t>10亿+</t>
  </si>
  <si>
    <t>3000万</t>
  </si>
  <si>
    <t>300亿+</t>
  </si>
  <si>
    <t>200万</t>
  </si>
  <si>
    <t>现代 美国 美元$</t>
  </si>
  <si>
    <t>维多利亚时代 英国 英镑£</t>
  </si>
  <si>
    <t>2010S 澳大利亚 澳元$</t>
  </si>
  <si>
    <t>5先令</t>
  </si>
  <si>
    <t>5便士</t>
  </si>
  <si>
    <t>CR x 20</t>
  </si>
  <si>
    <t>CR x 200</t>
  </si>
  <si>
    <t>CR × 1</t>
  </si>
  <si>
    <t>CR × 10</t>
  </si>
  <si>
    <t>20先令</t>
  </si>
  <si>
    <t>CR × 15</t>
  </si>
  <si>
    <t>CR × 110</t>
  </si>
  <si>
    <t>CR × 40</t>
  </si>
  <si>
    <t>2镑10先令</t>
  </si>
  <si>
    <t>CR × 30</t>
  </si>
  <si>
    <t>CR × 10000</t>
  </si>
  <si>
    <t>CR × 12</t>
  </si>
  <si>
    <t>CR × 75</t>
  </si>
  <si>
    <t>CR × 900</t>
  </si>
  <si>
    <t>CR × 400</t>
  </si>
  <si>
    <t>CR × 40000</t>
  </si>
  <si>
    <t>CR × 350</t>
  </si>
  <si>
    <t>CR × 3万</t>
  </si>
  <si>
    <t>1亿+</t>
  </si>
  <si>
    <t>15万</t>
  </si>
  <si>
    <t>30万+</t>
  </si>
  <si>
    <t>900万+</t>
  </si>
  <si>
    <t>8万</t>
  </si>
  <si>
    <t>12便士=1先令；20先令=1英镑(￡)；未标注单位部分都为镑</t>
  </si>
  <si>
    <t>简单易懂英制的长度单位教学~~~</t>
  </si>
  <si>
    <t>连贫穷都够不上的人才能够叫做身无分文。
住所：大概只有睡大街。
旅行：步行，扒车或逃票上火车轮船。</t>
  </si>
  <si>
    <t>首先基础的基础：英尺
大概有你一个脚掌那么大！什么？不方便比量？
那就你的小臂那么长！    （想不到吧这俩差不多长）
巧的是古代中国的尺就是用小臂做基础的，那块骨头叫尺骨</t>
  </si>
  <si>
    <t>贫穷</t>
  </si>
  <si>
    <t>1英尺(ft)=12英寸(in)</t>
  </si>
  <si>
    <t>刚好买得起最廉价的屋顶，每天能够吃到一餐廉价食物
住所：最最最廉价的出租屋或睡袋旅馆。
旅行：最便宜的公众运输方式。反正只要赶便宜就对了，与之相伴的是不可靠。</t>
  </si>
  <si>
    <t>那么英尺你懂了！接下来是一个更小的单位！
“英寸”！英寸大概就你一个手指那么粗
大概12个手指并排就和你的小臂一样长了
另外因为手指可以弯曲排列，并且方便传达
所以英制单位粗略测物甚至比公制单位更加直观</t>
  </si>
  <si>
    <t>1码(yd)=3英尺</t>
  </si>
  <si>
    <t>舒适的生活水平，一日三餐，偶尔下馆子。
住所：普通的家或公寓，并关租赁还是自购。外出住普通的旅馆。
旅行：会使用普通的旅行方式，不会用最高级。在现代来看，大概会有一辆自己的小车。</t>
  </si>
  <si>
    <t>还记得英尺是多长吗？小臂的长度，但是这边要用的是另一个长度，对就是脚。
三个脚并起来差不多就是1码长，也差不多是一步</t>
  </si>
  <si>
    <t>1英里(mi)=1760码=5280英尺</t>
  </si>
  <si>
    <t>小康级别已经可以享受奢侈品的舒适了。
住所：真材实料的住地，也许会有一些仆人（管家，主妇，清洁工，园丁，等等）。乡下估计还有小别墅。会住昂贵的宾馆。
旅行：头等舱。会买高档车或同等的交通工具。</t>
  </si>
  <si>
    <t>出现了！非整数换算！
为啥1英里是一千七百多步呢
其实最开始罗马定的的确是整数(5000英尺)，
但是吧...不知道是英国人脚小还是罗马人脚大、
传过去就是多了280尺，很气。
嘛，大概记忆成走20分钟那么长就好，
或者这样：一千七、一千八、一千七、一千八(米)</t>
  </si>
  <si>
    <t>富裕级别就是享受超级奢侈品的时候了。
住所：豪华住所和有着大量仆人的庭院（管家，女仆，洗妇，园丁等等）。乡下和别处有着别墅是定番。
住总统套房。
旅行：头等舱。现代社会估摸还会有很多豪车。
没有必要因为调查员的生活水平而花时间详细计算住所、饮食和交通。如果调查员想要进行有意义的购买，请看下面的表。</t>
  </si>
  <si>
    <t>豪富</t>
  </si>
  <si>
    <t>1海里(nmi)=2025.3718285码=1852米</t>
  </si>
  <si>
    <t>与富裕差不多，但钱已经只是一个代号了。你将是世
界上最富有的人。</t>
  </si>
  <si>
    <t>这下可好，这个和那几个单位实际上没啥关系。
他是用子午线定义的
所以你就大概理解为两千步的距离就行(其实没多远)</t>
  </si>
  <si>
    <t>现代物价参考表</t>
  </si>
  <si>
    <t>单位：美元                        这些物价不仅会因为国家、地域不同而不同，也会因为时代变化。所以按此表购物前请先与KP确认是否同意。（守秘人规则书：附录Ⅲ：物价表）</t>
  </si>
  <si>
    <t>男装</t>
  </si>
  <si>
    <t>旅行</t>
  </si>
  <si>
    <t>户外与旅行装备</t>
  </si>
  <si>
    <t>通讯</t>
  </si>
  <si>
    <t>子弹</t>
  </si>
  <si>
    <t>价格</t>
  </si>
  <si>
    <t>每盒(发)</t>
  </si>
  <si>
    <t>定制真丝正装</t>
  </si>
  <si>
    <t>1000+</t>
  </si>
  <si>
    <t>机票  每10英里</t>
  </si>
  <si>
    <t>1.4-9.8</t>
  </si>
  <si>
    <t>4 人用炊具</t>
  </si>
  <si>
    <t>本地电话业务</t>
  </si>
  <si>
    <t>.22 LR</t>
  </si>
  <si>
    <t>羊毛细条纹正装</t>
  </si>
  <si>
    <t>国际航班 每100英里</t>
  </si>
  <si>
    <t>22-28</t>
  </si>
  <si>
    <t>丙烷野炊炉</t>
  </si>
  <si>
    <t>无线电话</t>
  </si>
  <si>
    <t>.220 斯威夫特步枪弹(.220 Swift)</t>
  </si>
  <si>
    <t>人造丝混纺正装</t>
  </si>
  <si>
    <t>火车票  距离：</t>
  </si>
  <si>
    <t>便携化学厕所</t>
  </si>
  <si>
    <t>手机</t>
  </si>
  <si>
    <t>.25 自动手枪子弹（.25 ACP 等)</t>
  </si>
  <si>
    <t>宽松慢跑服</t>
  </si>
  <si>
    <t>50 英里</t>
  </si>
  <si>
    <t>6.25</t>
  </si>
  <si>
    <t>涤纶/ 棉睡袋</t>
  </si>
  <si>
    <t>.30 卡宾枪弹</t>
  </si>
  <si>
    <t>飞行员皮夹克</t>
  </si>
  <si>
    <t>100 英里</t>
  </si>
  <si>
    <t>12.5</t>
  </si>
  <si>
    <t>极地睡袋</t>
  </si>
  <si>
    <t>.30-06 春田式步枪弹</t>
  </si>
  <si>
    <t>皮军大衣</t>
  </si>
  <si>
    <t>500 英里</t>
  </si>
  <si>
    <t>6W 荧光灯</t>
  </si>
  <si>
    <t>.357 马格南子弹</t>
  </si>
  <si>
    <t>大码斜纹衬衫</t>
  </si>
  <si>
    <t>海运（英美)  船舱：</t>
  </si>
  <si>
    <t>防抖双筒望远镜</t>
  </si>
  <si>
    <t>廉价 PC</t>
  </si>
  <si>
    <t>.38 Special</t>
  </si>
  <si>
    <t>双褶直筒裤</t>
  </si>
  <si>
    <t>头等舱</t>
  </si>
  <si>
    <t>3500+</t>
  </si>
  <si>
    <t>求生刀</t>
  </si>
  <si>
    <t>笔记本电脑</t>
  </si>
  <si>
    <t>400+</t>
  </si>
  <si>
    <t>5.56 毫米弹</t>
  </si>
  <si>
    <t>圆领棉毛衣</t>
  </si>
  <si>
    <t>标准仓</t>
  </si>
  <si>
    <t>1600+</t>
  </si>
  <si>
    <t>瑞士军刀</t>
  </si>
  <si>
    <t>高级 PC</t>
  </si>
  <si>
    <t>1500+</t>
  </si>
  <si>
    <t>9 毫米鲁格弹</t>
  </si>
  <si>
    <t>牛仔裤</t>
  </si>
  <si>
    <t>货运船费</t>
  </si>
  <si>
    <t>1400+</t>
  </si>
  <si>
    <t>开山刀</t>
  </si>
  <si>
    <t>高级笔记本</t>
  </si>
  <si>
    <t>1300+</t>
  </si>
  <si>
    <t>.44 马格南子弹</t>
  </si>
  <si>
    <t>船底休闲皮鞋</t>
  </si>
  <si>
    <t>10.5mm 干绳索</t>
  </si>
  <si>
    <t>平板电脑</t>
  </si>
  <si>
    <t>.45 自动手枪子弹(.45 ACP)</t>
  </si>
  <si>
    <t>交叉训练运动鞋</t>
  </si>
  <si>
    <t>机动车</t>
  </si>
  <si>
    <t>手持 GPS</t>
  </si>
  <si>
    <t>邮件管理软件</t>
  </si>
  <si>
    <t>10 号霰弹</t>
  </si>
  <si>
    <t>真丝领带</t>
  </si>
  <si>
    <t>登山装备（单人)</t>
  </si>
  <si>
    <t>12 号霰弹</t>
  </si>
  <si>
    <t>保暖内衣</t>
  </si>
  <si>
    <t>宝马摩托车</t>
  </si>
  <si>
    <t>旅行皮划艇（单人)</t>
  </si>
  <si>
    <t>工具</t>
  </si>
  <si>
    <t>16 号霰弹</t>
  </si>
  <si>
    <t>尼龙泳裤</t>
  </si>
  <si>
    <t>杜卡迪街霸摩托车</t>
  </si>
  <si>
    <t>高级水肺装备</t>
  </si>
  <si>
    <t>$2500+</t>
  </si>
  <si>
    <t>20 号霰弹</t>
  </si>
  <si>
    <t>有袋马甲</t>
  </si>
  <si>
    <t>劳斯莱斯幽灵轿车</t>
  </si>
  <si>
    <t>信号枪</t>
  </si>
  <si>
    <t>60 加仑空气压缩机</t>
  </si>
  <si>
    <t>高级登山鞋</t>
  </si>
  <si>
    <t>阿斯顿马丁</t>
  </si>
  <si>
    <t>五金工具箱(255 件套)</t>
  </si>
  <si>
    <t>火器、配件和近战武器</t>
  </si>
  <si>
    <t>防弹背心</t>
  </si>
  <si>
    <t>凯迪拉克 SUV</t>
  </si>
  <si>
    <t>行李</t>
  </si>
  <si>
    <t>焊接设备</t>
  </si>
  <si>
    <t>宝马 1 系</t>
  </si>
  <si>
    <t>开锁工具</t>
  </si>
  <si>
    <t>非法消音器（手枪)</t>
  </si>
  <si>
    <t>女装</t>
  </si>
  <si>
    <t>雪佛兰科尔维特折篷跑车</t>
  </si>
  <si>
    <t>高级书包（15 盎司)</t>
  </si>
  <si>
    <t>激光瞄准器</t>
  </si>
  <si>
    <t>300+</t>
  </si>
  <si>
    <t>道奇 SUV</t>
  </si>
  <si>
    <t>立式手提袋（5 磅)</t>
  </si>
  <si>
    <t>电子器材</t>
  </si>
  <si>
    <t>光学瞄准镜</t>
  </si>
  <si>
    <t>设计师定制礼服，上身一次</t>
  </si>
  <si>
    <t>500+</t>
  </si>
  <si>
    <t>丰田普锐斯</t>
  </si>
  <si>
    <t>筒状行李袋（5 磅)</t>
  </si>
  <si>
    <t>手持电击器</t>
  </si>
  <si>
    <t>高级真丝垂边礼服</t>
  </si>
  <si>
    <t>福特福克斯</t>
  </si>
  <si>
    <t>民用波段警用无线电扫描仪</t>
  </si>
  <si>
    <t>电击警棍</t>
  </si>
  <si>
    <t>腈纶西服</t>
  </si>
  <si>
    <t>住宿</t>
  </si>
  <si>
    <t>三波段步话机</t>
  </si>
  <si>
    <t>辣椒水</t>
  </si>
  <si>
    <t>编织人造丝长大衣</t>
  </si>
  <si>
    <t>帐篷和野营车</t>
  </si>
  <si>
    <t>雷达天线</t>
  </si>
  <si>
    <t>铝指虎</t>
  </si>
  <si>
    <t>涤纶无褶裤</t>
  </si>
  <si>
    <t>经济汽车旅馆</t>
  </si>
  <si>
    <t>35mm 数码单反相机</t>
  </si>
  <si>
    <t>复合弩</t>
  </si>
  <si>
    <t>600+</t>
  </si>
  <si>
    <t>水洗蓝牛仔裤</t>
  </si>
  <si>
    <t>3 房间家庭帐篷</t>
  </si>
  <si>
    <t>一般旅馆</t>
  </si>
  <si>
    <t>90+</t>
  </si>
  <si>
    <t>袖珍一次性相机</t>
  </si>
  <si>
    <t>弩箭（12 支)</t>
  </si>
  <si>
    <t>机车皮夹克</t>
  </si>
  <si>
    <t>3 人测地帐篷</t>
  </si>
  <si>
    <t>每周（带服务)</t>
  </si>
  <si>
    <t>金属探测器</t>
  </si>
  <si>
    <t>吹箭筒（带镖)</t>
  </si>
  <si>
    <t>羊毛混纺外套</t>
  </si>
  <si>
    <t>温尼贝戈 RV 房车</t>
  </si>
  <si>
    <t>$120000+</t>
  </si>
  <si>
    <t>高级旅馆</t>
  </si>
  <si>
    <t>盖革计数器</t>
  </si>
  <si>
    <t>弹药带</t>
  </si>
  <si>
    <t>纽扣高领毛衣</t>
  </si>
  <si>
    <t>发电机（1500W)</t>
  </si>
  <si>
    <t>大酒店</t>
  </si>
  <si>
    <t>运动感应报警器</t>
  </si>
  <si>
    <t>双节棍</t>
  </si>
  <si>
    <t>时装印花薄毛</t>
  </si>
  <si>
    <t>房子（年租金)</t>
  </si>
  <si>
    <t>20000+</t>
  </si>
  <si>
    <t>红外线周界报警器</t>
  </si>
  <si>
    <t>时装轻舞鞋</t>
  </si>
  <si>
    <t>医疗用品</t>
  </si>
  <si>
    <t>公寓（周租金)</t>
  </si>
  <si>
    <t>$350+</t>
  </si>
  <si>
    <t>电话变声器</t>
  </si>
  <si>
    <t>时装长靴</t>
  </si>
  <si>
    <t>摄像录音笔</t>
  </si>
  <si>
    <t>医疗箱</t>
  </si>
  <si>
    <t>娱乐</t>
  </si>
  <si>
    <t>电话窃听检测器</t>
  </si>
  <si>
    <t>挎包</t>
  </si>
  <si>
    <t>一次性防毒面罩</t>
  </si>
  <si>
    <t>窃听扫描工具</t>
  </si>
  <si>
    <t>弹性氨纶自行车运动服</t>
  </si>
  <si>
    <t>完整急救箱</t>
  </si>
  <si>
    <t>LED 电视机</t>
  </si>
  <si>
    <t>穿戴式偷拍摄像头</t>
  </si>
  <si>
    <t>烧伤急救工具</t>
  </si>
  <si>
    <t>3D 电视机</t>
  </si>
  <si>
    <t>2000+</t>
  </si>
  <si>
    <t>隐蔽录音设备</t>
  </si>
  <si>
    <t>便携氧气瓶</t>
  </si>
  <si>
    <t>电影</t>
  </si>
  <si>
    <t>窃听设备</t>
  </si>
  <si>
    <t>流行音乐会</t>
  </si>
  <si>
    <t>夜视仪</t>
  </si>
  <si>
    <t>职业美式足球赛（次座)</t>
  </si>
  <si>
    <t>芭蕾舞演出（次座)</t>
  </si>
  <si>
    <t>1920年代物价参考表</t>
  </si>
  <si>
    <t>将1920的物价大概翻个20倍就是现代物价了</t>
  </si>
  <si>
    <t>帐篷</t>
  </si>
  <si>
    <t>酒水</t>
  </si>
  <si>
    <t>枪械子弹（现代见上表）</t>
  </si>
  <si>
    <t>现代换算</t>
  </si>
  <si>
    <t>精纺毛料礼服</t>
  </si>
  <si>
    <t>炊具箱</t>
  </si>
  <si>
    <t>7平方英尺</t>
  </si>
  <si>
    <t>劣质杜松子酒（少量)</t>
  </si>
  <si>
    <t>开司米礼服</t>
  </si>
  <si>
    <t>野炊炉</t>
  </si>
  <si>
    <t>12×16英尺</t>
  </si>
  <si>
    <t>鸡尾酒</t>
  </si>
  <si>
    <t>.22 中空弹</t>
  </si>
  <si>
    <t>马海毛礼服西装</t>
  </si>
  <si>
    <t>真空杯</t>
  </si>
  <si>
    <t>16×24英尺</t>
  </si>
  <si>
    <t>红酒（杯)</t>
  </si>
  <si>
    <t>.25 凸缘式底火子弹</t>
  </si>
  <si>
    <t>灯芯绒诺福克夹克</t>
  </si>
  <si>
    <t>折叠浴缸</t>
  </si>
  <si>
    <t>防水布 24×36 英尺</t>
  </si>
  <si>
    <t>啤酒（杯)</t>
  </si>
  <si>
    <t>.30-06 春田式步枪子弹</t>
  </si>
  <si>
    <t>林场连衫裤</t>
  </si>
  <si>
    <t>防水毯(58'×96', 147×244cm)</t>
  </si>
  <si>
    <t>7×7 英尺汽车帐篷</t>
  </si>
  <si>
    <t>威士忌（杯)</t>
  </si>
  <si>
    <t>.32 温彻斯特 Special</t>
  </si>
  <si>
    <t>风衣</t>
  </si>
  <si>
    <t>9.95-35</t>
  </si>
  <si>
    <t>199-700</t>
  </si>
  <si>
    <t>行军床</t>
  </si>
  <si>
    <t>13.5 寸铁质帐篷桩(12 支)</t>
  </si>
  <si>
    <t>可口可乐(340毫升)</t>
  </si>
  <si>
    <t>.32-20 自动步枪子弹</t>
  </si>
  <si>
    <t>狗皮大衣</t>
  </si>
  <si>
    <t>电石灯（光束 300')</t>
  </si>
  <si>
    <t>车载床铺(auto bed)</t>
  </si>
  <si>
    <t>.38 短头弹</t>
  </si>
  <si>
    <t>切斯特菲尔德大衣(软领长大衣)</t>
  </si>
  <si>
    <t>罐装电石（2 磅)</t>
  </si>
  <si>
    <t>液体容器</t>
  </si>
  <si>
    <t>食材</t>
  </si>
  <si>
    <t>.38-55自动步枪子弹</t>
  </si>
  <si>
    <t>牛津式皮鞋</t>
  </si>
  <si>
    <t>探照灯</t>
  </si>
  <si>
    <t>水壶（946 毫升)</t>
  </si>
  <si>
    <t>名称  （每磅）</t>
  </si>
  <si>
    <t>.44 大威力手枪弹</t>
  </si>
  <si>
    <t>革制工作鞋</t>
  </si>
  <si>
    <t>汽油灯（内置油泵)</t>
  </si>
  <si>
    <t>保温水箱（18.9 升)</t>
  </si>
  <si>
    <t>糖渍培根</t>
  </si>
  <si>
    <t>.45 自动手枪子弹</t>
  </si>
  <si>
    <t>白色法兰绒宽松长裤</t>
  </si>
  <si>
    <t>煤油灯</t>
  </si>
  <si>
    <t>水袋（3.8 升)</t>
  </si>
  <si>
    <t>炖牛肉</t>
  </si>
  <si>
    <t>花边马裤</t>
  </si>
  <si>
    <t>带遮光装置的提灯</t>
  </si>
  <si>
    <t>水袋（7.6 升)</t>
  </si>
  <si>
    <t>博洛尼亚香肠、法兰克福香肠</t>
  </si>
  <si>
    <t>密织棉布衬衫</t>
  </si>
  <si>
    <t>0.79-1.25</t>
  </si>
  <si>
    <t>15.8-25</t>
  </si>
  <si>
    <t>手电筒</t>
  </si>
  <si>
    <t>1.35-2.25</t>
  </si>
  <si>
    <t>27-45</t>
  </si>
  <si>
    <t>水袋（18.9 升)</t>
  </si>
  <si>
    <t>布鲁克菲尔德牌黄油</t>
  </si>
  <si>
    <t>细平布礼服衬衫</t>
  </si>
  <si>
    <t>电池</t>
  </si>
  <si>
    <t>无花果酱夹馅曲奇</t>
  </si>
  <si>
    <t>运动羊毛衫</t>
  </si>
  <si>
    <t>笔型手电筒</t>
  </si>
  <si>
    <t>熏小牛火腿</t>
  </si>
  <si>
    <t>费多拉帽</t>
  </si>
  <si>
    <t>一次性信号火炬</t>
  </si>
  <si>
    <t>羊腿</t>
  </si>
  <si>
    <t>毛料高尔夫帽</t>
  </si>
  <si>
    <t>单筒望远镜</t>
  </si>
  <si>
    <t>阿司匹林（12 片)</t>
  </si>
  <si>
    <t>斯威夫特牌精炼猪油</t>
  </si>
  <si>
    <t>草帽</t>
  </si>
  <si>
    <t>野外望远镜（3 ～ 6 倍)</t>
  </si>
  <si>
    <t>6-23</t>
  </si>
  <si>
    <t>120-460</t>
  </si>
  <si>
    <t>泻盐（硫酸镁)/每磅</t>
  </si>
  <si>
    <t>柑橘</t>
  </si>
  <si>
    <t>有衬垫的革制橄榄球头盔</t>
  </si>
  <si>
    <t>双筒望远镜</t>
  </si>
  <si>
    <t>消化不良药</t>
  </si>
  <si>
    <t>加州西梅</t>
  </si>
  <si>
    <t>运动衫（恤)</t>
  </si>
  <si>
    <t>宝石指南针</t>
  </si>
  <si>
    <t>Nature's Remedy 牌轻泻剂</t>
  </si>
  <si>
    <t>大米</t>
  </si>
  <si>
    <t>海豹皮帽</t>
  </si>
  <si>
    <t>有盖指南针</t>
  </si>
  <si>
    <t>医药箱</t>
  </si>
  <si>
    <t>胡萝卜(每束)</t>
  </si>
  <si>
    <t>12 号单管霰弹枪组件</t>
  </si>
  <si>
    <t>真丝四手结领带</t>
  </si>
  <si>
    <t>可拆卸的钓竿滑轮组合</t>
  </si>
  <si>
    <t>手术镊套装</t>
  </si>
  <si>
    <t>桃子（每篮）</t>
  </si>
  <si>
    <t>12 号双管霰弹枪组件</t>
  </si>
  <si>
    <t>麻包线</t>
  </si>
  <si>
    <t>手术刀套装</t>
  </si>
  <si>
    <t>玉米（每个）</t>
  </si>
  <si>
    <t>手枪附加弹夹</t>
  </si>
  <si>
    <t>蝴蝶领结</t>
  </si>
  <si>
    <t>计步器</t>
  </si>
  <si>
    <t>皮下注射器</t>
  </si>
  <si>
    <t>生菜（每个）</t>
  </si>
  <si>
    <t>吊袜带</t>
  </si>
  <si>
    <t>重型帆布背包</t>
  </si>
  <si>
    <t>喷雾器</t>
  </si>
  <si>
    <t>鸡蛋（每12个）</t>
  </si>
  <si>
    <t>近战武器</t>
  </si>
  <si>
    <t>棉质连衫裤</t>
  </si>
  <si>
    <t>15 小时蜡烛（12 支)</t>
  </si>
  <si>
    <t>纱布绷带（5 码)</t>
  </si>
  <si>
    <t>西红柿（每罐）</t>
  </si>
  <si>
    <t>袖扣</t>
  </si>
  <si>
    <t>防水盒装火柴</t>
  </si>
  <si>
    <t>医用温度计</t>
  </si>
  <si>
    <t>进口橄榄油（1.9升）</t>
  </si>
  <si>
    <t>西洋剑</t>
  </si>
  <si>
    <t>皮带</t>
  </si>
  <si>
    <t>利刃</t>
  </si>
  <si>
    <t>医用酒精( 1.89 升)</t>
  </si>
  <si>
    <t>豌豆（2.2升）</t>
  </si>
  <si>
    <t>刺刀</t>
  </si>
  <si>
    <t>背带</t>
  </si>
  <si>
    <t>猎刀</t>
  </si>
  <si>
    <t>硬橡胶针筒</t>
  </si>
  <si>
    <t>土豆（4.4升）</t>
  </si>
  <si>
    <t>匕首</t>
  </si>
  <si>
    <t>登山靴</t>
  </si>
  <si>
    <t>双刃折刀</t>
  </si>
  <si>
    <t>便盆</t>
  </si>
  <si>
    <t>直刀剃刀</t>
  </si>
  <si>
    <t>0.65-5.25</t>
  </si>
  <si>
    <t>13-105</t>
  </si>
  <si>
    <t>钉鞋</t>
  </si>
  <si>
    <t>手斧</t>
  </si>
  <si>
    <t>轮椅</t>
  </si>
  <si>
    <t>外出用餐</t>
  </si>
  <si>
    <t>铜指虎</t>
  </si>
  <si>
    <t>泳衣</t>
  </si>
  <si>
    <t>陷阱</t>
  </si>
  <si>
    <t>枫木拐杖</t>
  </si>
  <si>
    <t>警棍(12英寸)</t>
  </si>
  <si>
    <t>帆布拖鞋</t>
  </si>
  <si>
    <t>小型动物陷阱（小型捕兽笼)</t>
  </si>
  <si>
    <t>橡皮膏</t>
  </si>
  <si>
    <t>大餐(每人)</t>
  </si>
  <si>
    <t>马鞭</t>
  </si>
  <si>
    <t>螺旋弹簧动物陷阱( 弹簧捕兽夹)</t>
  </si>
  <si>
    <t>金属足弓支撑垫</t>
  </si>
  <si>
    <t>早餐</t>
  </si>
  <si>
    <t>4 磅伐木斧</t>
  </si>
  <si>
    <t>捕熊陷阱</t>
  </si>
  <si>
    <t>皮革护踝</t>
  </si>
  <si>
    <t>午餐</t>
  </si>
  <si>
    <t>16 英尺 牛鞭</t>
  </si>
  <si>
    <t>船只</t>
  </si>
  <si>
    <t>正餐</t>
  </si>
  <si>
    <t>定制时装礼服</t>
  </si>
  <si>
    <t>1800+</t>
  </si>
  <si>
    <t>钢质划艇（4 人)</t>
  </si>
  <si>
    <t>化妆品、卫生用品</t>
  </si>
  <si>
    <t>1920 年代黑市武器</t>
  </si>
  <si>
    <t>真丝绉绸礼服</t>
  </si>
  <si>
    <t>划艇用 2 马力引擎</t>
  </si>
  <si>
    <t>塔夫绸礼服</t>
  </si>
  <si>
    <t>帆布和木质独木舟</t>
  </si>
  <si>
    <t>化妆盒</t>
  </si>
  <si>
    <t>汤普森冲锋枪</t>
  </si>
  <si>
    <t>1d6×50</t>
  </si>
  <si>
    <t>查米尤斯绉缎礼服</t>
  </si>
  <si>
    <t>男士洗漱用具（10 件)</t>
  </si>
  <si>
    <t>工具套装（20 件套)</t>
  </si>
  <si>
    <t>.30 口径机枪</t>
  </si>
  <si>
    <t>1d100×50</t>
  </si>
  <si>
    <t>花格布连衣裙</t>
  </si>
  <si>
    <t>旅行（现代见上表）</t>
  </si>
  <si>
    <t>女士洗漱用具（15 件)</t>
  </si>
  <si>
    <t>手钻（附 8 件套钻头)</t>
  </si>
  <si>
    <t>.30 口径穿甲弹 每500颗</t>
  </si>
  <si>
    <t>法式棱纹布礼服</t>
  </si>
  <si>
    <t>航空</t>
  </si>
  <si>
    <t>染发剂</t>
  </si>
  <si>
    <t>大型铁滑轮</t>
  </si>
  <si>
    <t>.50 口径水冷式机枪</t>
  </si>
  <si>
    <t>1D100×30+300</t>
  </si>
  <si>
    <t>丝质百褶裙，</t>
  </si>
  <si>
    <t>平均机票价格  每10英里</t>
  </si>
  <si>
    <t>卷发棒，小卷</t>
  </si>
  <si>
    <t>挂锁</t>
  </si>
  <si>
    <t>.50 口径穿甲弹 每500颗</t>
  </si>
  <si>
    <t>棉质女衬衫</t>
  </si>
  <si>
    <t>国际航班价格 每100英里</t>
  </si>
  <si>
    <t>发梳</t>
  </si>
  <si>
    <t>绳索（50 英尺)</t>
  </si>
  <si>
    <t>60mm 野战迫击炮</t>
  </si>
  <si>
    <t>1d6×200</t>
  </si>
  <si>
    <t>精纺毛衣</t>
  </si>
  <si>
    <t>瑟布莱斯复翼教练机</t>
  </si>
  <si>
    <t>法兰绒发网</t>
  </si>
  <si>
    <t>轻绞链（每英尺)</t>
  </si>
  <si>
    <t>60mm 榴弹</t>
  </si>
  <si>
    <t>棉绉纱便服</t>
  </si>
  <si>
    <t>Travel Air 2000 复翼机</t>
  </si>
  <si>
    <t>李施德林牌漱口水</t>
  </si>
  <si>
    <t>修表工具箱</t>
  </si>
  <si>
    <t>60mm 照明弹（亮如白昼）</t>
  </si>
  <si>
    <t>巴黎式高跟鞋</t>
  </si>
  <si>
    <t>铁路</t>
  </si>
  <si>
    <t>椰油洗发液</t>
  </si>
  <si>
    <t>撬棍</t>
  </si>
  <si>
    <t>75mm 野战火炮</t>
  </si>
  <si>
    <t>1D100×100+800</t>
  </si>
  <si>
    <t>皮制单带拖鞋</t>
  </si>
  <si>
    <t>肥皂（12 块)</t>
  </si>
  <si>
    <t>手锯</t>
  </si>
  <si>
    <t>75mm 穿甲弹或照明弹</t>
  </si>
  <si>
    <t>天鹅绒暖帽</t>
  </si>
  <si>
    <t>爽身粉</t>
  </si>
  <si>
    <t>汽油喷灯</t>
  </si>
  <si>
    <t>稀有或非法的武器可以在黑市入手。购买流程是找到卖家，谈妥价钱，钱货交易，拿货走人。交易可能会被警察干涉，卖家也可能试图打劫或杀死买家。</t>
  </si>
  <si>
    <t>软缎无檐帽</t>
  </si>
  <si>
    <t>白速得牌牙膏</t>
  </si>
  <si>
    <t>电工手套</t>
  </si>
  <si>
    <t>人造丝弹性紧身胸衣</t>
  </si>
  <si>
    <t>航海（英美)</t>
  </si>
  <si>
    <t>高空作业工具腰带和安全带</t>
  </si>
  <si>
    <t>绣花连衣长衬裙</t>
  </si>
  <si>
    <t>头等舱（单程）</t>
  </si>
  <si>
    <t>抓绳器</t>
  </si>
  <si>
    <t>长筒丝袜（3 双)</t>
  </si>
  <si>
    <t>头等舱（往返）</t>
  </si>
  <si>
    <t>首饰加工工具 48 件套</t>
  </si>
  <si>
    <t>丝织灯笼裤</t>
  </si>
  <si>
    <t>3.98-4.98</t>
  </si>
  <si>
    <t>79.6-99.6</t>
  </si>
  <si>
    <t>统舱</t>
  </si>
  <si>
    <t>诺顿摩托车</t>
  </si>
  <si>
    <t>砂轮机</t>
  </si>
  <si>
    <t>粗呢夹克，备全衬</t>
  </si>
  <si>
    <t>其他特殊</t>
  </si>
  <si>
    <t>别克 D-45</t>
  </si>
  <si>
    <t>工兵铲</t>
  </si>
  <si>
    <t>毛皮饰边的天鹅绒大衣</t>
  </si>
  <si>
    <t>四人热气球</t>
  </si>
  <si>
    <t>KP决定</t>
  </si>
  <si>
    <t>凯迪拉克 55</t>
  </si>
  <si>
    <t>家庭用工具箱</t>
  </si>
  <si>
    <t>棕色狐皮大衣</t>
  </si>
  <si>
    <t>有轨电车票</t>
  </si>
  <si>
    <t>雪佛兰 Capitol</t>
  </si>
  <si>
    <t>棉质束腰风衣</t>
  </si>
  <si>
    <t>公交车票</t>
  </si>
  <si>
    <t>克莱斯勒 F-58</t>
  </si>
  <si>
    <t>调查工具</t>
  </si>
  <si>
    <t>绢束腰风衣</t>
  </si>
  <si>
    <t>道奇 S/1</t>
  </si>
  <si>
    <t>真丝手袋</t>
  </si>
  <si>
    <t>房产</t>
  </si>
  <si>
    <t>杜森堡 J 型车</t>
  </si>
  <si>
    <t>手铐</t>
  </si>
  <si>
    <t>装饰发梳</t>
  </si>
  <si>
    <t>福特 T 型车</t>
  </si>
  <si>
    <t>手铐备用钥匙</t>
  </si>
  <si>
    <t>乡村大宅(13 房间, 2 马棚)</t>
  </si>
  <si>
    <t>40万+</t>
  </si>
  <si>
    <t>福特 A 型车</t>
  </si>
  <si>
    <t>警哨</t>
  </si>
  <si>
    <t>户外服饰</t>
  </si>
  <si>
    <t>大型房屋（10 房间)</t>
  </si>
  <si>
    <t>7000+</t>
  </si>
  <si>
    <t>14万+</t>
  </si>
  <si>
    <t>哈德孙 Super Six J 系列</t>
  </si>
  <si>
    <t>电话录音机</t>
  </si>
  <si>
    <t>城镇房屋(6 房间)</t>
  </si>
  <si>
    <t>4000-8000</t>
  </si>
  <si>
    <t>8万-16万</t>
  </si>
  <si>
    <t>奥兹摩比 43-AT</t>
  </si>
  <si>
    <t>钢丝录音机</t>
  </si>
  <si>
    <t>古董</t>
  </si>
  <si>
    <t>卡其牛仔布</t>
  </si>
  <si>
    <t>普通房屋（8 房间)</t>
  </si>
  <si>
    <t>2900+</t>
  </si>
  <si>
    <t>3.8万+</t>
  </si>
  <si>
    <t>帕卡德双六缸房车</t>
  </si>
  <si>
    <t>腕表</t>
  </si>
  <si>
    <t>毛呢或亚麻</t>
  </si>
  <si>
    <t>平房（4 房间)</t>
  </si>
  <si>
    <t>皮尔斯箭</t>
  </si>
  <si>
    <t>金怀表</t>
  </si>
  <si>
    <t>短衬裤</t>
  </si>
  <si>
    <t>预设房屋</t>
  </si>
  <si>
    <t>庞帝克 6-28 轿车</t>
  </si>
  <si>
    <t>自来水笔</t>
  </si>
  <si>
    <t>Clyde（6 房间)</t>
  </si>
  <si>
    <t>斯图贝克标准/ 独裁者</t>
  </si>
  <si>
    <t>自动铅笔</t>
  </si>
  <si>
    <t>灰色毛呢</t>
  </si>
  <si>
    <t>Columbine（8 房间)</t>
  </si>
  <si>
    <t>雪佛兰敞篷车</t>
  </si>
  <si>
    <t>写字板</t>
  </si>
  <si>
    <t>白色亚麻</t>
  </si>
  <si>
    <t>Honor（9 房间)</t>
  </si>
  <si>
    <t>哈德森面包车（限载 7 人)</t>
  </si>
  <si>
    <t>紧身衣</t>
  </si>
  <si>
    <t>卡其紧身裤</t>
  </si>
  <si>
    <t>Atlanta（24 房间公寓)</t>
  </si>
  <si>
    <t>斯图贝克房车（限载 5 人)</t>
  </si>
  <si>
    <t>画板</t>
  </si>
  <si>
    <t>户外靴</t>
  </si>
  <si>
    <t>1920 年二手雪佛兰 F.B. 轿车</t>
  </si>
  <si>
    <t>全套潜水装备</t>
  </si>
  <si>
    <t>1917 年二手别克</t>
  </si>
  <si>
    <t>雷明顿牌打字机</t>
  </si>
  <si>
    <t>泳帽</t>
  </si>
  <si>
    <t>名称（每晚）</t>
  </si>
  <si>
    <t>雪佛兰皮卡，1929 年</t>
  </si>
  <si>
    <t>哈里斯牌打字机</t>
  </si>
  <si>
    <t>普通旅馆</t>
  </si>
  <si>
    <t>道奇半吨小卡车，1919 年</t>
  </si>
  <si>
    <t>便携显微镜</t>
  </si>
  <si>
    <t>泵式鞋（船形高跟鞋)</t>
  </si>
  <si>
    <t>每周（包括服务）</t>
  </si>
  <si>
    <t>福特 TT 卡车，1927 年</t>
  </si>
  <si>
    <t>110倍桌上显微镜</t>
  </si>
  <si>
    <t>廉价小旅馆</t>
  </si>
  <si>
    <t>英国宾利 3 升型</t>
  </si>
  <si>
    <t>落地保险柜（3英尺高/431kg）</t>
  </si>
  <si>
    <t>德国宝马迪克西</t>
  </si>
  <si>
    <t>雨伞</t>
  </si>
  <si>
    <t>每周（包括服务)</t>
  </si>
  <si>
    <t>法国雪铁龙 C3</t>
  </si>
  <si>
    <t>土耳其水烟斗</t>
  </si>
  <si>
    <t>手提包        8 磅</t>
  </si>
  <si>
    <t>豪华宾馆</t>
  </si>
  <si>
    <t>30+</t>
  </si>
  <si>
    <t>西班牙希斯帕诺- 苏扎 阿方索</t>
  </si>
  <si>
    <t>一包香烟</t>
  </si>
  <si>
    <t>手提箱       15 磅</t>
  </si>
  <si>
    <t>YMCA（基督教青年会) 有家具</t>
  </si>
  <si>
    <t>意大利蓝旗亚 兰姆达214</t>
  </si>
  <si>
    <t>一盒雪茄</t>
  </si>
  <si>
    <t>扁行李箱     55 磅</t>
  </si>
  <si>
    <t>租房</t>
  </si>
  <si>
    <t>德国梅塞迪斯- 奔驰 SS</t>
  </si>
  <si>
    <t>全本词典</t>
  </si>
  <si>
    <t>衣橱式行李箱 95 磅</t>
  </si>
  <si>
    <t>大型房屋（每年)</t>
  </si>
  <si>
    <t>法国雷诺 AX</t>
  </si>
  <si>
    <t>十卷百科全书</t>
  </si>
  <si>
    <t>衣橱式行李箱 115 磅</t>
  </si>
  <si>
    <t>中型房屋（每月）</t>
  </si>
  <si>
    <t>英国劳斯莱斯：银魅</t>
  </si>
  <si>
    <t>湿海绵口罩</t>
  </si>
  <si>
    <t>黑漆皮旅行箱</t>
  </si>
  <si>
    <t>度假别墅（每季）</t>
  </si>
  <si>
    <t>英国劳斯莱斯：幻影Ⅰ型</t>
  </si>
  <si>
    <t>三透镜便携放大镜（7-30倍）</t>
  </si>
  <si>
    <t>公寓楼（每周）</t>
  </si>
  <si>
    <t>汽车配件</t>
  </si>
  <si>
    <t>《圣经》</t>
  </si>
  <si>
    <t>一般公寓（每周）</t>
  </si>
  <si>
    <t>轮胎</t>
  </si>
  <si>
    <t>公文包</t>
  </si>
  <si>
    <t>高级公寓（每周）</t>
  </si>
  <si>
    <t>轮胎修理工具</t>
  </si>
  <si>
    <t>地球仪</t>
  </si>
  <si>
    <t>电报：12字以内</t>
  </si>
  <si>
    <t>业务取消</t>
  </si>
  <si>
    <t>轮胎雪地防滑链</t>
  </si>
  <si>
    <t>折叠书桌</t>
  </si>
  <si>
    <t>每加一字</t>
  </si>
  <si>
    <t>家具</t>
  </si>
  <si>
    <t>千斤顶</t>
  </si>
  <si>
    <t>玻璃门书橱（200本）</t>
  </si>
  <si>
    <t>国际电报每字</t>
  </si>
  <si>
    <t>电瓶</t>
  </si>
  <si>
    <t>婴儿推车</t>
  </si>
  <si>
    <t>邮费：每28克</t>
  </si>
  <si>
    <t>法国竹片扶手椅</t>
  </si>
  <si>
    <t>散热器</t>
  </si>
  <si>
    <t>化学灭火器</t>
  </si>
  <si>
    <t>明信片</t>
  </si>
  <si>
    <t>100-400</t>
  </si>
  <si>
    <t>摇椅</t>
  </si>
  <si>
    <t>替换汽车头灯</t>
  </si>
  <si>
    <t>修表眼镜</t>
  </si>
  <si>
    <t>台式收音机</t>
  </si>
  <si>
    <t>书桌</t>
  </si>
  <si>
    <t>便携气泵</t>
  </si>
  <si>
    <t>座机（桥式）</t>
  </si>
  <si>
    <t>东方式地毯</t>
  </si>
  <si>
    <t>400-1000</t>
  </si>
  <si>
    <t>聚光灯（※ 雾灯)</t>
  </si>
  <si>
    <t>运动与游戏</t>
  </si>
  <si>
    <t>发报机</t>
  </si>
  <si>
    <t>胡桃木卧室组合家具</t>
  </si>
  <si>
    <t>车载行李架</t>
  </si>
  <si>
    <t>报纸</t>
  </si>
  <si>
    <t>胡桃木厨房组合家具</t>
  </si>
  <si>
    <t>陶土弹珠（150 颗)</t>
  </si>
  <si>
    <t>马海毛软垫客厅组合家具</t>
  </si>
  <si>
    <t>玻璃弹珠（25 颗)</t>
  </si>
  <si>
    <t>家用电器等</t>
  </si>
  <si>
    <t>棒球手套</t>
  </si>
  <si>
    <t>电扇</t>
  </si>
  <si>
    <t>电影票，有座</t>
  </si>
  <si>
    <t>棒球棒</t>
  </si>
  <si>
    <t>52 件套餐具</t>
  </si>
  <si>
    <t>五分电影票</t>
  </si>
  <si>
    <t>棒球接球手面罩与护具</t>
  </si>
  <si>
    <t>玻璃罩灯具</t>
  </si>
  <si>
    <t>职业棒球比赛</t>
  </si>
  <si>
    <t>棒球</t>
  </si>
  <si>
    <t>煤气灶</t>
  </si>
  <si>
    <t>音乐会（普通座)</t>
  </si>
  <si>
    <t>篮球</t>
  </si>
  <si>
    <t>冰箱</t>
  </si>
  <si>
    <t>音乐会（包厢)</t>
  </si>
  <si>
    <t>橄榄球</t>
  </si>
  <si>
    <t>吸尘器</t>
  </si>
  <si>
    <t>留声机/照相机</t>
  </si>
  <si>
    <t>轮滑鞋</t>
  </si>
  <si>
    <t>洗衣机</t>
  </si>
  <si>
    <t>柜式留声机</t>
  </si>
  <si>
    <t>网球拍带球（3 枚)</t>
  </si>
  <si>
    <t>留声机唱片</t>
  </si>
  <si>
    <t>新手高尔夫套装（带包)</t>
  </si>
  <si>
    <t>布朗尼盒式相机</t>
  </si>
  <si>
    <t>2.29-4.49</t>
  </si>
  <si>
    <t>专业钢质高尔夫球棒</t>
  </si>
  <si>
    <t>胶卷（24 张)</t>
  </si>
  <si>
    <t>高尔夫球包</t>
  </si>
  <si>
    <t>大学学费（学期)</t>
  </si>
  <si>
    <t>275-480</t>
  </si>
  <si>
    <t>5500-9600</t>
  </si>
  <si>
    <t>胶片显影工具</t>
  </si>
  <si>
    <t>拳击手套</t>
  </si>
  <si>
    <t>学生食宿（年)</t>
  </si>
  <si>
    <t>350-520</t>
  </si>
  <si>
    <t>7000-10400</t>
  </si>
  <si>
    <t>柯达可折叠一号相机</t>
  </si>
  <si>
    <t>4.25-28.00</t>
  </si>
  <si>
    <t>5 磅哑铃（一对)</t>
  </si>
  <si>
    <t>教材（学期</t>
  </si>
  <si>
    <t>伊斯曼商用相机</t>
  </si>
  <si>
    <t>竹撑竿，12 英尺</t>
  </si>
  <si>
    <t>16mm 电影胶片与放映机</t>
  </si>
  <si>
    <t>纸牌</t>
  </si>
  <si>
    <t>便携式摄像机</t>
  </si>
  <si>
    <t>通灵板（美国版碟仙)</t>
  </si>
  <si>
    <t>多米诺骨牌</t>
  </si>
  <si>
    <t>四弦班卓琴</t>
  </si>
  <si>
    <t>象棋</t>
  </si>
  <si>
    <t>黄铜萨克斯</t>
  </si>
  <si>
    <t>自行车</t>
  </si>
  <si>
    <t>手风琴</t>
  </si>
  <si>
    <t>门球球具</t>
  </si>
  <si>
    <t>尤克里里（带配件)</t>
  </si>
  <si>
    <t>台球杆</t>
  </si>
  <si>
    <t>吉他（带配件)</t>
  </si>
  <si>
    <t>麻将桌</t>
  </si>
  <si>
    <t>小提琴（带配件)</t>
  </si>
  <si>
    <t>军号</t>
  </si>
  <si>
    <t>风琴</t>
  </si>
  <si>
    <t>自动钢琴</t>
  </si>
  <si>
    <t>武器类型</t>
  </si>
  <si>
    <t>每轮</t>
  </si>
  <si>
    <t>常见时代</t>
  </si>
  <si>
    <t>价格20s/现代($)</t>
  </si>
  <si>
    <t>发明时间</t>
  </si>
  <si>
    <t>弓箭</t>
  </si>
  <si>
    <t>1D6+半DB</t>
  </si>
  <si>
    <t>30码</t>
  </si>
  <si>
    <t>1</t>
  </si>
  <si>
    <t>97</t>
  </si>
  <si>
    <t>1920s,现代</t>
  </si>
  <si>
    <t>7/75</t>
  </si>
  <si>
    <t>常规武器</t>
  </si>
  <si>
    <t>一般来说冷兵器都是一回合攻击一次。并且可以格挡甚至缴械。</t>
  </si>
  <si>
    <t>电锯：非常难操作的武器。大失败概率加倍；大失败的情况非常糟糕，可能会锁住使用者的头肩，或者直接切向他们的腿脚，而对使用者造成 2D8 点伤害。或者链条会断裂并缠在使用者的躯干上（2D8 伤害)。故障值可能导致链锯的电机停转、锯条堵塞或脱链。受到链锯的重伤会随机丧失一条肢体。</t>
  </si>
  <si>
    <t>1D6+[DB]/2</t>
  </si>
  <si>
    <t>黄铜指虎</t>
  </si>
  <si>
    <t>1D3+1+DB</t>
  </si>
  <si>
    <t>接触</t>
  </si>
  <si>
    <t>1/10</t>
  </si>
  <si>
    <t>1D3+1+[DB]</t>
  </si>
  <si>
    <t>长鞭</t>
  </si>
  <si>
    <t>1D3+半DB</t>
  </si>
  <si>
    <t>10英尺</t>
  </si>
  <si>
    <t>1920s</t>
  </si>
  <si>
    <t>5/50</t>
  </si>
  <si>
    <t>1D3+[DB]/2</t>
  </si>
  <si>
    <t>燃烧的火把</t>
  </si>
  <si>
    <t>1D6+燃烧</t>
  </si>
  <si>
    <t>0.05/0.5</t>
  </si>
  <si>
    <t>1D6</t>
  </si>
  <si>
    <t>2D8</t>
  </si>
  <si>
    <t>95</t>
  </si>
  <si>
    <t>——/300</t>
  </si>
  <si>
    <t>1926年</t>
  </si>
  <si>
    <t>包皮金属棍(甩棍、大头棍、护身棒)</t>
  </si>
  <si>
    <t>1D8+DB</t>
  </si>
  <si>
    <t>2/15</t>
  </si>
  <si>
    <t>1940年</t>
  </si>
  <si>
    <t>1D8+[DB]</t>
  </si>
  <si>
    <t>大型棍状物(棒球棍、板球棒、拨火棍等)</t>
  </si>
  <si>
    <t>3/35</t>
  </si>
  <si>
    <t>小型棍状物(警棍等)</t>
  </si>
  <si>
    <t>1D6+DB</t>
  </si>
  <si>
    <t>1D6+[DB]</t>
  </si>
  <si>
    <t>弩</t>
  </si>
  <si>
    <t>1D8+2</t>
  </si>
  <si>
    <t>50码</t>
  </si>
  <si>
    <t>1/2</t>
  </si>
  <si>
    <t>96</t>
  </si>
  <si>
    <t>10/100</t>
  </si>
  <si>
    <t>前210年</t>
  </si>
  <si>
    <t>0.5/3</t>
  </si>
  <si>
    <t>绞索：目标需要用一个战技摆脱，否则每轮受到 1D6 点伤害。只对人类和相近的对手有效。</t>
  </si>
  <si>
    <t>手斧/镰刀</t>
  </si>
  <si>
    <t>1D6+1+DB</t>
  </si>
  <si>
    <t>3/9</t>
  </si>
  <si>
    <t>1D6+1+[DB]</t>
  </si>
  <si>
    <t>大型刀具(甘蔗刀等)</t>
  </si>
  <si>
    <t>4/50</t>
  </si>
  <si>
    <t>中型刀具(切肉菜刀等)</t>
  </si>
  <si>
    <t>1D4+2+DB</t>
  </si>
  <si>
    <t>1D4+2+[DB]</t>
  </si>
  <si>
    <t>小型刀具(弹簧折叠刀等)</t>
  </si>
  <si>
    <t>1D4+DB</t>
  </si>
  <si>
    <t>2/6</t>
  </si>
  <si>
    <t>一般有锁链或者类似绳子部分的武器可以做到</t>
  </si>
  <si>
    <t>1D4+[DB]</t>
  </si>
  <si>
    <t>220v通电导线</t>
  </si>
  <si>
    <t>2D8+眩晕</t>
  </si>
  <si>
    <t>1894年</t>
  </si>
  <si>
    <t>但是匕首，小型棍等很难被缴械，
精通这种格斗技巧的甚至无法被格挡</t>
  </si>
  <si>
    <t>催泪瓦斯</t>
  </si>
  <si>
    <t>眩晕</t>
  </si>
  <si>
    <t>6英尺</t>
  </si>
  <si>
    <t>25次</t>
  </si>
  <si>
    <t>——/10</t>
  </si>
  <si>
    <t>1912年</t>
  </si>
  <si>
    <t>960年</t>
  </si>
  <si>
    <t>催泪瓦斯：抵近射击规则无效；目标须通过一个极难的 敏捷 检定否则暂时目盲。只对人类和相近的对手有效。</t>
  </si>
  <si>
    <t>投石</t>
  </si>
  <si>
    <t>1D4+半DB</t>
  </si>
  <si>
    <t>STR/5码</t>
  </si>
  <si>
    <t>1D4+[DB]/2</t>
  </si>
  <si>
    <t>手里剑</t>
  </si>
  <si>
    <t>2</t>
  </si>
  <si>
    <t>一次性</t>
  </si>
  <si>
    <t>矛、骑士长枪</t>
  </si>
  <si>
    <t>1D8+1</t>
  </si>
  <si>
    <t>25/150</t>
  </si>
  <si>
    <t>投矛</t>
  </si>
  <si>
    <t>1D8+半DB</t>
  </si>
  <si>
    <t>罕见</t>
  </si>
  <si>
    <t>1/25</t>
  </si>
  <si>
    <t>电击枪：仅对体格 2 及以下的目标有效，目标在 1D6 回合内不能行动（或 KP 决定)</t>
  </si>
  <si>
    <t>1D8+[DB]/2</t>
  </si>
  <si>
    <t>大型剑（马刀）</t>
  </si>
  <si>
    <t>1D8+1+DB</t>
  </si>
  <si>
    <t>30/75</t>
  </si>
  <si>
    <t>1D8+1+[DB]</t>
  </si>
  <si>
    <t>中型剑（佩剑、重剑）</t>
  </si>
  <si>
    <t>15/100</t>
  </si>
  <si>
    <t>轻型剑（花剑、剑杖）</t>
  </si>
  <si>
    <t>25/100</t>
  </si>
  <si>
    <t>电棍、电击枪(接触)</t>
  </si>
  <si>
    <t>1D3+眩晕</t>
  </si>
  <si>
    <t>——/200</t>
  </si>
  <si>
    <t>2006年</t>
  </si>
  <si>
    <t>1D3</t>
  </si>
  <si>
    <t>电击枪(远程)</t>
  </si>
  <si>
    <t>15英尺</t>
  </si>
  <si>
    <t>3</t>
  </si>
  <si>
    <t>——/400</t>
  </si>
  <si>
    <t>1974年</t>
  </si>
  <si>
    <t>战斗回力镖</t>
  </si>
  <si>
    <t>2/4</t>
  </si>
  <si>
    <t>伐木斧</t>
  </si>
  <si>
    <t>1D8+2+DB</t>
  </si>
  <si>
    <t>5/10</t>
  </si>
  <si>
    <t>1D8+2+[DB]</t>
  </si>
  <si>
    <t>遂发枪</t>
  </si>
  <si>
    <t>1D6+1</t>
  </si>
  <si>
    <t>10</t>
  </si>
  <si>
    <t>1/4</t>
  </si>
  <si>
    <t>30/300</t>
  </si>
  <si>
    <t>1547年</t>
  </si>
  <si>
    <t>正常来说每回合只能击发一次，
括号内是连发最大数。</t>
  </si>
  <si>
    <t>没有特定指向的枪械发明时间以该口径子弹发明时间为准
有指定的枪械发明时间以服役时间为准
无法考据的发明时间填近似时间或划掉</t>
  </si>
  <si>
    <t>.22(5.6mm)小型自动手枪</t>
  </si>
  <si>
    <t>1(3)</t>
  </si>
  <si>
    <t>6</t>
  </si>
  <si>
    <t>25/190</t>
  </si>
  <si>
    <t>1857年</t>
  </si>
  <si>
    <t>.25(6.35mm)短口手枪(单管)</t>
  </si>
  <si>
    <t>12/55</t>
  </si>
  <si>
    <t>1920年</t>
  </si>
  <si>
    <t>.32(7.65mm)左轮手枪</t>
  </si>
  <si>
    <t>1D8</t>
  </si>
  <si>
    <t>15</t>
  </si>
  <si>
    <t>15/200</t>
  </si>
  <si>
    <t>1930年</t>
  </si>
  <si>
    <t>.32(7.65mm)自动手枪</t>
  </si>
  <si>
    <t>8</t>
  </si>
  <si>
    <t>99</t>
  </si>
  <si>
    <t>20/350</t>
  </si>
  <si>
    <t>.357 马格南左轮</t>
  </si>
  <si>
    <t>1D8+1D4</t>
  </si>
  <si>
    <t>——/425</t>
  </si>
  <si>
    <t>1934年</t>
  </si>
  <si>
    <t>.38(9mm)左轮手枪</t>
  </si>
  <si>
    <t>25/200</t>
  </si>
  <si>
    <t>1898年</t>
  </si>
  <si>
    <t>.38(9mm)自动手枪</t>
  </si>
  <si>
    <t>30/375</t>
  </si>
  <si>
    <t>贝瑞塔 M9</t>
  </si>
  <si>
    <t>98</t>
  </si>
  <si>
    <t>——/500</t>
  </si>
  <si>
    <t>1990年</t>
  </si>
  <si>
    <t>如果连发则每次投掷都会承受一个惩罚骰</t>
  </si>
  <si>
    <t>9mm 格洛克 17</t>
  </si>
  <si>
    <t>17</t>
  </si>
  <si>
    <t>1983年</t>
  </si>
  <si>
    <t>9mm 鲁格 P08</t>
  </si>
  <si>
    <t>75/600</t>
  </si>
  <si>
    <t>1902年</t>
  </si>
  <si>
    <t>.41(10.4mm) 左轮手枪</t>
  </si>
  <si>
    <t>1920s,罕见</t>
  </si>
  <si>
    <t>30/——</t>
  </si>
  <si>
    <t>1860年</t>
  </si>
  <si>
    <t>.44(11.2mm) 马格南左轮手枪</t>
  </si>
  <si>
    <t>1D10+1D4+2</t>
  </si>
  <si>
    <t>1950年</t>
  </si>
  <si>
    <t>.45(11.43mm) 左轮手枪</t>
  </si>
  <si>
    <t>1D10+2</t>
  </si>
  <si>
    <t>1904年</t>
  </si>
  <si>
    <t>.45(11.43mm) 自动手枪</t>
  </si>
  <si>
    <t>7</t>
  </si>
  <si>
    <t>40/375</t>
  </si>
  <si>
    <t>IMI 沙漠之鹰</t>
  </si>
  <si>
    <t>1D10+1D6+3</t>
  </si>
  <si>
    <t>94</t>
  </si>
  <si>
    <t>1982年</t>
  </si>
  <si>
    <t>.58 (14.7mm)1855 年式春田步枪</t>
  </si>
  <si>
    <t>1D10+4</t>
  </si>
  <si>
    <t>60</t>
  </si>
  <si>
    <t>25/350</t>
  </si>
  <si>
    <t>1885年</t>
  </si>
  <si>
    <t>这种步枪是不可连发的
通常一次只能发射一发
威力极大</t>
  </si>
  <si>
    <t>莫兰上校的气动步枪：靠压缩空气发射，不需要火药，因而比较安静。</t>
  </si>
  <si>
    <t>.22 (5.6mm)栓式枪机步枪</t>
  </si>
  <si>
    <t>30</t>
  </si>
  <si>
    <t>13/70</t>
  </si>
  <si>
    <t>.30 (7.62mm)杠杆式枪机步枪</t>
  </si>
  <si>
    <t>2D6</t>
  </si>
  <si>
    <t>19/150</t>
  </si>
  <si>
    <t>1952年</t>
  </si>
  <si>
    <t>.45 马提尼·亨利步枪</t>
  </si>
  <si>
    <t>1D8+1D6+3</t>
  </si>
  <si>
    <t>80</t>
  </si>
  <si>
    <t>1/3</t>
  </si>
  <si>
    <t>20/200</t>
  </si>
  <si>
    <t>1871年</t>
  </si>
  <si>
    <t>莫兰上校的气动步枪</t>
  </si>
  <si>
    <t>2D6+1</t>
  </si>
  <si>
    <t>20</t>
  </si>
  <si>
    <t>88</t>
  </si>
  <si>
    <t>200</t>
  </si>
  <si>
    <t>加兰德M1、M2步枪</t>
  </si>
  <si>
    <t>2D6+4</t>
  </si>
  <si>
    <t>110</t>
  </si>
  <si>
    <t>二战及以后</t>
  </si>
  <si>
    <t>400</t>
  </si>
  <si>
    <t>1936年</t>
  </si>
  <si>
    <t>SKS 半自动步枪(56 半)</t>
  </si>
  <si>
    <t>90</t>
  </si>
  <si>
    <t>1(2)</t>
  </si>
  <si>
    <t>1945年</t>
  </si>
  <si>
    <t>.303 (7.7mm) 李·恩菲尔德</t>
  </si>
  <si>
    <t>5</t>
  </si>
  <si>
    <t>50/300</t>
  </si>
  <si>
    <t>1895年</t>
  </si>
  <si>
    <t>.30——06 (7.62mm) 栓式枪机步枪</t>
  </si>
  <si>
    <t>75/175</t>
  </si>
  <si>
    <t>.30——06 (7.62mm) 半自动步枪</t>
  </si>
  <si>
    <t>275</t>
  </si>
  <si>
    <t>1955年</t>
  </si>
  <si>
    <t>.444 (11.28mm) 马林步枪</t>
  </si>
  <si>
    <t>2D8+4</t>
  </si>
  <si>
    <t>猎象枪(双管)</t>
  </si>
  <si>
    <t>3D6+4</t>
  </si>
  <si>
    <t>1 or 2</t>
  </si>
  <si>
    <t>400/1000</t>
  </si>
  <si>
    <t>20 号霰弹枪(双管)</t>
  </si>
  <si>
    <t>2D6/1D6/1D3</t>
  </si>
  <si>
    <t>10/20/50</t>
  </si>
  <si>
    <t>35/稀有</t>
  </si>
  <si>
    <t>霰弹枪信息请自行查阅</t>
  </si>
  <si>
    <t>霰弹枪</t>
  </si>
  <si>
    <t>霰弹枪的伤害分三个范围
XD6的X代表弹丸数
霰弹枪属于非贯穿武器</t>
  </si>
  <si>
    <t>霰弹枪可以将子弹换成实心铅弹
实心铅弹可以造成贯穿
射程为50码</t>
  </si>
  <si>
    <t>实心铅弹的伤害：
10号：
1D10+7
12号：
1D10+6
16号：
1D10+5
20号：
1D10+4</t>
  </si>
  <si>
    <t>16 号霰弹枪(双管)</t>
  </si>
  <si>
    <t>2D6+2/1D6+1/1D4</t>
  </si>
  <si>
    <t>40/稀有</t>
  </si>
  <si>
    <t>2D6+2</t>
  </si>
  <si>
    <t>12 号霰弹枪(双管)</t>
  </si>
  <si>
    <t>4D6/2D6/1D6</t>
  </si>
  <si>
    <t>40/200</t>
  </si>
  <si>
    <t>4D6</t>
  </si>
  <si>
    <t>12 号霰弹枪(泵动)</t>
  </si>
  <si>
    <t>45/100</t>
  </si>
  <si>
    <t>12 号霰弹枪(半自动)</t>
  </si>
  <si>
    <t>12 号霰弹枪(双管,锯短)</t>
  </si>
  <si>
    <t>4D6/1D6</t>
  </si>
  <si>
    <t>N/A</t>
  </si>
  <si>
    <t>10 号霰弹枪(双管)</t>
  </si>
  <si>
    <t>4D6+2/2D6+1/1D4</t>
  </si>
  <si>
    <t>1920s，罕见</t>
  </si>
  <si>
    <t>稀有</t>
  </si>
  <si>
    <t>4D6+2</t>
  </si>
  <si>
    <t>12 号贝里尼 M3(折叠式枪托)</t>
  </si>
  <si>
    <t>——/895</t>
  </si>
  <si>
    <t>12 号 SPAS (折叠式枪托)</t>
  </si>
  <si>
    <t>——/600</t>
  </si>
  <si>
    <t>1979年</t>
  </si>
  <si>
    <t>AK-47 或 AKM</t>
  </si>
  <si>
    <t>1(2)or全自动</t>
  </si>
  <si>
    <t>1951年</t>
  </si>
  <si>
    <t>突击步枪</t>
  </si>
  <si>
    <t>单发射击以[步枪]技能判定，
多发点射全自动射击以[冲锋枪]技能判定</t>
  </si>
  <si>
    <t>另外、自动武器民间一般无法获得</t>
  </si>
  <si>
    <t>AK-74</t>
  </si>
  <si>
    <t>——/1000</t>
  </si>
  <si>
    <t>巴雷特M82</t>
  </si>
  <si>
    <t>2D10+1D8+6</t>
  </si>
  <si>
    <t>250</t>
  </si>
  <si>
    <t>11</t>
  </si>
  <si>
    <t>——/3000</t>
  </si>
  <si>
    <t>1989年</t>
  </si>
  <si>
    <t>FN FAL</t>
  </si>
  <si>
    <t>1(2)or3连射</t>
  </si>
  <si>
    <t>——/1500</t>
  </si>
  <si>
    <t>1954年</t>
  </si>
  <si>
    <t>加利尔突击步枪</t>
  </si>
  <si>
    <t>1(2)or连射</t>
  </si>
  <si>
    <t>——/2000</t>
  </si>
  <si>
    <t>1972年</t>
  </si>
  <si>
    <t>M16A2</t>
  </si>
  <si>
    <t>1964年</t>
  </si>
  <si>
    <t>M4</t>
  </si>
  <si>
    <t>1or3连射</t>
  </si>
  <si>
    <t>1994年</t>
  </si>
  <si>
    <t>斯泰尔 AUG</t>
  </si>
  <si>
    <t>——/1100</t>
  </si>
  <si>
    <t>1978年</t>
  </si>
  <si>
    <t>贝雷塔 M70/90</t>
  </si>
  <si>
    <t>1or全自动</t>
  </si>
  <si>
    <t>——/2800</t>
  </si>
  <si>
    <t>MP18I/MP28II</t>
  </si>
  <si>
    <t>20/30/32</t>
  </si>
  <si>
    <t>1000/20000</t>
  </si>
  <si>
    <t>1917年</t>
  </si>
  <si>
    <t>哒哒哒哒哒哒哒哒哒哒哒哒</t>
  </si>
  <si>
    <t>尤其是冲锋枪和机枪
价格都是黑市价格</t>
  </si>
  <si>
    <t>MP5</t>
  </si>
  <si>
    <t>15/30</t>
  </si>
  <si>
    <t>1966年</t>
  </si>
  <si>
    <t>MAC-11</t>
  </si>
  <si>
    <t>1(3)or全自动</t>
  </si>
  <si>
    <t>32</t>
  </si>
  <si>
    <t>——/750</t>
  </si>
  <si>
    <t>1970年</t>
  </si>
  <si>
    <t>蝎式冲锋枪</t>
  </si>
  <si>
    <t>1961年</t>
  </si>
  <si>
    <t>20/30/50</t>
  </si>
  <si>
    <t>200+/1600</t>
  </si>
  <si>
    <t>1938年</t>
  </si>
  <si>
    <t>乌兹微型冲锋枪</t>
  </si>
  <si>
    <t>1882 年式加特林</t>
  </si>
  <si>
    <t>全自动</t>
  </si>
  <si>
    <t>2000/14000</t>
  </si>
  <si>
    <t>1882年</t>
  </si>
  <si>
    <t>这恐怕是换弹最慢的单兵武器了</t>
  </si>
  <si>
    <t>速射机枪：装在直升机上的加特林机枪。要不经过安装直接使用，使用者必须达到体格 2。</t>
  </si>
  <si>
    <t>M1918 式勃朗宁自动步枪</t>
  </si>
  <si>
    <t>800/1500</t>
  </si>
  <si>
    <t>勃朗宁 M1917A1(7.62mm)</t>
  </si>
  <si>
    <t>3000/30000</t>
  </si>
  <si>
    <t>1916年</t>
  </si>
  <si>
    <t>布伦轻机枪</t>
  </si>
  <si>
    <t>30/100</t>
  </si>
  <si>
    <t>3000/50000</t>
  </si>
  <si>
    <t>路易斯Ⅰ型机枪</t>
  </si>
  <si>
    <t>27/97</t>
  </si>
  <si>
    <t>3000/20000</t>
  </si>
  <si>
    <t>1914年</t>
  </si>
  <si>
    <t>单发射击使用步枪技能</t>
  </si>
  <si>
    <t>GE M134 式 7.62mm 速射机枪</t>
  </si>
  <si>
    <t>4000</t>
  </si>
  <si>
    <t>1963年</t>
  </si>
  <si>
    <t>FN 米尼米(5.56mm)，弹夹/弹带</t>
  </si>
  <si>
    <t>30/200</t>
  </si>
  <si>
    <t>维克斯.303 机枪</t>
  </si>
  <si>
    <t>莫洛托夫燃烧瓶</t>
  </si>
  <si>
    <t>2D6+燃烧</t>
  </si>
  <si>
    <t>STR码</t>
  </si>
  <si>
    <t>特殊武器</t>
  </si>
  <si>
    <t>阔剑地雷：这种武器的弹道是密集的射束流，其杀伤范围为 120 度。</t>
  </si>
  <si>
    <t>炸药筒和手雷：
每枚对 3 码之内的物体造成4D10 点伤害，
（超过 3 码且在）6 码之内的造成 2D10点伤害，
（超过 6 码且在）9 码之内的造成 1D10 点伤害。</t>
  </si>
  <si>
    <t>信号枪(信号弹枪)</t>
  </si>
  <si>
    <t>1D10+1D3+燃烧</t>
  </si>
  <si>
    <t>15/75</t>
  </si>
  <si>
    <t>1D10+1D3</t>
  </si>
  <si>
    <t>M79 40mm 榴弹发射器</t>
  </si>
  <si>
    <t>3D10/2码</t>
  </si>
  <si>
    <t>3D10</t>
  </si>
  <si>
    <t>炸药棒</t>
  </si>
  <si>
    <t>4D10/3码</t>
  </si>
  <si>
    <t>STR英尺</t>
  </si>
  <si>
    <t>2/5</t>
  </si>
  <si>
    <t>雷管</t>
  </si>
  <si>
    <t>2D10/1码</t>
  </si>
  <si>
    <t>20/整盒</t>
  </si>
  <si>
    <t>1865年</t>
  </si>
  <si>
    <t>爆破筒</t>
  </si>
  <si>
    <t>1D10/3码</t>
  </si>
  <si>
    <t>就地</t>
  </si>
  <si>
    <t>一次使用</t>
  </si>
  <si>
    <t>1899年</t>
  </si>
  <si>
    <t>塑胶炸弹(C4) 100克</t>
  </si>
  <si>
    <t>6D10/3码</t>
  </si>
  <si>
    <t>1956年</t>
  </si>
  <si>
    <t>6D10</t>
  </si>
  <si>
    <t>手榴弹</t>
  </si>
  <si>
    <t>1232年</t>
  </si>
  <si>
    <t>81mm迫击炮</t>
  </si>
  <si>
    <t>6D10/6码</t>
  </si>
  <si>
    <t>500码</t>
  </si>
  <si>
    <t>独立装弹</t>
  </si>
  <si>
    <t>这些武器通常分三个距离，每超出一个距离便从右边降低一格伤害</t>
  </si>
  <si>
    <t>16D10</t>
  </si>
  <si>
    <t>如果威力不符合这里任何一个，以上更强的为标准</t>
  </si>
  <si>
    <t>75mm野战火炮</t>
  </si>
  <si>
    <t>10D10/2码</t>
  </si>
  <si>
    <t>1500/——</t>
  </si>
  <si>
    <t>1897年</t>
  </si>
  <si>
    <t>8D10</t>
  </si>
  <si>
    <t>10D10</t>
  </si>
  <si>
    <t>120mm坦克炮(稳定)</t>
  </si>
  <si>
    <t>2000码</t>
  </si>
  <si>
    <t>15D10</t>
  </si>
  <si>
    <t>5英寸舰载炮(稳定)</t>
  </si>
  <si>
    <t>15D10/4码</t>
  </si>
  <si>
    <t>3000码</t>
  </si>
  <si>
    <t>自动上弹</t>
  </si>
  <si>
    <t>1910年</t>
  </si>
  <si>
    <t>12D10</t>
  </si>
  <si>
    <t>反步兵地雷</t>
  </si>
  <si>
    <t>4D10/5码</t>
  </si>
  <si>
    <t>布置</t>
  </si>
  <si>
    <t>1403年</t>
  </si>
  <si>
    <t>比如3D10算作4D10
下降之后为2D10</t>
  </si>
  <si>
    <t>阔剑地雷</t>
  </si>
  <si>
    <t>6D6/20码</t>
  </si>
  <si>
    <t>伤害栏左侧是近距伤害，右侧是减伤距离</t>
  </si>
  <si>
    <t>6D6</t>
  </si>
  <si>
    <t>火焰喷射器</t>
  </si>
  <si>
    <t>25码</t>
  </si>
  <si>
    <t>至少10</t>
  </si>
  <si>
    <t>93</t>
  </si>
  <si>
    <t>1901年</t>
  </si>
  <si>
    <t>M72 式单发轻型反坦克炮</t>
  </si>
  <si>
    <t>8d10/1码</t>
  </si>
  <si>
    <t>150码</t>
  </si>
  <si>
    <t>1D4</t>
  </si>
  <si>
    <t>8d10</t>
  </si>
  <si>
    <t>下降了三次之后再次下降，伤害归零，也就是安全区域</t>
  </si>
  <si>
    <t>术语解释</t>
  </si>
  <si>
    <t>贯穿：表示这个武器能否够刺穿一个人。极难成功或大成功造成贯穿伤害：</t>
  </si>
  <si>
    <t>远程武器会造成惩罚骰或奖励骰的情况</t>
  </si>
  <si>
    <t>如果有贯穿：锋刃和弹头将穿透目标的身体，对脆弱的器官造成损伤或撕裂关键的肌肉组织。首先造成一次最高伤害，然后再额外骰一次伤害。</t>
  </si>
  <si>
    <t>奖励骰</t>
  </si>
  <si>
    <t>难度等级</t>
  </si>
  <si>
    <t>惩罚骰</t>
  </si>
  <si>
    <t>如果该武器不能造成贯穿:会击中这个人的要害，直接造成满点伤害</t>
  </si>
  <si>
    <t>瞄准一轮</t>
  </si>
  <si>
    <t>一般：</t>
  </si>
  <si>
    <t>目标寻找掩体
（闪避成功）</t>
  </si>
  <si>
    <t>故障值：只要在使用过程中，使用者的出目大于该值就会出现以下情况</t>
  </si>
  <si>
    <t>正常射程</t>
  </si>
  <si>
    <t>卡壳、哑火、炸膛，一旦出现这些情况：这件武器的攻击无法成功，事实上它会完全无法工作</t>
  </si>
  <si>
    <t>目标很小
（体格 -2）</t>
  </si>
  <si>
    <t>左轮手枪、双管猎枪、枪机回转式步枪：这类武器通常不会炸膛或卡壳，通常是哑弹，而修复的方法：只需要再扣下扳机</t>
  </si>
  <si>
    <t>困难：</t>
  </si>
  <si>
    <t>自动武器与杠杆式步枪：这类武器则通常是卡壳，需要1D6的回合来修复这把枪。</t>
  </si>
  <si>
    <t>二倍射程</t>
  </si>
  <si>
    <t>目标高速移动
（MOV8+）</t>
  </si>
  <si>
    <t>罕见：这种东西你基本上只能在博物馆看见了，或者是军方控制的非法武器。</t>
  </si>
  <si>
    <t>抵近射击
（1/5DEX 英尺）</t>
  </si>
  <si>
    <t>1/2、1/3：两回合才能攻击一次，通常是难以上弹或者非常沉重的武器</t>
  </si>
  <si>
    <t>极难：</t>
  </si>
  <si>
    <t>目标一半以上在掩体内</t>
  </si>
  <si>
    <t>1 or 2：双管猎枪可以分只击发一颗子弹或同时击发两颗子弹</t>
  </si>
  <si>
    <t>四倍射程</t>
  </si>
  <si>
    <t>手枪连射</t>
  </si>
  <si>
    <t>1英尺≈手臂或脚掌的长度   1英寸≈手指宽度   1码≈一步   1英里≈一千七百多步   一海里≈两公里</t>
  </si>
  <si>
    <t>射击正在
近战中的目标</t>
  </si>
  <si>
    <t>1英尺=12英寸=12个手指并排那么宽    1码=3英尺=三个脚的长度        未标明单位的距离都默认为 码（所以其实英制长度很适合粗略测量长度，因为很直观）</t>
  </si>
  <si>
    <t>目标很大
（体格 4+）</t>
  </si>
  <si>
    <t>迅速装一发子弹
并且立刻射击</t>
  </si>
  <si>
    <t>受伤程度</t>
  </si>
  <si>
    <t>伤害等级</t>
  </si>
  <si>
    <t>范例</t>
  </si>
  <si>
    <t>轻度：一个人可以多次承受这类伤害而不至于死亡</t>
  </si>
  <si>
    <t>拳打脚踢，头槌，弱酸，呼吸烟雾弥漫的空气，一块拳头大小的投石，落于淤泥地上(每 3 米)</t>
  </si>
  <si>
    <t>特殊伤害解读</t>
  </si>
  <si>
    <t>燃烧</t>
  </si>
  <si>
    <t>目标必须进行 幸运 检定以避免燃烧。下回合受到最小伤害。此后每回合 伤害加倍，直到被扑灭（假设目标可燃)※。</t>
  </si>
  <si>
    <t>中度：有可能造成重伤;受到多次此类伤害应该会死亡</t>
  </si>
  <si>
    <t>坠落到草地上（每 3 米），棍子，强酸，呛水，暴露在真空中，小口径子弹，箭，火焰（燃烧的火把）</t>
  </si>
  <si>
    <t>晕（眩）</t>
  </si>
  <si>
    <t>在 1D6 轮或 KP 指定的时间中，目标无法行动</t>
  </si>
  <si>
    <t>窒息/溺水</t>
  </si>
  <si>
    <t>每轮都要进行一次体质检定；
一旦体质检定失败，每轮都要受到伤害，直到受害者死亡或者能够重新呼吸为止。如果角色处在体力劳动之中，体质检定需要困难难度。</t>
  </si>
  <si>
    <t>重度：非常可能造成重伤，一次两次就很要命了</t>
  </si>
  <si>
    <t>.38口径子弹、坠落在水泥地上（每 3 米）、斧头、烈焰（火焰喷射器、穿越燃烧的房间）、手雷爆炸时在远距离、弱毒性的毒药</t>
  </si>
  <si>
    <t>致命：已经超过一半的死亡几率了</t>
  </si>
  <si>
    <t>被时速五十公里 (50KM/h) 的汽车撞击、手雷爆炸时在近距离、强毒剂</t>
  </si>
  <si>
    <t>毒药</t>
  </si>
  <si>
    <t>CON检定极难成功将使毒药伤害减半。毒药可能会产生多种副作用，包括：腹痛、呕吐、腹泻、战栗、出汗、痉挛、黄疸、心率失常、视力损害、惊厥、意识丧失、麻痹等。KP决定受害者在这些状况下是否可以进行行动，或者行动时要加入惩罚骰、提高难度等级等。
某些特殊情况下，如果CON检定大成功，KP可能会准许消除毒药的效果。</t>
  </si>
  <si>
    <t>终结：很可能当场死亡</t>
  </si>
  <si>
    <t>被超速的汽车撞击、几乎直接接触爆炸手雷、致死毒药</t>
  </si>
  <si>
    <t>血肉横飞：这个人没救了，真的</t>
  </si>
  <si>
    <t>被火车撞击</t>
  </si>
  <si>
    <t>战斗轮可选规则</t>
  </si>
  <si>
    <t>先攻检定</t>
  </si>
  <si>
    <t>击晕</t>
  </si>
  <si>
    <t>消耗幸运值来维持意识</t>
  </si>
  <si>
    <t>相杀</t>
  </si>
  <si>
    <t>无法得知伤害</t>
  </si>
  <si>
    <t>火力压制</t>
  </si>
  <si>
    <t>在战斗前所有人进行一次敏捷检定，根据成功等级来决定行动顺序。成功等级相同比较敏捷度，如果还相同比较战斗技能。
大成功在第一次攻击中获得战术优势或奖励骰；大失败会失去第一次攻击的机会。
本规则准备好枪械的调查员会获得一个奖励骰且在下一回合的开始时准备好了，他可以使用这一个奖励骰再次进行敏捷检定。结果比之前的要糟仍使用之前的结果。</t>
  </si>
  <si>
    <t>被造成重伤后骰体质来避免失去意识。
HP=0自动失去意识
如果拥有钝器可以使用战技击晕拥有头盖骨或类似结构的生物并且造成1点伤害。</t>
  </si>
  <si>
    <t>如果kp允许
你可以在本应失去意识的情况下消耗1点幸运来保持意识清醒
接下来每轮的幸运消耗都会翻倍——2,4,8,16,32....
这个消耗需要在每回合开始的时候决定是否消耗</t>
  </si>
  <si>
    <t>战斗时近战双方都在格斗检定中失败。
正常情况：不会有任何人受伤
可选1：战斗技能更高的一方胜
可选2：像成功一样同时对对方造成伤害
远程攻击中不可使用本规则</t>
  </si>
  <si>
    <t>如果想更加模拟现实情况
KP可以不告诉调查员因为攻击具体受到了多少伤害
而是告诉他们一个大概的伤势描述。</t>
  </si>
  <si>
    <t xml:space="preserve">火力压制的目的是逼迫数个敌人同时“寻找掩体“，消除他们还手的可能性。
射手可以选择不瞄准特定的目标攻击，而是火力压制一群敌人。这一群人可能是一个房间内的所有敌人，或者任何位于武器扫射弧度内的目标。这通常会对人群造成恐慌。
守秘人要从目标中随机决定被射击的目标
</t>
  </si>
  <si>
    <t>护甲调整</t>
  </si>
  <si>
    <t>部位瞄准</t>
  </si>
  <si>
    <t>瞄准具</t>
  </si>
  <si>
    <t>支架</t>
  </si>
  <si>
    <t>在战斗中移动</t>
  </si>
  <si>
    <t>关于霰弹枪：如果被击中者穿着能够进行大面积防护的护甲（比如厚皮夹克），这种情况下霰弹枪的每一发散射弹丸都会被减少伤害。
如果是类似钢盔的部分防护护甲，如果没有采用部位瞄准的规则全视为完整护甲
如果射击者声明要瞄准某部位射击则需要进行幸运判定。如果拥有全身防护（例如大象的皮肤）则不必进行判定。</t>
  </si>
  <si>
    <t>如果KP不想使用幸运决定被击中部位则可以骰D20并参考下表决定</t>
  </si>
  <si>
    <t>在使用枪械时，瞄准镜可以让基础射程翻倍。
例如李恩菲尔德在加装了光学瞄准镜之后，原本220码的射击距离不仅取消了困难等级的成功要求，极难范围则提升到440-880（*2-*4）的距离
瞄准具并不会为抵近射击提供好处。</t>
  </si>
  <si>
    <t>利用双脚架、三脚架、或固定装置等支架支撑枪械可以使它的基础射程翻倍
当枪械被机械性地固定在结构（载具或建筑）上时，使用者可以获得一个奖励骰</t>
  </si>
  <si>
    <t>速度（MOV）x5（码）是最大移动距离</t>
  </si>
  <si>
    <t>在近战时，攻击者必须在攻击前移动到近战攻击的范围内</t>
  </si>
  <si>
    <t>一轮中，移动mov码内的距离为行走
mov+1至mov*5属于奔跑</t>
  </si>
  <si>
    <t>1-3</t>
  </si>
  <si>
    <t>4-6</t>
  </si>
  <si>
    <t>如果角色移动了他的最大移动距离，他只能在轮次的最后发起攻击</t>
  </si>
  <si>
    <t>7-10</t>
  </si>
  <si>
    <t>腹部</t>
  </si>
  <si>
    <t>如果角色移动了他的MOV距离，他可以正常攻击</t>
  </si>
  <si>
    <t>11-15</t>
  </si>
  <si>
    <t>胸部</t>
  </si>
  <si>
    <t>+50的敏捷瞄准优势需要在移动之前射击
玩家可以在移动前进行射击
也可以在移动之后进行射击</t>
  </si>
  <si>
    <t>如果角色移动了最大移动距离，他必须在奔跑中射击
如果角色进行奔跑射击则会增加一个惩罚骰</t>
  </si>
  <si>
    <t>16-17</t>
  </si>
  <si>
    <t>18-19</t>
  </si>
  <si>
    <t>完全隐蔽</t>
  </si>
  <si>
    <t>击穿掩体</t>
  </si>
  <si>
    <t xml:space="preserve"> 圈踢   俯卧</t>
  </si>
  <si>
    <t>抵近射击调整</t>
  </si>
  <si>
    <t>如果整整一轮中，目标被完全隐蔽，攻击者可以选择对掩体射击，以期望命中掩体后的目标。
命中率取决于目标所躲藏的遮蔽物的大小，躲在小小的花园篱笆和躲在飞机库后是截然不同的。
攻击者基本得靠直觉来命中目标。
如果掩体较小，守秘人应该将难度等级提高1级。如果能够躲藏的范围更大，继续提高难度等级。如果有必要的话，要求只会在大成功时命中目标。</t>
  </si>
  <si>
    <t>在部分掩蔽的某些时候，攻击者可以选择尝试射击掩体后的目标。在这种情况下，承受一个惩罚骰（因为部分掩蔽），并适用掩体可能带来的护甲值。
例如一堵矮砖墙可以提供10点护甲值，而一个薄木栅栏只能提供1点护甲值。</t>
  </si>
  <si>
    <t>一个躺在地上或倒地的角色视为正在俯卧
踢俯卧中的目标更加容易，对俯卧角色进行的格斗攻击获得一个奖励骰
当闪避或反击成功时，俯卧中的角色可以选择起身。或者当轮到他的回合时，他可以起身，然后进行自己的行动。
俯卧的角色是一个更小的目标，瞄准俯卧角色的射击需要承受一个惩罚骰（除非在抵近射击）。</t>
  </si>
  <si>
    <t>长或笨重的武器，例如步枪、长管霰弹枪、弓并不能享受抵近射击的奖励骰，因为他们难以瞄准近距离的移动目标。
短管霰弹枪（设计初衷就是家用防卫）或是被锯短的霰弹枪能够享受抵近射击的奖励骰</t>
  </si>
  <si>
    <t>毒性</t>
  </si>
  <si>
    <t>规则书中仅列出了四种程度的毒素效力</t>
  </si>
  <si>
    <t>毒素发作的速度取决于摄入的方式与守秘人的判断。
剧烈的毒素可能在一轮之内就会发作；慢效的毒素可能需要数天才会对人体造成影响。
毒素的作用可能会导致以下症状：腹痛，呕吐，腹泻，发寒，虚汗，惊厥，心律不齐，幻视，抽搐，昏迷，麻木，等等。守秘人有权决定这些症状是否会对中毒者的检定造成一个惩罚骰或是难度等级提升。</t>
  </si>
  <si>
    <t>症状（1剂）</t>
  </si>
  <si>
    <t>极弱效</t>
  </si>
  <si>
    <t>无伤害，可能造成昏迷
麻药，抗生素，特殊食物，都可能含有极微量的毒素</t>
  </si>
  <si>
    <t>弱效</t>
  </si>
  <si>
    <t>1D10伤害</t>
  </si>
  <si>
    <t>强效</t>
  </si>
  <si>
    <t>2D10伤害</t>
  </si>
  <si>
    <t>致命性</t>
  </si>
  <si>
    <t>4D10伤害</t>
  </si>
  <si>
    <t>kp可以决定毒素的伤害，以上仅做参考</t>
  </si>
  <si>
    <t>如果一个角色同时摄入多剂毒素，他必须在所有对抗毒素的体质值检定上承受一个惩罚骰。</t>
  </si>
  <si>
    <t>如果骰出极难体质检定毒素效力可以下降一个等级或者消除症状、伤害减半，这由KP决定。</t>
  </si>
  <si>
    <t>如果角色进行了常识性的解毒法：催吐、放血、清洗等。kp可以决定这么做有什么效果。</t>
  </si>
  <si>
    <t>战斗流程图</t>
  </si>
  <si>
    <t>战斗伤害流程图</t>
  </si>
  <si>
    <t>建立攻击次序
按照DEX降序：
最高的最先行动。
准备好的枪械+50敏捷。</t>
  </si>
  <si>
    <t>突袭
允许技能检定
目标意识到攻击了吗？
侦查、聆听、心理学</t>
  </si>
  <si>
    <t>角色在单次受伤
中受到的伤害</t>
  </si>
  <si>
    <t>—————&gt;</t>
  </si>
  <si>
    <t>↓</t>
  </si>
  <si>
    <t>伤害低于角色
最大HP的一半</t>
  </si>
  <si>
    <t>伤害等于或高于
角色最大HP的一半</t>
  </si>
  <si>
    <t>伤害超过角色最大HP</t>
  </si>
  <si>
    <t>按DEX次序决定行动
a:发动攻击、逃跑、或战技
b:防守方选择闪避反击或战技能
c:攻击方和防御方进行对抗</t>
  </si>
  <si>
    <t>是：
使用正常DEX次序来战斗。</t>
  </si>
  <si>
    <t>否：
攻击自动成功或有奖励骰</t>
  </si>
  <si>
    <t>正常伤害
急救：恢复1点 
医学：恢复1D3点</t>
  </si>
  <si>
    <t>重伤（重伤标记）
1:倒地
2:CON检定
失败则失去意识</t>
  </si>
  <si>
    <t>如果是战技：
比较体格。
如果攻击方体格较小，每点差别一个惩罚骰。
如果差异在3以上无法发动战技。</t>
  </si>
  <si>
    <t>闪避：成功等级较高的一方胜利。平局防守方胜利。若双方均失败，没有伤害产生
反击：成功等级高的获胜，平局攻击方胜利。均失败没有伤害。
战技：和反击类似，但不造成伤害，应用战技效果</t>
  </si>
  <si>
    <t>&lt;————</t>
  </si>
  <si>
    <t>HP归零</t>
  </si>
  <si>
    <t>每天恢复1点HP
急救：恢复1点
医学：恢复1D3点</t>
  </si>
  <si>
    <t>← 否 ←</t>
  </si>
  <si>
    <t>已受到重伤？
（重伤栏有标记）</t>
  </si>
  <si>
    <t>→ 是 →</t>
  </si>
  <si>
    <t>濒死：
标记“濒死”栏并记HP为0</t>
  </si>
  <si>
    <t>暂时稳定伤势
+1HP</t>
  </si>
  <si>
    <t>← 是 ←</t>
  </si>
  <si>
    <t>当前轮：有人给予成功急救？</t>
  </si>
  <si>
    <t>战斗不可孤注一掷</t>
  </si>
  <si>
    <t>极难成功？
（反击无效）
贯穿武器=最大伤害+最大伤害加值+额外一次武器伤害
非贯穿武器=最大伤害+最大伤害加值</t>
  </si>
  <si>
    <t>下一小时内
是否有人给予成功的医学？</t>
  </si>
  <si>
    <t>↗</t>
  </si>
  <si>
    <t>↓
否
↓</t>
  </si>
  <si>
    <t>↑
con检定成功
↑</t>
  </si>
  <si>
    <t>寡不敌众？
当角色在一轮中进行过闪避或反击后，对他们的所有(格斗)后续攻击都有一个奖励骰。
一轮多动的生物不受这个限制
（他们可以反击/闪避等于他们攻击的次数，然后才应用寡不敌众）</t>
  </si>
  <si>
    <t>con检定失败
↑</t>
  </si>
  <si>
    <t>↓
是
↓</t>
  </si>
  <si>
    <t>↑
con检定成功</t>
  </si>
  <si>
    <t>下一轮及之后每轮结束时都必须进行con检定，失败则死亡</t>
  </si>
  <si>
    <t>每小时结束时
进行con检定</t>
  </si>
  <si>
    <t xml:space="preserve">重伤恢复
每周结束时进行一次con检定
失败：无恢复
成功：恢复1D3
极难成功：恢复2D3并清除重伤标记
优良医疗可获得奖励骰(医学)
静养和环境良好可获得奖励骰
环境恶劣获得惩罚骰
</t>
  </si>
  <si>
    <t>自然治愈开始：消除濒死标记，恢复1D3点HP
每周结束时做一次重伤恢复检定</t>
  </si>
  <si>
    <t>脱离近身战斗</t>
  </si>
  <si>
    <t>在战斗轮中，角色有空间逃脱且未被压制时，可以进行脱离近战范围行动。</t>
  </si>
  <si>
    <t>防具类型</t>
  </si>
  <si>
    <t>护甲值</t>
  </si>
  <si>
    <t>MOV
惩罚</t>
  </si>
  <si>
    <t>覆盖位置</t>
  </si>
  <si>
    <t>使用物种</t>
  </si>
  <si>
    <t>防利器
穿刺</t>
  </si>
  <si>
    <t>载具类型</t>
  </si>
  <si>
    <t>乘客护甲</t>
  </si>
  <si>
    <t>乘客</t>
  </si>
  <si>
    <t>可驾驶体格</t>
  </si>
  <si>
    <t>可乘坐体格</t>
  </si>
  <si>
    <t>厚重皮夹克</t>
  </si>
  <si>
    <t>躯干</t>
  </si>
  <si>
    <t>人类、人型生物</t>
  </si>
  <si>
    <t>10/55</t>
  </si>
  <si>
    <t>规
则
书
内
的
防
护
物</t>
  </si>
  <si>
    <t>在危险的情形下,米戈通常会披上这些由发着微光的绿色黏液所织成的网状物这种装甲在对抗钝击、火焰、电击等伤害时会提供 8 点装甲值。
人类也能穿戴这种生化网状物，但会因毛发和肌肉被撕离而在每次脱下装甲时受到 1 点伤害。因为人类并不会分泌合适的、能够照料到这些装甲的营养液，一件生化网状装甲将会缓慢地分解。
每被人类穿戴过一次，一件生化网状装甲将降低一点护甲值。当失去所有护甲值时，这件装甲将分崩离析，变成一池弥散着蒸汽的黏性物质。穿戴该装甲是否会带来明显的副作用，则仍未可知。</t>
  </si>
  <si>
    <t>经济车</t>
  </si>
  <si>
    <t>3或4</t>
  </si>
  <si>
    <t>-1,0,1</t>
  </si>
  <si>
    <t>≤2</t>
  </si>
  <si>
    <t>规则书内的载具</t>
  </si>
  <si>
    <t>一战标准钢盔</t>
  </si>
  <si>
    <t>人类、有明显头颅的生物</t>
  </si>
  <si>
    <t>标准车</t>
  </si>
  <si>
    <t>-1至2</t>
  </si>
  <si>
    <t>1英寸（2.5厘米）硬木</t>
  </si>
  <si>
    <t>0.5/10 m²</t>
  </si>
  <si>
    <t>豪华车</t>
  </si>
  <si>
    <t>现代美军头盔</t>
  </si>
  <si>
    <t>跑车</t>
  </si>
  <si>
    <t>重型凯芙拉防弹背心</t>
  </si>
  <si>
    <t>敞篷小卡车</t>
  </si>
  <si>
    <t>2+</t>
  </si>
  <si>
    <t>≤3/后斗≤4</t>
  </si>
  <si>
    <t>1.5 （3.8厘米）英寸防弹玻璃</t>
  </si>
  <si>
    <t>100 m²</t>
  </si>
  <si>
    <t>6吨卡车</t>
  </si>
  <si>
    <t>1 英寸钢板</t>
  </si>
  <si>
    <t>1/10 m²</t>
  </si>
  <si>
    <t>半拖车</t>
  </si>
  <si>
    <t>3+</t>
  </si>
  <si>
    <t>≤3/后斗≤6</t>
  </si>
  <si>
    <t>大号沙包</t>
  </si>
  <si>
    <t>0.01/3</t>
  </si>
  <si>
    <t>轻摩托</t>
  </si>
  <si>
    <t>皮肤</t>
  </si>
  <si>
    <t>视情况</t>
  </si>
  <si>
    <t>全身</t>
  </si>
  <si>
    <t>大象,深潜者,鳄鱼等</t>
  </si>
  <si>
    <t>重摩托</t>
  </si>
  <si>
    <t>生化网状装甲</t>
  </si>
  <si>
    <t>？</t>
  </si>
  <si>
    <t>米戈、人型生物</t>
  </si>
  <si>
    <t>坦克</t>
  </si>
  <si>
    <t>重型机械 或 专业训练</t>
  </si>
  <si>
    <t>重型载具</t>
  </si>
  <si>
    <t>砖墙</t>
  </si>
  <si>
    <t>5/60 m²</t>
  </si>
  <si>
    <t>蒸汽列车</t>
  </si>
  <si>
    <t>-1至3</t>
  </si>
  <si>
    <t>≤3，露天车厢≤4</t>
  </si>
  <si>
    <t>一尺深的水</t>
  </si>
  <si>
    <t>1D2+1/1D8+4</t>
  </si>
  <si>
    <t>浸入部分</t>
  </si>
  <si>
    <t>43亿年前至今</t>
  </si>
  <si>
    <t>非穿着物</t>
  </si>
  <si>
    <t>这种情况是两种伤害：
从水面上攻击水面下的目标/在水面下攻击水面下的目标
并且火器的有效射程将在水中减少85%</t>
  </si>
  <si>
    <t>现代列车</t>
  </si>
  <si>
    <t>≤3</t>
  </si>
  <si>
    <t>半米深的水</t>
  </si>
  <si>
    <t>1D4+2/1D8+4</t>
  </si>
  <si>
    <t>马（有骑手）</t>
  </si>
  <si>
    <t>骑乘</t>
  </si>
  <si>
    <t>自从人类存在</t>
  </si>
  <si>
    <t>其他载具</t>
  </si>
  <si>
    <t>一米深的水</t>
  </si>
  <si>
    <t>1D8+4</t>
  </si>
  <si>
    <t>四马马车</t>
  </si>
  <si>
    <t>马车驾驶</t>
  </si>
  <si>
    <t>6+</t>
  </si>
  <si>
    <t>桌面板凳等 普通木质平面</t>
  </si>
  <si>
    <t>新石器时代后</t>
  </si>
  <si>
    <t>3/20 m²</t>
  </si>
  <si>
    <t>弹簧床垫</t>
  </si>
  <si>
    <t>划艇</t>
  </si>
  <si>
    <t>驾驶：船</t>
  </si>
  <si>
    <t>-2至2</t>
  </si>
  <si>
    <t>水
上
载
具</t>
  </si>
  <si>
    <t>半米厚水泥墙</t>
  </si>
  <si>
    <t>7/45 m²</t>
  </si>
  <si>
    <t>气垫船</t>
  </si>
  <si>
    <t>-2至3</t>
  </si>
  <si>
    <t>普通玻璃</t>
  </si>
  <si>
    <t>5/10 m²</t>
  </si>
  <si>
    <t>摩托艇</t>
  </si>
  <si>
    <t>驾驶：快艇</t>
  </si>
  <si>
    <t>1立方米石块</t>
  </si>
  <si>
    <t>古埃及之后</t>
  </si>
  <si>
    <t>5/20 m²</t>
  </si>
  <si>
    <t>游轮</t>
  </si>
  <si>
    <t>0（甲板上）</t>
  </si>
  <si>
    <t>至少2200</t>
  </si>
  <si>
    <t>≤4</t>
  </si>
  <si>
    <t>粗钢筋网</t>
  </si>
  <si>
    <t xml:space="preserve">     40 网状</t>
  </si>
  <si>
    <t>40 m²</t>
  </si>
  <si>
    <t>战列舰</t>
  </si>
  <si>
    <t>驾驶：轮船</t>
  </si>
  <si>
    <t>至少1800</t>
  </si>
  <si>
    <t>这些载具都需要大量的驾驶员</t>
  </si>
  <si>
    <t>土堆</t>
  </si>
  <si>
    <t>航空母舰</t>
  </si>
  <si>
    <t>驾驶：战舰</t>
  </si>
  <si>
    <t>至少3200</t>
  </si>
  <si>
    <t>≤6</t>
  </si>
  <si>
    <t>罕见/现代</t>
  </si>
  <si>
    <t>卷闸门（铁）</t>
  </si>
  <si>
    <t>分隔整个空间</t>
  </si>
  <si>
    <t>30/70</t>
  </si>
  <si>
    <t>潜水艇</t>
  </si>
  <si>
    <t>至少120</t>
  </si>
  <si>
    <t>500张A4纸</t>
  </si>
  <si>
    <t>1/9</t>
  </si>
  <si>
    <t>公共汽车</t>
  </si>
  <si>
    <t>地面载具</t>
  </si>
  <si>
    <t>书</t>
  </si>
  <si>
    <t>1500年前至今</t>
  </si>
  <si>
    <t>10/15</t>
  </si>
  <si>
    <t>大型动物的部分肢体</t>
  </si>
  <si>
    <t>大客车</t>
  </si>
  <si>
    <t>厚皮毡帽</t>
  </si>
  <si>
    <t>10/35</t>
  </si>
  <si>
    <t>工业防护眼镜无论是从任何方面来看都能很容易的被破坏，
只有受到正面的飞溅物才能发挥其保护主人的效果。</t>
  </si>
  <si>
    <t>纯电动汽车</t>
  </si>
  <si>
    <t>铁面具</t>
  </si>
  <si>
    <t>电动摩托</t>
  </si>
  <si>
    <t>击剑面具</t>
  </si>
  <si>
    <t>头+面+颈</t>
  </si>
  <si>
    <t>25/80</t>
  </si>
  <si>
    <t>全地形车</t>
  </si>
  <si>
    <t>冰球面罩</t>
  </si>
  <si>
    <t xml:space="preserve">     3 网状</t>
  </si>
  <si>
    <t>头+眼部(网状)</t>
  </si>
  <si>
    <t>30/110</t>
  </si>
  <si>
    <t>在欧洲文艺复兴时期的盔甲都无比豪华亮丽，
尤其是整体设计和花纹确实无与伦比
很多产品看上去已经和工业革命时期没有什么区别了。</t>
  </si>
  <si>
    <t>吉普车</t>
  </si>
  <si>
    <t>工业防护眼镜</t>
  </si>
  <si>
    <t>10*</t>
  </si>
  <si>
    <t>眼部</t>
  </si>
  <si>
    <t>平衡车</t>
  </si>
  <si>
    <t>MOV+1</t>
  </si>
  <si>
    <t>电焊面罩</t>
  </si>
  <si>
    <t>冰刀、滑板、旱冰鞋等</t>
  </si>
  <si>
    <t>全防护级防毒面具</t>
  </si>
  <si>
    <t>耐毒性 2h</t>
  </si>
  <si>
    <t>人类、有明显口鼻的生物</t>
  </si>
  <si>
    <t>35/150</t>
  </si>
  <si>
    <t>驴</t>
  </si>
  <si>
    <t>工地安全帽</t>
  </si>
  <si>
    <t>1 耐冲击</t>
  </si>
  <si>
    <t>头顶</t>
  </si>
  <si>
    <t>拖拉机</t>
  </si>
  <si>
    <t>全防护摩托车帽</t>
  </si>
  <si>
    <t>25/90</t>
  </si>
  <si>
    <t>工业用车（挖掘机、打桩机等）</t>
  </si>
  <si>
    <t>重型机械操作、专业训练</t>
  </si>
  <si>
    <t>维京头盔</t>
  </si>
  <si>
    <t>头顶+眼部(网状)</t>
  </si>
  <si>
    <t>古代</t>
  </si>
  <si>
    <t>注意：
除“规则书内的防护物”的
“注释”、“防具类型”、“护甲值”，
“规则书内的载具”的“载具类型”、“技能”、“移动力”、“体格”、“乘客护甲”、“乘客数”、“注释”外
均为非规则书内容，使用前需要和KP商议</t>
  </si>
  <si>
    <t>非马畜力车、雪橇</t>
  </si>
  <si>
    <t>骑乘或马车驾驶</t>
  </si>
  <si>
    <t>古罗马头盔</t>
  </si>
  <si>
    <t>头顶+面颊</t>
  </si>
  <si>
    <t>民用航空</t>
  </si>
  <si>
    <t>空中载具</t>
  </si>
  <si>
    <t>藤条盔</t>
  </si>
  <si>
    <t>战斗机</t>
  </si>
  <si>
    <t>专业训练</t>
  </si>
  <si>
    <t>≤1</t>
  </si>
  <si>
    <t>中世纪全防护头盔</t>
  </si>
  <si>
    <t>中世纪</t>
  </si>
  <si>
    <t>轰炸机</t>
  </si>
  <si>
    <t>无人机并不是载具，但是很常见所以写在这里。</t>
  </si>
  <si>
    <t>文艺复兴头盔</t>
  </si>
  <si>
    <t>文艺复兴</t>
  </si>
  <si>
    <t>私人飞机</t>
  </si>
  <si>
    <t>4人以上</t>
  </si>
  <si>
    <t>金质镶钻王冠</t>
  </si>
  <si>
    <t>工业革命结束前</t>
  </si>
  <si>
    <t>老鼻子贵了</t>
  </si>
  <si>
    <t>涡轮喷气机</t>
  </si>
  <si>
    <t>击剑纤维服</t>
  </si>
  <si>
    <t>四肢、躯干、颈</t>
  </si>
  <si>
    <t>50/230</t>
  </si>
  <si>
    <t>躯干或全身</t>
  </si>
  <si>
    <t>货机</t>
  </si>
  <si>
    <t>热气球几乎不具备任何动力系统
通常依靠释放一定的热气、或者靠风力移动</t>
  </si>
  <si>
    <t>对练棉甲</t>
  </si>
  <si>
    <t>躯干、双臂、颈</t>
  </si>
  <si>
    <t>超音速飞机</t>
  </si>
  <si>
    <t>20+</t>
  </si>
  <si>
    <t>关节护具</t>
  </si>
  <si>
    <t>肘、膝、四肢、头</t>
  </si>
  <si>
    <t>人类、有明显关节的生物</t>
  </si>
  <si>
    <t>5/20</t>
  </si>
  <si>
    <t>直升机</t>
  </si>
  <si>
    <t>护胸板</t>
  </si>
  <si>
    <t>前胸</t>
  </si>
  <si>
    <t>无人机</t>
  </si>
  <si>
    <t>锁子甲</t>
  </si>
  <si>
    <t>双臂、大腿、躯干、颈</t>
  </si>
  <si>
    <t>热气球</t>
  </si>
  <si>
    <t>扎甲</t>
  </si>
  <si>
    <t>双翼机</t>
  </si>
  <si>
    <t>1或2</t>
  </si>
  <si>
    <t>鳞甲</t>
  </si>
  <si>
    <t>滑翔翼</t>
  </si>
  <si>
    <t>米兰盔甲</t>
  </si>
  <si>
    <t>除头部、全身</t>
  </si>
  <si>
    <t>独木舟</t>
  </si>
  <si>
    <t>水上载具</t>
  </si>
  <si>
    <t>藤甲</t>
  </si>
  <si>
    <t>木筏</t>
  </si>
  <si>
    <t>最多4</t>
  </si>
  <si>
    <t>板甲</t>
  </si>
  <si>
    <t>现代帆船</t>
  </si>
  <si>
    <t>驾驶：帆船</t>
  </si>
  <si>
    <t>胴丸</t>
  </si>
  <si>
    <t>比赛帆船</t>
  </si>
  <si>
    <t>取决于风速</t>
  </si>
  <si>
    <t>纸甲</t>
  </si>
  <si>
    <t>渡河小船</t>
  </si>
  <si>
    <t>古代至今</t>
  </si>
  <si>
    <t>防刺服</t>
  </si>
  <si>
    <t>快艇</t>
  </si>
  <si>
    <t>常规防弹衣</t>
  </si>
  <si>
    <t>货轮</t>
  </si>
  <si>
    <t>15+</t>
  </si>
  <si>
    <t>防刺西服</t>
  </si>
  <si>
    <t>除头部、除手脚、全身</t>
  </si>
  <si>
    <t>客船</t>
  </si>
  <si>
    <t>军用防暴服</t>
  </si>
  <si>
    <t>海上移动钻井平台</t>
  </si>
  <si>
    <t>重型机械操作</t>
  </si>
  <si>
    <t>50左右</t>
  </si>
  <si>
    <t>≤5</t>
  </si>
  <si>
    <t>防化服</t>
  </si>
  <si>
    <t>耐毒性 氧气瓶</t>
  </si>
  <si>
    <t>地铁</t>
  </si>
  <si>
    <t>固定路线载具</t>
  </si>
  <si>
    <t>工作手套</t>
  </si>
  <si>
    <t>拥有五指型手掌的生物</t>
  </si>
  <si>
    <t>0.1/3</t>
  </si>
  <si>
    <t>手脚四肢</t>
  </si>
  <si>
    <t>有轨电车</t>
  </si>
  <si>
    <t>防刺手套</t>
  </si>
  <si>
    <t xml:space="preserve">空中轨道列车 </t>
  </si>
  <si>
    <t>MOV与速度对照值</t>
  </si>
  <si>
    <t>冰球手套</t>
  </si>
  <si>
    <t>观光缆车</t>
  </si>
  <si>
    <t>2或4</t>
  </si>
  <si>
    <t>军用特种手套</t>
  </si>
  <si>
    <t>高速铁路</t>
  </si>
  <si>
    <t>MPH</t>
  </si>
  <si>
    <t>电焊手套</t>
  </si>
  <si>
    <t>磁悬浮列车</t>
  </si>
  <si>
    <t>16</t>
  </si>
  <si>
    <t>铁手甲</t>
  </si>
  <si>
    <t>轨道公交车</t>
  </si>
  <si>
    <t>13</t>
  </si>
  <si>
    <t>雨靴</t>
  </si>
  <si>
    <t>拥有站立功能的双腿的生物</t>
  </si>
  <si>
    <t>0.5/10</t>
  </si>
  <si>
    <t>铁靴</t>
  </si>
  <si>
    <t>工业防护靴</t>
  </si>
  <si>
    <t>3/15</t>
  </si>
  <si>
    <t>PC防暴盾</t>
  </si>
  <si>
    <t>人类、可以拿起物品的生物</t>
  </si>
  <si>
    <t>盾</t>
  </si>
  <si>
    <t>用来阻止对方武器的进攻路线，以达到防护的目的</t>
  </si>
  <si>
    <t>这是一种非常小的盾牌，最小的种类半径不超过15厘米，与其说是让对方的武器打中盾牌以抵挡伤害，不如说是主动用盾牌去撞对方的武器。
一般来说需要用【斗殴】判断有没有格挡下伤害。</t>
  </si>
  <si>
    <t>金属镇暴盾</t>
  </si>
  <si>
    <t>MPH：英里每小时</t>
  </si>
  <si>
    <t>防弹钢盾</t>
  </si>
  <si>
    <t>术语解释/规则（凡例）</t>
  </si>
  <si>
    <t>格斗盾</t>
  </si>
  <si>
    <t>拳前</t>
  </si>
  <si>
    <t>人类、有手的生物</t>
  </si>
  <si>
    <t>MOV（移动速度）：在追逐中载具的速度和可操作性（maneuverability）的衡量等级。这些等级是为了现代载具
设定的，1920s 的载具需要减少大约 20%（尽管在 1920s 有能够超过 100MPH 的车）。</t>
  </si>
  <si>
    <t>圆木盾</t>
  </si>
  <si>
    <t>剑柄与剑身间相隔的突出部分，欧洲剑通常拥有剑格，通常来说都是用来格挡攻击的，也有用于装饰的。
虽然不是盾但是和盾的作用类似所以归在盾类型内。</t>
  </si>
  <si>
    <t>筝形盾</t>
  </si>
  <si>
    <t>圆铁盾</t>
  </si>
  <si>
    <t>Build（体格）：对于载具的力量和尺寸的衡量等级。当降低到 0 时，载具就会无法运转。每满 10 点伤害降低载具
1 点体格（小数点后舍去）；任何 10 以下的伤害会被无视。（或许也可以用于防具的护甲值）</t>
  </si>
  <si>
    <t>剑格、护手</t>
  </si>
  <si>
    <t>如果载具的体格降低到开始的一半（小数点后舍去）或更低，它就受到损伤。所有的汽车驾驶技能（或其他合适的技能）都要应用一个惩罚骰。</t>
  </si>
  <si>
    <t>如果在一次事故中载具承受了等同于它所有体格的伤害（小数点后舍去）载具会以一种令人非常印象深刻的方式完全的报废了。它可能爆炸、起火、滚动或以上几种的组合。所有载具上的乘客很可能会死。调查员是否拥有幸存的机会取决于守秘人：可以进行幸运骰。那些幸运的被扔出载具的人，尽管还是建议让他们承受至少 2d10 的伤害</t>
  </si>
  <si>
    <t>如果载具的体格累积的受到损伤（例如：比载具初始体格值低的较小值（in increments of less than the vehicle’s starting build value））减到了 0，
它便无法驾驶、慢慢停下来。根据情况（或许是幸运骰）这可能会导致异常交通事故，对驾驶员和每个乘客造成 1d10 损伤。</t>
  </si>
  <si>
    <t>Armor for people（乘客护甲）：这个护甲等级是为了乘客和驾驶员提供的，表明载具提供的对外界攻击的护甲值</t>
  </si>
  <si>
    <t>护甲 ：护甲可以降低角色受到的伤害，从伤害中减去护甲数值。</t>
  </si>
  <si>
    <t xml:space="preserve"> 躯干：是指大腿以上，锁骨以下以内的身体部位</t>
  </si>
  <si>
    <t>Passengers and crew（乘客和工作人员）：可以住宿的在在居上的人数。</t>
  </si>
  <si>
    <t>防利器穿刺：指的是带有利刃的冷兵器无法直接穿透该物体伤害到本体，并不是代表冷兵器不可破坏该物体</t>
  </si>
  <si>
    <t>网状：这种物品都有较大的空隙，最小足以将手指伸出去但头不能伸出去。</t>
  </si>
  <si>
    <t>√：表示肯定 ×：表示否定 ?：表示该物品在这方面的数据完全未知，或因情况有异</t>
  </si>
  <si>
    <t>追逐轮可选规则</t>
  </si>
  <si>
    <t>选择一条道路</t>
  </si>
  <si>
    <t>随机的险境和障碍</t>
  </si>
  <si>
    <t>在调查员被追逐的情况下，KP应当将调查员附近的环境或能选择逃跑的路径告诉调查员
这样调查员就可以选择一条更加简单或困难的通路，或是自己擅长并且可以拖住追逐者的道路。
比如田径队员会选择无比杂乱的街道，或者游泳运动员会选择一条河流来甩掉追逐者。</t>
  </si>
  <si>
    <t>通过本规则，KP可以为正在逃跑的调查员或追逐者造成一定困扰或便利。
首先骰一个1D100然后按照右表来给追逐轮填些花样。</t>
  </si>
  <si>
    <t>骰 1D100</t>
  </si>
  <si>
    <t>0-59</t>
  </si>
  <si>
    <t>畅通无阻</t>
  </si>
  <si>
    <t>60-84</t>
  </si>
  <si>
    <t>一个 普通 的险境or阻碍</t>
  </si>
  <si>
    <t>85-95</t>
  </si>
  <si>
    <t>一个 困难 的险境or阻碍</t>
  </si>
  <si>
    <t>95-100</t>
  </si>
  <si>
    <t>一个 致命 的险境or阻碍</t>
  </si>
  <si>
    <t>如果目前的道路或调查员的行为存在着严重的隐患，那么创造危险的骰子将会增加一个惩罚骰
比如在醉酒的情况下开车，或横穿车来车往的高速路等。</t>
  </si>
  <si>
    <t>突发险境</t>
  </si>
  <si>
    <t>这里看起来挺安全的，真的挺安全吗？</t>
  </si>
  <si>
    <t>猛踩油门</t>
  </si>
  <si>
    <t>一个地方一时安全不代表一世安全
马路上突然冲出来的车，没有拴好的狗，高空坠物，泥石流，地震，甚至恐怖袭击都是可能出现的
遛狗不拴狗等于狗遛狗</t>
  </si>
  <si>
    <t>在追逐轮内，无论何时，只要调查员或守秘人希望发生突发事件，那么kp就可以要求进行一次群体幸运骰。</t>
  </si>
  <si>
    <t>通常情况下，载具都是可以通过踩油门、推动制动杆、添柴等各种方法进行加速的。
这将可以使其移动力增加2-5倍</t>
  </si>
  <si>
    <t>正常情况下</t>
  </si>
  <si>
    <t>交通法还是很靠谱的，正常开不会有什么问题</t>
  </si>
  <si>
    <t>选择2-3倍移速</t>
  </si>
  <si>
    <t>滴，您已超速请慢行
这种速度下遇到任何险境都会增加一个惩罚骰</t>
  </si>
  <si>
    <t>如果幸运通过
那么突发事件将会按调查员所期望的发生</t>
  </si>
  <si>
    <t>如果幸运失败
KP就应该为调查员们指定一次突发事件</t>
  </si>
  <si>
    <t>突发事件的影响应该为正常难度。</t>
  </si>
  <si>
    <t>比如，一个行动力为4的汽车，正常情况下一轮只能移动4个位置。
但是如果全速开动，在这轮中很可能直接移动20个位置！</t>
  </si>
  <si>
    <t>选择4-5倍移速</t>
  </si>
  <si>
    <t>滴，您构成危害公众安全罪
这种速度下遇到任何险境都会增加两个惩罚骰</t>
  </si>
  <si>
    <t>当调查员要求了突发事件之后，直到kp要求突发事件之前都不能再次要求，反之亦然。
当追逐轮持续时间过长kp可以提升突发时间的难度。</t>
  </si>
  <si>
    <t>加速前，KP应该骰骰子决定调查员能看见多远的距离，这是判断加速是否安全最基本的办法。 具体骰子见左下角。</t>
  </si>
  <si>
    <t>但是超速怎么可能没有危险呢，见右栏</t>
  </si>
  <si>
    <t>拥挤的城市</t>
  </si>
  <si>
    <t>1d3</t>
  </si>
  <si>
    <t>城市内到处都是堵车和转角很难看到远方</t>
  </si>
  <si>
    <t>超速过程中遭遇险境虽然应该增加惩罚骰，但是如果该陷阱是障碍物的话这个惩罚骰可以视情况免除。
因为高速行驶对破坏障碍物是十分有利的。</t>
  </si>
  <si>
    <t>郊外</t>
  </si>
  <si>
    <t>1d6</t>
  </si>
  <si>
    <t>少了高楼大厦就能很清楚的看到前方的路了</t>
  </si>
  <si>
    <t>笔直的道路</t>
  </si>
  <si>
    <t>这种情况下可以看超~远der</t>
  </si>
  <si>
    <t>交通事故</t>
  </si>
  <si>
    <t>事故</t>
  </si>
  <si>
    <t>举例</t>
  </si>
  <si>
    <t>轻微事故：普通难度的险境一般都归在这里了，
虽然可能就是轻轻擦一下或者刮掉一块漆，但是还是可能发生危险的</t>
  </si>
  <si>
    <t>1D3-1
build</t>
  </si>
  <si>
    <t>被其他载具从侧面或后面冲撞     擦到路灯柱     撞到杆子上     撞到人或小型生物</t>
  </si>
  <si>
    <t>中等事故：一般都是困难难度的险境，可能导致严重的伤害，甚至会破坏汽车</t>
  </si>
  <si>
    <t>1D6
build</t>
  </si>
  <si>
    <t>撞到牛或鹿     和重型摩托或经济型轿车发生碰撞</t>
  </si>
  <si>
    <t>轻微事故：大部分极难难度的险境，很可能完全摧毁汽车。</t>
  </si>
  <si>
    <t>1D10
build</t>
  </si>
  <si>
    <t>和标准车     灯柱发生正面冲撞</t>
  </si>
  <si>
    <t>蓄意伤害：普就算是货运汽车也可能被完全摧毁，普通汽车几乎没有生路。</t>
  </si>
  <si>
    <t>2D10
build</t>
  </si>
  <si>
    <t>和货运汽车     长途公车     成熟的树木发生冲撞</t>
  </si>
  <si>
    <t>马路杀手：如字面的意思，会杀死马路，还有上面的东西</t>
  </si>
  <si>
    <t>5D10
build</t>
  </si>
  <si>
    <t>和强大的破坏力、火车发生冲撞      被陨石砸中</t>
  </si>
  <si>
    <t>疯狂发作—即时症状</t>
  </si>
  <si>
    <t>疯狂发作—总结症状</t>
  </si>
  <si>
    <t>症状表现</t>
  </si>
  <si>
    <r>
      <rPr>
        <b/>
        <sz val="12"/>
        <color rgb="FF000000"/>
        <rFont val="微软雅黑"/>
        <family val="2"/>
        <charset val="134"/>
      </rPr>
      <t>失忆：</t>
    </r>
    <r>
      <rPr>
        <sz val="12"/>
        <color rgb="FF000000"/>
        <rFont val="微软雅黑"/>
        <family val="2"/>
        <charset val="134"/>
      </rPr>
      <t>调查员会发现自己只记得最后身处的安全地点，却没有任何来到这里的记忆。例如，调查员前一刻还在家中吃着早饭，下一刻就已经直面着不知名的怪物。这将会持续 1D10 轮。</t>
    </r>
  </si>
  <si>
    <r>
      <rPr>
        <b/>
        <sz val="12"/>
        <color rgb="FF000000"/>
        <rFont val="微软雅黑"/>
        <family val="2"/>
        <charset val="134"/>
      </rPr>
      <t>失忆：</t>
    </r>
    <r>
      <rPr>
        <sz val="12"/>
        <color rgb="FF000000"/>
        <rFont val="微软雅黑"/>
        <family val="2"/>
        <charset val="134"/>
      </rPr>
      <t>回过神来，调查员们发现自己身处一个陌生的地方，
并忘记了自己是谁。记忆会随时间恢复。</t>
    </r>
  </si>
  <si>
    <r>
      <rPr>
        <b/>
        <sz val="12"/>
        <color rgb="FF000000"/>
        <rFont val="微软雅黑"/>
        <family val="2"/>
        <charset val="134"/>
      </rPr>
      <t>假性残疾：</t>
    </r>
    <r>
      <rPr>
        <sz val="12"/>
        <color rgb="FF000000"/>
        <rFont val="微软雅黑"/>
        <family val="2"/>
        <charset val="134"/>
      </rPr>
      <t>调查员陷入了心理性的失明，
失聪以及躯体缺失感中，持续 1D10 轮。</t>
    </r>
  </si>
  <si>
    <r>
      <rPr>
        <b/>
        <sz val="12"/>
        <color rgb="FF000000"/>
        <rFont val="微软雅黑"/>
        <family val="2"/>
        <charset val="134"/>
      </rPr>
      <t>被窃：</t>
    </r>
    <r>
      <rPr>
        <sz val="12"/>
        <color rgb="FF000000"/>
        <rFont val="微软雅黑"/>
        <family val="2"/>
        <charset val="134"/>
      </rPr>
      <t>调查员在 1D10 小时后恢复清醒，发觉自己被盗，身体毫发无损。如果调查员携带着宝贵之物（见调查员背景），做幸运检定来决定其是否被盗。所有有价值的东西无需检定自动消失。</t>
    </r>
  </si>
  <si>
    <r>
      <rPr>
        <b/>
        <sz val="12"/>
        <color rgb="FF000000"/>
        <rFont val="微软雅黑"/>
        <family val="2"/>
        <charset val="134"/>
      </rPr>
      <t>暴力倾向：</t>
    </r>
    <r>
      <rPr>
        <sz val="12"/>
        <color rgb="FF000000"/>
        <rFont val="微软雅黑"/>
        <family val="2"/>
        <charset val="134"/>
      </rPr>
      <t>调查员陷入了六亲不认的暴力行为中，
对周围的敌人与友方进行着无差别的攻击，持续 1D10 轮。</t>
    </r>
  </si>
  <si>
    <r>
      <rPr>
        <b/>
        <sz val="12"/>
        <color rgb="FF000000"/>
        <rFont val="微软雅黑"/>
        <family val="2"/>
        <charset val="134"/>
      </rPr>
      <t>遍体鳞伤：</t>
    </r>
    <r>
      <rPr>
        <sz val="12"/>
        <color rgb="FF000000"/>
        <rFont val="微软雅黑"/>
        <family val="2"/>
        <charset val="134"/>
      </rPr>
      <t>调查员在 1D10 小时后恢复清醒，发现自己身上满是拳痕和瘀伤。生命值减少到疯狂前的一半，但这不会造成重伤。调查员没有被窃。这种伤害如何持续到现在由守秘人决定。</t>
    </r>
  </si>
  <si>
    <r>
      <rPr>
        <b/>
        <sz val="12"/>
        <color rgb="FF000000"/>
        <rFont val="微软雅黑"/>
        <family val="2"/>
        <charset val="134"/>
      </rPr>
      <t>偏执：</t>
    </r>
    <r>
      <rPr>
        <sz val="12"/>
        <color rgb="FF000000"/>
        <rFont val="微软雅黑"/>
        <family val="2"/>
        <charset val="134"/>
      </rPr>
      <t>调查员陷入了严重的偏执妄想之中，持续１Ｄ１０轮。有人在
暗中窥视着他们，同伴中有人背叛了他们，没有人可以信任，万事皆虚。</t>
    </r>
  </si>
  <si>
    <r>
      <rPr>
        <b/>
        <sz val="12"/>
        <color rgb="FF000000"/>
        <rFont val="微软雅黑"/>
        <family val="2"/>
        <charset val="134"/>
      </rPr>
      <t>暴力倾向：</t>
    </r>
    <r>
      <rPr>
        <sz val="12"/>
        <color rgb="FF000000"/>
        <rFont val="微软雅黑"/>
        <family val="2"/>
        <charset val="134"/>
      </rPr>
      <t>调查员陷入强烈的暴力与破坏欲之中。调查员回过神来可能会理解自己做了什么也可能毫无印象。调查员对谁或何物施以暴力，他们是杀人还是仅仅造成了伤害，由守秘人决定。</t>
    </r>
  </si>
  <si>
    <r>
      <rPr>
        <b/>
        <sz val="12"/>
        <color rgb="FF000000"/>
        <rFont val="微软雅黑"/>
        <family val="2"/>
        <charset val="134"/>
      </rPr>
      <t>人际依赖：</t>
    </r>
    <r>
      <rPr>
        <sz val="12"/>
        <color rgb="FF000000"/>
        <rFont val="微软雅黑"/>
        <family val="2"/>
        <charset val="134"/>
      </rPr>
      <t>守秘人适当参考调查员的背景中重要之人的条目，调查员因为一些原因而降他人误认为了他重要的人并且努力的会与那个人保持那种关系，持续 1D10 轮</t>
    </r>
  </si>
  <si>
    <r>
      <rPr>
        <b/>
        <sz val="12"/>
        <color rgb="FF000000"/>
        <rFont val="微软雅黑"/>
        <family val="2"/>
        <charset val="134"/>
      </rPr>
      <t>极端信念：</t>
    </r>
    <r>
      <rPr>
        <sz val="12"/>
        <color rgb="FF000000"/>
        <rFont val="微软雅黑"/>
        <family val="2"/>
        <charset val="134"/>
      </rPr>
      <t>查看调查员背景中的思想信念，调查员会采取极端和疯狂的表现手段展示他们的思想信念之一。比如一个信教者会在地铁上高声布道。</t>
    </r>
  </si>
  <si>
    <r>
      <rPr>
        <b/>
        <sz val="12"/>
        <color rgb="FF000000"/>
        <rFont val="微软雅黑"/>
        <family val="2"/>
        <charset val="134"/>
      </rPr>
      <t>昏厥：</t>
    </r>
    <r>
      <rPr>
        <sz val="12"/>
        <color rgb="FF000000"/>
        <rFont val="微软雅黑"/>
        <family val="2"/>
        <charset val="134"/>
      </rPr>
      <t>调查员当场昏倒，并需要 1D10 轮才能苏醒。</t>
    </r>
  </si>
  <si>
    <r>
      <rPr>
        <b/>
        <sz val="12"/>
        <color rgb="FF000000"/>
        <rFont val="微软雅黑"/>
        <family val="2"/>
        <charset val="134"/>
      </rPr>
      <t>重要之人：</t>
    </r>
    <r>
      <rPr>
        <sz val="12"/>
        <color rgb="FF000000"/>
        <rFont val="微软雅黑"/>
        <family val="2"/>
        <charset val="134"/>
      </rPr>
      <t>考虑调查员背景中的重要之人，及其重要的原因。在 1D10 小时或更久的时间中，
调查员将不顾一切地接近那个人，并为他们之间的关系做出行动。</t>
    </r>
  </si>
  <si>
    <r>
      <rPr>
        <b/>
        <sz val="12"/>
        <color rgb="FF000000"/>
        <rFont val="微软雅黑"/>
        <family val="2"/>
        <charset val="134"/>
      </rPr>
      <t>逃避行为：</t>
    </r>
    <r>
      <rPr>
        <sz val="12"/>
        <color rgb="FF000000"/>
        <rFont val="微软雅黑"/>
        <family val="2"/>
        <charset val="134"/>
      </rPr>
      <t>调查员会用任何的手段试图逃离现在所处的位置，即使这意味着开走
唯一一辆交通工具并将其它人抛诸脑后，调查员会试图逃离 1D10轮。</t>
    </r>
  </si>
  <si>
    <r>
      <rPr>
        <b/>
        <sz val="12"/>
        <color rgb="FF000000"/>
        <rFont val="微软雅黑"/>
        <family val="2"/>
        <charset val="134"/>
      </rPr>
      <t>被收容：</t>
    </r>
    <r>
      <rPr>
        <sz val="12"/>
        <color rgb="FF000000"/>
        <rFont val="微软雅黑"/>
        <family val="2"/>
        <charset val="134"/>
      </rPr>
      <t>调查员在精神病院病房或警察局牢房中回过神来，
他们可能会慢慢回想起导致自己被关在这里的事情。</t>
    </r>
  </si>
  <si>
    <r>
      <rPr>
        <b/>
        <sz val="12"/>
        <color rgb="FF000000"/>
        <rFont val="微软雅黑"/>
        <family val="2"/>
        <charset val="134"/>
      </rPr>
      <t>竭嘶底里：</t>
    </r>
    <r>
      <rPr>
        <sz val="12"/>
        <color rgb="FF000000"/>
        <rFont val="微软雅黑"/>
        <family val="2"/>
        <charset val="134"/>
      </rPr>
      <t>调查员表现出大笑，哭泣，嘶吼，害怕等的极端情绪表现，持续 1D10 轮。</t>
    </r>
  </si>
  <si>
    <r>
      <rPr>
        <b/>
        <sz val="12"/>
        <color rgb="FF000000"/>
        <rFont val="微软雅黑"/>
        <family val="2"/>
        <charset val="134"/>
      </rPr>
      <t>逃避行为：</t>
    </r>
    <r>
      <rPr>
        <sz val="12"/>
        <color rgb="FF000000"/>
        <rFont val="微软雅黑"/>
        <family val="2"/>
        <charset val="134"/>
      </rPr>
      <t>调查员恢复清醒时发现自己在很远的地方，
也许迷失在荒郊野岭，或是在驶向远方的列车或长途汽车上。</t>
    </r>
  </si>
  <si>
    <r>
      <rPr>
        <b/>
        <sz val="12"/>
        <color rgb="FF000000"/>
        <rFont val="微软雅黑"/>
        <family val="2"/>
        <charset val="134"/>
      </rPr>
      <t>恐惧：</t>
    </r>
    <r>
      <rPr>
        <sz val="12"/>
        <color rgb="FF000000"/>
        <rFont val="微软雅黑"/>
        <family val="2"/>
        <charset val="134"/>
      </rPr>
      <t>调查员通过一次 D100 或者由守秘人选择，来从恐惧症状表中选择一个恐惧源，
就算这一恐惧的事物是并不存在的，调查员的症状会持续1D10 轮。</t>
    </r>
  </si>
  <si>
    <r>
      <rPr>
        <b/>
        <sz val="12"/>
        <color rgb="FF000000"/>
        <rFont val="微软雅黑"/>
        <family val="2"/>
        <charset val="134"/>
      </rPr>
      <t>恐惧：</t>
    </r>
    <r>
      <rPr>
        <sz val="12"/>
        <color rgb="FF000000"/>
        <rFont val="微软雅黑"/>
        <family val="2"/>
        <charset val="134"/>
      </rPr>
      <t>调查员患上一个新的恐惧症状。在恐惧症状表上骰 1 个 D100 来决定症状，或由守秘人选择一个。调查员在 1D10 小时后回过神来，并开始为避开恐惧源而采取任何措施。</t>
    </r>
  </si>
  <si>
    <r>
      <rPr>
        <b/>
        <sz val="12"/>
        <color rgb="FF000000"/>
        <rFont val="微软雅黑"/>
        <family val="2"/>
        <charset val="134"/>
      </rPr>
      <t>躁狂：</t>
    </r>
    <r>
      <rPr>
        <sz val="12"/>
        <color rgb="FF000000"/>
        <rFont val="微软雅黑"/>
        <family val="2"/>
        <charset val="134"/>
      </rPr>
      <t>调查员通过一次 D100 或者由守秘人选择，来从躁狂症状表中选择一个躁狂的诱因，
这个症状将会持续 1D10 轮。</t>
    </r>
  </si>
  <si>
    <r>
      <rPr>
        <b/>
        <sz val="11"/>
        <color rgb="FF000000"/>
        <rFont val="微软雅黑"/>
        <family val="2"/>
        <charset val="134"/>
      </rPr>
      <t>狂躁：</t>
    </r>
    <r>
      <rPr>
        <sz val="11"/>
        <color rgb="FF000000"/>
        <rFont val="微软雅黑"/>
        <family val="2"/>
        <charset val="134"/>
      </rPr>
      <t>调查员患上一个新的狂躁症状。在狂躁症状表上骰 1 个 d100 来决定症状，或由守秘人选择一个。调查员会在 1d10 小时后恢复理智。在这次疯狂发作中，调查员将完全沉浸于其新的狂躁症状。这症状是否会表现给旁人则取决于守秘人和此调查员。</t>
    </r>
  </si>
  <si>
    <t>具体症状</t>
  </si>
  <si>
    <t>疯狂与理智可选规则</t>
  </si>
  <si>
    <t>看透疯狂</t>
  </si>
  <si>
    <t>多重理智检定</t>
  </si>
  <si>
    <t>当一个调查员陷入疯狂的时候，他可能会有短暂一刻的清醒或看穿现实，
这或许会对调查员们提供一些帮助</t>
  </si>
  <si>
    <r>
      <rPr>
        <sz val="14"/>
        <color rgb="FF000000"/>
        <rFont val="微软雅黑"/>
        <family val="2"/>
        <charset val="134"/>
      </rPr>
      <t>遇到了多数的神话生物时，
KP可以要求玩家对每一个神话生物单独各自进行理智损失检定，
并对其中</t>
    </r>
    <r>
      <rPr>
        <b/>
        <sz val="14"/>
        <color rgb="FF000000"/>
        <rFont val="微软雅黑"/>
        <family val="2"/>
        <charset val="134"/>
      </rPr>
      <t>损失量最高的</t>
    </r>
    <r>
      <rPr>
        <sz val="14"/>
        <color rgb="FF000000"/>
        <rFont val="微软雅黑"/>
        <family val="2"/>
        <charset val="134"/>
      </rPr>
      <t>那</t>
    </r>
    <r>
      <rPr>
        <b/>
        <sz val="14"/>
        <color rgb="FF000000"/>
        <rFont val="微软雅黑"/>
        <family val="2"/>
        <charset val="134"/>
      </rPr>
      <t>一次</t>
    </r>
    <r>
      <rPr>
        <sz val="14"/>
        <color rgb="FF000000"/>
        <rFont val="微软雅黑"/>
        <family val="2"/>
        <charset val="134"/>
      </rPr>
      <t xml:space="preserve">作为损失结果。
</t>
    </r>
    <r>
      <rPr>
        <i/>
        <sz val="9"/>
        <color rgb="FF000000"/>
        <rFont val="微软雅黑"/>
        <family val="2"/>
        <charset val="134"/>
      </rPr>
      <t>这在调查员遇到多个神话生物的时候非常实用。</t>
    </r>
    <r>
      <rPr>
        <sz val="14"/>
        <color rgb="FF000000"/>
        <rFont val="微软雅黑"/>
        <family val="2"/>
        <charset val="134"/>
      </rPr>
      <t xml:space="preserve">
比如玩家遇到了三个星之彩和一个克总
玩家对三个星之彩骰了三次1D8出目分别为1,7,6
对克总骰了一次1D100出目为1，
那么该调查员的理智将会损失7点</t>
    </r>
  </si>
  <si>
    <t>精
神
固
化</t>
  </si>
  <si>
    <t>一旦一个调查员的san值低于他所拥有的克苏鲁神话技能时，他的人格将会出现一次根本性的改变，他将对自身在宇宙中的地位有一个透彻的理解。
调查员可以选择自己对真实的理解是习惯还是不为所动，或者是知道真相而不会再次动摇。</t>
  </si>
  <si>
    <t>好味</t>
  </si>
  <si>
    <r>
      <rPr>
        <sz val="12"/>
        <color rgb="FF000000"/>
        <rFont val="微软雅黑"/>
        <family val="2"/>
        <charset val="134"/>
      </rPr>
      <t>无论对现实怎么想          从这一刻起调查员</t>
    </r>
    <r>
      <rPr>
        <b/>
        <sz val="12"/>
        <color rgb="FF000000"/>
        <rFont val="微软雅黑"/>
        <family val="2"/>
        <charset val="134"/>
      </rPr>
      <t>所有的理智损失都会减半</t>
    </r>
    <r>
      <rPr>
        <sz val="12"/>
        <color rgb="FF000000"/>
        <rFont val="微软雅黑"/>
        <family val="2"/>
        <charset val="134"/>
      </rPr>
      <t>。
                                这种转变将会是</t>
    </r>
    <r>
      <rPr>
        <b/>
        <sz val="12"/>
        <color rgb="FF000000"/>
        <rFont val="微软雅黑"/>
        <family val="2"/>
        <charset val="134"/>
      </rPr>
      <t>永久性</t>
    </r>
    <r>
      <rPr>
        <sz val="12"/>
        <color rgb="FF000000"/>
        <rFont val="微软雅黑"/>
        <family val="2"/>
        <charset val="134"/>
      </rPr>
      <t>的。</t>
    </r>
  </si>
  <si>
    <t>疯狂与理智少见规则</t>
  </si>
  <si>
    <t>失败的
理智检定</t>
  </si>
  <si>
    <t>KP会让pc做出一个不由自主的动作
比如眼角嘴角抽动，战栗，尖叫，甚至呕吐</t>
  </si>
  <si>
    <t>习惯恐惧</t>
  </si>
  <si>
    <t>遭遇特定神话存在(比如深潜者)时，玩家应记录其引发的理智损失累计值；
累计损失不应超过单次遭遇该神话存在而损失的最大理智值。
每个幕间成长阶段，将理智累计损失减少 1</t>
  </si>
  <si>
    <t>潜在疯狂</t>
  </si>
  <si>
    <r>
      <rPr>
        <sz val="11"/>
        <color rgb="FF000000"/>
        <rFont val="微软雅黑"/>
        <family val="2"/>
        <charset val="134"/>
      </rPr>
      <t>任何理智损失都会导致调查员再次陷入疯狂发作
调查员很容易</t>
    </r>
    <r>
      <rPr>
        <b/>
        <sz val="11"/>
        <color rgb="FF000000"/>
        <rFont val="微软雅黑"/>
        <family val="2"/>
        <charset val="134"/>
      </rPr>
      <t>产生幻觉</t>
    </r>
  </si>
  <si>
    <t>从疯狂中恢复</t>
  </si>
  <si>
    <r>
      <rPr>
        <b/>
        <sz val="11"/>
        <color rgb="FF000000"/>
        <rFont val="微软雅黑"/>
        <family val="2"/>
        <charset val="134"/>
      </rPr>
      <t>从临时性疯狂中恢复：</t>
    </r>
    <r>
      <rPr>
        <sz val="11"/>
        <color rgb="FF000000"/>
        <rFont val="微软雅黑"/>
        <family val="2"/>
        <charset val="134"/>
      </rPr>
      <t>1D10 小时，或经过良好的休息之后。</t>
    </r>
  </si>
  <si>
    <r>
      <rPr>
        <b/>
        <sz val="11"/>
        <color rgb="FF000000"/>
        <rFont val="微软雅黑"/>
        <family val="2"/>
        <charset val="134"/>
      </rPr>
      <t>从不定性疯狂中恢复：</t>
    </r>
    <r>
      <rPr>
        <sz val="11"/>
        <color rgb="FF000000"/>
        <rFont val="微软雅黑"/>
        <family val="2"/>
        <charset val="134"/>
      </rPr>
      <t>每月治疗结束时的检定通过后；
守秘人也可以允许在下一个幕间成长时自动恢复。</t>
    </r>
  </si>
  <si>
    <t>疯狂的
副作用</t>
  </si>
  <si>
    <t>恐惧症：潜在疯狂中，必须战斗或逃跑，否则技能检定承受1个惩罚骰。</t>
  </si>
  <si>
    <t>躁狂症：潜在疯狂中，必须沉浸于躁狂症中，否则技能检定承受1个惩罚骰。</t>
  </si>
  <si>
    <r>
      <rPr>
        <b/>
        <sz val="11"/>
        <color rgb="FF000000"/>
        <rFont val="微软雅黑"/>
        <family val="2"/>
        <charset val="134"/>
      </rPr>
      <t xml:space="preserve">私人/家庭护理治疗(每月投 1D100)： </t>
    </r>
    <r>
      <rPr>
        <sz val="11"/>
        <color rgb="FF000000"/>
        <rFont val="微软雅黑"/>
        <family val="2"/>
        <charset val="134"/>
      </rPr>
      <t xml:space="preserve">
01-95：成功(或小于精神分析技能)；回复 1D3 点理智，进行理智检定，若成功则脱离疯狂。
96-00：失败；失去 1D6 点理智。</t>
    </r>
  </si>
  <si>
    <t>幻觉与现实认知检定</t>
  </si>
  <si>
    <t>进行理智检定来看穿幻觉：
失败：失去1点SAN值；如果处于潜在疯狂则疯狂发作
成功：看穿幻觉</t>
  </si>
  <si>
    <r>
      <rPr>
        <b/>
        <sz val="11"/>
        <color rgb="FF000000"/>
        <rFont val="微软雅黑"/>
        <family val="2"/>
        <charset val="134"/>
      </rPr>
      <t xml:space="preserve">收容机构治疗(每月投 1D100)： </t>
    </r>
    <r>
      <rPr>
        <sz val="11"/>
        <color rgb="FF000000"/>
        <rFont val="微软雅黑"/>
        <family val="2"/>
        <charset val="134"/>
      </rPr>
      <t xml:space="preserve">
01-50：成功(或小于精神分析技能)；回复 3 点理智，进行一个理智检定，若成功则脱离疯狂
51-95：没有疗效。
96-00：失败；失去 1D6 点理智。</t>
    </r>
  </si>
  <si>
    <t>QwQ友情链接</t>
  </si>
  <si>
    <t>神楽桜（2224263497）的CY版本</t>
  </si>
  <si>
    <t>近代版本</t>
  </si>
  <si>
    <t>史前版本</t>
  </si>
  <si>
    <t>七版规则书</t>
  </si>
  <si>
    <t>https://www.lanzous.com/i98fmti</t>
  </si>
  <si>
    <t>2020.06.08更新 版本号：CY20.06.1</t>
  </si>
  <si>
    <t>2019.11.7更新 版本号：19.11.1</t>
  </si>
  <si>
    <t>声明</t>
  </si>
  <si>
    <t>人物卡更新</t>
  </si>
  <si>
    <t>右侧报社/报纸，学校/博物馆信息补充完毕
右侧时代介绍更新至2020年
自定义子技能现在有了标注指引，并且可以给不同的子项进行自定义了
删除了“难言之隐”，这玩意早该删的</t>
  </si>
  <si>
    <t>人物表更新</t>
  </si>
  <si>
    <t>修复武器表第三行不显示成功率与技能的问题</t>
  </si>
  <si>
    <t>声
明</t>
  </si>
  <si>
    <t>原卡由秋叶EXODUS制作
原卡由秋叶EXODUS制作
原卡由秋叶EXODUS制作
重要的事情说三遍，这个卡不是我原创的！
此卡最开始改于咕咕改COC七版人物卡1.8.1最终版
期间经过多次更新，此次更新脱离咕咕改版版本。</t>
  </si>
  <si>
    <t>玩家手册</t>
  </si>
  <si>
    <t>https://www.lanzous.com/i7jb4qh</t>
  </si>
  <si>
    <t>增加“其他资产表”“剩余资产”
修复其他资产表总值计算</t>
  </si>
  <si>
    <t>怪物之锤</t>
  </si>
  <si>
    <t>https://www.lanzous.com/i7jb9hi</t>
  </si>
  <si>
    <t>成长表更新</t>
  </si>
  <si>
    <t>针对调查员经历空间过于狭小，可能无法写入全部的成长技能，经历更是没地方写，因此做了单独的成长表。感谢天不错（1057354813）提供的示例表格，已经过美化添加到本卡中
当然，因为处于测试阶段，出现的问题还请多多谅解，还请及时反馈</t>
  </si>
  <si>
    <t>将“本职属性”移动到“剩余点数”前
更改雷达图位置
删除其余装饰性介绍</t>
  </si>
  <si>
    <t>法术大典</t>
  </si>
  <si>
    <t>https://www.lanzous.com/i7jbble</t>
  </si>
  <si>
    <t>简化卡更新</t>
  </si>
  <si>
    <t>简化卡的顶部，可以正常的显示调查员的名称了</t>
  </si>
  <si>
    <t>coc跑团群</t>
  </si>
  <si>
    <t>https://www.lanzous.com/i76887g</t>
  </si>
  <si>
    <t>职业列表更新</t>
  </si>
  <si>
    <t>更改自定义职业点数的计算方式
允许自定义职业自定义属性倍数和计算方式
允许自定义职业选择或取消教育与幸运</t>
  </si>
  <si>
    <t>密码，密码看左边，左边的人物卡下载链接里就有密码啊（瘫）</t>
  </si>
  <si>
    <t>空白人物卡更新文件夹（密码29mb）</t>
  </si>
  <si>
    <t>https://www.lanzous.com/b00nb3n2d</t>
  </si>
  <si>
    <t>2020.05.10更新 版本号：CY20.05.1</t>
  </si>
  <si>
    <t>属性注释更新</t>
  </si>
  <si>
    <t>修复部分bug</t>
  </si>
  <si>
    <t>武器名称处加入了提示：不要忘记写武器名称
自定义经历包点数问题修复
修复戏剧演员任意特产bug</t>
  </si>
  <si>
    <t>武器列表更新</t>
  </si>
  <si>
    <t>更改催泪瓦斯的注释</t>
  </si>
  <si>
    <t>一些问答</t>
  </si>
  <si>
    <t>更新说明更新</t>
  </si>
  <si>
    <t>更新“跑团群”</t>
  </si>
  <si>
    <t>从咕咕1.8.1到现在的更新</t>
  </si>
  <si>
    <t>Q：本卡是无偿使用的嘛
A：是哒，虽然觉得不太可能但是如果你是花了钱才得到这份人物卡的话，您可能是盗版软件的受害者233</t>
  </si>
  <si>
    <t>2019.8.25更新 版本号：19.8.3</t>
  </si>
  <si>
    <t>弓道和薙刀错行问题解决
相扑力士职业描述里的「体型+2D6」确认了是不存在的设定，已删除</t>
  </si>
  <si>
    <t>添加自选护甲移动力减值是否开启</t>
  </si>
  <si>
    <t>Q：本卡可以进行改造吗，改造之后可以传播吗
A：可以～</t>
  </si>
  <si>
    <t>修复武器栏bug</t>
  </si>
  <si>
    <t>修复移动力年龄减值bug</t>
  </si>
  <si>
    <t>Q：本卡可以丢到群里或者上传到网站上之类的吗
A：请你一定要这样做呜呜呜</t>
  </si>
  <si>
    <t>修复描述错误</t>
  </si>
  <si>
    <t>修复“自定义经历包”“技能增长”无法输入非数值的bug</t>
  </si>
  <si>
    <t>修复“自定义年龄补正”无效的bug</t>
  </si>
  <si>
    <t>增强“信用范围”“剩余职业点”“剩余兴趣点”存在感</t>
  </si>
  <si>
    <t>大概7月份才会更新了x，取消了人物卡和简化卡 骰娘导入的密码，其他密码请看左侧人物卡链接</t>
  </si>
  <si>
    <t>简化表更新</t>
  </si>
  <si>
    <t>修复.stbug</t>
  </si>
  <si>
    <t>删除“资产表”“初始现金”，增加“货币单位”，为“资产说明”分格</t>
  </si>
  <si>
    <t>补充说明</t>
  </si>
  <si>
    <t>将“随身物品”“神话相关”“调查员精力”位置变更
增加“主流货币换算”
增加“法术一览”</t>
  </si>
  <si>
    <t>工作薄及工作表锁定：如果你想在我的基础上进行人物卡的修改，想要解除工作簿和工作表锁定的话，请联系我的QQ（2224263497），我会提供密码</t>
  </si>
  <si>
    <t>2020.02.24更新 版本号：CY20.02.2</t>
  </si>
  <si>
    <t>2019.8.21更新 版本号：19.8.2</t>
  </si>
  <si>
    <t>更新</t>
  </si>
  <si>
    <t>以下改动参考了规则书翻译与规则书英文原版，与表格用户提出的建议和反馈。
属性表：“体质”和“体型”的二分值和五分值修复（原来需要保存关闭再打开才可以显示这些值），在“教育”下方写入“知识”，因为“幸运”不是属性（当然“MOV”也不是），所以为了排版放到属性表里，用不同字体颜色加以区分
技能表：本职技能显示更加明显，“极限”→“极难”
资产：修正了错别字，资产描述可以自动换行
“您的角色可能”的描述内容进行了更加合理的修改
状态栏：“体力”→“生命值”
背景故事：“关键链接”→“关键连接”，“个人描述 角色外貌”→“形象描述”，
背景故事，疯狂表：“狂躁症”→“躁狂症”
简化卡：更名为“简化卡 骰娘导入”，修复电脑本文输入框可能不能输入的问题（再不行我也没办法了啊！复制到txt文档吧，然后再复制到QQ）
武器表（人物卡），武器列表-术语解释，防具表：“穿刺”→“贯穿”
快速参考规则，属性注释-属性可选规则-花费幸运值、武器列表 战斗-战斗流程图：“孤注一骰”→“孤注一掷”
武器列表：更名为“武器列表 战斗”
资产，资产参考表：“拮据”→“贫穷”
理智参考规则：持续时间1d10带上了单位“轮”，修改了部分描述。
非标准技能名称部分修改（另外部分技能修改后导致骰娘导入错误，暂时搁置，望谅解）
武器列表 战斗：“射程”→“基础射程”，非标准武器名称部分修改（另外部分武器修改后导致骰娘导入错误，暂时搁置，望谅解），射程修复，注释修改，战斗流程图、战斗伤害流程图勘误。</t>
  </si>
  <si>
    <t>合并“自定义艺术”“自定义技能”
将“自定义其他技能”改为“自定义子技能”（包括艺术与手艺、格斗、射击、科学、驾驶）
解锁技能初始值（如果不是要自定义技能请不要动好嘛w）</t>
  </si>
  <si>
    <t>将【属性和掷骰】表的“您的角色可能”移动至【人物卡】，并联系至“属性”
增加职业介绍框格
将【分支技能】的“艺术与手艺”、“科学”、“格斗”、“射击”移动至【人物表】
增强“状态（State）”、“精神状态”的存在感
增加“自定义艺术/手艺”的框格与介绍
增加任意特长加点参考框格与介绍
增加“角色口癖”，“小秘密”，“生活习惯”，“角色设定”
增加“体格参考表”、增加“体格的作用”
增加“职业介绍”、增加“推荐关系人”
增加“八维属性”雷达图；增加“技能”雷达图
增加“理智参考规则”</t>
  </si>
  <si>
    <t>联系方式</t>
  </si>
  <si>
    <t>神楽桜【丛雨Official】（2224263497），人物卡有任何问题或者建议请及时联系我</t>
  </si>
  <si>
    <t>修复“年龄补正：”bug
将年龄的出错“警告”改为“提示”</t>
  </si>
  <si>
    <t>我的骰娘：丛雨：QQ272594304，是设定是自设的，不是柚子社那一个哦OAO</t>
  </si>
  <si>
    <t>交换“魔法”、“幸运”与“移动力”的位置
删除“幸运”最大值
删除“大成功”“大失败”计数
删除“消耗规则”
添加“幸运困难成功率”“幸运极难成功率”
添加“移动方式”</t>
  </si>
  <si>
    <t>我的群聊：COC克苏鲁跑团咖啡厅（894927747），不是那么正经的群聊</t>
  </si>
  <si>
    <t>感谢名单（有遗漏随时联系窝）</t>
  </si>
  <si>
    <t>感谢人</t>
  </si>
  <si>
    <t>帕琪（806672431）</t>
  </si>
  <si>
    <t>第一位给我提供建议的人，谢谢你！</t>
  </si>
  <si>
    <t>添加“自定义经历包”</t>
  </si>
  <si>
    <t>分
支
技
能
更
改</t>
  </si>
  <si>
    <t>增加“技能成功等级阶段介绍”图</t>
  </si>
  <si>
    <t>梦之雨（2923502026）</t>
  </si>
  <si>
    <t>使用骰娘的时候发现了导入不对劲，谢谢你告诉我，表格才有了更准确的技能名称</t>
  </si>
  <si>
    <t>锁定自定义经历包编辑</t>
  </si>
  <si>
    <t>增加“技能可选规则”：
-“专业技能：可以转移的技能优势”
-“可选规则：给技能等级按个保险”
-“语系地图”（来自维基百科）</t>
  </si>
  <si>
    <t>浅田阳子（3065875927）</t>
  </si>
  <si>
    <t>一位强迫症man，请放心，现在已经居中啦！观感上升大成功！</t>
  </si>
  <si>
    <t>取消更新介绍保护</t>
  </si>
  <si>
    <t>哦哦君（554983922）</t>
  </si>
  <si>
    <t>煲哦哦鸽</t>
  </si>
  <si>
    <t>更新“coc跑团群”</t>
  </si>
  <si>
    <t>反智（——）</t>
  </si>
  <si>
    <t>谢谢你指出的很多意见，并利用你的电脑帮助了我许多麻烦的事情</t>
  </si>
  <si>
    <t>太多了（悲），懒得分类了</t>
  </si>
  <si>
    <t>添加FAQ（是常见问题的意思，不是花Q233333）</t>
  </si>
  <si>
    <t>本杰猫（690013210）</t>
  </si>
  <si>
    <t>谢谢你可以帮我测试和协助2020年的第一次更新！</t>
  </si>
  <si>
    <t>职
业
列
表
更
改</t>
  </si>
  <si>
    <t>增强“自定义职业”、“自定义职业本职技能”的存在感
增加“推荐关系人”列表
增加“职业介绍”列表</t>
  </si>
  <si>
    <t>Schatten（1010233005）</t>
  </si>
  <si>
    <t>如此细微的错误都能发现，谢谢你！</t>
  </si>
  <si>
    <t>2020.02.11更新 版本号：CY20.02.1（区分不重名）</t>
  </si>
  <si>
    <t>2019.8.20更新 版本号：19.8.1</t>
  </si>
  <si>
    <t>か博丽西鹿☆（1206678982）</t>
  </si>
  <si>
    <t>是西鹿鹿，谢谢西鹿鹿</t>
  </si>
  <si>
    <t>更改了弩的需求技能描述，弓→弓术，现在可以在人物卡和导入里正确显示该武器的成功率了</t>
  </si>
  <si>
    <t>更新了排版</t>
  </si>
  <si>
    <t>海可斯（1658605847）</t>
  </si>
  <si>
    <t>空间反应的问题OAO，谢谢！</t>
  </si>
  <si>
    <t>将“艺术与手艺”注释框移至【技能注释】</t>
  </si>
  <si>
    <t>增加《克苏鲁的呼唤调查员伴侣》职业
增加《日本秘史》职业
增加日系特定规则《克苏鲁2010》职业
增加日系特定规则《克苏鲁与帝国》职业
增加日系特定规则《克苏鲁2015》职业</t>
  </si>
  <si>
    <t>是个好人（3084877320）</t>
  </si>
  <si>
    <t>差点忘记你反应的问题惹OAO！抱歉！另外谢谢！</t>
  </si>
  <si>
    <t>在规则书Version2002版本中（最新版本）译名“学问”→“学识”此处同步更改</t>
  </si>
  <si>
    <t>添加“自定义身体/精神状态”
更新“体力”的“状态”下拉框
更新“理智”的“状态”下拉框</t>
  </si>
  <si>
    <t>Trotyl（495568205）</t>
  </si>
  <si>
    <t>给我了最多的建议！！！！（真的很多，快100了）谢谢！</t>
  </si>
  <si>
    <t>缘，妙不可言（1992752152）</t>
  </si>
  <si>
    <t>谢谢你这么认真使用我的卡！</t>
  </si>
  <si>
    <t>修复了了法医职业的本职技能错误</t>
  </si>
  <si>
    <t>Истина.（993032722）</t>
  </si>
  <si>
    <t>和你聊天很舒服～另外谢谢你的建议！</t>
  </si>
  <si>
    <t>移除基础属性：“体力”“理智”“幸运”“魔法”上限栏保护
移除“魔法”“每小时恢复”栏位保护
移除“伤害加值”、“体格”数值栏位保护</t>
  </si>
  <si>
    <t>西擎庄（3605330799）</t>
  </si>
  <si>
    <t>谢谢提供的建议QAQ</t>
  </si>
  <si>
    <t>修复了古典艺术家职业的技能点计算公式错误</t>
  </si>
  <si>
    <t>属
性
和
掷
骰
更
新</t>
  </si>
  <si>
    <t>增加“各个属性的数字意味着什么？”、“每个属性的骰点骰子”</t>
  </si>
  <si>
    <t>缄（920068575）</t>
  </si>
  <si>
    <t>很抱歉到现在才解决问题！！</t>
  </si>
  <si>
    <t>增加“属性可选规则”
-“花费幸运值”
-“回复幸运值”
-“看透疯狂”增加沼跃鱼
-“精神固化”
-“多重理智检定”
增加“追逐轮可选规则”
-“选择一条道路”
-“随机的险境和障碍”
-“突发险境”
-“猛踩油门”</t>
  </si>
  <si>
    <t>安妍色（3258528467）</t>
  </si>
  <si>
    <t>shiki！shiki！shiki！</t>
  </si>
  <si>
    <t>资产及物价参考更新</t>
  </si>
  <si>
    <t>修复了现代美元的信用评级对照表格的一个错误</t>
  </si>
  <si>
    <t>更新汇率</t>
  </si>
  <si>
    <t>初音未来zkw（3200767064）</t>
  </si>
  <si>
    <t>问题解决了！</t>
  </si>
  <si>
    <t>添加货币：
      雷亚尔（巴西）
      墨西哥元（墨西哥）
      泰铢（泰国）
      新加坡元（新加坡）
      南非兰特（南非）</t>
  </si>
  <si>
    <t>天不错（1057354813）</t>
  </si>
  <si>
    <t>感谢你的成长表！</t>
  </si>
  <si>
    <t>韩艺瑟（993032722）</t>
  </si>
  <si>
    <t>同样也是拖了好久才更新呜呜呜，对不起！</t>
  </si>
  <si>
    <t>规则书链接更新，添加本表格更新链接，可随时访问查看本表有没有更新</t>
  </si>
  <si>
    <t>グ（1115183244）</t>
  </si>
  <si>
    <t>谢谢你使用pc帮助我那么多忙OAO，麻烦惹</t>
  </si>
  <si>
    <t>更改</t>
  </si>
  <si>
    <t>对一些表格的版式和美观度进行了更新，表格名称修改，小细节修改</t>
  </si>
  <si>
    <t>更新资产单位下拉列表，更新资产算法(这个功能研究了好久。。。excel大于小于的bug真要命)</t>
  </si>
  <si>
    <t>有什么问题随时联系窝！联系方式在左边，在左边啦——</t>
  </si>
  <si>
    <t>更改雷达图位置</t>
  </si>
  <si>
    <t>删除“不算幸运：”
将“算幸运：”改为“已用点数：”
添加“年龄补正：”</t>
  </si>
  <si>
    <t>2020.01.16更新 版本号：20.1</t>
  </si>
  <si>
    <t>武
器
列
表
更
新</t>
  </si>
  <si>
    <t>为武器列表增加“类型”</t>
  </si>
  <si>
    <t>修复了【人物卡→法术一览】的锁定问题</t>
  </si>
  <si>
    <t>将特殊武器介绍改为“注释”
为“术语解释”排版</t>
  </si>
  <si>
    <t>添加
“规则书”“玩家手册”“怪物之锤”“法术大典”“跑团群”
 文件链接</t>
  </si>
  <si>
    <t>快捷输入描述微调</t>
  </si>
  <si>
    <t>增加“会造成惩罚骰的情况”
增加“特殊伤害解读”
增加受伤程度列表</t>
  </si>
  <si>
    <t>自定义职业注释去除（因为显示不出），并且修复了维多利亚年代的错误问题</t>
  </si>
  <si>
    <t>修复一些bug</t>
  </si>
  <si>
    <t>2019.7.18更新 版本号：19.7.1</t>
  </si>
  <si>
    <t>增加“战斗轮可选规则”
-“先攻检定”
-“击晕”、“消耗幸运值来维持意识”
-“相杀”
-“无法得知伤害”
-“火力压制”
-“护甲调整”、“部位瞄准”
-“瞄准具”、“支架”
-“在战斗中移动”
-“全隐蔽”、“击穿掩体”
-“倒地”
-“毒性”
增加“毒剂示例”</t>
  </si>
  <si>
    <t>更新说明大幅度改动，“感谢……”去除，更新说明更加直观，新增感谢名单，并将提供建议和帮助的你们加入其中（在本页面左边）</t>
  </si>
  <si>
    <t>将“技能表”的科学①②③的“数学”基础值改为10</t>
  </si>
  <si>
    <t>修复初始理智值不自动计算的问题</t>
  </si>
  <si>
    <t>对表格整体进行了美化处理（比如对很多单元格文字设置了居中，观感更好）</t>
  </si>
  <si>
    <t>修复“理智参考规则”与“快速参考规则”的错误</t>
  </si>
  <si>
    <t>重新保护部分单元格</t>
  </si>
  <si>
    <t>丛雨在这里祝愿大家！2020新年快乐！天天大成功！无论是跑团还是别的事情都要大成功哦！</t>
  </si>
  <si>
    <t>2019.6.22更新 版本号：19.6.1</t>
  </si>
  <si>
    <t>2019.12.20更新 版本号：19.12.3beta</t>
  </si>
  <si>
    <t>将“自定义艺术/手艺”的“技能名”添加至“技能表”的“技艺①/②”的下拉选项
将“自定义其他技能”的“技能名”添加至“技能表”的其他的下拉选项
将“自定义其他技能”的“基础值”改为“请输入”
为自定义技能本职标记增加下拉选框
将“自定义科学或其他技能”“改为自定义其他技能”</t>
  </si>
  <si>
    <t>已修复【人物卡→护甲区块显示不完全】的问题</t>
  </si>
  <si>
    <t>现在【人物卡→技能名称】可以选定了
现在【人物卡→疯狂症状出目】（在左下部分）也可以选定了
取悦（原魅惑），导航（原领航）的注释描述已经同步更改</t>
  </si>
  <si>
    <t xml:space="preserve">增加“魔法可选规则”
-“克苏鲁神话技能的自发用法”
-“对单一目标造成物理伤害”
-“追逐怪物”
-“和死者交流”
</t>
  </si>
  <si>
    <t>修复“克苏鲁神话”的“本职标记”不显示问题
修复分配自由本职技能下拉选框无法选择“格斗③”“射击③”“外语③”“自定义”技能的问题</t>
  </si>
  <si>
    <t>现在表格所有初始缩放比例调整为100%，电脑看起来会更舒服了吧</t>
  </si>
  <si>
    <t>更改最顶端注释</t>
  </si>
  <si>
    <t>表格大小缩小！</t>
  </si>
  <si>
    <t>添加“时代介绍”</t>
  </si>
  <si>
    <t>哭哭哭！谢谢你们，因为一直在手机车卡，电脑上的东西我几乎一无所知，我不知道我给电脑车卡的小可爱们带来如此多的难题呜呜呜对不起。
对了，说一句，那个技能注释描述只能电脑看，手机的话WPS是看不到的，貌似手机还不支持这个功能，这个我也没有办法啊，只能等WPS快点跟进吧，然后有【技能注释】这个表让你们查询QwQ，能用的上就好了呢。</t>
  </si>
  <si>
    <t>重新排版</t>
  </si>
  <si>
    <t>删除“将力量与体型相加之后”、“体格的作用”</t>
  </si>
  <si>
    <t>为武器表的武器类型下拉框添加空白框格</t>
  </si>
  <si>
    <t>修复9号职业“文物学家（原作向）”没有“估价”本职标记问题</t>
  </si>
  <si>
    <t>2019.12.08更新 版本号：19.12.2beta</t>
  </si>
  <si>
    <t>将“性别”改为“性别/性取向”</t>
  </si>
  <si>
    <t>已修复【人物卡→武器表中的一些文本没有居中】的问题</t>
  </si>
  <si>
    <t>修改san初始值可能超过最大值的bug</t>
  </si>
  <si>
    <t>修复"☆ 二选一""⊙ 二选一""☯ 社交技能""※ 多选，或X选一"不显示问题（这么明显的bug都半年了居然才发现。。）</t>
  </si>
  <si>
    <t>格斗②③，射击②③，外语②③，科学③的本职技能标记在之前发生了重复和不显示的错误，现在已经可以正常的显示了</t>
  </si>
  <si>
    <t>技能注释更新</t>
  </si>
  <si>
    <t>添加新功能“技能查询”</t>
  </si>
  <si>
    <t>删除“艺术与手艺”“科学”“射击”“驾驶”“格斗”</t>
  </si>
  <si>
    <t>【射击：弓】更名为【射击：弓术】</t>
  </si>
  <si>
    <t>更改理发，酿酒，捕鱼，打字，技术制图的解释</t>
  </si>
  <si>
    <t>修复“自定义职业本职技能”技能下拉选框无法选择“格斗③”“射击③”“外语③”“自定义”技能的问题</t>
  </si>
  <si>
    <t>已修复【导入时导入的是弓的数据，而骰娘识别的是弓术导致检定弓术时失效】的问题</t>
  </si>
  <si>
    <t>为额外的职业表添加注释</t>
  </si>
  <si>
    <t>删除自动掷骰部分</t>
  </si>
  <si>
    <t>MDice骰娘（惠惠）专属导入，
加入便于电脑复制导入的本文框</t>
  </si>
  <si>
    <t>更改“将力量与体型相加之后”的色块</t>
  </si>
  <si>
    <t>修正唯二可以超过99的错误（可以超过100）</t>
  </si>
  <si>
    <t>呜噫噫呜，有错误请一定要联系我哦，欢迎扩散这份表格！你们的使用是我最大的动力！</t>
  </si>
  <si>
    <t>将“特殊伤害解读”的注释格式改为向左对其</t>
  </si>
  <si>
    <t>更改“战斗轮可选规则”的“先攻检定”“击晕”“相杀”“火力压制”“瞄准具”“支架”“在战斗中移动”“完全隐蔽”“击穿掩体”“俯卧”“毒性”“毒性示例”可选规则的注释 / 增加“抵近射击调整”</t>
  </si>
  <si>
    <t>2019.12.03更新 版本号：19.12.1beta</t>
  </si>
  <si>
    <t>添加：发明时间</t>
  </si>
  <si>
    <t>在人物表最下方加入引导内容【骰娘快捷输入见简化卡】
【调查员信息】中，原“性别/性取向”改为“性别”</t>
  </si>
  <si>
    <t>防具表 载具表更新</t>
  </si>
  <si>
    <t>删除“防护等级”</t>
  </si>
  <si>
    <t>更改“术语解释/规则”的名称与排版</t>
  </si>
  <si>
    <t>添加“MOV与速度对照值”</t>
  </si>
  <si>
    <t>shiki Exp10骰娘专属导入，
造成表格体积变大的图片引导已修改，并更加完善引导过程</t>
  </si>
  <si>
    <t>修改载具表的大量问题</t>
  </si>
  <si>
    <t>将【分支技能】改为【技能注释】</t>
  </si>
  <si>
    <t>目前快捷输入已经有三种了，具体是哪种，可以看一下简化卡的说明，我尽可能的给大家说的明白，总之，希望可以方便一下大家吧。
有什么问题请随时给我说，在左边就有我的联系方式啦。</t>
  </si>
  <si>
    <t>将【属性和掷骰】改为【属性注释】</t>
  </si>
  <si>
    <t>反正我在这随 "便写点" 啥再加几个括号引号你们:也不会发现，完全没得人看更新说明我好伤心</t>
  </si>
  <si>
    <t>取消除【更新说明】外所有页面的锁定</t>
  </si>
  <si>
    <t>2019.5.9更新 版本号：19.5.1</t>
  </si>
  <si>
    <t>修改15-19岁年龄调整值的错误</t>
  </si>
  <si>
    <t>2019.11.26更新 版本号：19.11.4beta</t>
  </si>
  <si>
    <t>缩小“现时间”，“成功率 普通/困难/极难”与“成功标”字号</t>
  </si>
  <si>
    <t>已修复【人物表→其他资产表→其他栏目无法选定】的问题</t>
  </si>
  <si>
    <t>分支技能更新</t>
  </si>
  <si>
    <t>将以下板块重新排版：
可选规则：给技能等级安个保险
格斗、生存、驾驶、社交类、治疗类、维修类、科学、神话等
这是一张展示世界语系的地图（来自维基百科2018）</t>
  </si>
  <si>
    <t>已修复【人物卡→资产→消费水平、其他资产、当前现金不会随年代和信用评级的变化而变化】的问题</t>
  </si>
  <si>
    <t>调整了货币之间的汇率（按照19年11月25日当日全球汇率进行调整）</t>
  </si>
  <si>
    <t>汉化语系地图</t>
  </si>
  <si>
    <t>更新定义：
专业技能：可以转移的技能优势   语言解释
超越人体极限：多调查员协作检定</t>
  </si>
  <si>
    <t>对【人物卡→资产】内的一些本文错误（错字，没有句号逗号等）进行了修复</t>
  </si>
  <si>
    <t>首先，你要知道，在人物卡资产栏点击【美元】可以切换货币币种，也就是进行汇率转换计算，那么在此声明一点，除了美元之外的货币数据仅提供参考作用，请不要用别的货币数据去和kp怼。人物卡不是天，我的能力也有限，所以麻烦大家多多结合一下当时的现实情况（比如1920s根本没有人民币，但却做了人民币的汇率换算）。
然后..很抱歉这张卡更新频繁，对不起对不起对不起呜呜呜，请大家谅解，毕竟还处于测试阶段，所以有问题请一定要联系我，不管是大的小的都一定要联系我，让我们一起把人物卡变得更加完美吧！</t>
  </si>
  <si>
    <t>将【资产参考】更名为【资产及物价参考】</t>
  </si>
  <si>
    <t>增加“简单易懂英制的长度单位教学~~~”</t>
  </si>
  <si>
    <t>增加“现代物价参考表”</t>
  </si>
  <si>
    <t>增加“1920年代物价参考表”</t>
  </si>
  <si>
    <t>2019.11.25更新 版本号：19.11.3beta</t>
  </si>
  <si>
    <t>纠正射程单位
更新武器名称
将“布置”改为“就地”
将武器名称和规则书同步</t>
  </si>
  <si>
    <t>现已修复【考古学家没有本职技能估价星标显示】问题</t>
  </si>
  <si>
    <t>2019.11.23更新 版本号：19.11beta</t>
  </si>
  <si>
    <t>将“术语解释”中的：
“+db注释”更改为“英制单位的简易理解方式”
更改“罕见”的注释</t>
  </si>
  <si>
    <t>“技艺”，“格斗”，“驾驶”和“成功标”等下拉框修复</t>
  </si>
  <si>
    <t>为了规范起见，也为了防止pl误操作，现在除了“自定义技能”，其余技能名称均已锁定</t>
  </si>
  <si>
    <t>在“特殊伤害解读”中增加“晕（眩）”</t>
  </si>
  <si>
    <t>在表格最下方的浅字署名更改为神楽桜（丛雨Official）2019.11.23</t>
  </si>
  <si>
    <t>将“会造成惩罚骰或奖励骰的情况”改为“远程武器会造成惩罚骰或奖励骰的情况”</t>
  </si>
  <si>
    <t>更改格斗盾注释颜色
更改工业防护眼镜的注释
更改工业防护眼镜的护甲值
更改文艺复兴头盔的护甲值
更改冰球面罩的护甲值
更改网状的定义
更改格斗盾的注释
更改剑格的注释
将皮肤护甲值改为“视情况”</t>
  </si>
  <si>
    <t>根据规则书Version1907版（最新版本）中的改动，将“魅惑”→“取悦”，“领航”→“导航”
简化卡中的快捷导入会保留全部的翻译。（你仍可以通过快捷导入，使用诸如ra魅惑的指令）</t>
  </si>
  <si>
    <t>为防止刁民偷改数据从而获得额外的技能点或本职技能等情况，除自定义职业外及其相关内容外，其余内容均已锁定</t>
  </si>
  <si>
    <t>塔系骰娘专属导入，并附图给予复制教程</t>
  </si>
  <si>
    <t>更新排版</t>
  </si>
  <si>
    <t>更改以下载具乘客数值
地铁                                 缆车
空轨                                 高铁
客船                                 独木舟
木筏                                 货轮
热气球</t>
  </si>
  <si>
    <t>大家好，我是神楽桜，是骰娘丛雨的master，大家也都叫我丛雨。这是我更改并有意向进行长期更新的第一张卡，有不足的地方请多多谅解，欢迎广泛传播！谢谢你惹！</t>
  </si>
  <si>
    <t>更改四马马车的技能，和常见时代</t>
  </si>
  <si>
    <t>将载具表下的“术语解释”重命名为“术语解释/规则”</t>
  </si>
  <si>
    <t>将2018版本更新放置右侧</t>
  </si>
  <si>
    <t>删除“debug组成员”改为“我要把你的名字写在这里！”</t>
  </si>
  <si>
    <t>2018.4.1更新 版本号：19.4.1</t>
  </si>
  <si>
    <t>修复“剩余经历包点数”bug</t>
  </si>
  <si>
    <t>降低“战斗流程图”的文件大小</t>
  </si>
  <si>
    <t>2019.3.?更新 版本号：19.3.1</t>
  </si>
  <si>
    <t>看下面，这个只是为了照顾非1920*1080屏幕的玩家做的改动（简化）</t>
  </si>
  <si>
    <t>2018.12.12更新 版本号：18.12.1</t>
  </si>
  <si>
    <t>修复：
91号职业没有任意特长的问题
229号职业 聆听，机械维修没有本职标记
75号职业没有社交技能数</t>
  </si>
  <si>
    <t>更新汇率
更新货币单位提示</t>
  </si>
  <si>
    <t>取消格斗②与格斗①绑定标记
取消射击②与射击①绑定标记</t>
  </si>
  <si>
    <t>在“调查员经历”增加：有故事的调查员
并在“剩余职业点”“剩余兴趣点”之后增加了“剩余经历包点”</t>
  </si>
  <si>
    <t>删除现时间的下拉列表，合并为一个格，并改名为“当前时间”</t>
  </si>
  <si>
    <t>将属性的困难极难成功率设置为“如果普通成功率没有数值则变为隐藏”</t>
  </si>
  <si>
    <t>将“今日损失”改为“不定疯狂值”</t>
  </si>
  <si>
    <t>将“移动力调整值”分为“属性调整值”“年龄调整值”“护甲调整值”</t>
  </si>
  <si>
    <t>删除“您的角色可能”
删除“←这个职业 要这样获得技能点→”
删除“将力量与体型相加之后”“体格的作用”（曾在【属性和掷骰】里复制，未删除）</t>
  </si>
  <si>
    <t>将“.st指令快捷输入”从【人物卡】中移动到【简化卡】</t>
  </si>
  <si>
    <t>更
改</t>
  </si>
  <si>
    <t>分离【分支技能】与【资产】，并将资产改名为【资产参考】</t>
  </si>
  <si>
    <t>将所有表格的行列表隐藏</t>
  </si>
  <si>
    <t>将横轴滚轮所占空间缩小（为了给选项卡分出空间）</t>
  </si>
  <si>
    <t>美化人物卡，灵感来源于DND5E角色卡</t>
  </si>
  <si>
    <t>更改版本号格式</t>
  </si>
  <si>
    <t>2018.11.05更新 版本号：18.11.1</t>
  </si>
  <si>
    <t>修复武器表“弓”“电器维修”“炮术”“投掷”技能#REF!问题</t>
  </si>
  <si>
    <t>让“本职标志”跟随“任意特长”变化
为“任意特长数”随已选特长变动，若选择过多则显示“过多！”</t>
  </si>
  <si>
    <t>让自定义职业的本职技能显示本职标志</t>
  </si>
  <si>
    <t>将其他资产表五项设置为顶端左侧对齐</t>
  </si>
  <si>
    <t>修复“自定义职业”的“属性点”非最大值的问题</t>
  </si>
  <si>
    <t>将.st输出移动至【人物卡】</t>
  </si>
  <si>
    <t>分支技能与资产更新</t>
  </si>
  <si>
    <t>将“火焰喷射器”改为“喷射器”</t>
  </si>
  <si>
    <t>将“机关枪”改为“机枪”</t>
  </si>
  <si>
    <t>2018.10.28更新 版本号：18.10.6</t>
  </si>
  <si>
    <t>将临时体力值的数值字体设置为黑色</t>
  </si>
  <si>
    <t>为“调查员信息”添加“当前时间”</t>
  </si>
  <si>
    <t>为“护甲值”与“覆盖部位”设置保护</t>
  </si>
  <si>
    <t>将“护甲类型”设置为“请看护甲表”
将“护甲类型”的字体颜色设置为黑色</t>
  </si>
  <si>
    <t>将人物表设置为即使锁定也可以插入头像</t>
  </si>
  <si>
    <t>将“.st指令快捷输入”设置为即使属性为0也可以使用</t>
  </si>
  <si>
    <t>将母语设置为常亮
将信用评级设置为常亮
将闪避设置为常亮</t>
  </si>
  <si>
    <t>在调查员信息中增加职业</t>
  </si>
  <si>
    <t>增加“当前时间”
增加“调查员伙伴”
-自写框
增加“神话相关”
-自写框</t>
  </si>
  <si>
    <t>改变“.st指令快捷输入”</t>
  </si>
  <si>
    <t>将简化表设置为即使锁定也可以插入头像</t>
  </si>
  <si>
    <t>增加“自定义职业属性”</t>
  </si>
  <si>
    <t>为“自定义职业”增加“职业属性”自动计算
为“自定义职业”增加“技能点”自动计算</t>
  </si>
  <si>
    <t>删除自定义栏</t>
  </si>
  <si>
    <t>增加“注意事项”</t>
  </si>
  <si>
    <t>为“盾”类型增加“注释”
为“格斗盾”增加“注释”
为“盾”类型增加“剑格、护手”和其“注释”</t>
  </si>
  <si>
    <t>将规则书内物品设置为仿宋深蓝字体</t>
  </si>
  <si>
    <t>2018.10.25更新 版本号：18.10.5</t>
  </si>
  <si>
    <t>将职业范围和剩余点数在职业序号为0的时候设置为隐藏</t>
  </si>
  <si>
    <t>将“信用评级”的“成功标志”禁用
将“克苏鲁神话”的“成功标志”禁用</t>
  </si>
  <si>
    <t>修改了几乎所有技能的注释</t>
  </si>
  <si>
    <t>大量修正技能的注释与名称
-“驯兽”没有改为“动物驯养”
-将“作画”改为“美术”
-将“弓术”改为“弓”
-将“机关枪”改为“机枪”
-将“自然学”改为“博物学”
并添加“也译作‘自然学’”</t>
  </si>
  <si>
    <t>修复“技能”会显示“0”的情况（简化卡）</t>
  </si>
  <si>
    <t>增加“.st指令快捷输入”
-“.st指令快捷输入”
-“技能名的改变”
-“注意”
-文本化用“txt框”
（这条函数超长的qwq）</t>
  </si>
  <si>
    <t>将“资产参考表”上移</t>
  </si>
  <si>
    <t>增加“驾驶”
-船
-飞行器</t>
  </si>
  <si>
    <t>增加“学问：”
增加“自定义技能”</t>
  </si>
  <si>
    <t>为“艺术与手艺”增加：
理发
莫里斯舞
歌剧歌唱
粉刷匠和油漆工
吹制玻璃管</t>
  </si>
  <si>
    <t>属性和掷骰更新</t>
  </si>
  <si>
    <t>将“各个属性的数字意味着什么？”重新对照规则书。</t>
  </si>
  <si>
    <t>增加了99-克苏鲁神话的结果：精神分析最大恢复值</t>
  </si>
  <si>
    <t>2018.10.23更新 版本号：18.10.4.1</t>
  </si>
  <si>
    <t>格林：修复人物表职业剩余点数、兴趣剩余点数的bug</t>
  </si>
  <si>
    <t>取消职业信用范围的自动隐藏</t>
  </si>
  <si>
    <t>更改“资产”“单位”的排列</t>
  </si>
  <si>
    <t>修复部分电脑出现的bug</t>
  </si>
  <si>
    <t>职业列表更改</t>
  </si>
  <si>
    <t>隐藏“推荐关系人”与“职业介绍”
修复职业点数计算错误问题并简化算法</t>
  </si>
  <si>
    <t>2018.10.18更新 版本号：18.10.4</t>
  </si>
  <si>
    <t>将“属性”的“不算幸运”和“算幸运”如果是0的话设置为隐藏</t>
  </si>
  <si>
    <t>将“自定义艺术/手艺”的“用法/备注”设置为自动换行
将“自定义科学或其他技能”的“用法/备注”设置为自动换行</t>
  </si>
  <si>
    <t>将“随身物品”的“状态”和“部位”最后三格取消下拉框</t>
  </si>
  <si>
    <t>修复“重伤值”的计算错误，并移动到左侧
增加“临时体力值”</t>
  </si>
  <si>
    <t>将“神话相关”的输入框设置为文本格式
将“法术一览”的输入框设置为文本格式
将“调查员伙伴”的输入框设置为文本格式
将“调查员经历”的输入框设置为文本格式</t>
  </si>
  <si>
    <t>将“技能”的拥有分支技能的技能表现出来。</t>
  </si>
  <si>
    <t>修复“多面骰”的“D2”无效问题</t>
  </si>
  <si>
    <t>将技能成功等级文字化并命名为“技能成功等级与注释”</t>
  </si>
  <si>
    <t>2018.10.13更新 版本号：18.10.3</t>
  </si>
  <si>
    <t>增加“简化卡”</t>
  </si>
  <si>
    <t>修复大量BUG</t>
  </si>
  <si>
    <t>为“技能表”的“信用评级”的“兴趣点”增加提示</t>
  </si>
  <si>
    <t>为其他资产表增加“资产总和”</t>
  </si>
  <si>
    <t>将“您的角色可能”在无属性的情况下设置为隐藏状态</t>
  </si>
  <si>
    <t>将“冷兵器”类型改为“常规兵器”
将“穿刺”改为“贯穿”
将“次数”改为“每轮”
更改“手枪”的注释
更改“霰弹枪”的注释
更改“突击步枪”的注释
更改“冲锋枪”的注释
为特殊武器增加“炸药筒和手雷”的注释
将武器列表全体武器对照规则表修正</t>
  </si>
  <si>
    <t>将【资金参考】合并入【分支技能】、并改名为【分至技能与资产】</t>
  </si>
  <si>
    <t>2018.10.9更新 版本号：18.10.2</t>
  </si>
  <si>
    <t>人
物
表
更
新</t>
  </si>
  <si>
    <t>将“幸运”附表的“消耗规则”改为“大成功”“大失败”次数记录，并将其放置在右侧</t>
  </si>
  <si>
    <t>将“护甲”附表的“覆盖位置”改为“护甲类型”，并将其放置在右侧
为“护甲类型”增加下拉框
为护甲值、覆盖位置增加自动算法
将护甲的mov惩罚算进移动力中</t>
  </si>
  <si>
    <t xml:space="preserve">将其他资产表设置为自动换行
</t>
  </si>
  <si>
    <t>将背景故事全部设置为自动换行</t>
  </si>
  <si>
    <t>将雷达图背景色设置为透明</t>
  </si>
  <si>
    <t>修复“武器表”次数问题</t>
  </si>
  <si>
    <t>简化随身物品
为随身物品的位置标注增加注释</t>
  </si>
  <si>
    <t>更新“伤害加值”、“体格”算法</t>
  </si>
  <si>
    <t>更新“年龄移动力”算法</t>
  </si>
  <si>
    <t>将“调查员伙伴”和“调查员经历”的位置调换</t>
  </si>
  <si>
    <t>为“神话相关”增加和“疯狂与克苏鲁神话”规则、“相信者”规则、“幕间成长”规则的例子
为“神话相关”增加和“累计”，详见习惯恐惧规则</t>
  </si>
  <si>
    <t>更新并纠错“会造成惩罚骰或奖励骰的情况”</t>
  </si>
  <si>
    <t>增加“战斗流程图”“战斗伤害流程图”
增加“脱离近身战斗”</t>
  </si>
  <si>
    <t>将“魔法可选技能”移动到【属性和掷骰】</t>
  </si>
  <si>
    <t>为防具表“术语解释”添加“护甲”</t>
  </si>
  <si>
    <t>为载具表底部增加“交通事故”</t>
  </si>
  <si>
    <t>重新排版、增加“增加POW”</t>
  </si>
  <si>
    <t>分
支
技
能
更
新</t>
  </si>
  <si>
    <t>增加“游戏系统少见规则”
-“幕间成长：90%或更多的技能值”
-“对抗检定平手”
-“超越人类极限：多调查员合作检定”
-“调查员幕间成长（超越100）”</t>
  </si>
  <si>
    <t>疯
狂
表
更
新</t>
  </si>
  <si>
    <t>增加“疯狂与理智少见规则”
-“失败的理智检定”
-“习惯恐惧”
-“潜在疯狂”
-“疯狂的副作用”
-“幻觉与现实认知检定”
-“从疯狂中恢复”</t>
  </si>
  <si>
    <t>2018.10.2更新 版本号：18.10.1</t>
  </si>
  <si>
    <t>合并【防具表】与【载具表】</t>
  </si>
  <si>
    <t>人
物
表
更
改</t>
  </si>
  <si>
    <t>修复大量错误的职业标记  （协助者：战神瓜皮）</t>
  </si>
  <si>
    <t>修复多选项与任意项不显示或不隐藏的问题</t>
  </si>
  <si>
    <t>修复并更新雷达图</t>
  </si>
  <si>
    <t>将“状态”和“精神状态”放置在“耐久”和“理智”的右侧
为人物卡重新排版
为人物卡增加“笔记本”和“浮动笔记本”</t>
  </si>
  <si>
    <t>为技能表增加“格斗③”“射击③”，并增加两个空格</t>
  </si>
  <si>
    <t>增加“自定义科学或其他技能”</t>
  </si>
  <si>
    <t>为“职业范围”和“剩余职业/兴趣点”设置如果没有剩余点数为隐藏状态</t>
  </si>
  <si>
    <t>修复“射击”技能基础值不变化
修复“格斗”技能基础值不变化</t>
  </si>
  <si>
    <t>修复“武器表”成功率非自动运算</t>
  </si>
  <si>
    <t>将“主流货币换算”合并至“资产”
更新汇率</t>
  </si>
  <si>
    <t>为资产单元下拉框增加“软妹币”、日元、澳元、以及各种货币</t>
  </si>
  <si>
    <t>为资产增加“其他资产表”</t>
  </si>
  <si>
    <t>为背景故事增加“关键连接”开关、并为其添加说明、并重新排版
将“个人描述”和“角色外貌”合并</t>
  </si>
  <si>
    <t>修复“推荐关系人”、“职业介绍”在煤油灯职业的问题</t>
  </si>
  <si>
    <t>为“各个属性的数字意味着什么？”中部解释添加了左框
为“各个属性的数字意味着什么？”底部“力量、体质、敏捷、外貌进步检定与惩罚”改变字体颜色</t>
  </si>
  <si>
    <t>资金参考更新</t>
  </si>
  <si>
    <t>修改人民币部分错误
修改日元部分错误</t>
  </si>
  <si>
    <t>2018.9.29更新 版本号：1.18.9.3</t>
  </si>
  <si>
    <t xml:space="preserve">为意志描述增加超过99的描述
为体型描述增加超过99的描述
</t>
  </si>
  <si>
    <t>将MP最大值设置为向下取整</t>
  </si>
  <si>
    <t>修复“技能表”“科学”下拉框错误</t>
  </si>
  <si>
    <t>修复 “消费水平”“其他资产”“当前现金”不跟随信用评级变化
修复现代0信用=0现金的bug
将“生活水平”中的“贫穷”改成“拮据”</t>
  </si>
  <si>
    <t>“意义非凡之地”与“重要之人”的格式设置为水平居中</t>
  </si>
  <si>
    <t>“背景故事栏”设置为自动换行</t>
  </si>
  <si>
    <t>修改“会造成惩罚骰或奖励骰的情况”的色差问题</t>
  </si>
  <si>
    <t>修改“战斗轮可选规则”：“倒地”的删除线问题</t>
  </si>
  <si>
    <t>删除“蒸汽朋克世界观”武器，改为“自定义”</t>
  </si>
  <si>
    <t>增加《克苏鲁煤气灯》1980s职业</t>
  </si>
  <si>
    <t>信
誉
参
照
表
更
新</t>
  </si>
  <si>
    <t>将该表更名为【资金参考】</t>
  </si>
  <si>
    <t>增加维多利亚时期英国信用参照（来自扩展书克苏鲁煤气灯）
增加2010s中国信誉参照（来自泡泡百科）
增加2010s日本信誉参照（来自泡泡百科）
增加2010s澳大利亚信誉参照（来自现实参考）</t>
  </si>
  <si>
    <t>泡泡百科部分：http://www.goddessfantasy.net/bbs/index.php?PHPSESSID=d7c3f914bfe292944d5213ef0c9a7a81&amp;topic=81502.0</t>
  </si>
  <si>
    <t>2018.9.26更新 版本号：1.18.9.2</t>
  </si>
  <si>
    <t>为人物表瘦身，重新排版
修复大量BUG</t>
  </si>
  <si>
    <t>为理智附表增加（理智-今日损失）的结果
为理智增加“不定性疯狂损失值”
为魔法增加“每小时恢复值”</t>
  </si>
  <si>
    <t>删除格斗① 格斗② 的“斗殴”技能
删除射击① 射击② 的“手枪”技能</t>
  </si>
  <si>
    <t>为任意特长表添加下拉选项</t>
  </si>
  <si>
    <t>恢复“调查员伙伴”，并增加其功能
为“理智参考规则”增加疯狂发作状况参考
更新货币汇率，将泰铢改为港币</t>
  </si>
  <si>
    <t>删除“角色口癖”，“生活习惯”；
将“小秘密”改为“难言之隐”添加至“背景故事”，
将“角色设定”改为“角色外貌”添加至“背景故事”。</t>
  </si>
  <si>
    <t>将“追逐轮可选规则”移动至【载具表】
将“属性可选规则”的“看透疯狂”、“精神固化”、“多重理智检定”移动至【疯狂表】</t>
  </si>
  <si>
    <t>为武器列表增加“蒸汽朋克世界观模组”</t>
  </si>
  <si>
    <t>增
加</t>
  </si>
  <si>
    <t>增加【增加防具表】</t>
  </si>
  <si>
    <t>增加【载具表】</t>
  </si>
  <si>
    <t>тополь</t>
    <phoneticPr fontId="188" type="noConversion"/>
  </si>
  <si>
    <t>不详</t>
    <phoneticPr fontId="18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</si>
</sst>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24" formatCode="\$#,##0_);[Red]\(\$#,##0\)"/>
    <numFmt numFmtId="176" formatCode="&quot;/&quot;0"/>
    <numFmt numFmtId="177" formatCode="\+0;\-0;&quot;±&quot;0"/>
    <numFmt numFmtId="178" formatCode="[=1]&quot;※ 多选，或X选一&quot;;[=0]&quot;&quot;"/>
    <numFmt numFmtId="179" formatCode="[=32767]&quot;&quot;;General"/>
    <numFmt numFmtId="180" formatCode="[=0]&quot;&quot;;&quot;/&quot;0"/>
    <numFmt numFmtId="181" formatCode="\$0"/>
    <numFmt numFmtId="182" formatCode="[=0]&quot;&quot;;General"/>
    <numFmt numFmtId="183" formatCode="\/0_ "/>
    <numFmt numFmtId="184" formatCode="&quot;[&quot;0&quot;]&quot;"/>
    <numFmt numFmtId="185" formatCode="0_);[Red]\(0\)"/>
    <numFmt numFmtId="186" formatCode="0.00_);[Red]\(0.00\)"/>
    <numFmt numFmtId="187" formatCode="0.0_ "/>
    <numFmt numFmtId="188" formatCode="0_ "/>
    <numFmt numFmtId="189" formatCode="0&quot;年&quot;"/>
    <numFmt numFmtId="190" formatCode="[=1]&quot;☆ 二选一&quot;;[=0]&quot;&quot;"/>
    <numFmt numFmtId="191" formatCode="[=1]&quot;⊙ 二选一&quot;;[=0]&quot;&quot;"/>
    <numFmt numFmtId="192" formatCode="[=0]&quot;&quot;;&quot;☯ 社交技能（&quot;0&quot;项）&quot;"/>
  </numFmts>
  <fonts count="202">
    <font>
      <sz val="11"/>
      <name val="宋体"/>
      <charset val="134"/>
    </font>
    <font>
      <sz val="11"/>
      <color rgb="FF000000"/>
      <name val="微软雅黑"/>
      <charset val="134"/>
    </font>
    <font>
      <sz val="20"/>
      <color rgb="FF000000"/>
      <name val="微软雅黑"/>
      <charset val="134"/>
    </font>
    <font>
      <sz val="12"/>
      <color rgb="FF000000"/>
      <name val="微软雅黑"/>
      <charset val="134"/>
    </font>
    <font>
      <u/>
      <sz val="14"/>
      <color indexed="20"/>
      <name val="宋体"/>
      <charset val="134"/>
    </font>
    <font>
      <u/>
      <sz val="14"/>
      <color rgb="FF0000FF"/>
      <name val="微软雅黑"/>
      <charset val="134"/>
    </font>
    <font>
      <sz val="14"/>
      <name val="微软雅黑"/>
      <charset val="134"/>
    </font>
    <font>
      <sz val="11"/>
      <color rgb="FFFFFFFF"/>
      <name val="微软雅黑"/>
      <charset val="134"/>
    </font>
    <font>
      <sz val="11"/>
      <color rgb="FFBF0000"/>
      <name val="微软雅黑"/>
      <charset val="134"/>
    </font>
    <font>
      <sz val="11"/>
      <color rgb="FF36363D"/>
      <name val="微软雅黑"/>
      <charset val="134"/>
    </font>
    <font>
      <sz val="11"/>
      <name val="微软雅黑"/>
      <charset val="134"/>
    </font>
    <font>
      <sz val="8"/>
      <name val="微软雅黑"/>
      <charset val="134"/>
    </font>
    <font>
      <sz val="11"/>
      <color rgb="FFFF0000"/>
      <name val="微软雅黑"/>
      <charset val="134"/>
    </font>
    <font>
      <sz val="10"/>
      <name val="微软雅黑"/>
      <charset val="134"/>
    </font>
    <font>
      <sz val="14"/>
      <color rgb="FFFF0000"/>
      <name val="微软雅黑"/>
      <charset val="134"/>
    </font>
    <font>
      <sz val="12"/>
      <name val="微软雅黑"/>
      <charset val="134"/>
    </font>
    <font>
      <sz val="10"/>
      <color rgb="FF000000"/>
      <name val="微软雅黑"/>
      <charset val="134"/>
    </font>
    <font>
      <sz val="9"/>
      <name val="微软雅黑"/>
      <charset val="134"/>
    </font>
    <font>
      <strike/>
      <sz val="11"/>
      <color rgb="FF000000"/>
      <name val="微软雅黑"/>
      <charset val="134"/>
    </font>
    <font>
      <sz val="8"/>
      <color rgb="FF000000"/>
      <name val="微软雅黑"/>
      <charset val="134"/>
    </font>
    <font>
      <sz val="7"/>
      <name val="微软雅黑"/>
      <charset val="134"/>
    </font>
    <font>
      <sz val="14"/>
      <color rgb="FF000000"/>
      <name val="微软雅黑"/>
      <charset val="134"/>
    </font>
    <font>
      <b/>
      <sz val="12"/>
      <color rgb="FF000000"/>
      <name val="微软雅黑"/>
      <charset val="134"/>
    </font>
    <font>
      <b/>
      <sz val="11"/>
      <color rgb="FF000000"/>
      <name val="微软雅黑"/>
      <charset val="134"/>
    </font>
    <font>
      <sz val="28"/>
      <color rgb="FF000000"/>
      <name val="微软雅黑"/>
      <charset val="134"/>
    </font>
    <font>
      <sz val="22"/>
      <color rgb="FF000000"/>
      <name val="微软雅黑"/>
      <charset val="134"/>
    </font>
    <font>
      <sz val="6"/>
      <color rgb="FF000000"/>
      <name val="微软雅黑"/>
      <charset val="134"/>
    </font>
    <font>
      <sz val="10"/>
      <name val="等线"/>
      <charset val="134"/>
    </font>
    <font>
      <sz val="11"/>
      <name val="等线"/>
      <charset val="134"/>
    </font>
    <font>
      <sz val="11"/>
      <color rgb="FF000000"/>
      <name val="宋体"/>
      <charset val="134"/>
    </font>
    <font>
      <b/>
      <sz val="10"/>
      <color rgb="FFFFFFFF"/>
      <name val="微软雅黑"/>
      <charset val="134"/>
    </font>
    <font>
      <b/>
      <sz val="8"/>
      <color rgb="FFFFFFFF"/>
      <name val="微软雅黑"/>
      <charset val="134"/>
    </font>
    <font>
      <sz val="10"/>
      <color rgb="FF1F3964"/>
      <name val="微软雅黑"/>
      <charset val="134"/>
    </font>
    <font>
      <sz val="10"/>
      <color rgb="FF000000"/>
      <name val="等线"/>
      <charset val="134"/>
    </font>
    <font>
      <b/>
      <sz val="12"/>
      <color rgb="FF1F3964"/>
      <name val="微软雅黑"/>
      <charset val="134"/>
    </font>
    <font>
      <sz val="9"/>
      <color rgb="FF1F3964"/>
      <name val="微软雅黑"/>
      <charset val="134"/>
    </font>
    <font>
      <sz val="36"/>
      <name val="等线"/>
      <charset val="134"/>
    </font>
    <font>
      <sz val="12"/>
      <color rgb="FFFF0000"/>
      <name val="等线"/>
      <charset val="134"/>
    </font>
    <font>
      <sz val="14"/>
      <color rgb="FFFF0000"/>
      <name val="等线"/>
      <charset val="134"/>
    </font>
    <font>
      <sz val="24"/>
      <name val="等线"/>
      <charset val="134"/>
    </font>
    <font>
      <b/>
      <sz val="11"/>
      <color rgb="FFFFFFFF"/>
      <name val="宋体"/>
      <charset val="134"/>
    </font>
    <font>
      <sz val="9"/>
      <name val="等线"/>
      <charset val="134"/>
    </font>
    <font>
      <sz val="8"/>
      <color rgb="FF000000"/>
      <name val="等线"/>
      <charset val="134"/>
    </font>
    <font>
      <sz val="28"/>
      <color rgb="FF1F3964"/>
      <name val="微软雅黑"/>
      <charset val="134"/>
    </font>
    <font>
      <sz val="24"/>
      <color rgb="FF1F3964"/>
      <name val="微软雅黑"/>
      <charset val="134"/>
    </font>
    <font>
      <sz val="11"/>
      <color rgb="FF1F3964"/>
      <name val="微软雅黑"/>
      <charset val="134"/>
    </font>
    <font>
      <sz val="10"/>
      <name val="宋体"/>
      <charset val="134"/>
    </font>
    <font>
      <sz val="12"/>
      <color rgb="FF1F3964"/>
      <name val="微软雅黑"/>
      <charset val="134"/>
    </font>
    <font>
      <sz val="16"/>
      <color rgb="FF1F3964"/>
      <name val="微软雅黑"/>
      <charset val="134"/>
    </font>
    <font>
      <sz val="28"/>
      <name val="等线"/>
      <charset val="134"/>
    </font>
    <font>
      <sz val="18"/>
      <name val="等线"/>
      <charset val="134"/>
    </font>
    <font>
      <sz val="11"/>
      <color rgb="FFFFFFFF"/>
      <name val="等线"/>
      <charset val="134"/>
    </font>
    <font>
      <b/>
      <sz val="11"/>
      <name val="宋体"/>
      <charset val="134"/>
    </font>
    <font>
      <sz val="10"/>
      <color rgb="FFFFFFFF"/>
      <name val="微软雅黑"/>
      <charset val="134"/>
    </font>
    <font>
      <b/>
      <sz val="11"/>
      <name val="微软雅黑"/>
      <charset val="134"/>
    </font>
    <font>
      <b/>
      <sz val="10"/>
      <name val="微软雅黑"/>
      <charset val="134"/>
    </font>
    <font>
      <b/>
      <sz val="9"/>
      <name val="微软雅黑"/>
      <charset val="134"/>
    </font>
    <font>
      <sz val="16"/>
      <name val="等线"/>
      <charset val="134"/>
    </font>
    <font>
      <sz val="10"/>
      <color rgb="FF000000"/>
      <name val="宋体"/>
      <charset val="134"/>
    </font>
    <font>
      <sz val="20"/>
      <name val="微软雅黑"/>
      <charset val="134"/>
    </font>
    <font>
      <sz val="16"/>
      <name val="宋体"/>
      <charset val="134"/>
    </font>
    <font>
      <sz val="28"/>
      <name val="微软雅黑"/>
      <charset val="134"/>
    </font>
    <font>
      <b/>
      <sz val="15"/>
      <name val="微软雅黑"/>
      <charset val="134"/>
    </font>
    <font>
      <b/>
      <sz val="18"/>
      <name val="微软雅黑"/>
      <charset val="134"/>
    </font>
    <font>
      <b/>
      <sz val="12"/>
      <name val="等线"/>
      <charset val="134"/>
    </font>
    <font>
      <i/>
      <sz val="9"/>
      <name val="微软雅黑"/>
      <charset val="134"/>
    </font>
    <font>
      <b/>
      <sz val="9"/>
      <color rgb="FFFFFFFF"/>
      <name val="宋体"/>
      <charset val="134"/>
    </font>
    <font>
      <b/>
      <sz val="9"/>
      <name val="宋体"/>
      <charset val="134"/>
    </font>
    <font>
      <sz val="26"/>
      <name val="等线"/>
      <charset val="134"/>
    </font>
    <font>
      <sz val="12"/>
      <name val="等线"/>
      <charset val="134"/>
    </font>
    <font>
      <sz val="22"/>
      <name val="等线"/>
      <charset val="134"/>
    </font>
    <font>
      <b/>
      <sz val="11"/>
      <color rgb="FFFFFFFF"/>
      <name val="微软雅黑"/>
      <charset val="134"/>
    </font>
    <font>
      <sz val="11"/>
      <color rgb="FFC00000"/>
      <name val="微软雅黑"/>
      <charset val="134"/>
    </font>
    <font>
      <sz val="11"/>
      <color rgb="FF7F5F00"/>
      <name val="微软雅黑"/>
      <charset val="134"/>
    </font>
    <font>
      <sz val="11"/>
      <color rgb="FF1F4E79"/>
      <name val="微软雅黑"/>
      <charset val="134"/>
    </font>
    <font>
      <sz val="10"/>
      <color rgb="FFDEEAF6"/>
      <name val="微软雅黑"/>
      <charset val="134"/>
    </font>
    <font>
      <sz val="11"/>
      <color rgb="FF385623"/>
      <name val="微软雅黑"/>
      <charset val="134"/>
    </font>
    <font>
      <b/>
      <strike/>
      <sz val="15"/>
      <name val="微软雅黑"/>
      <charset val="134"/>
    </font>
    <font>
      <b/>
      <sz val="16"/>
      <name val="微软雅黑"/>
      <charset val="134"/>
    </font>
    <font>
      <sz val="24"/>
      <name val="微软雅黑"/>
      <charset val="134"/>
    </font>
    <font>
      <sz val="18"/>
      <name val="微软雅黑"/>
      <charset val="134"/>
    </font>
    <font>
      <sz val="16"/>
      <name val="微软雅黑"/>
      <charset val="134"/>
    </font>
    <font>
      <b/>
      <sz val="14"/>
      <name val="微软雅黑"/>
      <charset val="134"/>
    </font>
    <font>
      <b/>
      <sz val="12"/>
      <name val="微软雅黑"/>
      <charset val="134"/>
    </font>
    <font>
      <sz val="22"/>
      <name val="微软雅黑"/>
      <charset val="134"/>
    </font>
    <font>
      <sz val="26"/>
      <name val="微软雅黑"/>
      <charset val="134"/>
    </font>
    <font>
      <b/>
      <sz val="20"/>
      <name val="微软雅黑"/>
      <charset val="134"/>
    </font>
    <font>
      <b/>
      <sz val="11"/>
      <color rgb="FFFF0000"/>
      <name val="等线"/>
      <charset val="134"/>
    </font>
    <font>
      <sz val="11"/>
      <color rgb="FFFF0000"/>
      <name val="等线"/>
      <charset val="134"/>
    </font>
    <font>
      <sz val="12"/>
      <color rgb="FF000000"/>
      <name val="等线"/>
      <charset val="134"/>
    </font>
    <font>
      <sz val="11"/>
      <color rgb="FF000000"/>
      <name val="等线"/>
      <charset val="134"/>
    </font>
    <font>
      <sz val="9"/>
      <color rgb="FF000000"/>
      <name val="微软雅黑"/>
      <charset val="134"/>
    </font>
    <font>
      <sz val="9"/>
      <color rgb="FF000000"/>
      <name val="等线"/>
      <charset val="134"/>
    </font>
    <font>
      <sz val="8"/>
      <name val="等线"/>
      <charset val="134"/>
    </font>
    <font>
      <sz val="7"/>
      <color rgb="FF000000"/>
      <name val="等线"/>
      <charset val="134"/>
    </font>
    <font>
      <sz val="12"/>
      <color rgb="FF000000"/>
      <name val="微软雅黑 Light"/>
      <charset val="134"/>
    </font>
    <font>
      <sz val="12"/>
      <color rgb="FFFFFFFF"/>
      <name val="微软雅黑 Light"/>
      <charset val="134"/>
    </font>
    <font>
      <sz val="11"/>
      <color rgb="FF000000"/>
      <name val="微软雅黑 Light"/>
      <charset val="134"/>
    </font>
    <font>
      <sz val="10"/>
      <color rgb="FF000000"/>
      <name val="微软雅黑 Light"/>
      <charset val="134"/>
    </font>
    <font>
      <sz val="12"/>
      <name val="微软雅黑 Light"/>
      <charset val="134"/>
    </font>
    <font>
      <sz val="9"/>
      <name val="微软雅黑 Light"/>
      <charset val="134"/>
    </font>
    <font>
      <b/>
      <sz val="12"/>
      <name val="微软雅黑 Light"/>
      <charset val="134"/>
    </font>
    <font>
      <b/>
      <sz val="18"/>
      <name val="微软雅黑 Light"/>
      <charset val="134"/>
    </font>
    <font>
      <sz val="9"/>
      <color rgb="FF000000"/>
      <name val="微软雅黑 Light"/>
      <charset val="134"/>
    </font>
    <font>
      <sz val="12"/>
      <color rgb="FFFFFFFF"/>
      <name val="微软雅黑"/>
      <charset val="134"/>
    </font>
    <font>
      <sz val="9"/>
      <color rgb="FF000000"/>
      <name val="宋体"/>
      <charset val="134"/>
    </font>
    <font>
      <b/>
      <sz val="9"/>
      <color rgb="FF000000"/>
      <name val="宋体"/>
      <charset val="134"/>
    </font>
    <font>
      <b/>
      <sz val="12"/>
      <color rgb="FFD58B43"/>
      <name val="微软雅黑 Light"/>
      <charset val="134"/>
    </font>
    <font>
      <sz val="12"/>
      <color rgb="FFD58B43"/>
      <name val="微软雅黑 Light"/>
      <charset val="134"/>
    </font>
    <font>
      <i/>
      <sz val="9"/>
      <color rgb="FF000000"/>
      <name val="微软雅黑"/>
      <charset val="134"/>
    </font>
    <font>
      <sz val="12"/>
      <color rgb="FF2F75B6"/>
      <name val="微软雅黑 Light"/>
      <charset val="134"/>
    </font>
    <font>
      <sz val="20"/>
      <color rgb="FF000000"/>
      <name val="等线"/>
      <charset val="134"/>
    </font>
    <font>
      <sz val="18"/>
      <color rgb="FF000000"/>
      <name val="等线"/>
      <charset val="134"/>
    </font>
    <font>
      <sz val="11"/>
      <color rgb="FFFF0000"/>
      <name val="宋体"/>
      <charset val="134"/>
    </font>
    <font>
      <sz val="10"/>
      <color rgb="FFFF0000"/>
      <name val="微软雅黑"/>
      <charset val="134"/>
    </font>
    <font>
      <sz val="18"/>
      <color rgb="FF000000"/>
      <name val="微软雅黑"/>
      <charset val="134"/>
    </font>
    <font>
      <sz val="15"/>
      <name val="微软雅黑"/>
      <charset val="134"/>
    </font>
    <font>
      <sz val="11"/>
      <color rgb="FF32D3F6"/>
      <name val="微软雅黑"/>
      <charset val="134"/>
    </font>
    <font>
      <sz val="11"/>
      <color rgb="FF32D3F6"/>
      <name val="宋体"/>
      <charset val="134"/>
    </font>
    <font>
      <sz val="9"/>
      <color rgb="FFFFFFFF"/>
      <name val="微软雅黑"/>
      <charset val="134"/>
    </font>
    <font>
      <sz val="10"/>
      <color rgb="FF7F7F7F"/>
      <name val="等线"/>
      <charset val="134"/>
    </font>
    <font>
      <sz val="11"/>
      <name val="微软雅黑 Light"/>
      <charset val="134"/>
    </font>
    <font>
      <b/>
      <sz val="11"/>
      <color rgb="FF000000"/>
      <name val="微软雅黑 Light"/>
      <charset val="134"/>
    </font>
    <font>
      <sz val="11"/>
      <color rgb="FFFFFFFF"/>
      <name val="宋体"/>
      <charset val="134"/>
    </font>
    <font>
      <sz val="10"/>
      <color rgb="FF222222"/>
      <name val="宋体"/>
      <charset val="134"/>
    </font>
    <font>
      <b/>
      <sz val="12"/>
      <color rgb="FF000000"/>
      <name val="微软雅黑 Light"/>
      <charset val="134"/>
    </font>
    <font>
      <sz val="10"/>
      <color rgb="FF333333"/>
      <name val="微软雅黑"/>
      <charset val="134"/>
    </font>
    <font>
      <sz val="10"/>
      <color rgb="FF000000"/>
      <name val="FZBIAOYSK--GBK1-0"/>
      <family val="1"/>
    </font>
    <font>
      <sz val="14"/>
      <name val="等线"/>
      <family val="3"/>
      <charset val="134"/>
    </font>
    <font>
      <sz val="14"/>
      <color rgb="FF000000"/>
      <name val="等线"/>
      <family val="3"/>
      <charset val="134"/>
    </font>
    <font>
      <sz val="14"/>
      <color indexed="8"/>
      <name val="等线"/>
      <family val="3"/>
      <charset val="134"/>
    </font>
    <font>
      <sz val="10"/>
      <color indexed="8"/>
      <name val="Calibri"/>
      <family val="2"/>
    </font>
    <font>
      <sz val="10"/>
      <color rgb="FF000000"/>
      <name val="Calibri"/>
      <family val="2"/>
    </font>
    <font>
      <sz val="8"/>
      <color indexed="8"/>
      <name val="Calibri"/>
      <family val="2"/>
    </font>
    <font>
      <sz val="10"/>
      <name val="Calibri"/>
      <family val="2"/>
    </font>
    <font>
      <sz val="11"/>
      <name val="Calibri"/>
      <family val="2"/>
    </font>
    <font>
      <sz val="8"/>
      <color rgb="FF000000"/>
      <name val="Calibri"/>
      <family val="2"/>
    </font>
    <font>
      <sz val="11"/>
      <color rgb="FF000000"/>
      <name val="Calibri"/>
      <family val="2"/>
    </font>
    <font>
      <sz val="14"/>
      <color indexed="8"/>
      <name val="Calibri"/>
      <family val="2"/>
    </font>
    <font>
      <sz val="20"/>
      <name val="宋体"/>
      <family val="3"/>
      <charset val="134"/>
    </font>
    <font>
      <sz val="11"/>
      <color rgb="FFFFFFFF"/>
      <name val="微软雅黑 Light"/>
      <family val="2"/>
      <charset val="134"/>
    </font>
    <font>
      <sz val="11"/>
      <color rgb="FFC00000"/>
      <name val="微软雅黑 Light"/>
      <family val="2"/>
      <charset val="134"/>
    </font>
    <font>
      <sz val="11"/>
      <color rgb="FF000000"/>
      <name val="微软雅黑 Light"/>
      <family val="2"/>
      <charset val="134"/>
    </font>
    <font>
      <sz val="14"/>
      <color rgb="FF000000"/>
      <name val="微软雅黑 Light"/>
      <family val="2"/>
      <charset val="134"/>
    </font>
    <font>
      <sz val="11"/>
      <color rgb="FFFF0000"/>
      <name val="微软雅黑 Light"/>
      <family val="2"/>
      <charset val="134"/>
    </font>
    <font>
      <sz val="11"/>
      <name val="微软雅黑 Light"/>
      <family val="2"/>
      <charset val="134"/>
    </font>
    <font>
      <sz val="10"/>
      <color rgb="FFBF0000"/>
      <name val="微软雅黑"/>
      <family val="2"/>
      <charset val="134"/>
    </font>
    <font>
      <sz val="32"/>
      <color rgb="FF000000"/>
      <name val="宋体"/>
      <family val="3"/>
      <charset val="134"/>
    </font>
    <font>
      <sz val="11"/>
      <color rgb="FFC00000"/>
      <name val="宋体"/>
      <family val="3"/>
      <charset val="134"/>
    </font>
    <font>
      <sz val="11"/>
      <color rgb="FF36363D"/>
      <name val="宋体"/>
      <family val="3"/>
      <charset val="134"/>
    </font>
    <font>
      <sz val="10"/>
      <color rgb="FFC00000"/>
      <name val="微软雅黑"/>
      <family val="2"/>
      <charset val="134"/>
    </font>
    <font>
      <sz val="10"/>
      <name val="微软雅黑 Light"/>
      <family val="2"/>
      <charset val="134"/>
    </font>
    <font>
      <sz val="10"/>
      <color rgb="FF65A3D7"/>
      <name val="微软雅黑"/>
      <family val="2"/>
      <charset val="134"/>
    </font>
    <font>
      <sz val="10"/>
      <color rgb="FF595959"/>
      <name val="微软雅黑"/>
      <family val="2"/>
      <charset val="134"/>
    </font>
    <font>
      <b/>
      <sz val="10"/>
      <color rgb="FFBF0000"/>
      <name val="微软雅黑"/>
      <family val="2"/>
      <charset val="134"/>
    </font>
    <font>
      <sz val="10"/>
      <color rgb="FFFF0000"/>
      <name val="宋体"/>
      <family val="3"/>
      <charset val="134"/>
    </font>
    <font>
      <sz val="8"/>
      <color rgb="FF2F5597"/>
      <name val="微软雅黑"/>
      <family val="2"/>
      <charset val="134"/>
    </font>
    <font>
      <sz val="10"/>
      <color rgb="FFF2F2F2"/>
      <name val="微软雅黑"/>
      <family val="2"/>
      <charset val="134"/>
    </font>
    <font>
      <sz val="9"/>
      <color rgb="FFF2F2F2"/>
      <name val="微软雅黑"/>
      <family val="2"/>
      <charset val="134"/>
    </font>
    <font>
      <b/>
      <sz val="12"/>
      <color rgb="FFFFFFFF"/>
      <name val="微软雅黑"/>
      <family val="2"/>
      <charset val="134"/>
    </font>
    <font>
      <sz val="10"/>
      <color rgb="FF02A5E3"/>
      <name val="微软雅黑"/>
      <family val="2"/>
      <charset val="134"/>
    </font>
    <font>
      <sz val="8"/>
      <color rgb="FF3F3F3F"/>
      <name val="微软雅黑"/>
      <family val="2"/>
      <charset val="134"/>
    </font>
    <font>
      <sz val="10"/>
      <color rgb="FF3F3F3F"/>
      <name val="微软雅黑"/>
      <family val="2"/>
      <charset val="134"/>
    </font>
    <font>
      <sz val="9"/>
      <color rgb="FF595959"/>
      <name val="微软雅黑"/>
      <family val="2"/>
      <charset val="134"/>
    </font>
    <font>
      <sz val="10"/>
      <color rgb="FF2F75B6"/>
      <name val="微软雅黑"/>
      <family val="2"/>
      <charset val="134"/>
    </font>
    <font>
      <sz val="24"/>
      <color rgb="FF0C0C0C"/>
      <name val="微软雅黑"/>
      <family val="2"/>
      <charset val="134"/>
    </font>
    <font>
      <sz val="10"/>
      <color rgb="FF7F7F7F"/>
      <name val="微软雅黑"/>
      <family val="2"/>
      <charset val="134"/>
    </font>
    <font>
      <sz val="12"/>
      <color rgb="FF000000"/>
      <name val="宋体"/>
      <family val="3"/>
      <charset val="134"/>
    </font>
    <font>
      <sz val="16"/>
      <color rgb="FF000000"/>
      <name val="微软雅黑"/>
      <family val="2"/>
      <charset val="134"/>
    </font>
    <font>
      <sz val="9"/>
      <color rgb="FF2F5597"/>
      <name val="微软雅黑"/>
      <family val="2"/>
      <charset val="134"/>
    </font>
    <font>
      <sz val="14"/>
      <color rgb="FFBFBFBF"/>
      <name val="等线"/>
      <family val="3"/>
      <charset val="134"/>
    </font>
    <font>
      <sz val="14"/>
      <color rgb="FFFFCC99"/>
      <name val="等线"/>
      <family val="3"/>
      <charset val="134"/>
    </font>
    <font>
      <sz val="14"/>
      <color rgb="FFC00000"/>
      <name val="微软雅黑"/>
      <family val="2"/>
      <charset val="134"/>
    </font>
    <font>
      <sz val="9"/>
      <color rgb="FFBFBFBF"/>
      <name val="微软雅黑"/>
      <family val="2"/>
      <charset val="134"/>
    </font>
    <font>
      <sz val="8"/>
      <color rgb="FFFF0000"/>
      <name val="微软雅黑"/>
      <family val="2"/>
      <charset val="134"/>
    </font>
    <font>
      <u/>
      <sz val="11"/>
      <color rgb="FF0000FF"/>
      <name val="宋体"/>
      <family val="3"/>
      <charset val="134"/>
    </font>
    <font>
      <b/>
      <sz val="14"/>
      <color rgb="FF000000"/>
      <name val="微软雅黑"/>
      <family val="2"/>
      <charset val="134"/>
    </font>
    <font>
      <sz val="10"/>
      <color indexed="8"/>
      <name val="Arial Unicode MS"/>
      <family val="2"/>
    </font>
    <font>
      <sz val="12"/>
      <color rgb="FFFF0000"/>
      <name val="微软雅黑 Light"/>
      <family val="2"/>
      <charset val="134"/>
    </font>
    <font>
      <sz val="12"/>
      <color rgb="FF7F5F00"/>
      <name val="微软雅黑 Light"/>
      <family val="2"/>
      <charset val="134"/>
    </font>
    <font>
      <sz val="12"/>
      <color rgb="FFFC17FF"/>
      <name val="微软雅黑 Light"/>
      <family val="2"/>
      <charset val="134"/>
    </font>
    <font>
      <b/>
      <sz val="14"/>
      <color indexed="8"/>
      <name val="微软雅黑"/>
      <family val="2"/>
      <charset val="134"/>
    </font>
    <font>
      <b/>
      <sz val="10"/>
      <color rgb="FF000000"/>
      <name val="微软雅黑"/>
      <family val="2"/>
      <charset val="134"/>
    </font>
    <font>
      <sz val="11"/>
      <color indexed="8"/>
      <name val="微软雅黑 Light"/>
      <family val="2"/>
      <charset val="134"/>
    </font>
    <font>
      <b/>
      <sz val="11"/>
      <color rgb="FFFF0000"/>
      <name val="微软雅黑 Light"/>
      <family val="2"/>
      <charset val="134"/>
    </font>
    <font>
      <b/>
      <sz val="11"/>
      <color indexed="10"/>
      <name val="微软雅黑 Light"/>
      <family val="2"/>
      <charset val="134"/>
    </font>
    <font>
      <sz val="11"/>
      <name val="宋体"/>
      <family val="3"/>
      <charset val="134"/>
    </font>
    <font>
      <b/>
      <sz val="9"/>
      <name val="宋体"/>
      <family val="3"/>
      <charset val="134"/>
    </font>
    <font>
      <sz val="9"/>
      <name val="宋体"/>
      <family val="3"/>
      <charset val="134"/>
    </font>
    <font>
      <sz val="10"/>
      <color rgb="FF000000"/>
      <name val="微软雅黑"/>
      <family val="2"/>
      <charset val="134"/>
    </font>
    <font>
      <sz val="14"/>
      <color rgb="FF000000"/>
      <name val="微软雅黑"/>
      <family val="2"/>
      <charset val="134"/>
    </font>
    <font>
      <sz val="12"/>
      <color rgb="FF000000"/>
      <name val="微软雅黑"/>
      <family val="2"/>
      <charset val="134"/>
    </font>
    <font>
      <b/>
      <sz val="12"/>
      <color rgb="FF000000"/>
      <name val="微软雅黑"/>
      <family val="2"/>
      <charset val="134"/>
    </font>
    <font>
      <sz val="18"/>
      <color rgb="FF000000"/>
      <name val="微软雅黑"/>
      <family val="2"/>
      <charset val="134"/>
    </font>
    <font>
      <sz val="10"/>
      <color rgb="FF000000"/>
      <name val="微软雅黑 Light"/>
      <family val="2"/>
      <charset val="134"/>
    </font>
    <font>
      <sz val="12"/>
      <name val="微软雅黑 Light"/>
      <family val="2"/>
      <charset val="134"/>
    </font>
    <font>
      <sz val="12"/>
      <color rgb="FF2F75B6"/>
      <name val="微软雅黑 Light"/>
      <family val="2"/>
      <charset val="134"/>
    </font>
    <font>
      <b/>
      <sz val="12"/>
      <color rgb="FFD58B43"/>
      <name val="微软雅黑 Light"/>
      <family val="2"/>
      <charset val="134"/>
    </font>
    <font>
      <b/>
      <sz val="12"/>
      <name val="微软雅黑 Light"/>
      <family val="2"/>
      <charset val="134"/>
    </font>
    <font>
      <b/>
      <sz val="11"/>
      <color rgb="FF000000"/>
      <name val="微软雅黑"/>
      <family val="2"/>
      <charset val="134"/>
    </font>
    <font>
      <sz val="11"/>
      <color rgb="FF000000"/>
      <name val="微软雅黑"/>
      <family val="2"/>
      <charset val="134"/>
    </font>
    <font>
      <i/>
      <sz val="9"/>
      <color rgb="FF000000"/>
      <name val="微软雅黑"/>
      <family val="2"/>
      <charset val="134"/>
    </font>
  </fonts>
  <fills count="92">
    <fill>
      <patternFill patternType="none"/>
    </fill>
    <fill>
      <patternFill patternType="gray125"/>
    </fill>
    <fill>
      <patternFill patternType="solid">
        <fgColor rgb="FF2F75B6"/>
        <bgColor indexed="64"/>
      </patternFill>
    </fill>
    <fill>
      <patternFill patternType="solid">
        <fgColor rgb="FFF2F2F2"/>
        <bgColor indexed="64"/>
      </patternFill>
    </fill>
    <fill>
      <patternFill patternType="solid">
        <fgColor rgb="FFBED7EE"/>
        <bgColor indexed="64"/>
      </patternFill>
    </fill>
    <fill>
      <patternFill patternType="solid">
        <fgColor rgb="FF6DA9DB"/>
        <bgColor indexed="64"/>
      </patternFill>
    </fill>
    <fill>
      <patternFill patternType="solid">
        <fgColor rgb="FF5C9BD5"/>
        <bgColor indexed="64"/>
      </patternFill>
    </fill>
    <fill>
      <patternFill patternType="solid">
        <fgColor rgb="FF9DC3E5"/>
        <bgColor indexed="64"/>
      </patternFill>
    </fill>
    <fill>
      <patternFill patternType="solid">
        <fgColor rgb="FFDEEAF6"/>
        <bgColor indexed="64"/>
      </patternFill>
    </fill>
    <fill>
      <patternFill patternType="solid">
        <fgColor rgb="FFDEEBF6"/>
        <bgColor indexed="64"/>
      </patternFill>
    </fill>
    <fill>
      <patternFill patternType="solid">
        <fgColor rgb="FFC3FBDF"/>
        <bgColor indexed="64"/>
      </patternFill>
    </fill>
    <fill>
      <patternFill patternType="solid">
        <fgColor rgb="FF98DCF8"/>
        <bgColor indexed="64"/>
      </patternFill>
    </fill>
    <fill>
      <patternFill patternType="solid">
        <fgColor rgb="FFFFD1FD"/>
        <bgColor indexed="64"/>
      </patternFill>
    </fill>
    <fill>
      <patternFill patternType="solid">
        <fgColor rgb="FFFFD5F6"/>
        <bgColor indexed="64"/>
      </patternFill>
    </fill>
    <fill>
      <patternFill patternType="solid">
        <fgColor rgb="FFFBE4D5"/>
        <bgColor indexed="64"/>
      </patternFill>
    </fill>
    <fill>
      <patternFill patternType="solid">
        <fgColor rgb="FFF79E9E"/>
        <bgColor indexed="64"/>
      </patternFill>
    </fill>
    <fill>
      <patternFill patternType="solid">
        <fgColor rgb="FFBA94FF"/>
        <bgColor indexed="64"/>
      </patternFill>
    </fill>
    <fill>
      <patternFill patternType="solid">
        <fgColor rgb="FFCEFFC1"/>
        <bgColor indexed="64"/>
      </patternFill>
    </fill>
    <fill>
      <patternFill patternType="solid">
        <fgColor rgb="FFB5B9FF"/>
        <bgColor indexed="64"/>
      </patternFill>
    </fill>
    <fill>
      <patternFill patternType="solid">
        <fgColor rgb="FFF7CAAC"/>
        <bgColor indexed="64"/>
      </patternFill>
    </fill>
    <fill>
      <patternFill patternType="solid">
        <fgColor rgb="FFF7F7D1"/>
        <bgColor indexed="64"/>
      </patternFill>
    </fill>
    <fill>
      <patternFill patternType="solid">
        <fgColor rgb="FFD8D8D8"/>
        <bgColor indexed="64"/>
      </patternFill>
    </fill>
    <fill>
      <patternFill patternType="solid">
        <fgColor rgb="FFFEE299"/>
        <bgColor indexed="64"/>
      </patternFill>
    </fill>
    <fill>
      <patternFill patternType="solid">
        <fgColor rgb="FFBCFFE8"/>
        <bgColor indexed="64"/>
      </patternFill>
    </fill>
    <fill>
      <patternFill patternType="solid">
        <fgColor rgb="FFE4BAFF"/>
        <bgColor indexed="64"/>
      </patternFill>
    </fill>
    <fill>
      <patternFill patternType="solid">
        <fgColor rgb="FF2F75B5"/>
        <bgColor indexed="64"/>
      </patternFill>
    </fill>
    <fill>
      <patternFill patternType="solid">
        <fgColor rgb="FFFFFFCD"/>
        <bgColor indexed="64"/>
      </patternFill>
    </fill>
    <fill>
      <patternFill patternType="solid">
        <fgColor rgb="FFFEB497"/>
        <bgColor indexed="64"/>
      </patternFill>
    </fill>
    <fill>
      <patternFill patternType="solid">
        <fgColor rgb="FFEDEDED"/>
        <bgColor indexed="64"/>
      </patternFill>
    </fill>
    <fill>
      <patternFill patternType="solid">
        <fgColor rgb="FF3284CA"/>
        <bgColor indexed="64"/>
      </patternFill>
    </fill>
    <fill>
      <patternFill patternType="solid">
        <fgColor rgb="FFFFD3D3"/>
        <bgColor indexed="64"/>
      </patternFill>
    </fill>
    <fill>
      <patternFill patternType="solid">
        <fgColor rgb="FFFFEDED"/>
        <bgColor indexed="64"/>
      </patternFill>
    </fill>
    <fill>
      <patternFill patternType="solid">
        <fgColor rgb="FFFFFFFF"/>
        <bgColor indexed="64"/>
      </patternFill>
    </fill>
    <fill>
      <patternFill patternType="solid">
        <fgColor rgb="FFCCCCFF"/>
        <bgColor indexed="64"/>
      </patternFill>
    </fill>
    <fill>
      <patternFill patternType="solid">
        <fgColor rgb="FFFFF2CB"/>
        <bgColor indexed="64"/>
      </patternFill>
    </fill>
    <fill>
      <patternFill patternType="solid">
        <fgColor rgb="FFF4B083"/>
        <bgColor indexed="64"/>
      </patternFill>
    </fill>
    <fill>
      <patternFill patternType="solid">
        <fgColor rgb="FFFFD34B"/>
        <bgColor indexed="64"/>
      </patternFill>
    </fill>
    <fill>
      <patternFill patternType="solid">
        <fgColor rgb="FFE1C3FF"/>
        <bgColor indexed="64"/>
      </patternFill>
    </fill>
    <fill>
      <patternFill patternType="solid">
        <fgColor rgb="FFC5E0B3"/>
        <bgColor indexed="64"/>
      </patternFill>
    </fill>
    <fill>
      <patternFill patternType="solid">
        <fgColor rgb="FFD8C2ED"/>
        <bgColor indexed="64"/>
      </patternFill>
    </fill>
    <fill>
      <patternFill patternType="solid">
        <fgColor rgb="FFFADBF6"/>
        <bgColor indexed="64"/>
      </patternFill>
    </fill>
    <fill>
      <patternFill patternType="solid">
        <fgColor rgb="FFE2EFD9"/>
        <bgColor indexed="64"/>
      </patternFill>
    </fill>
    <fill>
      <patternFill patternType="solid">
        <fgColor rgb="FFFFD9C2"/>
        <bgColor indexed="64"/>
      </patternFill>
    </fill>
    <fill>
      <patternFill patternType="solid">
        <fgColor rgb="FFFFCCCC"/>
        <bgColor indexed="64"/>
      </patternFill>
    </fill>
    <fill>
      <patternFill patternType="solid">
        <fgColor rgb="FFFFADF3"/>
        <bgColor indexed="64"/>
      </patternFill>
    </fill>
    <fill>
      <patternFill patternType="solid">
        <fgColor rgb="FF3D6DBD"/>
        <bgColor indexed="64"/>
      </patternFill>
    </fill>
    <fill>
      <patternFill patternType="solid">
        <fgColor rgb="FFFFDDF6"/>
        <bgColor indexed="64"/>
      </patternFill>
    </fill>
    <fill>
      <patternFill patternType="solid">
        <fgColor rgb="FFFFF2CC"/>
        <bgColor indexed="64"/>
      </patternFill>
    </fill>
    <fill>
      <patternFill patternType="solid">
        <fgColor rgb="FF0066FF"/>
        <bgColor indexed="64"/>
      </patternFill>
    </fill>
    <fill>
      <patternFill patternType="solid">
        <fgColor rgb="FFA8D08E"/>
        <bgColor indexed="64"/>
      </patternFill>
    </fill>
    <fill>
      <patternFill patternType="solid">
        <fgColor rgb="FFF5F9F1"/>
        <bgColor indexed="64"/>
      </patternFill>
    </fill>
    <fill>
      <patternFill patternType="solid">
        <fgColor rgb="FF9DC2E5"/>
        <bgColor indexed="64"/>
      </patternFill>
    </fill>
    <fill>
      <patternFill patternType="solid">
        <fgColor rgb="FFD5FFD6"/>
        <bgColor indexed="64"/>
      </patternFill>
    </fill>
    <fill>
      <patternFill patternType="solid">
        <fgColor rgb="FF3788CD"/>
        <bgColor indexed="64"/>
      </patternFill>
    </fill>
    <fill>
      <patternFill patternType="solid">
        <fgColor rgb="FFFF8181"/>
        <bgColor indexed="64"/>
      </patternFill>
    </fill>
    <fill>
      <patternFill patternType="solid">
        <fgColor rgb="FFFCF584"/>
        <bgColor indexed="64"/>
      </patternFill>
    </fill>
    <fill>
      <patternFill patternType="solid">
        <fgColor rgb="FFFFD865"/>
        <bgColor indexed="64"/>
      </patternFill>
    </fill>
    <fill>
      <patternFill patternType="solid">
        <fgColor rgb="FFA3FF71"/>
        <bgColor indexed="64"/>
      </patternFill>
    </fill>
    <fill>
      <patternFill patternType="solid">
        <fgColor rgb="FFE5FD99"/>
        <bgColor indexed="64"/>
      </patternFill>
    </fill>
    <fill>
      <patternFill patternType="solid">
        <fgColor rgb="FF81E9FF"/>
        <bgColor indexed="64"/>
      </patternFill>
    </fill>
    <fill>
      <patternFill patternType="solid">
        <fgColor rgb="FFFF81F5"/>
        <bgColor indexed="64"/>
      </patternFill>
    </fill>
    <fill>
      <patternFill patternType="solid">
        <fgColor rgb="FFBD81FF"/>
        <bgColor indexed="64"/>
      </patternFill>
    </fill>
    <fill>
      <patternFill patternType="solid">
        <fgColor rgb="FFD8ECD9"/>
        <bgColor indexed="64"/>
      </patternFill>
    </fill>
    <fill>
      <patternFill patternType="solid">
        <fgColor rgb="FFC0C0C0"/>
        <bgColor indexed="64"/>
      </patternFill>
    </fill>
    <fill>
      <patternFill patternType="solid">
        <fgColor rgb="FF548235"/>
        <bgColor indexed="64"/>
      </patternFill>
    </fill>
    <fill>
      <patternFill patternType="solid">
        <fgColor rgb="FFB6B6B6"/>
        <bgColor indexed="64"/>
      </patternFill>
    </fill>
    <fill>
      <patternFill patternType="solid">
        <fgColor rgb="FFFFF1C5"/>
        <bgColor indexed="64"/>
      </patternFill>
    </fill>
    <fill>
      <patternFill patternType="solid">
        <fgColor rgb="FF85B9E1"/>
        <bgColor indexed="64"/>
      </patternFill>
    </fill>
    <fill>
      <patternFill patternType="solid">
        <fgColor rgb="FF6297C4"/>
        <bgColor indexed="64"/>
      </patternFill>
    </fill>
    <fill>
      <patternFill patternType="solid">
        <fgColor rgb="FF5B9BD5"/>
        <bgColor indexed="64"/>
      </patternFill>
    </fill>
    <fill>
      <patternFill patternType="solid">
        <fgColor rgb="FF7CB1DE"/>
        <bgColor indexed="64"/>
      </patternFill>
    </fill>
    <fill>
      <patternFill patternType="solid">
        <fgColor rgb="FF5C9BD5"/>
        <bgColor rgb="FF5C9BD5"/>
      </patternFill>
    </fill>
    <fill>
      <patternFill patternType="solid">
        <fgColor rgb="FFC69CFF"/>
        <bgColor indexed="64"/>
      </patternFill>
    </fill>
    <fill>
      <patternFill patternType="solid">
        <fgColor rgb="FFFFCFCF"/>
        <bgColor indexed="64"/>
      </patternFill>
    </fill>
    <fill>
      <patternFill patternType="solid">
        <fgColor rgb="FFFFFF00"/>
        <bgColor indexed="64"/>
      </patternFill>
    </fill>
    <fill>
      <patternFill patternType="solid">
        <fgColor rgb="FF7030A0"/>
        <bgColor indexed="64"/>
      </patternFill>
    </fill>
    <fill>
      <patternFill patternType="solid">
        <fgColor rgb="FFFFCC99"/>
        <bgColor indexed="64"/>
      </patternFill>
    </fill>
    <fill>
      <patternFill patternType="solid">
        <fgColor rgb="FF99CCFF"/>
        <bgColor indexed="64"/>
      </patternFill>
    </fill>
    <fill>
      <patternFill patternType="solid">
        <fgColor rgb="FFFFE5E5"/>
        <bgColor indexed="64"/>
      </patternFill>
    </fill>
    <fill>
      <patternFill patternType="solid">
        <fgColor rgb="FFCCFECC"/>
        <bgColor indexed="64"/>
      </patternFill>
    </fill>
    <fill>
      <patternFill patternType="solid">
        <fgColor rgb="FF78B64A"/>
        <bgColor indexed="64"/>
      </patternFill>
    </fill>
    <fill>
      <patternFill patternType="solid">
        <fgColor rgb="FFDEEAF6"/>
        <bgColor rgb="FFDEEAF6"/>
      </patternFill>
    </fill>
    <fill>
      <patternFill patternType="solid">
        <fgColor rgb="FFDDEBF7"/>
        <bgColor indexed="64"/>
      </patternFill>
    </fill>
    <fill>
      <patternFill patternType="solid">
        <fgColor rgb="FFBDD7EE"/>
        <bgColor indexed="64"/>
      </patternFill>
    </fill>
    <fill>
      <patternFill patternType="solid">
        <fgColor rgb="FF4176CF"/>
        <bgColor indexed="64"/>
      </patternFill>
    </fill>
    <fill>
      <patternFill patternType="solid">
        <fgColor rgb="FFB8D0ED"/>
        <bgColor indexed="64"/>
      </patternFill>
    </fill>
    <fill>
      <patternFill patternType="solid">
        <fgColor rgb="FF9BC2E6"/>
        <bgColor indexed="64"/>
      </patternFill>
    </fill>
    <fill>
      <patternFill patternType="solid">
        <fgColor rgb="FF63973D"/>
        <bgColor indexed="64"/>
      </patternFill>
    </fill>
    <fill>
      <patternFill patternType="solid">
        <fgColor rgb="FF499EA1"/>
        <bgColor indexed="64"/>
      </patternFill>
    </fill>
    <fill>
      <patternFill patternType="solid">
        <fgColor rgb="FFBCEDEF"/>
        <bgColor indexed="64"/>
      </patternFill>
    </fill>
    <fill>
      <patternFill patternType="solid">
        <fgColor rgb="FF23AF6B"/>
        <bgColor indexed="64"/>
      </patternFill>
    </fill>
    <fill>
      <patternFill patternType="solid">
        <fgColor rgb="FFAEF1D2"/>
        <bgColor indexed="64"/>
      </patternFill>
    </fill>
  </fills>
  <borders count="22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medium">
        <color auto="1"/>
      </left>
      <right/>
      <top style="medium">
        <color auto="1"/>
      </top>
      <bottom/>
      <diagonal/>
    </border>
    <border>
      <left/>
      <right style="medium">
        <color auto="1"/>
      </right>
      <top style="medium">
        <color auto="1"/>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style="medium">
        <color auto="1"/>
      </top>
      <bottom/>
      <diagonal/>
    </border>
    <border>
      <left/>
      <right/>
      <top/>
      <bottom style="medium">
        <color auto="1"/>
      </bottom>
      <diagonal/>
    </border>
    <border>
      <left style="medium">
        <color auto="1"/>
      </left>
      <right/>
      <top style="thin">
        <color rgb="FF7F7F7F"/>
      </top>
      <bottom/>
      <diagonal/>
    </border>
    <border>
      <left/>
      <right style="medium">
        <color auto="1"/>
      </right>
      <top style="thin">
        <color rgb="FF7F7F7F"/>
      </top>
      <bottom/>
      <diagonal/>
    </border>
    <border>
      <left style="thin">
        <color rgb="FF7F7F7F"/>
      </left>
      <right style="medium">
        <color auto="1"/>
      </right>
      <top style="medium">
        <color auto="1"/>
      </top>
      <bottom/>
      <diagonal/>
    </border>
    <border>
      <left style="thin">
        <color rgb="FF7F7F7F"/>
      </left>
      <right style="medium">
        <color auto="1"/>
      </right>
      <top/>
      <bottom/>
      <diagonal/>
    </border>
    <border>
      <left style="thin">
        <color rgb="FF7F7F7F"/>
      </left>
      <right style="medium">
        <color auto="1"/>
      </right>
      <top/>
      <bottom style="medium">
        <color auto="1"/>
      </bottom>
      <diagonal/>
    </border>
    <border>
      <left style="thin">
        <color rgb="FFBFBFBF"/>
      </left>
      <right style="medium">
        <color auto="1"/>
      </right>
      <top style="medium">
        <color auto="1"/>
      </top>
      <bottom/>
      <diagonal/>
    </border>
    <border>
      <left style="thin">
        <color rgb="FFBFBFBF"/>
      </left>
      <right style="medium">
        <color auto="1"/>
      </right>
      <top/>
      <bottom/>
      <diagonal/>
    </border>
    <border>
      <left style="thin">
        <color rgb="FFBFBFBF"/>
      </left>
      <right style="medium">
        <color auto="1"/>
      </right>
      <top/>
      <bottom style="medium">
        <color auto="1"/>
      </bottom>
      <diagonal/>
    </border>
    <border>
      <left style="thin">
        <color rgb="FFBFBFBF"/>
      </left>
      <right style="medium">
        <color auto="1"/>
      </right>
      <top/>
      <bottom style="thin">
        <color rgb="FFBFBFBF"/>
      </bottom>
      <diagonal/>
    </border>
    <border>
      <left style="thin">
        <color rgb="FFBFBFBF"/>
      </left>
      <right style="medium">
        <color auto="1"/>
      </right>
      <top style="thin">
        <color rgb="FFBFBFBF"/>
      </top>
      <bottom/>
      <diagonal/>
    </border>
    <border>
      <left style="thin">
        <color rgb="FFBFBFBF"/>
      </left>
      <right style="medium">
        <color auto="1"/>
      </right>
      <top style="thin">
        <color rgb="FFBFBFBF"/>
      </top>
      <bottom style="thin">
        <color rgb="FFBFBFBF"/>
      </bottom>
      <diagonal/>
    </border>
    <border>
      <left style="medium">
        <color auto="1"/>
      </left>
      <right/>
      <top/>
      <bottom style="thin">
        <color rgb="FF7F7F7F"/>
      </bottom>
      <diagonal/>
    </border>
    <border>
      <left/>
      <right/>
      <top/>
      <bottom style="thin">
        <color rgb="FF7F7F7F"/>
      </bottom>
      <diagonal/>
    </border>
    <border>
      <left style="medium">
        <color auto="1"/>
      </left>
      <right/>
      <top style="thin">
        <color auto="1"/>
      </top>
      <bottom/>
      <diagonal/>
    </border>
    <border>
      <left/>
      <right/>
      <top style="thin">
        <color auto="1"/>
      </top>
      <bottom/>
      <diagonal/>
    </border>
    <border>
      <left/>
      <right style="medium">
        <color auto="1"/>
      </right>
      <top/>
      <bottom style="thin">
        <color rgb="FF7F7F7F"/>
      </bottom>
      <diagonal/>
    </border>
    <border>
      <left/>
      <right style="medium">
        <color auto="1"/>
      </right>
      <top style="thin">
        <color auto="1"/>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style="medium">
        <color auto="1"/>
      </right>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medium">
        <color auto="1"/>
      </left>
      <right style="medium">
        <color auto="1"/>
      </right>
      <top style="medium">
        <color auto="1"/>
      </top>
      <bottom style="medium">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thin">
        <color auto="1"/>
      </bottom>
      <diagonal/>
    </border>
    <border>
      <left/>
      <right/>
      <top style="thin">
        <color rgb="FF7F7F7F"/>
      </top>
      <bottom/>
      <diagonal/>
    </border>
    <border>
      <left/>
      <right style="thin">
        <color rgb="FF7F7F7F"/>
      </right>
      <top/>
      <bottom/>
      <diagonal/>
    </border>
    <border>
      <left style="thin">
        <color rgb="FF7F7F7F"/>
      </left>
      <right/>
      <top/>
      <bottom/>
      <diagonal/>
    </border>
    <border>
      <left style="thin">
        <color rgb="FF7F7F7F"/>
      </left>
      <right/>
      <top/>
      <bottom style="thin">
        <color rgb="FF7F7F7F"/>
      </bottom>
      <diagonal/>
    </border>
    <border>
      <left/>
      <right style="thin">
        <color rgb="FF7F7F7F"/>
      </right>
      <top/>
      <bottom style="thin">
        <color rgb="FF7F7F7F"/>
      </bottom>
      <diagonal/>
    </border>
    <border>
      <left/>
      <right style="thin">
        <color rgb="FF7F7F7F"/>
      </right>
      <top style="thin">
        <color rgb="FF7F7F7F"/>
      </top>
      <bottom/>
      <diagonal/>
    </border>
    <border>
      <left style="thin">
        <color rgb="FF7F7F7F"/>
      </left>
      <right style="thin">
        <color rgb="FF7F7F7F"/>
      </right>
      <top style="thin">
        <color rgb="FF7F7F7F"/>
      </top>
      <bottom/>
      <diagonal/>
    </border>
    <border>
      <left style="thin">
        <color rgb="FF7F7F7F"/>
      </left>
      <right style="thin">
        <color rgb="FF7F7F7F"/>
      </right>
      <top style="thin">
        <color rgb="FF7F7F7F"/>
      </top>
      <bottom style="thin">
        <color rgb="FF7F7F7F"/>
      </bottom>
      <diagonal/>
    </border>
    <border>
      <left/>
      <right style="medium">
        <color auto="1"/>
      </right>
      <top style="thin">
        <color rgb="FF7F7F7F"/>
      </top>
      <bottom style="thin">
        <color rgb="FF7F7F7F"/>
      </bottom>
      <diagonal/>
    </border>
    <border>
      <left style="thin">
        <color rgb="FF7F7F7F"/>
      </left>
      <right style="thin">
        <color rgb="FF7F7F7F"/>
      </right>
      <top/>
      <bottom style="thin">
        <color rgb="FF7F7F7F"/>
      </bottom>
      <diagonal/>
    </border>
    <border>
      <left/>
      <right style="thin">
        <color rgb="FF7F7F7F"/>
      </right>
      <top/>
      <bottom style="medium">
        <color auto="1"/>
      </bottom>
      <diagonal/>
    </border>
    <border>
      <left style="thin">
        <color rgb="FF7F7F7F"/>
      </left>
      <right/>
      <top style="thin">
        <color rgb="FF7F7F7F"/>
      </top>
      <bottom/>
      <diagonal/>
    </border>
    <border>
      <left style="thin">
        <color rgb="FF7F7F7F"/>
      </left>
      <right/>
      <top style="thin">
        <color rgb="FF7F7F7F"/>
      </top>
      <bottom style="thin">
        <color rgb="FF7F7F7F"/>
      </bottom>
      <diagonal/>
    </border>
    <border>
      <left/>
      <right/>
      <top style="thin">
        <color rgb="FF7F7F7F"/>
      </top>
      <bottom style="thin">
        <color rgb="FF7F7F7F"/>
      </bottom>
      <diagonal/>
    </border>
    <border>
      <left style="thin">
        <color rgb="FF7F7F7F"/>
      </left>
      <right/>
      <top/>
      <bottom style="medium">
        <color auto="1"/>
      </bottom>
      <diagonal/>
    </border>
    <border>
      <left style="thin">
        <color auto="1"/>
      </left>
      <right style="thin">
        <color auto="1"/>
      </right>
      <top/>
      <bottom/>
      <diagonal/>
    </border>
    <border>
      <left style="thin">
        <color auto="1"/>
      </left>
      <right style="thin">
        <color auto="1"/>
      </right>
      <top/>
      <bottom style="medium">
        <color auto="1"/>
      </bottom>
      <diagonal/>
    </border>
    <border>
      <left style="medium">
        <color auto="1"/>
      </left>
      <right/>
      <top style="thin">
        <color rgb="FFA5A5A5"/>
      </top>
      <bottom/>
      <diagonal/>
    </border>
    <border>
      <left style="thin">
        <color rgb="FFA5A5A5"/>
      </left>
      <right/>
      <top style="thin">
        <color rgb="FFA5A5A5"/>
      </top>
      <bottom/>
      <diagonal/>
    </border>
    <border>
      <left/>
      <right/>
      <top style="thin">
        <color rgb="FFA5A5A5"/>
      </top>
      <bottom/>
      <diagonal/>
    </border>
    <border>
      <left style="medium">
        <color auto="1"/>
      </left>
      <right/>
      <top/>
      <bottom style="thin">
        <color rgb="FFA5A5A5"/>
      </bottom>
      <diagonal/>
    </border>
    <border>
      <left style="thin">
        <color rgb="FFA5A5A5"/>
      </left>
      <right/>
      <top/>
      <bottom style="thin">
        <color rgb="FFA5A5A5"/>
      </bottom>
      <diagonal/>
    </border>
    <border>
      <left/>
      <right/>
      <top/>
      <bottom style="thin">
        <color rgb="FFA5A5A5"/>
      </bottom>
      <diagonal/>
    </border>
    <border>
      <left style="thin">
        <color rgb="FFA5A5A5"/>
      </left>
      <right/>
      <top/>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medium">
        <color auto="1"/>
      </right>
      <top style="thin">
        <color rgb="FFA5A5A5"/>
      </top>
      <bottom/>
      <diagonal/>
    </border>
    <border>
      <left/>
      <right style="medium">
        <color auto="1"/>
      </right>
      <top/>
      <bottom style="thin">
        <color rgb="FFA5A5A5"/>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BFBFBF"/>
      </left>
      <right/>
      <top/>
      <bottom/>
      <diagonal/>
    </border>
    <border>
      <left style="thin">
        <color rgb="FFBFBFBF"/>
      </left>
      <right/>
      <top/>
      <bottom style="thin">
        <color auto="1"/>
      </bottom>
      <diagonal/>
    </border>
    <border>
      <left style="medium">
        <color auto="1"/>
      </left>
      <right/>
      <top style="thin">
        <color rgb="FFBFBFBF"/>
      </top>
      <bottom/>
      <diagonal/>
    </border>
    <border>
      <left/>
      <right/>
      <top style="thin">
        <color rgb="FFBFBFBF"/>
      </top>
      <bottom/>
      <diagonal/>
    </border>
    <border>
      <left style="medium">
        <color auto="1"/>
      </left>
      <right/>
      <top/>
      <bottom style="thin">
        <color rgb="FFBFBFBF"/>
      </bottom>
      <diagonal/>
    </border>
    <border>
      <left/>
      <right/>
      <top/>
      <bottom style="thin">
        <color rgb="FFBFBFBF"/>
      </bottom>
      <diagonal/>
    </border>
    <border>
      <left style="thin">
        <color rgb="FFBFBFBF"/>
      </left>
      <right/>
      <top style="thin">
        <color rgb="FFBFBFBF"/>
      </top>
      <bottom/>
      <diagonal/>
    </border>
    <border>
      <left style="thin">
        <color rgb="FFBFBFBF"/>
      </left>
      <right/>
      <top/>
      <bottom style="thin">
        <color rgb="FFBFBFBF"/>
      </bottom>
      <diagonal/>
    </border>
    <border>
      <left style="medium">
        <color auto="1"/>
      </left>
      <right/>
      <top style="thin">
        <color rgb="FFBFBFBF"/>
      </top>
      <bottom style="thin">
        <color rgb="FFBFBFBF"/>
      </bottom>
      <diagonal/>
    </border>
    <border>
      <left/>
      <right/>
      <top style="thin">
        <color rgb="FFBFBFBF"/>
      </top>
      <bottom style="thin">
        <color rgb="FFBFBFBF"/>
      </bottom>
      <diagonal/>
    </border>
    <border>
      <left style="thin">
        <color rgb="FFBFBFBF"/>
      </left>
      <right/>
      <top style="thin">
        <color rgb="FFBFBFBF"/>
      </top>
      <bottom style="thin">
        <color rgb="FFBFBFBF"/>
      </bottom>
      <diagonal/>
    </border>
    <border>
      <left/>
      <right style="thin">
        <color rgb="FFBFBFBF"/>
      </right>
      <top style="thin">
        <color rgb="FFBFBFBF"/>
      </top>
      <bottom style="thin">
        <color rgb="FFBFBFBF"/>
      </bottom>
      <diagonal/>
    </border>
    <border>
      <left/>
      <right style="thin">
        <color rgb="FFBFBFBF"/>
      </right>
      <top/>
      <bottom/>
      <diagonal/>
    </border>
    <border>
      <left style="thin">
        <color rgb="FFBFBFBF"/>
      </left>
      <right style="thin">
        <color rgb="FFBFBFBF"/>
      </right>
      <top style="thin">
        <color rgb="FFBFBFBF"/>
      </top>
      <bottom/>
      <diagonal/>
    </border>
    <border>
      <left/>
      <right style="medium">
        <color auto="1"/>
      </right>
      <top style="thin">
        <color rgb="FFBFBFBF"/>
      </top>
      <bottom/>
      <diagonal/>
    </border>
    <border>
      <left style="thin">
        <color rgb="FFBFBFBF"/>
      </left>
      <right style="thin">
        <color rgb="FFBFBFBF"/>
      </right>
      <top/>
      <bottom/>
      <diagonal/>
    </border>
    <border>
      <left/>
      <right style="medium">
        <color auto="1"/>
      </right>
      <top/>
      <bottom style="thin">
        <color rgb="FFBFBFBF"/>
      </bottom>
      <diagonal/>
    </border>
    <border>
      <left/>
      <right style="medium">
        <color auto="1"/>
      </right>
      <top style="thin">
        <color rgb="FFBFBFBF"/>
      </top>
      <bottom style="thin">
        <color rgb="FFBFBFBF"/>
      </bottom>
      <diagonal/>
    </border>
    <border>
      <left/>
      <right style="thin">
        <color rgb="FFBFBFBF"/>
      </right>
      <top/>
      <bottom style="medium">
        <color auto="1"/>
      </bottom>
      <diagonal/>
    </border>
    <border>
      <left style="thin">
        <color rgb="FFBFBFBF"/>
      </left>
      <right style="thin">
        <color rgb="FFBFBFBF"/>
      </right>
      <top style="thin">
        <color rgb="FFBFBFBF"/>
      </top>
      <bottom style="thin">
        <color rgb="FFBFBFBF"/>
      </bottom>
      <diagonal/>
    </border>
    <border>
      <left style="thin">
        <color rgb="FFBFBFBF"/>
      </left>
      <right/>
      <top/>
      <bottom style="medium">
        <color auto="1"/>
      </bottom>
      <diagonal/>
    </border>
    <border>
      <left style="thick">
        <color rgb="FFFF8787"/>
      </left>
      <right/>
      <top/>
      <bottom/>
      <diagonal/>
    </border>
    <border>
      <left/>
      <right/>
      <top style="thick">
        <color rgb="FFFF8787"/>
      </top>
      <bottom/>
      <diagonal/>
    </border>
    <border>
      <left style="thick">
        <color rgb="FFFF8787"/>
      </left>
      <right/>
      <top style="thick">
        <color rgb="FFFF8787"/>
      </top>
      <bottom/>
      <diagonal/>
    </border>
    <border>
      <left/>
      <right style="thick">
        <color rgb="FFFF8787"/>
      </right>
      <top/>
      <bottom/>
      <diagonal/>
    </border>
    <border>
      <left/>
      <right/>
      <top/>
      <bottom style="thick">
        <color rgb="FFFF8787"/>
      </bottom>
      <diagonal/>
    </border>
    <border>
      <left/>
      <right style="thick">
        <color rgb="FFFCF584"/>
      </right>
      <top/>
      <bottom/>
      <diagonal/>
    </border>
    <border>
      <left/>
      <right style="thick">
        <color rgb="FF8DFF81"/>
      </right>
      <top/>
      <bottom/>
      <diagonal/>
    </border>
    <border>
      <left style="thick">
        <color rgb="FF8DFF81"/>
      </left>
      <right/>
      <top style="thick">
        <color rgb="FF8DFF81"/>
      </top>
      <bottom/>
      <diagonal/>
    </border>
    <border>
      <left/>
      <right/>
      <top style="thick">
        <color rgb="FF8DFF81"/>
      </top>
      <bottom/>
      <diagonal/>
    </border>
    <border>
      <left/>
      <right/>
      <top/>
      <bottom style="thick">
        <color rgb="FFA3FF71"/>
      </bottom>
      <diagonal/>
    </border>
    <border>
      <left style="thick">
        <color rgb="FFA3FF71"/>
      </left>
      <right/>
      <top/>
      <bottom/>
      <diagonal/>
    </border>
    <border>
      <left/>
      <right style="thick">
        <color rgb="FFA3FF71"/>
      </right>
      <top/>
      <bottom/>
      <diagonal/>
    </border>
    <border>
      <left style="thick">
        <color rgb="FF81E9FF"/>
      </left>
      <right/>
      <top/>
      <bottom/>
      <diagonal/>
    </border>
    <border>
      <left/>
      <right style="thick">
        <color rgb="FF81E9FF"/>
      </right>
      <top/>
      <bottom/>
      <diagonal/>
    </border>
    <border>
      <left/>
      <right style="thick">
        <color rgb="FFA3FF71"/>
      </right>
      <top style="thick">
        <color rgb="FF8DFF81"/>
      </top>
      <bottom/>
      <diagonal/>
    </border>
    <border>
      <left/>
      <right/>
      <top/>
      <bottom style="thick">
        <color rgb="FF81E9FF"/>
      </bottom>
      <diagonal/>
    </border>
    <border>
      <left/>
      <right style="thick">
        <color rgb="FFA3FF71"/>
      </right>
      <top/>
      <bottom style="thick">
        <color rgb="FF81E9FF"/>
      </bottom>
      <diagonal/>
    </border>
    <border>
      <left/>
      <right style="thick">
        <color rgb="FF81E9FF"/>
      </right>
      <top/>
      <bottom style="thick">
        <color rgb="FF81E9FF"/>
      </bottom>
      <diagonal/>
    </border>
    <border>
      <left/>
      <right/>
      <top style="thick">
        <color rgb="FFA3FF71"/>
      </top>
      <bottom/>
      <diagonal/>
    </border>
    <border>
      <left/>
      <right style="thick">
        <color rgb="FFA3FF71"/>
      </right>
      <top/>
      <bottom style="thick">
        <color rgb="FFA3FF71"/>
      </bottom>
      <diagonal/>
    </border>
    <border>
      <left style="double">
        <color auto="1"/>
      </left>
      <right/>
      <top style="double">
        <color auto="1"/>
      </top>
      <bottom/>
      <diagonal/>
    </border>
    <border>
      <left/>
      <right/>
      <top style="double">
        <color auto="1"/>
      </top>
      <bottom/>
      <diagonal/>
    </border>
    <border>
      <left style="thin">
        <color rgb="FFBFBFBF"/>
      </left>
      <right style="thin">
        <color rgb="FFBFBFBF"/>
      </right>
      <top/>
      <bottom style="medium">
        <color auto="1"/>
      </bottom>
      <diagonal/>
    </border>
    <border>
      <left style="thick">
        <color rgb="FFFF66CC"/>
      </left>
      <right style="thin">
        <color auto="1"/>
      </right>
      <top/>
      <bottom style="thin">
        <color auto="1"/>
      </bottom>
      <diagonal/>
    </border>
    <border>
      <left/>
      <right style="thick">
        <color rgb="FFBD81FF"/>
      </right>
      <top/>
      <bottom/>
      <diagonal/>
    </border>
    <border>
      <left/>
      <right style="thick">
        <color rgb="FFC0C0C0"/>
      </right>
      <top/>
      <bottom/>
      <diagonal/>
    </border>
    <border>
      <left/>
      <right/>
      <top/>
      <bottom style="thick">
        <color rgb="FFB6B6B6"/>
      </bottom>
      <diagonal/>
    </border>
    <border>
      <left/>
      <right style="mediumDashed">
        <color rgb="FFC0C0C0"/>
      </right>
      <top/>
      <bottom/>
      <diagonal/>
    </border>
    <border>
      <left/>
      <right style="double">
        <color auto="1"/>
      </right>
      <top style="double">
        <color auto="1"/>
      </top>
      <bottom/>
      <diagonal/>
    </border>
    <border>
      <left style="thick">
        <color rgb="FFFFF1C5"/>
      </left>
      <right/>
      <top/>
      <bottom/>
      <diagonal/>
    </border>
    <border>
      <left/>
      <right/>
      <top style="thick">
        <color rgb="FFB6B6B6"/>
      </top>
      <bottom/>
      <diagonal/>
    </border>
    <border>
      <left/>
      <right style="thick">
        <color rgb="FFB6B6B6"/>
      </right>
      <top style="thick">
        <color rgb="FFB6B6B6"/>
      </top>
      <bottom/>
      <diagonal/>
    </border>
    <border>
      <left/>
      <right style="thick">
        <color rgb="FFB6B6B6"/>
      </right>
      <top/>
      <bottom/>
      <diagonal/>
    </border>
    <border>
      <left style="thick">
        <color rgb="FFC0C0C0"/>
      </left>
      <right/>
      <top/>
      <bottom/>
      <diagonal/>
    </border>
    <border>
      <left style="double">
        <color auto="1"/>
      </left>
      <right/>
      <top/>
      <bottom/>
      <diagonal/>
    </border>
    <border>
      <left style="double">
        <color auto="1"/>
      </left>
      <right/>
      <top/>
      <bottom style="double">
        <color auto="1"/>
      </bottom>
      <diagonal/>
    </border>
    <border>
      <left/>
      <right/>
      <top/>
      <bottom style="double">
        <color auto="1"/>
      </bottom>
      <diagonal/>
    </border>
    <border>
      <left style="medium">
        <color auto="1"/>
      </left>
      <right/>
      <top style="thin">
        <color rgb="FF7F7F7F"/>
      </top>
      <bottom style="medium">
        <color auto="1"/>
      </bottom>
      <diagonal/>
    </border>
    <border>
      <left/>
      <right/>
      <top style="thin">
        <color rgb="FF7F7F7F"/>
      </top>
      <bottom style="medium">
        <color auto="1"/>
      </bottom>
      <diagonal/>
    </border>
    <border>
      <left/>
      <right style="double">
        <color auto="1"/>
      </right>
      <top/>
      <bottom/>
      <diagonal/>
    </border>
    <border>
      <left/>
      <right style="double">
        <color auto="1"/>
      </right>
      <top/>
      <bottom style="double">
        <color auto="1"/>
      </bottom>
      <diagonal/>
    </border>
    <border>
      <left/>
      <right style="thin">
        <color rgb="FF7F7F7F"/>
      </right>
      <top style="thin">
        <color rgb="FF7F7F7F"/>
      </top>
      <bottom style="medium">
        <color auto="1"/>
      </bottom>
      <diagonal/>
    </border>
    <border>
      <left/>
      <right style="thin">
        <color rgb="FFBFBFBF"/>
      </right>
      <top/>
      <bottom style="thin">
        <color rgb="FFBFBFBF"/>
      </bottom>
      <diagonal/>
    </border>
    <border>
      <left/>
      <right/>
      <top style="thin">
        <color rgb="FF7F7F7F"/>
      </top>
      <bottom style="thin">
        <color rgb="FFBFBFBF"/>
      </bottom>
      <diagonal/>
    </border>
    <border>
      <left/>
      <right style="medium">
        <color auto="1"/>
      </right>
      <top style="thin">
        <color rgb="FF7F7F7F"/>
      </top>
      <bottom style="thin">
        <color rgb="FFBFBFBF"/>
      </bottom>
      <diagonal/>
    </border>
    <border>
      <left style="medium">
        <color auto="1"/>
      </left>
      <right style="thin">
        <color rgb="FFBFBFBF"/>
      </right>
      <top style="medium">
        <color auto="1"/>
      </top>
      <bottom style="thin">
        <color rgb="FFBFBFBF"/>
      </bottom>
      <diagonal/>
    </border>
    <border>
      <left style="thin">
        <color rgb="FFBFBFBF"/>
      </left>
      <right style="thin">
        <color rgb="FFBFBFBF"/>
      </right>
      <top style="medium">
        <color auto="1"/>
      </top>
      <bottom style="thin">
        <color rgb="FFBFBFBF"/>
      </bottom>
      <diagonal/>
    </border>
    <border>
      <left style="medium">
        <color auto="1"/>
      </left>
      <right style="thin">
        <color rgb="FFBFBFBF"/>
      </right>
      <top style="thin">
        <color rgb="FFBFBFBF"/>
      </top>
      <bottom style="thin">
        <color rgb="FFBFBFBF"/>
      </bottom>
      <diagonal/>
    </border>
    <border>
      <left style="thin">
        <color rgb="FFBFBFBF"/>
      </left>
      <right style="medium">
        <color auto="1"/>
      </right>
      <top style="medium">
        <color auto="1"/>
      </top>
      <bottom style="thin">
        <color rgb="FFBFBFBF"/>
      </bottom>
      <diagonal/>
    </border>
    <border>
      <left style="medium">
        <color auto="1"/>
      </left>
      <right style="thin">
        <color auto="1"/>
      </right>
      <top style="thin">
        <color auto="1"/>
      </top>
      <bottom style="thin">
        <color auto="1"/>
      </bottom>
      <diagonal/>
    </border>
    <border>
      <left style="thin">
        <color auto="1"/>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rgb="FFBFBFBF"/>
      </left>
      <right/>
      <top style="thin">
        <color rgb="FFBFBFBF"/>
      </top>
      <bottom style="medium">
        <color auto="1"/>
      </bottom>
      <diagonal/>
    </border>
    <border>
      <left style="thin">
        <color rgb="FFBFBFBF"/>
      </left>
      <right style="medium">
        <color auto="1"/>
      </right>
      <top style="thin">
        <color rgb="FFBFBFBF"/>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medium">
        <color auto="1"/>
      </left>
      <right/>
      <top style="medium">
        <color auto="1"/>
      </top>
      <bottom style="thin">
        <color rgb="FFBFBFBF"/>
      </bottom>
      <diagonal/>
    </border>
    <border>
      <left/>
      <right/>
      <top style="medium">
        <color auto="1"/>
      </top>
      <bottom style="thin">
        <color rgb="FFBFBFBF"/>
      </bottom>
      <diagonal/>
    </border>
    <border>
      <left style="thin">
        <color rgb="FFBFBFBF"/>
      </left>
      <right/>
      <top style="medium">
        <color auto="1"/>
      </top>
      <bottom style="thin">
        <color rgb="FFBFBFBF"/>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diagonal/>
    </border>
    <border>
      <left/>
      <right style="thin">
        <color rgb="FFBFBFBF"/>
      </right>
      <top style="medium">
        <color auto="1"/>
      </top>
      <bottom style="thin">
        <color rgb="FFBFBFBF"/>
      </bottom>
      <diagonal/>
    </border>
    <border>
      <left/>
      <right style="medium">
        <color auto="1"/>
      </right>
      <top style="medium">
        <color auto="1"/>
      </top>
      <bottom style="thin">
        <color rgb="FFBFBFBF"/>
      </bottom>
      <diagonal/>
    </border>
    <border>
      <left/>
      <right style="thin">
        <color rgb="FFBFBFBF"/>
      </right>
      <top style="thin">
        <color rgb="FFBFBFBF"/>
      </top>
      <bottom/>
      <diagonal/>
    </border>
    <border>
      <left/>
      <right/>
      <top/>
      <bottom style="thick">
        <color auto="1"/>
      </bottom>
      <diagonal/>
    </border>
    <border>
      <left style="medium">
        <color auto="1"/>
      </left>
      <right style="thick">
        <color auto="1"/>
      </right>
      <top/>
      <bottom/>
      <diagonal/>
    </border>
    <border>
      <left style="medium">
        <color auto="1"/>
      </left>
      <right style="thick">
        <color auto="1"/>
      </right>
      <top style="medium">
        <color auto="1"/>
      </top>
      <bottom/>
      <diagonal/>
    </border>
    <border>
      <left style="medium">
        <color auto="1"/>
      </left>
      <right style="thick">
        <color auto="1"/>
      </right>
      <top/>
      <bottom style="medium">
        <color auto="1"/>
      </bottom>
      <diagonal/>
    </border>
    <border>
      <left/>
      <right style="thick">
        <color auto="1"/>
      </right>
      <top style="medium">
        <color auto="1"/>
      </top>
      <bottom/>
      <diagonal/>
    </border>
    <border>
      <left/>
      <right style="thick">
        <color auto="1"/>
      </right>
      <top/>
      <bottom/>
      <diagonal/>
    </border>
    <border>
      <left/>
      <right style="thick">
        <color auto="1"/>
      </right>
      <top/>
      <bottom style="thick">
        <color auto="1"/>
      </bottom>
      <diagonal/>
    </border>
    <border>
      <left style="thick">
        <color auto="1"/>
      </left>
      <right/>
      <top/>
      <bottom/>
      <diagonal/>
    </border>
    <border>
      <left/>
      <right style="thin">
        <color auto="1"/>
      </right>
      <top style="medium">
        <color auto="1"/>
      </top>
      <bottom/>
      <diagonal/>
    </border>
    <border>
      <left/>
      <right style="thin">
        <color auto="1"/>
      </right>
      <top/>
      <bottom style="medium">
        <color auto="1"/>
      </bottom>
      <diagonal/>
    </border>
    <border>
      <left/>
      <right/>
      <top style="thick">
        <color auto="1"/>
      </top>
      <bottom/>
      <diagonal/>
    </border>
    <border>
      <left style="medium">
        <color auto="1"/>
      </left>
      <right style="thin">
        <color rgb="FFBFBFBF"/>
      </right>
      <top/>
      <bottom/>
      <diagonal/>
    </border>
    <border>
      <left style="thin">
        <color auto="1"/>
      </left>
      <right/>
      <top/>
      <bottom style="medium">
        <color auto="1"/>
      </bottom>
      <diagonal/>
    </border>
    <border>
      <left style="medium">
        <color auto="1"/>
      </left>
      <right/>
      <top style="thin">
        <color rgb="FFBFBFBF"/>
      </top>
      <bottom style="thin">
        <color rgb="FFCFCDCD"/>
      </bottom>
      <diagonal/>
    </border>
    <border>
      <left style="medium">
        <color auto="1"/>
      </left>
      <right/>
      <top style="thin">
        <color rgb="FFCFCDCD"/>
      </top>
      <bottom/>
      <diagonal/>
    </border>
    <border>
      <left/>
      <right/>
      <top style="thin">
        <color rgb="FFBFBFBF"/>
      </top>
      <bottom style="thin">
        <color rgb="FFCFCDCD"/>
      </bottom>
      <diagonal/>
    </border>
    <border>
      <left/>
      <right/>
      <top style="thin">
        <color rgb="FFCFCDCD"/>
      </top>
      <bottom/>
      <diagonal/>
    </border>
    <border>
      <left style="medium">
        <color auto="1"/>
      </left>
      <right/>
      <top style="thin">
        <color rgb="FFCFCDCD"/>
      </top>
      <bottom style="medium">
        <color auto="1"/>
      </bottom>
      <diagonal/>
    </border>
    <border>
      <left/>
      <right/>
      <top style="thin">
        <color rgb="FFCFCDCD"/>
      </top>
      <bottom style="medium">
        <color auto="1"/>
      </bottom>
      <diagonal/>
    </border>
    <border>
      <left style="medium">
        <color auto="1"/>
      </left>
      <right style="thin">
        <color rgb="FFBFBFBF"/>
      </right>
      <top style="thin">
        <color rgb="FFBFBFBF"/>
      </top>
      <bottom style="medium">
        <color auto="1"/>
      </bottom>
      <diagonal/>
    </border>
    <border>
      <left style="thin">
        <color rgb="FFBFBFBF"/>
      </left>
      <right style="thin">
        <color rgb="FFBFBFBF"/>
      </right>
      <top style="thin">
        <color rgb="FFBFBFBF"/>
      </top>
      <bottom style="medium">
        <color auto="1"/>
      </bottom>
      <diagonal/>
    </border>
    <border>
      <left style="thick">
        <color auto="1"/>
      </left>
      <right style="thick">
        <color auto="1"/>
      </right>
      <top style="thick">
        <color auto="1"/>
      </top>
      <bottom style="thick">
        <color auto="1"/>
      </bottom>
      <diagonal/>
    </border>
    <border>
      <left style="thick">
        <color auto="1"/>
      </left>
      <right/>
      <top style="thick">
        <color auto="1"/>
      </top>
      <bottom/>
      <diagonal/>
    </border>
    <border>
      <left style="thin">
        <color rgb="FFBFBFBF"/>
      </left>
      <right style="thin">
        <color rgb="FFBFBFBF"/>
      </right>
      <top/>
      <bottom style="thin">
        <color rgb="FFBFBFBF"/>
      </bottom>
      <diagonal/>
    </border>
    <border>
      <left/>
      <right style="thick">
        <color auto="1"/>
      </right>
      <top style="thick">
        <color auto="1"/>
      </top>
      <bottom/>
      <diagonal/>
    </border>
    <border>
      <left style="thick">
        <color auto="1"/>
      </left>
      <right/>
      <top/>
      <bottom style="thick">
        <color auto="1"/>
      </bottom>
      <diagonal/>
    </border>
    <border>
      <left/>
      <right style="thin">
        <color auto="1"/>
      </right>
      <top/>
      <bottom style="thick">
        <color auto="1"/>
      </bottom>
      <diagonal/>
    </border>
    <border>
      <left/>
      <right style="thin">
        <color rgb="FFBFBFBF"/>
      </right>
      <top style="thin">
        <color rgb="FFBFBFBF"/>
      </top>
      <bottom style="medium">
        <color auto="1"/>
      </bottom>
      <diagonal/>
    </border>
    <border>
      <left style="thin">
        <color rgb="FFBFBFBF"/>
      </left>
      <right/>
      <top style="medium">
        <color auto="1"/>
      </top>
      <bottom/>
      <diagonal/>
    </border>
    <border>
      <left style="double">
        <color auto="1"/>
      </left>
      <right/>
      <top style="medium">
        <color auto="1"/>
      </top>
      <bottom/>
      <diagonal/>
    </border>
    <border>
      <left style="double">
        <color auto="1"/>
      </left>
      <right/>
      <top/>
      <bottom style="medium">
        <color auto="1"/>
      </bottom>
      <diagonal/>
    </border>
    <border>
      <left style="thin">
        <color rgb="FFBFBFBF"/>
      </left>
      <right style="double">
        <color rgb="FFBFBFBF"/>
      </right>
      <top style="thin">
        <color rgb="FFBFBFBF"/>
      </top>
      <bottom style="thin">
        <color rgb="FFBFBFBF"/>
      </bottom>
      <diagonal/>
    </border>
    <border>
      <left style="medium">
        <color auto="1"/>
      </left>
      <right/>
      <top style="medium">
        <color auto="1"/>
      </top>
      <bottom style="thin">
        <color rgb="FFD8D8D8"/>
      </bottom>
      <diagonal/>
    </border>
    <border>
      <left/>
      <right/>
      <top style="medium">
        <color auto="1"/>
      </top>
      <bottom style="thin">
        <color rgb="FFD8D8D8"/>
      </bottom>
      <diagonal/>
    </border>
    <border>
      <left style="medium">
        <color auto="1"/>
      </left>
      <right style="thin">
        <color rgb="FFBFBFBF"/>
      </right>
      <top/>
      <bottom style="thin">
        <color rgb="FFBFBFBF"/>
      </bottom>
      <diagonal/>
    </border>
    <border>
      <left/>
      <right style="double">
        <color auto="1"/>
      </right>
      <top/>
      <bottom style="medium">
        <color auto="1"/>
      </bottom>
      <diagonal/>
    </border>
    <border>
      <left style="double">
        <color auto="1"/>
      </left>
      <right style="thin">
        <color rgb="FFBFBFBF"/>
      </right>
      <top style="thin">
        <color rgb="FFBFBFBF"/>
      </top>
      <bottom style="thin">
        <color rgb="FFBFBFBF"/>
      </bottom>
      <diagonal/>
    </border>
    <border>
      <left style="double">
        <color auto="1"/>
      </left>
      <right style="thin">
        <color rgb="FFBFBFBF"/>
      </right>
      <top style="thin">
        <color rgb="FFBFBFBF"/>
      </top>
      <bottom style="medium">
        <color auto="1"/>
      </bottom>
      <diagonal/>
    </border>
    <border>
      <left/>
      <right style="thin">
        <color rgb="FFBFBFBF"/>
      </right>
      <top style="medium">
        <color auto="1"/>
      </top>
      <bottom/>
      <diagonal/>
    </border>
    <border>
      <left/>
      <right style="double">
        <color rgb="FF010000"/>
      </right>
      <top style="medium">
        <color auto="1"/>
      </top>
      <bottom/>
      <diagonal/>
    </border>
    <border>
      <left/>
      <right style="double">
        <color rgb="FF010000"/>
      </right>
      <top/>
      <bottom style="medium">
        <color auto="1"/>
      </bottom>
      <diagonal/>
    </border>
    <border>
      <left/>
      <right style="medium">
        <color auto="1"/>
      </right>
      <top style="medium">
        <color auto="1"/>
      </top>
      <bottom style="thin">
        <color rgb="FFD8D8D8"/>
      </bottom>
      <diagonal/>
    </border>
    <border>
      <left style="medium">
        <color auto="1"/>
      </left>
      <right style="thin">
        <color rgb="FFBFBFBF"/>
      </right>
      <top style="thin">
        <color rgb="FFBFBFBF"/>
      </top>
      <bottom style="double">
        <color auto="1"/>
      </bottom>
      <diagonal/>
    </border>
    <border>
      <left style="thin">
        <color rgb="FFBFBFBF"/>
      </left>
      <right style="thin">
        <color rgb="FFBFBFBF"/>
      </right>
      <top style="thin">
        <color rgb="FFBFBFBF"/>
      </top>
      <bottom style="double">
        <color auto="1"/>
      </bottom>
      <diagonal/>
    </border>
    <border>
      <left/>
      <right style="thin">
        <color rgb="FFBFBFBF"/>
      </right>
      <top style="medium">
        <color auto="1"/>
      </top>
      <bottom style="medium">
        <color auto="1"/>
      </bottom>
      <diagonal/>
    </border>
    <border>
      <left style="dotted">
        <color auto="1"/>
      </left>
      <right style="medium">
        <color auto="1"/>
      </right>
      <top style="medium">
        <color auto="1"/>
      </top>
      <bottom style="medium">
        <color auto="1"/>
      </bottom>
      <diagonal/>
    </border>
    <border>
      <left style="medium">
        <color auto="1"/>
      </left>
      <right/>
      <top style="thin">
        <color rgb="FFBFBFBF"/>
      </top>
      <bottom style="medium">
        <color auto="1"/>
      </bottom>
      <diagonal/>
    </border>
    <border>
      <left/>
      <right/>
      <top style="thin">
        <color rgb="FFBFBFBF"/>
      </top>
      <bottom style="medium">
        <color auto="1"/>
      </bottom>
      <diagonal/>
    </border>
    <border>
      <left/>
      <right style="medium">
        <color auto="1"/>
      </right>
      <top style="thin">
        <color rgb="FFBFBFBF"/>
      </top>
      <bottom style="medium">
        <color auto="1"/>
      </bottom>
      <diagonal/>
    </border>
    <border>
      <left style="thin">
        <color rgb="FFBFBFBF"/>
      </left>
      <right style="medium">
        <color auto="1"/>
      </right>
      <top style="thin">
        <color rgb="FFBFBFBF"/>
      </top>
      <bottom style="double">
        <color auto="1"/>
      </bottom>
      <diagonal/>
    </border>
    <border>
      <left/>
      <right style="double">
        <color auto="1"/>
      </right>
      <top style="thin">
        <color rgb="FFBFBFBF"/>
      </top>
      <bottom/>
      <diagonal/>
    </border>
    <border>
      <left style="medium">
        <color auto="1"/>
      </left>
      <right style="thin">
        <color rgb="FFBFBFBF"/>
      </right>
      <top style="thin">
        <color rgb="FFBFBFBF"/>
      </top>
      <bottom/>
      <diagonal/>
    </border>
    <border>
      <left style="thin">
        <color rgb="FFBFBFBF"/>
      </left>
      <right style="double">
        <color rgb="FFBFBFBF"/>
      </right>
      <top style="thin">
        <color rgb="FFBFBFBF"/>
      </top>
      <bottom style="medium">
        <color auto="1"/>
      </bottom>
      <diagonal/>
    </border>
    <border diagonalDown="1">
      <left/>
      <right/>
      <top/>
      <bottom style="thin">
        <color rgb="FFBFBFBF"/>
      </bottom>
      <diagonal style="thin">
        <color rgb="FFBFBFBF"/>
      </diagonal>
    </border>
    <border diagonalDown="1">
      <left/>
      <right/>
      <top/>
      <bottom/>
      <diagonal style="thin">
        <color rgb="FFBFBFBF"/>
      </diagonal>
    </border>
  </borders>
  <cellStyleXfs count="7">
    <xf numFmtId="0" fontId="0" fillId="0" borderId="0">
      <alignment vertical="center"/>
    </xf>
    <xf numFmtId="0" fontId="175" fillId="0" borderId="0">
      <protection locked="0"/>
    </xf>
    <xf numFmtId="0" fontId="123" fillId="7" borderId="0">
      <protection locked="0"/>
    </xf>
    <xf numFmtId="0" fontId="123" fillId="6" borderId="0">
      <protection locked="0"/>
    </xf>
    <xf numFmtId="0" fontId="29" fillId="8" borderId="0">
      <protection locked="0"/>
    </xf>
    <xf numFmtId="0" fontId="29" fillId="4" borderId="0">
      <protection locked="0"/>
    </xf>
    <xf numFmtId="0" fontId="28" fillId="0" borderId="0">
      <protection locked="0"/>
    </xf>
  </cellStyleXfs>
  <cellXfs count="3683">
    <xf numFmtId="0" fontId="0" fillId="0" borderId="0" xfId="0">
      <alignment vertical="center"/>
    </xf>
    <xf numFmtId="0" fontId="1" fillId="0" borderId="0" xfId="0" applyFont="1">
      <alignment vertical="center"/>
    </xf>
    <xf numFmtId="0" fontId="1" fillId="3" borderId="0" xfId="0" applyFont="1" applyFill="1">
      <alignment vertical="center"/>
    </xf>
    <xf numFmtId="0" fontId="1" fillId="3" borderId="0" xfId="0" applyFont="1" applyFill="1" applyBorder="1">
      <alignment vertical="center"/>
    </xf>
    <xf numFmtId="0" fontId="10" fillId="4" borderId="1" xfId="0" applyFont="1" applyFill="1" applyBorder="1" applyAlignment="1">
      <alignment horizontal="center" vertical="center" wrapText="1"/>
    </xf>
    <xf numFmtId="0" fontId="11" fillId="4" borderId="1" xfId="0" applyFont="1" applyFill="1" applyBorder="1" applyAlignment="1">
      <alignment vertical="center" wrapText="1"/>
    </xf>
    <xf numFmtId="0" fontId="11" fillId="4" borderId="1" xfId="0" applyFont="1" applyFill="1" applyBorder="1" applyAlignment="1">
      <alignment horizontal="center" vertical="center" wrapText="1"/>
    </xf>
    <xf numFmtId="0" fontId="13" fillId="4" borderId="1" xfId="0" applyFont="1" applyFill="1" applyBorder="1" applyAlignment="1">
      <alignment horizontal="center" vertical="top" wrapText="1"/>
    </xf>
    <xf numFmtId="0" fontId="10" fillId="4" borderId="1" xfId="0" applyFont="1" applyFill="1" applyBorder="1" applyAlignment="1">
      <alignment horizontal="center" vertical="top" wrapText="1"/>
    </xf>
    <xf numFmtId="0" fontId="17" fillId="4" borderId="1" xfId="0" applyFont="1" applyFill="1" applyBorder="1" applyAlignment="1">
      <alignment vertical="center" wrapText="1"/>
    </xf>
    <xf numFmtId="0" fontId="13" fillId="4" borderId="1" xfId="0" applyFont="1" applyFill="1" applyBorder="1" applyAlignment="1">
      <alignment vertical="center" wrapText="1"/>
    </xf>
    <xf numFmtId="0" fontId="1" fillId="0" borderId="0" xfId="0" applyFont="1" applyFill="1">
      <alignment vertical="center"/>
    </xf>
    <xf numFmtId="0" fontId="19" fillId="4" borderId="1" xfId="0" applyFont="1" applyFill="1" applyBorder="1" applyAlignment="1">
      <alignment vertical="center" wrapText="1"/>
    </xf>
    <xf numFmtId="0" fontId="20" fillId="4" borderId="1" xfId="0" applyFont="1" applyFill="1" applyBorder="1" applyAlignment="1">
      <alignment vertical="center" wrapText="1"/>
    </xf>
    <xf numFmtId="0" fontId="10" fillId="4" borderId="1" xfId="0" applyFont="1" applyFill="1" applyBorder="1" applyAlignment="1">
      <alignment vertical="center" wrapText="1"/>
    </xf>
    <xf numFmtId="0" fontId="17" fillId="4" borderId="1" xfId="0" applyFont="1" applyFill="1" applyBorder="1" applyAlignment="1">
      <alignment horizontal="left" vertical="center" wrapText="1"/>
    </xf>
    <xf numFmtId="0" fontId="1" fillId="0" borderId="0" xfId="0" applyFont="1" applyAlignment="1">
      <alignment horizontal="center" vertical="center"/>
    </xf>
    <xf numFmtId="0" fontId="10" fillId="7" borderId="11" xfId="0" applyFont="1" applyFill="1" applyBorder="1" applyAlignment="1">
      <alignment horizontal="center" vertical="center"/>
    </xf>
    <xf numFmtId="0" fontId="10" fillId="7" borderId="12" xfId="0" applyFont="1" applyFill="1" applyBorder="1" applyAlignment="1">
      <alignment horizontal="center" vertical="center"/>
    </xf>
    <xf numFmtId="0" fontId="21" fillId="0" borderId="11" xfId="0" applyFont="1" applyBorder="1" applyAlignment="1">
      <alignment horizontal="center" vertical="center"/>
    </xf>
    <xf numFmtId="0" fontId="22" fillId="0" borderId="12" xfId="0" applyFont="1" applyBorder="1" applyAlignment="1">
      <alignment horizontal="left" vertical="center" wrapText="1"/>
    </xf>
    <xf numFmtId="0" fontId="21" fillId="8" borderId="11" xfId="0" applyFont="1" applyFill="1" applyBorder="1" applyAlignment="1">
      <alignment horizontal="center" vertical="center"/>
    </xf>
    <xf numFmtId="0" fontId="22" fillId="8" borderId="12" xfId="0" applyFont="1" applyFill="1" applyBorder="1" applyAlignment="1">
      <alignment horizontal="left" vertical="center" wrapText="1"/>
    </xf>
    <xf numFmtId="0" fontId="21" fillId="8" borderId="13" xfId="0" applyFont="1" applyFill="1" applyBorder="1" applyAlignment="1">
      <alignment horizontal="center" vertical="center"/>
    </xf>
    <xf numFmtId="0" fontId="22" fillId="8" borderId="14" xfId="0" applyFont="1" applyFill="1" applyBorder="1" applyAlignment="1">
      <alignment horizontal="left" vertical="center" wrapText="1"/>
    </xf>
    <xf numFmtId="0" fontId="23" fillId="8" borderId="14" xfId="0" applyFont="1" applyFill="1" applyBorder="1" applyAlignment="1">
      <alignment horizontal="left" vertical="center" wrapText="1"/>
    </xf>
    <xf numFmtId="0" fontId="1" fillId="7" borderId="11" xfId="0" applyFont="1" applyFill="1" applyBorder="1" applyAlignment="1" applyProtection="1">
      <alignment horizontal="center" vertical="center"/>
      <protection hidden="1"/>
    </xf>
    <xf numFmtId="0" fontId="1" fillId="7" borderId="12" xfId="0" applyFont="1" applyFill="1" applyBorder="1" applyAlignment="1" applyProtection="1">
      <alignment horizontal="center" vertical="center" wrapText="1"/>
      <protection hidden="1"/>
    </xf>
    <xf numFmtId="0" fontId="1" fillId="0" borderId="0" xfId="0" applyFont="1" applyAlignment="1">
      <alignment horizontal="left" vertical="center"/>
    </xf>
    <xf numFmtId="0" fontId="21" fillId="0" borderId="0" xfId="0" applyFont="1" applyAlignment="1">
      <alignment vertical="center" wrapText="1"/>
    </xf>
    <xf numFmtId="0" fontId="26" fillId="0" borderId="0" xfId="0" applyFont="1" applyAlignment="1">
      <alignment horizontal="left"/>
    </xf>
    <xf numFmtId="0" fontId="1" fillId="0" borderId="0" xfId="0" applyFont="1" applyAlignment="1">
      <alignment vertical="center" wrapText="1"/>
    </xf>
    <xf numFmtId="0" fontId="1" fillId="0" borderId="0" xfId="0" applyFont="1" applyFill="1" applyBorder="1" applyAlignment="1">
      <alignment vertical="center" wrapText="1"/>
    </xf>
    <xf numFmtId="0" fontId="27" fillId="0" borderId="0" xfId="6" applyFont="1" applyAlignment="1">
      <alignment vertical="center"/>
      <protection locked="0"/>
    </xf>
    <xf numFmtId="0" fontId="28" fillId="0" borderId="0" xfId="6" applyAlignment="1">
      <alignment vertical="center"/>
      <protection locked="0"/>
    </xf>
    <xf numFmtId="0" fontId="28" fillId="0" borderId="0" xfId="6" applyFont="1" applyAlignment="1">
      <alignment vertical="center"/>
      <protection locked="0"/>
    </xf>
    <xf numFmtId="0" fontId="29" fillId="0" borderId="0" xfId="0" applyFont="1" applyProtection="1">
      <alignment vertical="center"/>
      <protection locked="0"/>
    </xf>
    <xf numFmtId="49" fontId="30" fillId="2" borderId="7" xfId="0" applyNumberFormat="1" applyFont="1" applyFill="1" applyBorder="1" applyAlignment="1">
      <alignment horizontal="center" vertical="center"/>
    </xf>
    <xf numFmtId="49" fontId="30" fillId="2" borderId="15" xfId="0" applyNumberFormat="1" applyFont="1" applyFill="1" applyBorder="1" applyAlignment="1">
      <alignment horizontal="center" vertical="center"/>
    </xf>
    <xf numFmtId="49" fontId="31" fillId="2" borderId="15" xfId="0" applyNumberFormat="1" applyFont="1" applyFill="1" applyBorder="1" applyAlignment="1">
      <alignment horizontal="center" vertical="center" wrapText="1"/>
    </xf>
    <xf numFmtId="0" fontId="32" fillId="0" borderId="11" xfId="0" applyNumberFormat="1" applyFont="1" applyFill="1" applyBorder="1" applyAlignment="1">
      <alignment horizontal="left" vertical="center"/>
    </xf>
    <xf numFmtId="0" fontId="32" fillId="0" borderId="0" xfId="0" applyNumberFormat="1" applyFont="1" applyFill="1" applyBorder="1" applyAlignment="1">
      <alignment horizontal="center" vertical="center"/>
    </xf>
    <xf numFmtId="0" fontId="32" fillId="0" borderId="28" xfId="0" applyNumberFormat="1" applyFont="1" applyFill="1" applyBorder="1" applyAlignment="1">
      <alignment horizontal="left" vertical="center"/>
    </xf>
    <xf numFmtId="0" fontId="32" fillId="0" borderId="29" xfId="0" applyNumberFormat="1" applyFont="1" applyFill="1" applyBorder="1" applyAlignment="1">
      <alignment horizontal="center" vertical="center"/>
    </xf>
    <xf numFmtId="0" fontId="32" fillId="0" borderId="30" xfId="0" applyNumberFormat="1" applyFont="1" applyFill="1" applyBorder="1" applyAlignment="1">
      <alignment horizontal="left" vertical="center"/>
    </xf>
    <xf numFmtId="0" fontId="32" fillId="0" borderId="31" xfId="0" applyNumberFormat="1" applyFont="1" applyFill="1" applyBorder="1" applyAlignment="1">
      <alignment horizontal="center" vertical="center"/>
    </xf>
    <xf numFmtId="0" fontId="32" fillId="10" borderId="28" xfId="0" applyNumberFormat="1" applyFont="1" applyFill="1" applyBorder="1" applyAlignment="1">
      <alignment horizontal="left" vertical="center"/>
    </xf>
    <xf numFmtId="0" fontId="32" fillId="10" borderId="29" xfId="0" applyNumberFormat="1" applyFont="1" applyFill="1" applyBorder="1" applyAlignment="1">
      <alignment horizontal="center" vertical="center"/>
    </xf>
    <xf numFmtId="0" fontId="33" fillId="11" borderId="11" xfId="0" applyNumberFormat="1" applyFont="1" applyFill="1" applyBorder="1" applyAlignment="1">
      <alignment horizontal="left" vertical="center"/>
    </xf>
    <xf numFmtId="0" fontId="33" fillId="12" borderId="0" xfId="0" applyNumberFormat="1" applyFont="1" applyFill="1" applyBorder="1" applyAlignment="1">
      <alignment horizontal="center" vertical="center"/>
    </xf>
    <xf numFmtId="0" fontId="33" fillId="0" borderId="0" xfId="0" applyNumberFormat="1" applyFont="1" applyFill="1" applyBorder="1" applyAlignment="1">
      <alignment horizontal="center" vertical="center"/>
    </xf>
    <xf numFmtId="0" fontId="27" fillId="0" borderId="11" xfId="6" applyNumberFormat="1" applyFont="1" applyBorder="1" applyAlignment="1" applyProtection="1">
      <alignment horizontal="left" vertical="center"/>
    </xf>
    <xf numFmtId="0" fontId="27" fillId="0" borderId="0" xfId="6" applyNumberFormat="1" applyFont="1" applyAlignment="1" applyProtection="1">
      <alignment horizontal="center" vertical="center"/>
    </xf>
    <xf numFmtId="0" fontId="33" fillId="12" borderId="11" xfId="0" applyNumberFormat="1" applyFont="1" applyFill="1" applyBorder="1" applyAlignment="1">
      <alignment horizontal="left" vertical="center"/>
    </xf>
    <xf numFmtId="0" fontId="33" fillId="0" borderId="11" xfId="0" applyNumberFormat="1" applyFont="1" applyFill="1" applyBorder="1" applyAlignment="1">
      <alignment horizontal="left" vertical="center"/>
    </xf>
    <xf numFmtId="0" fontId="33" fillId="13" borderId="11" xfId="0" applyNumberFormat="1" applyFont="1" applyFill="1" applyBorder="1" applyAlignment="1">
      <alignment horizontal="left" vertical="center"/>
    </xf>
    <xf numFmtId="0" fontId="33" fillId="13" borderId="0" xfId="0" applyNumberFormat="1" applyFont="1" applyFill="1" applyBorder="1" applyAlignment="1">
      <alignment horizontal="center" vertical="center"/>
    </xf>
    <xf numFmtId="0" fontId="33" fillId="14" borderId="11" xfId="0" applyNumberFormat="1" applyFont="1" applyFill="1" applyBorder="1" applyAlignment="1">
      <alignment horizontal="left" vertical="center"/>
    </xf>
    <xf numFmtId="0" fontId="33" fillId="14" borderId="0" xfId="0" applyNumberFormat="1" applyFont="1" applyFill="1" applyBorder="1" applyAlignment="1">
      <alignment horizontal="center" vertical="center"/>
    </xf>
    <xf numFmtId="0" fontId="33" fillId="14" borderId="0" xfId="0" applyNumberFormat="1" applyFont="1" applyFill="1" applyAlignment="1">
      <alignment horizontal="center" vertical="center"/>
    </xf>
    <xf numFmtId="0" fontId="33" fillId="0" borderId="0" xfId="0" applyNumberFormat="1" applyFont="1" applyFill="1" applyAlignment="1">
      <alignment horizontal="center" vertical="center"/>
    </xf>
    <xf numFmtId="0" fontId="33" fillId="15" borderId="11" xfId="0" applyNumberFormat="1" applyFont="1" applyFill="1" applyBorder="1" applyAlignment="1">
      <alignment horizontal="left" vertical="center"/>
    </xf>
    <xf numFmtId="0" fontId="33" fillId="15" borderId="0" xfId="0" applyNumberFormat="1" applyFont="1" applyFill="1" applyBorder="1" applyAlignment="1">
      <alignment horizontal="center" vertical="center"/>
    </xf>
    <xf numFmtId="0" fontId="33" fillId="15" borderId="0" xfId="0" applyNumberFormat="1" applyFont="1" applyFill="1" applyAlignment="1">
      <alignment horizontal="center" vertical="center"/>
    </xf>
    <xf numFmtId="0" fontId="27" fillId="14" borderId="0" xfId="6" applyNumberFormat="1" applyFont="1" applyFill="1" applyAlignment="1" applyProtection="1">
      <alignment horizontal="center" vertical="center"/>
    </xf>
    <xf numFmtId="0" fontId="33" fillId="16" borderId="11" xfId="0" applyNumberFormat="1" applyFont="1" applyFill="1" applyBorder="1" applyAlignment="1">
      <alignment horizontal="left" vertical="center"/>
    </xf>
    <xf numFmtId="0" fontId="33" fillId="16" borderId="0" xfId="0" applyNumberFormat="1" applyFont="1" applyFill="1" applyBorder="1" applyAlignment="1">
      <alignment horizontal="center" vertical="center"/>
    </xf>
    <xf numFmtId="0" fontId="33" fillId="16" borderId="0" xfId="0" applyNumberFormat="1" applyFont="1" applyFill="1" applyAlignment="1">
      <alignment horizontal="center" vertical="center"/>
    </xf>
    <xf numFmtId="0" fontId="27" fillId="16" borderId="0" xfId="6" applyNumberFormat="1" applyFont="1" applyFill="1" applyAlignment="1" applyProtection="1">
      <alignment horizontal="center" vertical="center"/>
    </xf>
    <xf numFmtId="0" fontId="33" fillId="17" borderId="11" xfId="0" applyNumberFormat="1" applyFont="1" applyFill="1" applyBorder="1" applyAlignment="1">
      <alignment horizontal="left" vertical="center"/>
    </xf>
    <xf numFmtId="0" fontId="27" fillId="17" borderId="0" xfId="6" applyNumberFormat="1" applyFont="1" applyFill="1" applyAlignment="1" applyProtection="1">
      <alignment horizontal="center" vertical="center"/>
    </xf>
    <xf numFmtId="0" fontId="33" fillId="17" borderId="0" xfId="0" applyNumberFormat="1" applyFont="1" applyFill="1" applyBorder="1" applyAlignment="1">
      <alignment horizontal="center" vertical="center"/>
    </xf>
    <xf numFmtId="0" fontId="27" fillId="0" borderId="11" xfId="6" applyFont="1" applyBorder="1" applyAlignment="1">
      <alignment vertical="center"/>
      <protection locked="0"/>
    </xf>
    <xf numFmtId="0" fontId="27" fillId="0" borderId="0" xfId="6" applyFont="1" applyAlignment="1">
      <alignment horizontal="center" vertical="center"/>
      <protection locked="0"/>
    </xf>
    <xf numFmtId="0" fontId="27" fillId="9" borderId="11" xfId="0" applyNumberFormat="1" applyFont="1" applyFill="1" applyBorder="1" applyAlignment="1">
      <alignment horizontal="left" vertical="center"/>
    </xf>
    <xf numFmtId="0" fontId="27" fillId="9" borderId="0" xfId="6" applyNumberFormat="1" applyFont="1" applyFill="1" applyAlignment="1" applyProtection="1">
      <alignment horizontal="center" vertical="center"/>
    </xf>
    <xf numFmtId="0" fontId="27" fillId="9" borderId="0" xfId="0" applyNumberFormat="1" applyFont="1" applyFill="1" applyBorder="1" applyAlignment="1">
      <alignment horizontal="center" vertical="center"/>
    </xf>
    <xf numFmtId="0" fontId="27" fillId="0" borderId="0" xfId="6" applyNumberFormat="1" applyFont="1" applyFill="1" applyAlignment="1" applyProtection="1">
      <alignment horizontal="center" vertical="center"/>
    </xf>
    <xf numFmtId="0" fontId="33" fillId="9" borderId="11" xfId="0" applyNumberFormat="1" applyFont="1" applyFill="1" applyBorder="1" applyAlignment="1">
      <alignment horizontal="left" vertical="center"/>
    </xf>
    <xf numFmtId="0" fontId="33" fillId="9" borderId="0" xfId="0" applyNumberFormat="1" applyFont="1" applyFill="1" applyBorder="1" applyAlignment="1">
      <alignment horizontal="center" vertical="center"/>
    </xf>
    <xf numFmtId="49" fontId="30" fillId="2" borderId="8" xfId="0" applyNumberFormat="1" applyFont="1" applyFill="1" applyBorder="1" applyAlignment="1">
      <alignment horizontal="center" vertical="center"/>
    </xf>
    <xf numFmtId="0" fontId="28" fillId="0" borderId="0" xfId="6" applyAlignment="1" applyProtection="1">
      <alignment vertical="center"/>
    </xf>
    <xf numFmtId="0" fontId="32" fillId="0" borderId="12" xfId="0" applyNumberFormat="1" applyFont="1" applyFill="1" applyBorder="1" applyAlignment="1">
      <alignment horizontal="center" vertical="center"/>
    </xf>
    <xf numFmtId="0" fontId="28" fillId="0" borderId="0" xfId="6" applyNumberFormat="1" applyFont="1" applyAlignment="1" applyProtection="1">
      <alignment vertical="center"/>
    </xf>
    <xf numFmtId="0" fontId="32" fillId="0" borderId="32" xfId="0" applyNumberFormat="1" applyFont="1" applyFill="1" applyBorder="1" applyAlignment="1">
      <alignment horizontal="center" vertical="center"/>
    </xf>
    <xf numFmtId="0" fontId="32" fillId="0" borderId="33" xfId="0" applyNumberFormat="1" applyFont="1" applyFill="1" applyBorder="1" applyAlignment="1">
      <alignment horizontal="center" vertical="center"/>
    </xf>
    <xf numFmtId="0" fontId="32" fillId="10" borderId="32" xfId="0" applyNumberFormat="1" applyFont="1" applyFill="1" applyBorder="1" applyAlignment="1">
      <alignment horizontal="center" vertical="center"/>
    </xf>
    <xf numFmtId="0" fontId="33" fillId="12" borderId="12" xfId="0" applyNumberFormat="1" applyFont="1" applyFill="1" applyBorder="1" applyAlignment="1">
      <alignment horizontal="center" vertical="center"/>
    </xf>
    <xf numFmtId="0" fontId="27" fillId="0" borderId="12" xfId="6" applyNumberFormat="1" applyFont="1" applyBorder="1" applyAlignment="1" applyProtection="1">
      <alignment horizontal="center" vertical="center"/>
    </xf>
    <xf numFmtId="0" fontId="28" fillId="0" borderId="0" xfId="6" applyNumberFormat="1" applyFont="1" applyFill="1" applyAlignment="1" applyProtection="1">
      <alignment vertical="center" wrapText="1"/>
    </xf>
    <xf numFmtId="0" fontId="33" fillId="0" borderId="12" xfId="0" applyNumberFormat="1" applyFont="1" applyFill="1" applyBorder="1" applyAlignment="1">
      <alignment horizontal="center" vertical="center"/>
    </xf>
    <xf numFmtId="0" fontId="33" fillId="13" borderId="12" xfId="0" applyNumberFormat="1" applyFont="1" applyFill="1" applyBorder="1" applyAlignment="1">
      <alignment horizontal="center" vertical="center"/>
    </xf>
    <xf numFmtId="0" fontId="33" fillId="14" borderId="12" xfId="0" applyNumberFormat="1" applyFont="1" applyFill="1" applyBorder="1" applyAlignment="1">
      <alignment horizontal="center" vertical="center"/>
    </xf>
    <xf numFmtId="0" fontId="28" fillId="0" borderId="0" xfId="6" applyNumberFormat="1" applyFont="1" applyFill="1" applyBorder="1" applyAlignment="1" applyProtection="1">
      <alignment vertical="center" wrapText="1"/>
    </xf>
    <xf numFmtId="0" fontId="33" fillId="15" borderId="12" xfId="0" applyNumberFormat="1" applyFont="1" applyFill="1" applyBorder="1" applyAlignment="1">
      <alignment horizontal="center" vertical="center"/>
    </xf>
    <xf numFmtId="0" fontId="33" fillId="16" borderId="12" xfId="0" applyNumberFormat="1" applyFont="1" applyFill="1" applyBorder="1" applyAlignment="1">
      <alignment horizontal="center" vertical="center"/>
    </xf>
    <xf numFmtId="0" fontId="33" fillId="17" borderId="12" xfId="0" applyNumberFormat="1" applyFont="1" applyFill="1" applyBorder="1" applyAlignment="1">
      <alignment horizontal="center" vertical="center"/>
    </xf>
    <xf numFmtId="0" fontId="38" fillId="0" borderId="0" xfId="6" applyNumberFormat="1" applyFont="1" applyFill="1" applyAlignment="1" applyProtection="1">
      <alignment vertical="center" wrapText="1"/>
    </xf>
    <xf numFmtId="0" fontId="28" fillId="0" borderId="12" xfId="6" applyBorder="1" applyAlignment="1">
      <alignment horizontal="center" vertical="center"/>
      <protection locked="0"/>
    </xf>
    <xf numFmtId="0" fontId="27" fillId="9" borderId="12" xfId="0" applyNumberFormat="1" applyFont="1" applyFill="1" applyBorder="1" applyAlignment="1">
      <alignment horizontal="center" vertical="center"/>
    </xf>
    <xf numFmtId="0" fontId="28" fillId="0" borderId="0" xfId="6" applyNumberFormat="1" applyFont="1" applyFill="1" applyBorder="1" applyAlignment="1" applyProtection="1">
      <alignment vertical="center"/>
    </xf>
    <xf numFmtId="49" fontId="40" fillId="2" borderId="7" xfId="0" applyNumberFormat="1" applyFont="1" applyFill="1" applyBorder="1" applyAlignment="1">
      <alignment horizontal="center" vertical="center"/>
    </xf>
    <xf numFmtId="49" fontId="40" fillId="2" borderId="15" xfId="0" applyNumberFormat="1" applyFont="1" applyFill="1" applyBorder="1" applyAlignment="1">
      <alignment horizontal="center" vertical="center"/>
    </xf>
    <xf numFmtId="49" fontId="40" fillId="2" borderId="15" xfId="0" applyNumberFormat="1" applyFont="1" applyFill="1" applyBorder="1" applyAlignment="1">
      <alignment horizontal="center" vertical="center" wrapText="1"/>
    </xf>
    <xf numFmtId="0" fontId="32" fillId="0" borderId="11" xfId="0" applyFont="1" applyFill="1" applyBorder="1" applyAlignment="1">
      <alignment horizontal="left" vertical="center"/>
    </xf>
    <xf numFmtId="0" fontId="32" fillId="0" borderId="0" xfId="0" applyFont="1" applyFill="1" applyBorder="1" applyAlignment="1">
      <alignment horizontal="center" vertical="center"/>
    </xf>
    <xf numFmtId="0" fontId="32" fillId="0" borderId="0" xfId="6" applyFont="1" applyAlignment="1" applyProtection="1">
      <alignment horizontal="center" vertical="center"/>
    </xf>
    <xf numFmtId="0" fontId="32" fillId="0" borderId="30" xfId="0" applyFont="1" applyFill="1" applyBorder="1" applyAlignment="1">
      <alignment horizontal="left" vertical="center"/>
    </xf>
    <xf numFmtId="0" fontId="32" fillId="0" borderId="31" xfId="0" applyFont="1" applyFill="1" applyBorder="1" applyAlignment="1">
      <alignment horizontal="center" vertical="center"/>
    </xf>
    <xf numFmtId="0" fontId="32" fillId="0" borderId="31" xfId="6" applyFont="1" applyBorder="1" applyAlignment="1" applyProtection="1">
      <alignment horizontal="center" vertical="center"/>
    </xf>
    <xf numFmtId="0" fontId="32" fillId="0" borderId="35" xfId="0" applyFont="1" applyFill="1" applyBorder="1" applyAlignment="1">
      <alignment horizontal="center" vertical="center"/>
    </xf>
    <xf numFmtId="0" fontId="32" fillId="10" borderId="11" xfId="0" applyFont="1" applyFill="1" applyBorder="1" applyAlignment="1">
      <alignment horizontal="left" vertical="center"/>
    </xf>
    <xf numFmtId="0" fontId="32" fillId="10" borderId="0" xfId="0" applyFont="1" applyFill="1" applyBorder="1" applyAlignment="1">
      <alignment horizontal="center" vertical="center"/>
    </xf>
    <xf numFmtId="0" fontId="32" fillId="10" borderId="0" xfId="6" applyFont="1" applyFill="1" applyAlignment="1" applyProtection="1">
      <alignment horizontal="center" vertical="center"/>
    </xf>
    <xf numFmtId="0" fontId="32" fillId="0" borderId="0" xfId="6" applyFont="1" applyBorder="1" applyAlignment="1" applyProtection="1">
      <alignment horizontal="center" vertical="center"/>
    </xf>
    <xf numFmtId="0" fontId="32" fillId="12" borderId="11" xfId="0" applyFont="1" applyFill="1" applyBorder="1" applyAlignment="1">
      <alignment horizontal="left" vertical="center"/>
    </xf>
    <xf numFmtId="0" fontId="32" fillId="12" borderId="0" xfId="0" applyFont="1" applyFill="1" applyBorder="1" applyAlignment="1">
      <alignment horizontal="center" vertical="center"/>
    </xf>
    <xf numFmtId="0" fontId="32" fillId="18" borderId="11" xfId="0" applyFont="1" applyFill="1" applyBorder="1" applyAlignment="1">
      <alignment horizontal="left" vertical="center"/>
    </xf>
    <xf numFmtId="0" fontId="32" fillId="18" borderId="0" xfId="0" applyFont="1" applyFill="1" applyBorder="1" applyAlignment="1">
      <alignment horizontal="center" vertical="center"/>
    </xf>
    <xf numFmtId="0" fontId="32" fillId="18" borderId="0" xfId="6" applyFont="1" applyFill="1" applyAlignment="1" applyProtection="1">
      <alignment horizontal="center" vertical="center"/>
    </xf>
    <xf numFmtId="0" fontId="32" fillId="19" borderId="11" xfId="0" applyFont="1" applyFill="1" applyBorder="1" applyAlignment="1">
      <alignment horizontal="left" vertical="center"/>
    </xf>
    <xf numFmtId="0" fontId="33" fillId="20" borderId="11" xfId="0" applyFont="1" applyFill="1" applyBorder="1" applyAlignment="1">
      <alignment horizontal="left" vertical="center"/>
    </xf>
    <xf numFmtId="0" fontId="33" fillId="20" borderId="0" xfId="0" applyFont="1" applyFill="1" applyBorder="1" applyAlignment="1">
      <alignment horizontal="center" vertical="center"/>
    </xf>
    <xf numFmtId="0" fontId="27" fillId="20" borderId="0" xfId="6" applyFont="1" applyFill="1" applyAlignment="1" applyProtection="1">
      <alignment horizontal="center" vertical="center"/>
    </xf>
    <xf numFmtId="0" fontId="33" fillId="0" borderId="11" xfId="0" applyFont="1" applyFill="1" applyBorder="1" applyAlignment="1">
      <alignment horizontal="left" vertical="center"/>
    </xf>
    <xf numFmtId="0" fontId="33" fillId="0" borderId="0" xfId="0" applyFont="1" applyFill="1" applyBorder="1" applyAlignment="1">
      <alignment horizontal="center" vertical="center"/>
    </xf>
    <xf numFmtId="0" fontId="27" fillId="0" borderId="0" xfId="6" applyFont="1" applyAlignment="1" applyProtection="1">
      <alignment horizontal="center" vertical="center"/>
    </xf>
    <xf numFmtId="0" fontId="33" fillId="21" borderId="11" xfId="0" applyFont="1" applyFill="1" applyBorder="1" applyAlignment="1">
      <alignment horizontal="left" vertical="center"/>
    </xf>
    <xf numFmtId="0" fontId="33" fillId="21" borderId="0" xfId="0" applyFont="1" applyFill="1" applyBorder="1" applyAlignment="1">
      <alignment horizontal="center" vertical="center"/>
    </xf>
    <xf numFmtId="0" fontId="27" fillId="21" borderId="0" xfId="6" applyFont="1" applyFill="1" applyAlignment="1" applyProtection="1">
      <alignment horizontal="center" vertical="center"/>
    </xf>
    <xf numFmtId="0" fontId="27" fillId="0" borderId="0" xfId="6" applyFont="1" applyFill="1" applyAlignment="1" applyProtection="1">
      <alignment horizontal="center" vertical="center"/>
    </xf>
    <xf numFmtId="0" fontId="27" fillId="22" borderId="11" xfId="6" applyFont="1" applyFill="1" applyBorder="1" applyAlignment="1" applyProtection="1">
      <alignment vertical="center"/>
    </xf>
    <xf numFmtId="0" fontId="41" fillId="22" borderId="0" xfId="6" applyFont="1" applyFill="1" applyAlignment="1" applyProtection="1">
      <alignment horizontal="center" vertical="center"/>
    </xf>
    <xf numFmtId="0" fontId="27" fillId="22" borderId="0" xfId="6" applyFont="1" applyFill="1" applyAlignment="1" applyProtection="1">
      <alignment horizontal="center" vertical="center"/>
    </xf>
    <xf numFmtId="0" fontId="33" fillId="22" borderId="0" xfId="0" applyFont="1" applyFill="1" applyBorder="1" applyAlignment="1">
      <alignment horizontal="center" vertical="center"/>
    </xf>
    <xf numFmtId="0" fontId="33" fillId="12" borderId="11" xfId="0" applyFont="1" applyFill="1" applyBorder="1" applyAlignment="1">
      <alignment horizontal="left" vertical="center"/>
    </xf>
    <xf numFmtId="0" fontId="33" fillId="12" borderId="0" xfId="0" applyFont="1" applyFill="1" applyBorder="1" applyAlignment="1">
      <alignment horizontal="center" vertical="center"/>
    </xf>
    <xf numFmtId="0" fontId="27" fillId="12" borderId="0" xfId="6" applyFont="1" applyFill="1" applyAlignment="1" applyProtection="1">
      <alignment horizontal="center" vertical="center"/>
    </xf>
    <xf numFmtId="0" fontId="33" fillId="23" borderId="11" xfId="0" applyFont="1" applyFill="1" applyBorder="1" applyAlignment="1">
      <alignment horizontal="left" vertical="center"/>
    </xf>
    <xf numFmtId="0" fontId="33" fillId="23" borderId="0" xfId="0" applyFont="1" applyFill="1" applyBorder="1" applyAlignment="1">
      <alignment horizontal="center" vertical="center"/>
    </xf>
    <xf numFmtId="0" fontId="27" fillId="23" borderId="0" xfId="6" applyFont="1" applyFill="1" applyAlignment="1" applyProtection="1">
      <alignment horizontal="center" vertical="center"/>
    </xf>
    <xf numFmtId="0" fontId="42" fillId="0" borderId="0" xfId="0" applyFont="1" applyFill="1" applyBorder="1" applyAlignment="1">
      <alignment horizontal="center" vertical="center"/>
    </xf>
    <xf numFmtId="0" fontId="33" fillId="24" borderId="11" xfId="0" applyFont="1" applyFill="1" applyBorder="1" applyAlignment="1">
      <alignment horizontal="left" vertical="center"/>
    </xf>
    <xf numFmtId="0" fontId="33" fillId="24" borderId="0" xfId="0" applyFont="1" applyFill="1" applyBorder="1" applyAlignment="1">
      <alignment horizontal="center" vertical="center"/>
    </xf>
    <xf numFmtId="0" fontId="27" fillId="24" borderId="0" xfId="6" applyFont="1" applyFill="1" applyAlignment="1" applyProtection="1">
      <alignment horizontal="center" vertical="center"/>
    </xf>
    <xf numFmtId="49" fontId="33" fillId="0" borderId="0" xfId="0" applyNumberFormat="1" applyFont="1" applyFill="1" applyBorder="1" applyAlignment="1">
      <alignment horizontal="center" vertical="center"/>
    </xf>
    <xf numFmtId="49" fontId="33" fillId="24" borderId="0" xfId="0" applyNumberFormat="1" applyFont="1" applyFill="1" applyBorder="1" applyAlignment="1">
      <alignment horizontal="center" vertical="center"/>
    </xf>
    <xf numFmtId="49" fontId="40" fillId="2" borderId="8" xfId="0" applyNumberFormat="1" applyFont="1" applyFill="1" applyBorder="1" applyAlignment="1">
      <alignment horizontal="center" vertical="center"/>
    </xf>
    <xf numFmtId="0" fontId="0" fillId="0" borderId="0" xfId="6" applyFont="1" applyAlignment="1">
      <alignment vertical="center"/>
      <protection locked="0"/>
    </xf>
    <xf numFmtId="0" fontId="32" fillId="0" borderId="12" xfId="0" applyFont="1" applyFill="1" applyBorder="1" applyAlignment="1">
      <alignment horizontal="center" vertical="center"/>
    </xf>
    <xf numFmtId="0" fontId="45" fillId="0" borderId="0" xfId="6" applyFont="1" applyFill="1" applyAlignment="1" applyProtection="1">
      <alignment vertical="center" wrapText="1"/>
    </xf>
    <xf numFmtId="0" fontId="45" fillId="0" borderId="0" xfId="6" applyFont="1" applyFill="1" applyBorder="1" applyAlignment="1" applyProtection="1">
      <alignment vertical="center" wrapText="1"/>
    </xf>
    <xf numFmtId="0" fontId="45" fillId="0" borderId="0" xfId="6" applyFont="1" applyAlignment="1" applyProtection="1">
      <alignment vertical="center"/>
    </xf>
    <xf numFmtId="0" fontId="46" fillId="0" borderId="0" xfId="6" applyFont="1" applyBorder="1" applyAlignment="1">
      <alignment vertical="center"/>
      <protection locked="0"/>
    </xf>
    <xf numFmtId="0" fontId="32" fillId="0" borderId="33" xfId="0" applyFont="1" applyFill="1" applyBorder="1" applyAlignment="1">
      <alignment horizontal="center" vertical="center"/>
    </xf>
    <xf numFmtId="0" fontId="0" fillId="0" borderId="0" xfId="6" applyFont="1" applyBorder="1" applyAlignment="1">
      <alignment vertical="center"/>
      <protection locked="0"/>
    </xf>
    <xf numFmtId="0" fontId="32" fillId="0" borderId="37" xfId="0" applyFont="1" applyFill="1" applyBorder="1" applyAlignment="1">
      <alignment horizontal="center" vertical="center"/>
    </xf>
    <xf numFmtId="0" fontId="32" fillId="10" borderId="12" xfId="0" applyFont="1" applyFill="1" applyBorder="1" applyAlignment="1">
      <alignment horizontal="center" vertical="center"/>
    </xf>
    <xf numFmtId="0" fontId="32" fillId="12" borderId="12" xfId="0" applyFont="1" applyFill="1" applyBorder="1" applyAlignment="1">
      <alignment horizontal="center" vertical="center"/>
    </xf>
    <xf numFmtId="0" fontId="32" fillId="18" borderId="12" xfId="0" applyFont="1" applyFill="1" applyBorder="1" applyAlignment="1">
      <alignment horizontal="center" vertical="center"/>
    </xf>
    <xf numFmtId="0" fontId="33" fillId="20" borderId="12" xfId="0" applyFont="1" applyFill="1" applyBorder="1" applyAlignment="1">
      <alignment horizontal="center" vertical="center"/>
    </xf>
    <xf numFmtId="0" fontId="0" fillId="0" borderId="0" xfId="6" applyFont="1" applyFill="1" applyBorder="1" applyAlignment="1" applyProtection="1">
      <alignment vertical="center" wrapText="1"/>
    </xf>
    <xf numFmtId="0" fontId="0" fillId="0" borderId="0" xfId="6" applyFont="1" applyFill="1" applyBorder="1" applyAlignment="1">
      <alignment vertical="center"/>
      <protection locked="0"/>
    </xf>
    <xf numFmtId="0" fontId="33" fillId="0" borderId="12" xfId="0" applyFont="1" applyFill="1" applyBorder="1" applyAlignment="1">
      <alignment horizontal="center" vertical="center"/>
    </xf>
    <xf numFmtId="0" fontId="0" fillId="0" borderId="0" xfId="6" applyFont="1" applyFill="1" applyBorder="1" applyAlignment="1" applyProtection="1">
      <alignment vertical="center"/>
    </xf>
    <xf numFmtId="0" fontId="0" fillId="0" borderId="0" xfId="6" applyFont="1" applyAlignment="1" applyProtection="1">
      <alignment vertical="center"/>
    </xf>
    <xf numFmtId="0" fontId="33" fillId="21" borderId="12" xfId="0" applyFont="1" applyFill="1" applyBorder="1" applyAlignment="1">
      <alignment horizontal="center" vertical="center"/>
    </xf>
    <xf numFmtId="0" fontId="27" fillId="0" borderId="12" xfId="6" applyFont="1" applyBorder="1" applyAlignment="1" applyProtection="1">
      <alignment horizontal="center" vertical="center"/>
    </xf>
    <xf numFmtId="0" fontId="33" fillId="22" borderId="12" xfId="0" applyFont="1" applyFill="1" applyBorder="1" applyAlignment="1">
      <alignment horizontal="center" vertical="center"/>
    </xf>
    <xf numFmtId="0" fontId="33" fillId="12" borderId="12" xfId="0" applyFont="1" applyFill="1" applyBorder="1" applyAlignment="1">
      <alignment horizontal="center" vertical="center"/>
    </xf>
    <xf numFmtId="0" fontId="0" fillId="0" borderId="39" xfId="6" applyFont="1" applyFill="1" applyBorder="1" applyAlignment="1" applyProtection="1">
      <alignment vertical="center"/>
    </xf>
    <xf numFmtId="0" fontId="33" fillId="23" borderId="12" xfId="0" applyFont="1" applyFill="1" applyBorder="1" applyAlignment="1">
      <alignment horizontal="center" vertical="center"/>
    </xf>
    <xf numFmtId="0" fontId="0" fillId="0" borderId="39" xfId="6" applyFont="1" applyBorder="1" applyAlignment="1" applyProtection="1">
      <alignment vertical="center"/>
    </xf>
    <xf numFmtId="0" fontId="33" fillId="24" borderId="12" xfId="0" applyFont="1" applyFill="1" applyBorder="1" applyAlignment="1">
      <alignment horizontal="center" vertical="center"/>
    </xf>
    <xf numFmtId="0" fontId="28" fillId="9" borderId="30" xfId="6" applyFont="1" applyFill="1" applyBorder="1" applyAlignment="1" applyProtection="1">
      <alignment horizontal="center" vertical="center"/>
    </xf>
    <xf numFmtId="0" fontId="28" fillId="9" borderId="31" xfId="6" applyFont="1" applyFill="1" applyBorder="1" applyAlignment="1" applyProtection="1">
      <alignment horizontal="center" vertical="center"/>
    </xf>
    <xf numFmtId="0" fontId="28" fillId="9" borderId="33" xfId="6" applyFont="1" applyFill="1" applyBorder="1" applyAlignment="1" applyProtection="1">
      <alignment horizontal="center" vertical="center"/>
    </xf>
    <xf numFmtId="0" fontId="28" fillId="0" borderId="11" xfId="6" applyFont="1" applyFill="1" applyBorder="1" applyAlignment="1" applyProtection="1">
      <alignment horizontal="center" vertical="center"/>
    </xf>
    <xf numFmtId="0" fontId="28" fillId="0" borderId="0" xfId="6" applyFont="1" applyFill="1" applyBorder="1" applyAlignment="1" applyProtection="1">
      <alignment horizontal="center" vertical="center"/>
    </xf>
    <xf numFmtId="0" fontId="28" fillId="0" borderId="0" xfId="6" applyFont="1" applyFill="1" applyAlignment="1" applyProtection="1">
      <alignment horizontal="center" vertical="center"/>
    </xf>
    <xf numFmtId="0" fontId="28" fillId="0" borderId="12" xfId="6" applyFont="1" applyFill="1" applyBorder="1" applyAlignment="1" applyProtection="1">
      <alignment horizontal="center" vertical="center"/>
    </xf>
    <xf numFmtId="49" fontId="52" fillId="0" borderId="0" xfId="0" applyNumberFormat="1" applyFont="1" applyFill="1" applyBorder="1" applyProtection="1">
      <alignment vertical="center"/>
      <protection locked="0"/>
    </xf>
    <xf numFmtId="0" fontId="28" fillId="0" borderId="0" xfId="6" applyFont="1" applyFill="1" applyBorder="1" applyAlignment="1">
      <alignment vertical="center" wrapText="1"/>
      <protection locked="0"/>
    </xf>
    <xf numFmtId="0" fontId="28" fillId="0" borderId="0" xfId="6" applyFont="1" applyFill="1" applyBorder="1" applyAlignment="1">
      <alignment vertical="center"/>
      <protection locked="0"/>
    </xf>
    <xf numFmtId="0" fontId="33" fillId="26" borderId="11" xfId="0" applyNumberFormat="1" applyFont="1" applyFill="1" applyBorder="1" applyAlignment="1">
      <alignment horizontal="left" vertical="center"/>
    </xf>
    <xf numFmtId="0" fontId="27" fillId="26" borderId="0" xfId="6" applyNumberFormat="1" applyFont="1" applyFill="1" applyAlignment="1" applyProtection="1">
      <alignment horizontal="center" vertical="center"/>
    </xf>
    <xf numFmtId="0" fontId="33" fillId="26" borderId="0" xfId="0" applyNumberFormat="1" applyFont="1" applyFill="1" applyBorder="1" applyAlignment="1">
      <alignment horizontal="center" vertical="center"/>
    </xf>
    <xf numFmtId="0" fontId="27" fillId="0" borderId="11" xfId="0" applyNumberFormat="1" applyFont="1" applyFill="1" applyBorder="1" applyAlignment="1">
      <alignment horizontal="left" vertical="center"/>
    </xf>
    <xf numFmtId="0" fontId="27" fillId="0" borderId="0" xfId="0" applyNumberFormat="1" applyFont="1" applyFill="1" applyBorder="1" applyAlignment="1">
      <alignment horizontal="center" vertical="center"/>
    </xf>
    <xf numFmtId="0" fontId="33" fillId="27" borderId="11" xfId="0" applyNumberFormat="1" applyFont="1" applyFill="1" applyBorder="1" applyAlignment="1">
      <alignment horizontal="left" vertical="center"/>
    </xf>
    <xf numFmtId="0" fontId="27" fillId="27" borderId="0" xfId="6" applyNumberFormat="1" applyFont="1" applyFill="1" applyAlignment="1" applyProtection="1">
      <alignment horizontal="center" vertical="center"/>
    </xf>
    <xf numFmtId="0" fontId="33" fillId="27" borderId="0" xfId="0" applyNumberFormat="1" applyFont="1" applyFill="1" applyBorder="1" applyAlignment="1">
      <alignment horizontal="center" vertical="center"/>
    </xf>
    <xf numFmtId="0" fontId="27" fillId="28" borderId="11" xfId="6" applyFont="1" applyFill="1" applyBorder="1" applyAlignment="1" applyProtection="1">
      <alignment vertical="center"/>
    </xf>
    <xf numFmtId="0" fontId="27" fillId="28" borderId="0" xfId="6" applyFont="1" applyFill="1" applyBorder="1" applyAlignment="1" applyProtection="1">
      <alignment horizontal="center" vertical="center"/>
    </xf>
    <xf numFmtId="0" fontId="33" fillId="0" borderId="41" xfId="0" applyNumberFormat="1" applyFont="1" applyFill="1" applyBorder="1" applyAlignment="1" applyProtection="1">
      <alignment horizontal="left" vertical="center"/>
      <protection locked="0"/>
    </xf>
    <xf numFmtId="0" fontId="27" fillId="0" borderId="41" xfId="6" applyNumberFormat="1" applyFont="1" applyFill="1" applyBorder="1" applyAlignment="1">
      <alignment horizontal="center" vertical="center"/>
      <protection locked="0"/>
    </xf>
    <xf numFmtId="0" fontId="33" fillId="0" borderId="41" xfId="0" applyNumberFormat="1" applyFont="1" applyFill="1" applyBorder="1" applyAlignment="1" applyProtection="1">
      <alignment horizontal="center" vertical="center"/>
      <protection locked="0"/>
    </xf>
    <xf numFmtId="0" fontId="27" fillId="0" borderId="0" xfId="6" applyFont="1" applyAlignment="1" applyProtection="1">
      <alignment vertical="center"/>
    </xf>
    <xf numFmtId="0" fontId="56" fillId="0" borderId="0" xfId="6" applyNumberFormat="1" applyFont="1" applyBorder="1" applyAlignment="1" applyProtection="1">
      <alignment vertical="center"/>
    </xf>
    <xf numFmtId="49" fontId="27" fillId="0" borderId="0" xfId="6" applyNumberFormat="1" applyFont="1" applyAlignment="1">
      <alignment vertical="center"/>
      <protection locked="0"/>
    </xf>
    <xf numFmtId="0" fontId="13" fillId="0" borderId="0" xfId="6" applyNumberFormat="1" applyFont="1" applyFill="1" applyBorder="1" applyAlignment="1" applyProtection="1">
      <alignment vertical="center"/>
    </xf>
    <xf numFmtId="0" fontId="13" fillId="0" borderId="0" xfId="6" applyNumberFormat="1" applyFont="1" applyFill="1" applyBorder="1" applyAlignment="1" applyProtection="1">
      <alignment vertical="center" wrapText="1"/>
    </xf>
    <xf numFmtId="0" fontId="10" fillId="0" borderId="0" xfId="6" applyNumberFormat="1" applyFont="1" applyFill="1" applyBorder="1" applyAlignment="1" applyProtection="1">
      <alignment vertical="center" wrapText="1"/>
    </xf>
    <xf numFmtId="0" fontId="33" fillId="9" borderId="12" xfId="0" applyNumberFormat="1" applyFont="1" applyFill="1" applyBorder="1" applyAlignment="1">
      <alignment horizontal="center" vertical="center"/>
    </xf>
    <xf numFmtId="0" fontId="33" fillId="26" borderId="12" xfId="0" applyNumberFormat="1" applyFont="1" applyFill="1" applyBorder="1" applyAlignment="1">
      <alignment horizontal="center" vertical="center"/>
    </xf>
    <xf numFmtId="0" fontId="27" fillId="0" borderId="12" xfId="0" applyNumberFormat="1" applyFont="1" applyFill="1" applyBorder="1" applyAlignment="1">
      <alignment horizontal="center" vertical="center"/>
    </xf>
    <xf numFmtId="0" fontId="33" fillId="27" borderId="12" xfId="0" applyNumberFormat="1" applyFont="1" applyFill="1" applyBorder="1" applyAlignment="1">
      <alignment horizontal="center" vertical="center"/>
    </xf>
    <xf numFmtId="0" fontId="27" fillId="28" borderId="12" xfId="6" applyFont="1" applyFill="1" applyBorder="1" applyAlignment="1" applyProtection="1">
      <alignment horizontal="center" vertical="center"/>
    </xf>
    <xf numFmtId="0" fontId="28" fillId="0" borderId="0" xfId="6" applyFont="1" applyAlignment="1" applyProtection="1">
      <alignment vertical="center"/>
    </xf>
    <xf numFmtId="0" fontId="57" fillId="0" borderId="0" xfId="6" applyNumberFormat="1" applyFont="1" applyFill="1" applyBorder="1" applyAlignment="1" applyProtection="1">
      <alignment vertical="center" wrapText="1"/>
    </xf>
    <xf numFmtId="0" fontId="28" fillId="0" borderId="0" xfId="6" applyBorder="1" applyAlignment="1" applyProtection="1">
      <alignment vertical="center"/>
    </xf>
    <xf numFmtId="0" fontId="28" fillId="0" borderId="0" xfId="6" applyNumberFormat="1" applyFont="1" applyFill="1" applyBorder="1" applyAlignment="1" applyProtection="1">
      <alignment horizontal="center" vertical="center"/>
    </xf>
    <xf numFmtId="0" fontId="10" fillId="0" borderId="0" xfId="6" applyNumberFormat="1" applyFont="1" applyFill="1" applyBorder="1" applyAlignment="1" applyProtection="1">
      <alignment horizontal="center" vertical="center"/>
    </xf>
    <xf numFmtId="0" fontId="10" fillId="0" borderId="0" xfId="6" applyNumberFormat="1" applyFont="1" applyFill="1" applyBorder="1" applyAlignment="1" applyProtection="1">
      <alignment vertical="center"/>
    </xf>
    <xf numFmtId="0" fontId="58" fillId="0" borderId="30" xfId="0" applyFont="1" applyFill="1" applyBorder="1" applyAlignment="1">
      <alignment horizontal="left" vertical="center"/>
    </xf>
    <xf numFmtId="0" fontId="58" fillId="0" borderId="31" xfId="0" applyFont="1" applyFill="1" applyBorder="1" applyAlignment="1">
      <alignment horizontal="center" vertical="center"/>
    </xf>
    <xf numFmtId="0" fontId="46" fillId="0" borderId="31" xfId="6" applyFont="1" applyBorder="1" applyAlignment="1" applyProtection="1">
      <alignment vertical="center"/>
    </xf>
    <xf numFmtId="0" fontId="58" fillId="0" borderId="11" xfId="0" applyFont="1" applyFill="1" applyBorder="1" applyAlignment="1">
      <alignment horizontal="left" vertical="center"/>
    </xf>
    <xf numFmtId="0" fontId="58" fillId="0" borderId="0" xfId="0" applyFont="1" applyFill="1" applyBorder="1" applyAlignment="1">
      <alignment horizontal="center" vertical="center"/>
    </xf>
    <xf numFmtId="0" fontId="46" fillId="0" borderId="0" xfId="6" applyFont="1" applyAlignment="1" applyProtection="1">
      <alignment vertical="center"/>
    </xf>
    <xf numFmtId="0" fontId="58" fillId="0" borderId="13" xfId="0" applyFont="1" applyFill="1" applyBorder="1" applyAlignment="1">
      <alignment horizontal="left" vertical="center"/>
    </xf>
    <xf numFmtId="0" fontId="58" fillId="0" borderId="16" xfId="0" applyFont="1" applyFill="1" applyBorder="1" applyAlignment="1">
      <alignment horizontal="center" vertical="center"/>
    </xf>
    <xf numFmtId="0" fontId="46" fillId="0" borderId="16" xfId="6" applyFont="1" applyBorder="1" applyAlignment="1" applyProtection="1">
      <alignment vertical="center"/>
    </xf>
    <xf numFmtId="49" fontId="46" fillId="0" borderId="0" xfId="6" applyNumberFormat="1" applyFont="1" applyFill="1" applyAlignment="1" applyProtection="1">
      <alignment vertical="center"/>
    </xf>
    <xf numFmtId="0" fontId="46" fillId="0" borderId="0" xfId="6" applyFont="1" applyFill="1" applyAlignment="1" applyProtection="1">
      <alignment vertical="center"/>
    </xf>
    <xf numFmtId="0" fontId="0" fillId="0" borderId="0" xfId="6" applyFont="1" applyFill="1" applyAlignment="1" applyProtection="1">
      <alignment vertical="center"/>
    </xf>
    <xf numFmtId="0" fontId="3" fillId="0" borderId="0" xfId="0" applyFont="1" applyFill="1" applyAlignment="1">
      <alignment horizontal="center" vertical="center"/>
    </xf>
    <xf numFmtId="0" fontId="59" fillId="0" borderId="0" xfId="0" applyFont="1" applyFill="1" applyBorder="1">
      <alignment vertical="center"/>
    </xf>
    <xf numFmtId="0" fontId="15" fillId="0" borderId="0" xfId="0" applyFont="1" applyFill="1" applyBorder="1" applyAlignment="1">
      <alignment vertical="center" wrapText="1"/>
    </xf>
    <xf numFmtId="0" fontId="3" fillId="0" borderId="0" xfId="0" applyFont="1" applyFill="1" applyBorder="1" applyAlignment="1">
      <alignment vertical="center" wrapText="1"/>
    </xf>
    <xf numFmtId="0" fontId="59" fillId="0" borderId="0" xfId="0" applyFont="1" applyFill="1" applyBorder="1" applyAlignment="1">
      <alignment vertical="center" wrapText="1"/>
    </xf>
    <xf numFmtId="0" fontId="15" fillId="0" borderId="0" xfId="0" applyFont="1" applyFill="1" applyBorder="1">
      <alignment vertical="center"/>
    </xf>
    <xf numFmtId="0" fontId="15" fillId="0" borderId="0" xfId="0" applyFont="1" applyFill="1" applyBorder="1" applyAlignment="1">
      <alignment horizontal="center" vertical="center"/>
    </xf>
    <xf numFmtId="0" fontId="10" fillId="0" borderId="0" xfId="6" applyFont="1" applyAlignment="1" applyProtection="1">
      <alignment horizontal="center" vertical="center" wrapText="1"/>
    </xf>
    <xf numFmtId="0" fontId="58" fillId="0" borderId="33" xfId="0" applyFont="1" applyFill="1" applyBorder="1" applyAlignment="1">
      <alignment horizontal="center" vertical="center"/>
    </xf>
    <xf numFmtId="0" fontId="58" fillId="0" borderId="12" xfId="0" applyFont="1" applyFill="1" applyBorder="1" applyAlignment="1">
      <alignment horizontal="center" vertical="center"/>
    </xf>
    <xf numFmtId="0" fontId="0" fillId="0" borderId="33" xfId="6" applyFont="1" applyFill="1" applyBorder="1" applyAlignment="1" applyProtection="1">
      <alignment vertical="center" wrapText="1"/>
    </xf>
    <xf numFmtId="0" fontId="0" fillId="0" borderId="14" xfId="6" applyFont="1" applyFill="1" applyBorder="1" applyAlignment="1" applyProtection="1">
      <alignment vertical="center" wrapText="1"/>
    </xf>
    <xf numFmtId="0" fontId="28" fillId="0" borderId="13" xfId="6" applyFont="1" applyFill="1" applyBorder="1" applyAlignment="1" applyProtection="1">
      <alignment horizontal="center" vertical="center"/>
    </xf>
    <xf numFmtId="0" fontId="28" fillId="0" borderId="16" xfId="6" applyFont="1" applyFill="1" applyBorder="1" applyAlignment="1" applyProtection="1">
      <alignment horizontal="center" vertical="center"/>
    </xf>
    <xf numFmtId="0" fontId="28" fillId="0" borderId="14" xfId="6" applyFont="1" applyFill="1" applyBorder="1" applyAlignment="1" applyProtection="1">
      <alignment horizontal="center" vertical="center"/>
    </xf>
    <xf numFmtId="0" fontId="60" fillId="0" borderId="0" xfId="6" applyFont="1" applyFill="1" applyBorder="1" applyAlignment="1" applyProtection="1">
      <alignment vertical="center" wrapText="1"/>
    </xf>
    <xf numFmtId="0" fontId="15" fillId="0" borderId="52" xfId="0" applyFont="1" applyFill="1" applyBorder="1" applyAlignment="1">
      <alignment horizontal="center" vertical="center" wrapText="1"/>
    </xf>
    <xf numFmtId="0" fontId="15" fillId="0" borderId="53" xfId="0" applyFont="1" applyFill="1" applyBorder="1" applyAlignment="1">
      <alignment horizontal="center" vertical="center" wrapText="1"/>
    </xf>
    <xf numFmtId="0" fontId="15" fillId="0" borderId="55" xfId="0" applyFont="1" applyFill="1" applyBorder="1" applyAlignment="1">
      <alignment horizontal="center" vertical="center" wrapText="1"/>
    </xf>
    <xf numFmtId="0" fontId="15" fillId="0" borderId="0" xfId="0" applyFont="1" applyFill="1" applyAlignment="1">
      <alignment vertical="center" wrapText="1"/>
    </xf>
    <xf numFmtId="49" fontId="61" fillId="0" borderId="0" xfId="6" applyNumberFormat="1" applyFont="1" applyFill="1" applyBorder="1" applyAlignment="1">
      <alignment vertical="center"/>
      <protection locked="0"/>
    </xf>
    <xf numFmtId="49" fontId="13" fillId="0" borderId="0" xfId="6" applyNumberFormat="1" applyFont="1" applyFill="1" applyBorder="1" applyAlignment="1">
      <alignment vertical="center"/>
      <protection locked="0"/>
    </xf>
    <xf numFmtId="0" fontId="13" fillId="0" borderId="0" xfId="6" applyFont="1" applyFill="1" applyBorder="1" applyAlignment="1">
      <alignment vertical="center"/>
      <protection locked="0"/>
    </xf>
    <xf numFmtId="49" fontId="62" fillId="0" borderId="0" xfId="6" applyNumberFormat="1" applyFont="1" applyFill="1" applyBorder="1" applyAlignment="1">
      <alignment horizontal="center" vertical="center"/>
      <protection locked="0"/>
    </xf>
    <xf numFmtId="49" fontId="10" fillId="0" borderId="0" xfId="6" applyNumberFormat="1" applyFont="1" applyFill="1" applyBorder="1" applyAlignment="1">
      <alignment horizontal="center" vertical="center" wrapText="1"/>
      <protection locked="0"/>
    </xf>
    <xf numFmtId="0" fontId="10" fillId="0" borderId="0" xfId="6" applyFont="1" applyFill="1" applyBorder="1" applyAlignment="1">
      <alignment horizontal="center" vertical="center"/>
      <protection locked="0"/>
    </xf>
    <xf numFmtId="0" fontId="27" fillId="0" borderId="0" xfId="6" applyFont="1" applyFill="1" applyBorder="1" applyAlignment="1">
      <alignment vertical="center"/>
      <protection locked="0"/>
    </xf>
    <xf numFmtId="0" fontId="10" fillId="0" borderId="0" xfId="6" applyFont="1" applyFill="1" applyBorder="1" applyAlignment="1">
      <alignment vertical="center"/>
      <protection locked="0"/>
    </xf>
    <xf numFmtId="0" fontId="10" fillId="0" borderId="0" xfId="6" applyFont="1" applyFill="1" applyBorder="1" applyAlignment="1">
      <alignment vertical="center" wrapText="1"/>
      <protection locked="0"/>
    </xf>
    <xf numFmtId="0" fontId="13" fillId="0" borderId="0" xfId="6" applyFont="1" applyFill="1" applyBorder="1" applyAlignment="1">
      <alignment vertical="center" wrapText="1"/>
      <protection locked="0"/>
    </xf>
    <xf numFmtId="0" fontId="28" fillId="0" borderId="0" xfId="6" applyBorder="1" applyAlignment="1">
      <alignment vertical="center"/>
      <protection locked="0"/>
    </xf>
    <xf numFmtId="0" fontId="10" fillId="0" borderId="0" xfId="6" applyFont="1" applyBorder="1" applyAlignment="1">
      <alignment vertical="center" wrapText="1"/>
      <protection locked="0"/>
    </xf>
    <xf numFmtId="0" fontId="10" fillId="0" borderId="0" xfId="6" applyFont="1" applyAlignment="1">
      <alignment vertical="center" wrapText="1"/>
      <protection locked="0"/>
    </xf>
    <xf numFmtId="0" fontId="10" fillId="0" borderId="0" xfId="0" applyFont="1" applyFill="1" applyBorder="1" applyAlignment="1" applyProtection="1">
      <alignment horizontal="center" vertical="center"/>
      <protection locked="0"/>
    </xf>
    <xf numFmtId="0" fontId="10" fillId="0" borderId="0" xfId="0" applyFont="1" applyFill="1" applyBorder="1" applyProtection="1">
      <alignment vertical="center"/>
      <protection locked="0"/>
    </xf>
    <xf numFmtId="0" fontId="24" fillId="0" borderId="0" xfId="0" applyFont="1" applyFill="1" applyBorder="1" applyProtection="1">
      <alignment vertical="center"/>
      <protection locked="0"/>
    </xf>
    <xf numFmtId="0" fontId="1" fillId="0" borderId="0" xfId="0" applyFont="1" applyFill="1" applyAlignment="1" applyProtection="1">
      <alignment horizontal="center" vertical="center"/>
      <protection locked="0"/>
    </xf>
    <xf numFmtId="0" fontId="46" fillId="0" borderId="0" xfId="0" applyFont="1" applyFill="1" applyBorder="1" applyAlignment="1" applyProtection="1">
      <alignment horizontal="left" vertical="center"/>
      <protection locked="0"/>
    </xf>
    <xf numFmtId="49" fontId="46" fillId="0" borderId="0" xfId="0" applyNumberFormat="1" applyFont="1" applyFill="1" applyBorder="1" applyAlignment="1" applyProtection="1">
      <alignment horizontal="center" vertical="center"/>
      <protection locked="0"/>
    </xf>
    <xf numFmtId="0" fontId="46" fillId="0" borderId="0" xfId="0" applyFont="1" applyFill="1" applyBorder="1" applyAlignment="1" applyProtection="1">
      <alignment horizontal="center" vertical="center"/>
      <protection locked="0"/>
    </xf>
    <xf numFmtId="0" fontId="13" fillId="0" borderId="0" xfId="6" applyFont="1" applyAlignment="1">
      <alignment vertical="center"/>
      <protection locked="0"/>
    </xf>
    <xf numFmtId="0" fontId="10" fillId="0" borderId="0" xfId="6" applyFont="1" applyAlignment="1">
      <alignment vertical="center"/>
      <protection locked="0"/>
    </xf>
    <xf numFmtId="0" fontId="58" fillId="32" borderId="11" xfId="0" applyFont="1" applyFill="1" applyBorder="1" applyAlignment="1">
      <alignment horizontal="left" vertical="center"/>
    </xf>
    <xf numFmtId="49" fontId="58" fillId="32" borderId="0" xfId="0" applyNumberFormat="1" applyFont="1" applyFill="1" applyBorder="1" applyAlignment="1">
      <alignment horizontal="center" vertical="center"/>
    </xf>
    <xf numFmtId="0" fontId="58" fillId="32" borderId="0" xfId="0" applyFont="1" applyFill="1" applyBorder="1" applyAlignment="1">
      <alignment horizontal="center" vertical="center"/>
    </xf>
    <xf numFmtId="0" fontId="58" fillId="32" borderId="30" xfId="0" applyFont="1" applyFill="1" applyBorder="1" applyAlignment="1">
      <alignment horizontal="left" vertical="center"/>
    </xf>
    <xf numFmtId="49" fontId="58" fillId="32" borderId="31" xfId="0" applyNumberFormat="1" applyFont="1" applyFill="1" applyBorder="1" applyAlignment="1">
      <alignment horizontal="center" vertical="center"/>
    </xf>
    <xf numFmtId="0" fontId="58" fillId="32" borderId="31" xfId="0" applyFont="1" applyFill="1" applyBorder="1" applyAlignment="1">
      <alignment horizontal="center" vertical="center"/>
    </xf>
    <xf numFmtId="0" fontId="58" fillId="33" borderId="11" xfId="0" applyFont="1" applyFill="1" applyBorder="1" applyAlignment="1">
      <alignment horizontal="left" vertical="center"/>
    </xf>
    <xf numFmtId="49" fontId="58" fillId="33" borderId="0" xfId="0" applyNumberFormat="1" applyFont="1" applyFill="1" applyBorder="1" applyAlignment="1">
      <alignment horizontal="center" vertical="center"/>
    </xf>
    <xf numFmtId="0" fontId="58" fillId="33" borderId="0" xfId="0" applyFont="1" applyFill="1" applyBorder="1" applyAlignment="1">
      <alignment horizontal="center" vertical="center"/>
    </xf>
    <xf numFmtId="0" fontId="58" fillId="32" borderId="30" xfId="0" applyFont="1" applyFill="1" applyBorder="1" applyAlignment="1">
      <alignment horizontal="left" vertical="center" wrapText="1"/>
    </xf>
    <xf numFmtId="0" fontId="58" fillId="34" borderId="30" xfId="0" applyFont="1" applyFill="1" applyBorder="1" applyAlignment="1">
      <alignment horizontal="left" vertical="center"/>
    </xf>
    <xf numFmtId="49" fontId="58" fillId="34" borderId="31" xfId="0" applyNumberFormat="1" applyFont="1" applyFill="1" applyBorder="1" applyAlignment="1">
      <alignment horizontal="center" vertical="center"/>
    </xf>
    <xf numFmtId="0" fontId="58" fillId="34" borderId="31" xfId="0" applyFont="1" applyFill="1" applyBorder="1" applyAlignment="1">
      <alignment horizontal="center" vertical="center"/>
    </xf>
    <xf numFmtId="0" fontId="58" fillId="32" borderId="45" xfId="0" applyFont="1" applyFill="1" applyBorder="1" applyAlignment="1">
      <alignment horizontal="left" vertical="center"/>
    </xf>
    <xf numFmtId="49" fontId="58" fillId="32" borderId="35" xfId="0" applyNumberFormat="1" applyFont="1" applyFill="1" applyBorder="1" applyAlignment="1">
      <alignment horizontal="center" vertical="center"/>
    </xf>
    <xf numFmtId="0" fontId="58" fillId="32" borderId="35" xfId="0" applyFont="1" applyFill="1" applyBorder="1" applyAlignment="1">
      <alignment horizontal="center" vertical="center"/>
    </xf>
    <xf numFmtId="0" fontId="58" fillId="35" borderId="11" xfId="0" applyFont="1" applyFill="1" applyBorder="1" applyAlignment="1">
      <alignment horizontal="left" vertical="center"/>
    </xf>
    <xf numFmtId="49" fontId="58" fillId="35" borderId="0" xfId="0" applyNumberFormat="1" applyFont="1" applyFill="1" applyBorder="1" applyAlignment="1">
      <alignment horizontal="center" vertical="center"/>
    </xf>
    <xf numFmtId="0" fontId="58" fillId="35" borderId="0" xfId="0" applyFont="1" applyFill="1" applyBorder="1" applyAlignment="1">
      <alignment horizontal="center" vertical="center"/>
    </xf>
    <xf numFmtId="0" fontId="58" fillId="36" borderId="45" xfId="0" applyFont="1" applyFill="1" applyBorder="1" applyAlignment="1">
      <alignment horizontal="left" vertical="center"/>
    </xf>
    <xf numFmtId="49" fontId="58" fillId="36" borderId="35" xfId="0" applyNumberFormat="1" applyFont="1" applyFill="1" applyBorder="1" applyAlignment="1">
      <alignment horizontal="center" vertical="center"/>
    </xf>
    <xf numFmtId="0" fontId="58" fillId="36" borderId="35" xfId="0" applyFont="1" applyFill="1" applyBorder="1" applyAlignment="1">
      <alignment horizontal="center" vertical="center"/>
    </xf>
    <xf numFmtId="0" fontId="58" fillId="36" borderId="11" xfId="0" applyFont="1" applyFill="1" applyBorder="1" applyAlignment="1">
      <alignment horizontal="left" vertical="center"/>
    </xf>
    <xf numFmtId="49" fontId="58" fillId="36" borderId="0" xfId="0" applyNumberFormat="1" applyFont="1" applyFill="1" applyBorder="1" applyAlignment="1">
      <alignment horizontal="center" vertical="center"/>
    </xf>
    <xf numFmtId="0" fontId="58" fillId="36" borderId="0" xfId="0" applyFont="1" applyFill="1" applyBorder="1" applyAlignment="1">
      <alignment horizontal="center" vertical="center"/>
    </xf>
    <xf numFmtId="0" fontId="58" fillId="37" borderId="11" xfId="0" applyFont="1" applyFill="1" applyBorder="1" applyAlignment="1">
      <alignment horizontal="left" vertical="center"/>
    </xf>
    <xf numFmtId="49" fontId="58" fillId="37" borderId="0" xfId="0" applyNumberFormat="1" applyFont="1" applyFill="1" applyBorder="1" applyAlignment="1">
      <alignment horizontal="center" vertical="center"/>
    </xf>
    <xf numFmtId="0" fontId="58" fillId="37" borderId="0" xfId="0" applyFont="1" applyFill="1" applyBorder="1" applyAlignment="1">
      <alignment horizontal="center" vertical="center"/>
    </xf>
    <xf numFmtId="0" fontId="58" fillId="8" borderId="11" xfId="0" applyFont="1" applyFill="1" applyBorder="1" applyAlignment="1">
      <alignment horizontal="left" vertical="center"/>
    </xf>
    <xf numFmtId="49" fontId="58" fillId="8" borderId="0" xfId="0" applyNumberFormat="1" applyFont="1" applyFill="1" applyBorder="1" applyAlignment="1">
      <alignment horizontal="center" vertical="center"/>
    </xf>
    <xf numFmtId="0" fontId="58" fillId="8" borderId="0" xfId="0" applyFont="1" applyFill="1" applyBorder="1" applyAlignment="1">
      <alignment horizontal="center" vertical="center"/>
    </xf>
    <xf numFmtId="0" fontId="58" fillId="38" borderId="11" xfId="0" applyFont="1" applyFill="1" applyBorder="1" applyAlignment="1">
      <alignment horizontal="left" vertical="center"/>
    </xf>
    <xf numFmtId="49" fontId="58" fillId="38" borderId="0" xfId="0" applyNumberFormat="1" applyFont="1" applyFill="1" applyBorder="1" applyAlignment="1">
      <alignment horizontal="center" vertical="center"/>
    </xf>
    <xf numFmtId="0" fontId="58" fillId="38" borderId="0" xfId="0" applyFont="1" applyFill="1" applyBorder="1" applyAlignment="1">
      <alignment horizontal="center" vertical="center"/>
    </xf>
    <xf numFmtId="0" fontId="58" fillId="9" borderId="11" xfId="0" applyFont="1" applyFill="1" applyBorder="1" applyAlignment="1">
      <alignment horizontal="left" vertical="center"/>
    </xf>
    <xf numFmtId="49" fontId="58" fillId="9" borderId="0" xfId="0" applyNumberFormat="1" applyFont="1" applyFill="1" applyBorder="1" applyAlignment="1">
      <alignment horizontal="center" vertical="center"/>
    </xf>
    <xf numFmtId="0" fontId="58" fillId="9" borderId="0" xfId="0" applyFont="1" applyFill="1" applyBorder="1" applyAlignment="1">
      <alignment horizontal="center" vertical="center"/>
    </xf>
    <xf numFmtId="49" fontId="58" fillId="0" borderId="0" xfId="0" applyNumberFormat="1" applyFont="1" applyFill="1" applyBorder="1" applyAlignment="1">
      <alignment horizontal="center" vertical="center"/>
    </xf>
    <xf numFmtId="0" fontId="58" fillId="9" borderId="45" xfId="0" applyFont="1" applyFill="1" applyBorder="1" applyAlignment="1">
      <alignment horizontal="left" vertical="center"/>
    </xf>
    <xf numFmtId="49" fontId="58" fillId="9" borderId="35" xfId="0" applyNumberFormat="1" applyFont="1" applyFill="1" applyBorder="1" applyAlignment="1">
      <alignment horizontal="center" vertical="center"/>
    </xf>
    <xf numFmtId="0" fontId="58" fillId="9" borderId="35" xfId="0" applyFont="1" applyFill="1" applyBorder="1" applyAlignment="1">
      <alignment horizontal="center" vertical="center"/>
    </xf>
    <xf numFmtId="49" fontId="66" fillId="2" borderId="15" xfId="0" applyNumberFormat="1" applyFont="1" applyFill="1" applyBorder="1" applyAlignment="1">
      <alignment horizontal="center" vertical="center"/>
    </xf>
    <xf numFmtId="49" fontId="66" fillId="2" borderId="8" xfId="0" applyNumberFormat="1" applyFont="1" applyFill="1" applyBorder="1" applyAlignment="1">
      <alignment horizontal="center" vertical="center"/>
    </xf>
    <xf numFmtId="0" fontId="58" fillId="32" borderId="12" xfId="0" applyFont="1" applyFill="1" applyBorder="1" applyAlignment="1">
      <alignment horizontal="center" vertical="center"/>
    </xf>
    <xf numFmtId="0" fontId="58" fillId="32" borderId="33" xfId="0" applyFont="1" applyFill="1" applyBorder="1" applyAlignment="1">
      <alignment horizontal="center" vertical="center"/>
    </xf>
    <xf numFmtId="0" fontId="58" fillId="33" borderId="12" xfId="0" applyFont="1" applyFill="1" applyBorder="1" applyAlignment="1">
      <alignment horizontal="center" vertical="center"/>
    </xf>
    <xf numFmtId="0" fontId="58" fillId="34" borderId="33" xfId="0" applyFont="1" applyFill="1" applyBorder="1" applyAlignment="1">
      <alignment horizontal="center" vertical="center"/>
    </xf>
    <xf numFmtId="0" fontId="58" fillId="32" borderId="37" xfId="0" applyFont="1" applyFill="1" applyBorder="1" applyAlignment="1">
      <alignment horizontal="center" vertical="center"/>
    </xf>
    <xf numFmtId="0" fontId="58" fillId="35" borderId="12" xfId="0" applyFont="1" applyFill="1" applyBorder="1" applyAlignment="1">
      <alignment horizontal="center" vertical="center"/>
    </xf>
    <xf numFmtId="0" fontId="58" fillId="36" borderId="37" xfId="0" applyFont="1" applyFill="1" applyBorder="1" applyAlignment="1">
      <alignment horizontal="center" vertical="center"/>
    </xf>
    <xf numFmtId="0" fontId="58" fillId="36" borderId="12" xfId="0" applyFont="1" applyFill="1" applyBorder="1" applyAlignment="1">
      <alignment horizontal="center" vertical="center"/>
    </xf>
    <xf numFmtId="0" fontId="58" fillId="37" borderId="12" xfId="0" applyFont="1" applyFill="1" applyBorder="1" applyAlignment="1">
      <alignment horizontal="center" vertical="center"/>
    </xf>
    <xf numFmtId="0" fontId="10" fillId="0" borderId="0" xfId="6" applyFont="1" applyBorder="1" applyAlignment="1" applyProtection="1">
      <alignment vertical="center" wrapText="1"/>
    </xf>
    <xf numFmtId="0" fontId="10" fillId="0" borderId="0" xfId="6" applyFont="1" applyBorder="1" applyAlignment="1" applyProtection="1">
      <alignment vertical="center"/>
    </xf>
    <xf numFmtId="0" fontId="28" fillId="0" borderId="0" xfId="6" applyFill="1" applyAlignment="1" applyProtection="1">
      <alignment vertical="center"/>
    </xf>
    <xf numFmtId="0" fontId="27" fillId="0" borderId="0" xfId="6" applyFont="1" applyFill="1" applyAlignment="1" applyProtection="1">
      <alignment horizontal="center" vertical="top" wrapText="1"/>
    </xf>
    <xf numFmtId="0" fontId="58" fillId="8" borderId="12" xfId="0" applyFont="1" applyFill="1" applyBorder="1" applyAlignment="1">
      <alignment horizontal="center" vertical="center"/>
    </xf>
    <xf numFmtId="0" fontId="58" fillId="38" borderId="12" xfId="0" applyFont="1" applyFill="1" applyBorder="1" applyAlignment="1">
      <alignment horizontal="center" vertical="center"/>
    </xf>
    <xf numFmtId="0" fontId="58" fillId="9" borderId="12" xfId="0" applyFont="1" applyFill="1" applyBorder="1" applyAlignment="1">
      <alignment horizontal="center" vertical="center"/>
    </xf>
    <xf numFmtId="0" fontId="58" fillId="9" borderId="37" xfId="0" applyFont="1" applyFill="1" applyBorder="1" applyAlignment="1">
      <alignment horizontal="center" vertical="center"/>
    </xf>
    <xf numFmtId="0" fontId="51" fillId="0" borderId="0" xfId="0" applyNumberFormat="1" applyFont="1" applyFill="1" applyBorder="1">
      <alignment vertical="center"/>
    </xf>
    <xf numFmtId="0" fontId="46" fillId="0" borderId="0" xfId="0" applyFont="1" applyFill="1" applyBorder="1" applyProtection="1">
      <alignment vertical="center"/>
      <protection locked="0"/>
    </xf>
    <xf numFmtId="49" fontId="46" fillId="0" borderId="0" xfId="0" applyNumberFormat="1" applyFont="1" applyFill="1" applyBorder="1" applyProtection="1">
      <alignment vertical="center"/>
      <protection locked="0"/>
    </xf>
    <xf numFmtId="0" fontId="27" fillId="0" borderId="0" xfId="6" applyFont="1" applyBorder="1" applyAlignment="1">
      <alignment vertical="center"/>
      <protection locked="0"/>
    </xf>
    <xf numFmtId="0" fontId="46" fillId="0" borderId="0" xfId="6" applyFont="1" applyFill="1" applyBorder="1" applyAlignment="1">
      <alignment vertical="center"/>
      <protection locked="0"/>
    </xf>
    <xf numFmtId="0" fontId="46" fillId="0" borderId="0" xfId="0" applyNumberFormat="1" applyFont="1" applyFill="1" applyBorder="1" applyProtection="1">
      <alignment vertical="center"/>
      <protection locked="0"/>
    </xf>
    <xf numFmtId="0" fontId="46" fillId="0" borderId="0" xfId="6" applyNumberFormat="1" applyFont="1" applyFill="1" applyBorder="1" applyAlignment="1">
      <alignment vertical="center"/>
      <protection locked="0"/>
    </xf>
    <xf numFmtId="49" fontId="67" fillId="0" borderId="0" xfId="0" applyNumberFormat="1" applyFont="1" applyFill="1" applyBorder="1" applyProtection="1">
      <alignment vertical="center"/>
      <protection locked="0"/>
    </xf>
    <xf numFmtId="14" fontId="46" fillId="0" borderId="0" xfId="0" applyNumberFormat="1" applyFont="1" applyFill="1" applyBorder="1" applyProtection="1">
      <alignment vertical="center"/>
      <protection locked="0"/>
    </xf>
    <xf numFmtId="0" fontId="36" fillId="0" borderId="0" xfId="6" applyFont="1" applyFill="1" applyBorder="1" applyAlignment="1">
      <alignment vertical="center" wrapText="1"/>
      <protection locked="0"/>
    </xf>
    <xf numFmtId="58" fontId="46" fillId="0" borderId="0" xfId="0" applyNumberFormat="1" applyFont="1" applyFill="1" applyBorder="1" applyProtection="1">
      <alignment vertical="center"/>
      <protection locked="0"/>
    </xf>
    <xf numFmtId="0" fontId="68" fillId="0" borderId="0" xfId="6" applyFont="1" applyFill="1" applyBorder="1" applyAlignment="1">
      <alignment vertical="center" wrapText="1"/>
      <protection locked="0"/>
    </xf>
    <xf numFmtId="0" fontId="49" fillId="0" borderId="0" xfId="6" applyFont="1" applyFill="1" applyBorder="1" applyAlignment="1">
      <alignment vertical="center" wrapText="1"/>
      <protection locked="0"/>
    </xf>
    <xf numFmtId="0" fontId="69" fillId="0" borderId="0" xfId="6" applyFont="1" applyFill="1" applyBorder="1" applyAlignment="1">
      <alignment vertical="center" wrapText="1"/>
      <protection locked="0"/>
    </xf>
    <xf numFmtId="0" fontId="58" fillId="40" borderId="11" xfId="0" applyFont="1" applyFill="1" applyBorder="1" applyAlignment="1">
      <alignment horizontal="left" vertical="center"/>
    </xf>
    <xf numFmtId="49" fontId="58" fillId="40" borderId="0" xfId="0" applyNumberFormat="1" applyFont="1" applyFill="1" applyBorder="1" applyAlignment="1">
      <alignment horizontal="center" vertical="center"/>
    </xf>
    <xf numFmtId="0" fontId="58" fillId="40" borderId="0" xfId="0" applyFont="1" applyFill="1" applyBorder="1" applyAlignment="1">
      <alignment horizontal="center" vertical="center"/>
    </xf>
    <xf numFmtId="0" fontId="58" fillId="34" borderId="11" xfId="0" applyFont="1" applyFill="1" applyBorder="1" applyAlignment="1">
      <alignment horizontal="left" vertical="center"/>
    </xf>
    <xf numFmtId="49" fontId="58" fillId="34" borderId="0" xfId="0" applyNumberFormat="1" applyFont="1" applyFill="1" applyBorder="1" applyAlignment="1">
      <alignment horizontal="center" vertical="center"/>
    </xf>
    <xf numFmtId="0" fontId="58" fillId="34" borderId="0" xfId="0" applyFont="1" applyFill="1" applyBorder="1" applyAlignment="1">
      <alignment horizontal="center" vertical="center"/>
    </xf>
    <xf numFmtId="0" fontId="58" fillId="41" borderId="11" xfId="0" applyFont="1" applyFill="1" applyBorder="1" applyAlignment="1">
      <alignment horizontal="left" vertical="center"/>
    </xf>
    <xf numFmtId="49" fontId="58" fillId="41" borderId="0" xfId="0" applyNumberFormat="1" applyFont="1" applyFill="1" applyBorder="1" applyAlignment="1">
      <alignment horizontal="center" vertical="center"/>
    </xf>
    <xf numFmtId="0" fontId="58" fillId="41" borderId="0" xfId="0" applyFont="1" applyFill="1" applyBorder="1" applyAlignment="1">
      <alignment horizontal="center" vertical="center"/>
    </xf>
    <xf numFmtId="0" fontId="58" fillId="42" borderId="11" xfId="0" applyFont="1" applyFill="1" applyBorder="1" applyAlignment="1">
      <alignment horizontal="left" vertical="center"/>
    </xf>
    <xf numFmtId="49" fontId="58" fillId="42" borderId="0" xfId="0" applyNumberFormat="1" applyFont="1" applyFill="1" applyBorder="1" applyAlignment="1">
      <alignment horizontal="center" vertical="center"/>
    </xf>
    <xf numFmtId="0" fontId="58" fillId="42" borderId="0" xfId="0" applyFont="1" applyFill="1" applyBorder="1" applyAlignment="1">
      <alignment horizontal="center" vertical="center"/>
    </xf>
    <xf numFmtId="0" fontId="58" fillId="43" borderId="11" xfId="0" applyFont="1" applyFill="1" applyBorder="1" applyAlignment="1">
      <alignment horizontal="left" vertical="center"/>
    </xf>
    <xf numFmtId="0" fontId="58" fillId="44" borderId="30" xfId="0" applyFont="1" applyFill="1" applyBorder="1" applyAlignment="1">
      <alignment horizontal="left" vertical="center"/>
    </xf>
    <xf numFmtId="49" fontId="58" fillId="44" borderId="31" xfId="0" applyNumberFormat="1" applyFont="1" applyFill="1" applyBorder="1" applyAlignment="1">
      <alignment horizontal="center" vertical="center"/>
    </xf>
    <xf numFmtId="0" fontId="58" fillId="44" borderId="31" xfId="0" applyFont="1" applyFill="1" applyBorder="1" applyAlignment="1">
      <alignment horizontal="center" vertical="center"/>
    </xf>
    <xf numFmtId="0" fontId="58" fillId="43" borderId="30" xfId="0" applyFont="1" applyFill="1" applyBorder="1" applyAlignment="1">
      <alignment horizontal="left" vertical="center"/>
    </xf>
    <xf numFmtId="0" fontId="58" fillId="43" borderId="45" xfId="0" applyFont="1" applyFill="1" applyBorder="1" applyAlignment="1">
      <alignment horizontal="left" vertical="center"/>
    </xf>
    <xf numFmtId="49" fontId="58" fillId="4" borderId="35" xfId="0" applyNumberFormat="1" applyFont="1" applyFill="1" applyBorder="1" applyAlignment="1">
      <alignment horizontal="center" vertical="center"/>
    </xf>
    <xf numFmtId="0" fontId="58" fillId="4" borderId="35" xfId="0" applyFont="1" applyFill="1" applyBorder="1" applyAlignment="1">
      <alignment horizontal="center" vertical="center"/>
    </xf>
    <xf numFmtId="0" fontId="58" fillId="43" borderId="13" xfId="0" applyFont="1" applyFill="1" applyBorder="1" applyAlignment="1">
      <alignment horizontal="left" vertical="center"/>
    </xf>
    <xf numFmtId="49" fontId="58" fillId="32" borderId="16" xfId="0" applyNumberFormat="1" applyFont="1" applyFill="1" applyBorder="1" applyAlignment="1">
      <alignment horizontal="center" vertical="center"/>
    </xf>
    <xf numFmtId="0" fontId="58" fillId="32" borderId="16" xfId="0" applyFont="1" applyFill="1" applyBorder="1" applyAlignment="1">
      <alignment horizontal="center" vertical="center"/>
    </xf>
    <xf numFmtId="49" fontId="27" fillId="0" borderId="0" xfId="6" applyNumberFormat="1" applyFont="1" applyAlignment="1" applyProtection="1">
      <alignment vertical="center"/>
    </xf>
    <xf numFmtId="49" fontId="10" fillId="0" borderId="11" xfId="6" applyNumberFormat="1" applyFont="1" applyBorder="1" applyAlignment="1" applyProtection="1">
      <alignment horizontal="center" vertical="center" wrapText="1"/>
    </xf>
    <xf numFmtId="49" fontId="13" fillId="0" borderId="0" xfId="6" applyNumberFormat="1" applyFont="1" applyAlignment="1" applyProtection="1">
      <alignment vertical="center"/>
    </xf>
    <xf numFmtId="0" fontId="13" fillId="0" borderId="0" xfId="6" applyFont="1" applyAlignment="1" applyProtection="1">
      <alignment vertical="center"/>
    </xf>
    <xf numFmtId="0" fontId="58" fillId="40" borderId="12" xfId="0" applyFont="1" applyFill="1" applyBorder="1" applyAlignment="1">
      <alignment horizontal="center" vertical="center"/>
    </xf>
    <xf numFmtId="0" fontId="58" fillId="34" borderId="12" xfId="0" applyFont="1" applyFill="1" applyBorder="1" applyAlignment="1">
      <alignment horizontal="center" vertical="center"/>
    </xf>
    <xf numFmtId="0" fontId="28" fillId="0" borderId="0" xfId="6" applyFill="1" applyBorder="1" applyAlignment="1" applyProtection="1">
      <alignment vertical="center" wrapText="1"/>
    </xf>
    <xf numFmtId="0" fontId="28" fillId="0" borderId="35" xfId="6" applyFill="1" applyBorder="1" applyAlignment="1" applyProtection="1">
      <alignment vertical="center" wrapText="1"/>
    </xf>
    <xf numFmtId="0" fontId="58" fillId="41" borderId="12" xfId="0" applyFont="1" applyFill="1" applyBorder="1" applyAlignment="1">
      <alignment horizontal="center" vertical="center"/>
    </xf>
    <xf numFmtId="0" fontId="58" fillId="42" borderId="12" xfId="0" applyFont="1" applyFill="1" applyBorder="1" applyAlignment="1">
      <alignment horizontal="center" vertical="center"/>
    </xf>
    <xf numFmtId="0" fontId="58" fillId="44" borderId="12" xfId="0" applyFont="1" applyFill="1" applyBorder="1" applyAlignment="1">
      <alignment horizontal="center" vertical="center"/>
    </xf>
    <xf numFmtId="0" fontId="28" fillId="43" borderId="5" xfId="6" applyFill="1" applyBorder="1" applyAlignment="1" applyProtection="1">
      <alignment vertical="center"/>
    </xf>
    <xf numFmtId="0" fontId="58" fillId="4" borderId="37" xfId="0" applyFont="1" applyFill="1" applyBorder="1" applyAlignment="1">
      <alignment horizontal="center" vertical="center"/>
    </xf>
    <xf numFmtId="0" fontId="58" fillId="32" borderId="14" xfId="0" applyFont="1" applyFill="1" applyBorder="1" applyAlignment="1">
      <alignment horizontal="center" vertical="center"/>
    </xf>
    <xf numFmtId="0" fontId="10" fillId="0" borderId="0" xfId="6" applyFont="1" applyAlignment="1" applyProtection="1">
      <alignment vertical="center"/>
    </xf>
    <xf numFmtId="49" fontId="10" fillId="0" borderId="12" xfId="6" applyNumberFormat="1" applyFont="1" applyBorder="1" applyAlignment="1" applyProtection="1">
      <alignment horizontal="center" vertical="center" wrapText="1"/>
    </xf>
    <xf numFmtId="0" fontId="10" fillId="7" borderId="0" xfId="6" applyFont="1" applyFill="1" applyAlignment="1" applyProtection="1">
      <alignment vertical="center"/>
    </xf>
    <xf numFmtId="0" fontId="10" fillId="21" borderId="2" xfId="6" applyFont="1" applyFill="1" applyBorder="1" applyAlignment="1" applyProtection="1">
      <alignment horizontal="center" vertical="center"/>
    </xf>
    <xf numFmtId="0" fontId="10" fillId="21" borderId="61" xfId="6" applyFont="1" applyFill="1" applyBorder="1" applyAlignment="1" applyProtection="1">
      <alignment horizontal="center" vertical="center"/>
    </xf>
    <xf numFmtId="0" fontId="28" fillId="0" borderId="11" xfId="6" applyBorder="1" applyAlignment="1" applyProtection="1">
      <alignment vertical="center"/>
    </xf>
    <xf numFmtId="0" fontId="10" fillId="0" borderId="11" xfId="6" applyFont="1" applyBorder="1" applyAlignment="1" applyProtection="1">
      <alignment vertical="center"/>
    </xf>
    <xf numFmtId="0" fontId="10" fillId="21" borderId="61" xfId="6" applyFont="1" applyFill="1" applyBorder="1" applyAlignment="1" applyProtection="1">
      <alignment vertical="center"/>
    </xf>
    <xf numFmtId="0" fontId="10" fillId="21" borderId="62" xfId="6" applyFont="1" applyFill="1" applyBorder="1" applyAlignment="1" applyProtection="1">
      <alignment vertical="center"/>
    </xf>
    <xf numFmtId="0" fontId="46" fillId="0" borderId="0" xfId="0" applyNumberFormat="1" applyFont="1" applyFill="1" applyBorder="1" applyAlignment="1" applyProtection="1">
      <alignment vertical="center" wrapText="1"/>
      <protection locked="0"/>
    </xf>
    <xf numFmtId="49" fontId="62" fillId="8" borderId="75" xfId="6" applyNumberFormat="1" applyFont="1" applyFill="1" applyBorder="1" applyAlignment="1" applyProtection="1">
      <alignment horizontal="center" vertical="center"/>
    </xf>
    <xf numFmtId="49" fontId="13" fillId="0" borderId="0" xfId="6" applyNumberFormat="1" applyFont="1" applyAlignment="1" applyProtection="1">
      <alignment horizontal="left" vertical="center"/>
    </xf>
    <xf numFmtId="49" fontId="10" fillId="0" borderId="7" xfId="6" applyNumberFormat="1" applyFont="1" applyBorder="1" applyAlignment="1" applyProtection="1">
      <alignment horizontal="center" vertical="center" wrapText="1"/>
    </xf>
    <xf numFmtId="49" fontId="10" fillId="0" borderId="8" xfId="6" applyNumberFormat="1" applyFont="1" applyBorder="1" applyAlignment="1" applyProtection="1">
      <alignment horizontal="center" vertical="center" wrapText="1"/>
    </xf>
    <xf numFmtId="0" fontId="10" fillId="0" borderId="13" xfId="6" applyFont="1" applyBorder="1" applyAlignment="1" applyProtection="1">
      <alignment horizontal="center" vertical="center"/>
    </xf>
    <xf numFmtId="49" fontId="10" fillId="0" borderId="14" xfId="6" applyNumberFormat="1" applyFont="1" applyBorder="1" applyAlignment="1" applyProtection="1">
      <alignment horizontal="center" vertical="center" wrapText="1"/>
    </xf>
    <xf numFmtId="0" fontId="10" fillId="0" borderId="0" xfId="6" applyFont="1" applyAlignment="1" applyProtection="1">
      <alignment vertical="center" wrapText="1"/>
    </xf>
    <xf numFmtId="0" fontId="13" fillId="0" borderId="0" xfId="6" applyFont="1" applyBorder="1" applyAlignment="1" applyProtection="1">
      <alignment vertical="center" wrapText="1"/>
    </xf>
    <xf numFmtId="0" fontId="13" fillId="0" borderId="0" xfId="6" applyFont="1" applyAlignment="1" applyProtection="1">
      <alignment vertical="center" wrapText="1"/>
    </xf>
    <xf numFmtId="0" fontId="15" fillId="41" borderId="11" xfId="6" applyFont="1" applyFill="1" applyBorder="1" applyAlignment="1" applyProtection="1">
      <alignment horizontal="center" vertical="center"/>
    </xf>
    <xf numFmtId="0" fontId="15" fillId="0" borderId="11" xfId="6" applyFont="1" applyBorder="1" applyAlignment="1" applyProtection="1">
      <alignment horizontal="center" vertical="center"/>
    </xf>
    <xf numFmtId="0" fontId="28" fillId="0" borderId="15" xfId="6" applyBorder="1" applyAlignment="1" applyProtection="1">
      <alignment vertical="center"/>
    </xf>
    <xf numFmtId="0" fontId="10" fillId="0" borderId="0" xfId="6" applyFont="1" applyAlignment="1" applyProtection="1">
      <alignment horizontal="left" vertical="center"/>
    </xf>
    <xf numFmtId="0" fontId="63" fillId="0" borderId="0" xfId="6" applyFont="1" applyFill="1" applyBorder="1" applyAlignment="1">
      <alignment vertical="center"/>
      <protection locked="0"/>
    </xf>
    <xf numFmtId="0" fontId="28" fillId="0" borderId="0" xfId="6" applyFill="1" applyBorder="1" applyAlignment="1">
      <alignment vertical="center"/>
      <protection locked="0"/>
    </xf>
    <xf numFmtId="0" fontId="15" fillId="0" borderId="0" xfId="6" applyFont="1" applyFill="1" applyBorder="1" applyAlignment="1">
      <alignment vertical="center"/>
      <protection locked="0"/>
    </xf>
    <xf numFmtId="0" fontId="81" fillId="0" borderId="0" xfId="6" applyFont="1" applyAlignment="1" applyProtection="1">
      <alignment horizontal="center" vertical="center"/>
    </xf>
    <xf numFmtId="0" fontId="81" fillId="0" borderId="0" xfId="6" applyFont="1" applyAlignment="1" applyProtection="1">
      <alignment vertical="center"/>
    </xf>
    <xf numFmtId="0" fontId="81" fillId="0" borderId="0" xfId="6" applyFont="1" applyAlignment="1" applyProtection="1">
      <alignment horizontal="right" vertical="center"/>
    </xf>
    <xf numFmtId="0" fontId="21" fillId="0" borderId="0" xfId="0" applyFont="1" applyFill="1" applyAlignment="1">
      <alignment horizontal="center" vertical="center" wrapText="1"/>
    </xf>
    <xf numFmtId="0" fontId="13" fillId="0" borderId="0" xfId="6" applyFont="1" applyBorder="1" applyAlignment="1" applyProtection="1">
      <alignment vertical="center"/>
    </xf>
    <xf numFmtId="0" fontId="13" fillId="0" borderId="11" xfId="6" applyFont="1" applyBorder="1" applyAlignment="1" applyProtection="1">
      <alignment vertical="center"/>
    </xf>
    <xf numFmtId="0" fontId="10" fillId="0" borderId="35" xfId="6" applyFont="1" applyBorder="1" applyAlignment="1" applyProtection="1">
      <alignment vertical="center"/>
    </xf>
    <xf numFmtId="0" fontId="84" fillId="0" borderId="0" xfId="6" applyFont="1" applyAlignment="1" applyProtection="1">
      <alignment horizontal="right" vertical="center"/>
    </xf>
    <xf numFmtId="0" fontId="81" fillId="0" borderId="0" xfId="6" applyFont="1" applyBorder="1" applyAlignment="1" applyProtection="1">
      <alignment horizontal="center" vertical="center"/>
    </xf>
    <xf numFmtId="0" fontId="10" fillId="0" borderId="15" xfId="6" applyFont="1" applyBorder="1" applyAlignment="1" applyProtection="1">
      <alignment vertical="center"/>
    </xf>
    <xf numFmtId="0" fontId="81" fillId="0" borderId="0" xfId="6" applyFont="1" applyBorder="1" applyAlignment="1" applyProtection="1">
      <alignment vertical="center" wrapText="1"/>
    </xf>
    <xf numFmtId="0" fontId="6" fillId="0" borderId="0" xfId="6" applyFont="1" applyAlignment="1" applyProtection="1">
      <alignment horizontal="center" vertical="center" wrapText="1"/>
    </xf>
    <xf numFmtId="0" fontId="15" fillId="0" borderId="0" xfId="6" applyFont="1" applyFill="1" applyAlignment="1">
      <alignment vertical="center"/>
      <protection locked="0"/>
    </xf>
    <xf numFmtId="0" fontId="28" fillId="0" borderId="0" xfId="6" applyFill="1" applyAlignment="1">
      <alignment vertical="center"/>
      <protection locked="0"/>
    </xf>
    <xf numFmtId="0" fontId="28" fillId="0" borderId="0" xfId="6" applyFont="1" applyFill="1" applyAlignment="1">
      <alignment vertical="center"/>
      <protection locked="0"/>
    </xf>
    <xf numFmtId="0" fontId="1" fillId="0" borderId="0" xfId="0" applyFont="1" applyFill="1" applyAlignment="1">
      <alignment horizontal="center" vertical="center"/>
    </xf>
    <xf numFmtId="0" fontId="29" fillId="0" borderId="0" xfId="0" applyFont="1">
      <alignment vertical="center"/>
    </xf>
    <xf numFmtId="0" fontId="7" fillId="0" borderId="0" xfId="0" applyFont="1" applyFill="1" applyAlignment="1">
      <alignment horizontal="center" vertical="center"/>
    </xf>
    <xf numFmtId="0" fontId="12" fillId="0" borderId="0" xfId="0" applyFont="1" applyFill="1">
      <alignment vertical="center"/>
    </xf>
    <xf numFmtId="0" fontId="16" fillId="51" borderId="11" xfId="0" applyFont="1" applyFill="1" applyBorder="1" applyAlignment="1">
      <alignment horizontal="center" vertical="center"/>
    </xf>
    <xf numFmtId="0" fontId="16" fillId="51" borderId="0" xfId="0" applyFont="1" applyFill="1" applyBorder="1" applyAlignment="1">
      <alignment horizontal="center" vertical="center"/>
    </xf>
    <xf numFmtId="0" fontId="16" fillId="0" borderId="11" xfId="0" applyNumberFormat="1" applyFont="1" applyFill="1" applyBorder="1" applyAlignment="1">
      <alignment horizontal="center" vertical="center"/>
    </xf>
    <xf numFmtId="0" fontId="16" fillId="0" borderId="0" xfId="0" applyFont="1" applyFill="1" applyBorder="1" applyAlignment="1">
      <alignment horizontal="center" vertical="center"/>
    </xf>
    <xf numFmtId="0" fontId="16" fillId="0" borderId="0" xfId="0" applyFont="1" applyFill="1" applyAlignment="1">
      <alignment horizontal="left" vertical="center" wrapText="1"/>
    </xf>
    <xf numFmtId="0" fontId="16" fillId="8" borderId="11" xfId="0" applyNumberFormat="1" applyFont="1" applyFill="1" applyBorder="1" applyAlignment="1">
      <alignment horizontal="center" vertical="center"/>
    </xf>
    <xf numFmtId="0" fontId="16" fillId="8" borderId="0" xfId="0" applyFont="1" applyFill="1" applyBorder="1" applyAlignment="1">
      <alignment horizontal="center" vertical="center"/>
    </xf>
    <xf numFmtId="0" fontId="16" fillId="0" borderId="0" xfId="0" applyFont="1" applyFill="1" applyAlignment="1">
      <alignment vertical="center" wrapText="1"/>
    </xf>
    <xf numFmtId="0" fontId="16" fillId="8" borderId="13" xfId="0" applyNumberFormat="1" applyFont="1" applyFill="1" applyBorder="1" applyAlignment="1">
      <alignment horizontal="center" vertical="center"/>
    </xf>
    <xf numFmtId="0" fontId="16" fillId="8" borderId="16" xfId="0" applyFont="1" applyFill="1" applyBorder="1" applyAlignment="1">
      <alignment horizontal="center" vertical="center"/>
    </xf>
    <xf numFmtId="0" fontId="1" fillId="0" borderId="0" xfId="0" applyFont="1" applyFill="1" applyAlignment="1">
      <alignment vertical="center" wrapText="1"/>
    </xf>
    <xf numFmtId="0" fontId="14" fillId="0" borderId="0" xfId="0" applyFont="1" applyFill="1">
      <alignment vertical="center"/>
    </xf>
    <xf numFmtId="0" fontId="16" fillId="0" borderId="0" xfId="0" applyNumberFormat="1" applyFont="1" applyFill="1" applyAlignment="1">
      <alignment horizontal="center" vertical="center"/>
    </xf>
    <xf numFmtId="0" fontId="16" fillId="51" borderId="11" xfId="0" applyNumberFormat="1" applyFont="1" applyFill="1" applyBorder="1" applyAlignment="1">
      <alignment horizontal="center" vertical="center"/>
    </xf>
    <xf numFmtId="0" fontId="16" fillId="51" borderId="0" xfId="0" applyNumberFormat="1" applyFont="1" applyFill="1" applyBorder="1" applyAlignment="1">
      <alignment horizontal="center" vertical="center"/>
    </xf>
    <xf numFmtId="0" fontId="16" fillId="0" borderId="0" xfId="0" applyFont="1" applyFill="1" applyAlignment="1">
      <alignment horizontal="center" vertical="center"/>
    </xf>
    <xf numFmtId="24" fontId="1" fillId="0" borderId="0" xfId="0" applyNumberFormat="1" applyFont="1" applyFill="1" applyAlignment="1">
      <alignment horizontal="center" vertical="center"/>
    </xf>
    <xf numFmtId="0" fontId="90" fillId="4" borderId="12" xfId="0" applyFont="1" applyFill="1" applyBorder="1" applyAlignment="1">
      <alignment horizontal="center" vertical="center"/>
    </xf>
    <xf numFmtId="0" fontId="90" fillId="0" borderId="12" xfId="0" applyNumberFormat="1" applyFont="1" applyBorder="1" applyAlignment="1" applyProtection="1">
      <alignment horizontal="left" vertical="center"/>
      <protection locked="0"/>
    </xf>
    <xf numFmtId="0" fontId="90" fillId="9" borderId="12" xfId="0" applyNumberFormat="1" applyFont="1" applyFill="1" applyBorder="1" applyAlignment="1" applyProtection="1">
      <alignment horizontal="left" vertical="center"/>
      <protection locked="0"/>
    </xf>
    <xf numFmtId="0" fontId="90" fillId="4" borderId="0" xfId="0" applyNumberFormat="1" applyFont="1" applyFill="1" applyAlignment="1">
      <alignment horizontal="center" vertical="center"/>
    </xf>
    <xf numFmtId="0" fontId="90" fillId="0" borderId="0" xfId="0" applyNumberFormat="1" applyFont="1" applyProtection="1">
      <alignment vertical="center"/>
      <protection locked="0"/>
    </xf>
    <xf numFmtId="0" fontId="90" fillId="9" borderId="14" xfId="0" applyNumberFormat="1" applyFont="1" applyFill="1" applyBorder="1" applyAlignment="1" applyProtection="1">
      <alignment horizontal="left" vertical="center"/>
      <protection locked="0"/>
    </xf>
    <xf numFmtId="0" fontId="90" fillId="0" borderId="0" xfId="0" applyNumberFormat="1" applyFont="1" applyAlignment="1" applyProtection="1">
      <alignment horizontal="left" vertical="center"/>
      <protection locked="0"/>
    </xf>
    <xf numFmtId="0" fontId="16" fillId="51" borderId="12" xfId="0" applyFont="1" applyFill="1" applyBorder="1" applyAlignment="1">
      <alignment horizontal="center" vertical="center"/>
    </xf>
    <xf numFmtId="0" fontId="16" fillId="0" borderId="12" xfId="0" applyNumberFormat="1" applyFont="1" applyFill="1" applyBorder="1" applyAlignment="1">
      <alignment horizontal="center" vertical="center"/>
    </xf>
    <xf numFmtId="0" fontId="16" fillId="0" borderId="11" xfId="0" applyFont="1" applyFill="1" applyBorder="1" applyAlignment="1">
      <alignment horizontal="center" vertical="center"/>
    </xf>
    <xf numFmtId="0" fontId="16" fillId="8" borderId="12" xfId="0" applyNumberFormat="1" applyFont="1" applyFill="1" applyBorder="1" applyAlignment="1">
      <alignment horizontal="center" vertical="center"/>
    </xf>
    <xf numFmtId="0" fontId="16" fillId="8" borderId="11" xfId="0" applyFont="1" applyFill="1" applyBorder="1" applyAlignment="1">
      <alignment horizontal="center" vertical="center"/>
    </xf>
    <xf numFmtId="0" fontId="16" fillId="8" borderId="14" xfId="0" applyNumberFormat="1" applyFont="1" applyFill="1" applyBorder="1" applyAlignment="1">
      <alignment horizontal="center" vertical="center"/>
    </xf>
    <xf numFmtId="0" fontId="16" fillId="8" borderId="13" xfId="0" applyFont="1" applyFill="1" applyBorder="1" applyAlignment="1">
      <alignment horizontal="center" vertical="center"/>
    </xf>
    <xf numFmtId="24" fontId="16" fillId="0" borderId="0" xfId="0" applyNumberFormat="1" applyFont="1" applyFill="1" applyAlignment="1">
      <alignment horizontal="center" vertical="center"/>
    </xf>
    <xf numFmtId="0" fontId="16" fillId="51" borderId="12" xfId="0" applyNumberFormat="1" applyFont="1" applyFill="1" applyBorder="1" applyAlignment="1">
      <alignment horizontal="center" vertical="center"/>
    </xf>
    <xf numFmtId="0" fontId="16" fillId="0" borderId="12" xfId="0" applyFont="1" applyFill="1" applyBorder="1" applyAlignment="1">
      <alignment horizontal="left" vertical="center" wrapText="1"/>
    </xf>
    <xf numFmtId="0" fontId="16" fillId="0" borderId="14" xfId="0" applyFont="1" applyFill="1" applyBorder="1" applyAlignment="1">
      <alignment horizontal="left" vertical="center" wrapText="1"/>
    </xf>
    <xf numFmtId="0" fontId="90" fillId="4" borderId="12" xfId="0" applyNumberFormat="1" applyFont="1" applyFill="1" applyBorder="1" applyAlignment="1">
      <alignment horizontal="center" vertical="center"/>
    </xf>
    <xf numFmtId="0" fontId="90" fillId="0" borderId="14" xfId="0" applyNumberFormat="1" applyFont="1" applyBorder="1" applyAlignment="1" applyProtection="1">
      <alignment horizontal="left" vertical="center"/>
      <protection locked="0"/>
    </xf>
    <xf numFmtId="0" fontId="90" fillId="52" borderId="14" xfId="0" applyNumberFormat="1" applyFont="1" applyFill="1" applyBorder="1" applyAlignment="1" applyProtection="1">
      <alignment horizontal="left" vertical="center"/>
      <protection locked="0"/>
    </xf>
    <xf numFmtId="0" fontId="91" fillId="0" borderId="12" xfId="0" applyNumberFormat="1" applyFont="1" applyFill="1" applyBorder="1" applyAlignment="1">
      <alignment horizontal="center" vertical="center"/>
    </xf>
    <xf numFmtId="0" fontId="13" fillId="0" borderId="0" xfId="0" applyFont="1" applyFill="1" applyBorder="1">
      <alignment vertical="center"/>
    </xf>
    <xf numFmtId="0" fontId="13" fillId="0" borderId="0" xfId="0" applyFont="1" applyFill="1" applyBorder="1" applyAlignment="1">
      <alignment vertical="center" wrapText="1"/>
    </xf>
    <xf numFmtId="0" fontId="90" fillId="0" borderId="0" xfId="0" applyNumberFormat="1" applyFont="1" applyFill="1" applyBorder="1" applyProtection="1">
      <alignment vertical="center"/>
      <protection locked="0"/>
    </xf>
    <xf numFmtId="0" fontId="90" fillId="0" borderId="12" xfId="0" applyNumberFormat="1" applyFont="1" applyBorder="1" applyAlignment="1" applyProtection="1">
      <alignment horizontal="left" vertical="center" indent="1"/>
      <protection locked="0"/>
    </xf>
    <xf numFmtId="0" fontId="90" fillId="9" borderId="12" xfId="0" applyNumberFormat="1" applyFont="1" applyFill="1" applyBorder="1" applyAlignment="1" applyProtection="1">
      <alignment horizontal="left" vertical="center" indent="1"/>
      <protection locked="0"/>
    </xf>
    <xf numFmtId="0" fontId="90" fillId="0" borderId="14" xfId="0" applyNumberFormat="1" applyFont="1" applyBorder="1" applyAlignment="1" applyProtection="1">
      <alignment horizontal="left" vertical="center" indent="1"/>
      <protection locked="0"/>
    </xf>
    <xf numFmtId="0" fontId="90" fillId="9" borderId="14" xfId="0" applyNumberFormat="1" applyFont="1" applyFill="1" applyBorder="1" applyAlignment="1" applyProtection="1">
      <alignment horizontal="left" vertical="center" indent="1"/>
      <protection locked="0"/>
    </xf>
    <xf numFmtId="0" fontId="90" fillId="9" borderId="16" xfId="0" applyNumberFormat="1" applyFont="1" applyFill="1" applyBorder="1" applyAlignment="1" applyProtection="1">
      <alignment horizontal="left" vertical="center"/>
      <protection locked="0"/>
    </xf>
    <xf numFmtId="0" fontId="61" fillId="0" borderId="0" xfId="0" applyFont="1" applyFill="1" applyBorder="1">
      <alignment vertical="center"/>
    </xf>
    <xf numFmtId="0" fontId="1" fillId="0" borderId="0" xfId="0" applyFont="1" applyFill="1" applyBorder="1" applyAlignment="1">
      <alignment horizontal="center" vertical="center"/>
    </xf>
    <xf numFmtId="0" fontId="24" fillId="0" borderId="0" xfId="0" applyFont="1" applyFill="1" applyBorder="1">
      <alignment vertical="center"/>
    </xf>
    <xf numFmtId="0" fontId="90" fillId="0" borderId="0" xfId="0" applyFont="1">
      <alignment vertical="center"/>
    </xf>
    <xf numFmtId="0" fontId="90" fillId="0" borderId="0" xfId="0" applyNumberFormat="1" applyFont="1">
      <alignment vertical="center"/>
    </xf>
    <xf numFmtId="0" fontId="89" fillId="9" borderId="0" xfId="0" applyNumberFormat="1" applyFont="1" applyFill="1" applyAlignment="1" applyProtection="1">
      <alignment horizontal="left" vertical="top"/>
      <protection locked="0"/>
    </xf>
    <xf numFmtId="0" fontId="89" fillId="0" borderId="0" xfId="0" applyNumberFormat="1" applyFont="1" applyAlignment="1" applyProtection="1">
      <alignment horizontal="left" vertical="center" wrapText="1"/>
      <protection locked="0"/>
    </xf>
    <xf numFmtId="0" fontId="89" fillId="9" borderId="0" xfId="0" applyNumberFormat="1" applyFont="1" applyFill="1" applyAlignment="1" applyProtection="1">
      <alignment horizontal="left" vertical="center" wrapText="1"/>
      <protection locked="0"/>
    </xf>
    <xf numFmtId="0" fontId="89" fillId="0" borderId="0" xfId="0" applyNumberFormat="1" applyFont="1" applyAlignment="1" applyProtection="1">
      <alignment horizontal="left" vertical="center"/>
      <protection locked="0"/>
    </xf>
    <xf numFmtId="0" fontId="89" fillId="9" borderId="0" xfId="0" applyNumberFormat="1" applyFont="1" applyFill="1" applyAlignment="1" applyProtection="1">
      <alignment horizontal="left" vertical="center"/>
      <protection locked="0"/>
    </xf>
    <xf numFmtId="0" fontId="90" fillId="9" borderId="0" xfId="0" applyNumberFormat="1" applyFont="1" applyFill="1" applyAlignment="1" applyProtection="1">
      <alignment horizontal="left" vertical="center"/>
      <protection locked="0"/>
    </xf>
    <xf numFmtId="0" fontId="90" fillId="0" borderId="16" xfId="0" applyNumberFormat="1" applyFont="1" applyBorder="1" applyAlignment="1" applyProtection="1">
      <alignment horizontal="left" vertical="center"/>
      <protection locked="0"/>
    </xf>
    <xf numFmtId="0" fontId="90" fillId="4" borderId="0" xfId="0" applyFont="1" applyFill="1" applyBorder="1" applyAlignment="1">
      <alignment horizontal="center" vertical="center"/>
    </xf>
    <xf numFmtId="0" fontId="28" fillId="0" borderId="0" xfId="0" applyNumberFormat="1" applyFont="1" applyFill="1" applyBorder="1" applyProtection="1">
      <alignment vertical="center"/>
      <protection locked="0"/>
    </xf>
    <xf numFmtId="0" fontId="90" fillId="4" borderId="0" xfId="0" applyNumberFormat="1" applyFont="1" applyFill="1" applyBorder="1" applyAlignment="1">
      <alignment horizontal="center" vertical="center"/>
    </xf>
    <xf numFmtId="0" fontId="90" fillId="0" borderId="0" xfId="0" applyNumberFormat="1" applyFont="1" applyBorder="1" applyAlignment="1" applyProtection="1">
      <alignment horizontal="left" vertical="center"/>
      <protection locked="0"/>
    </xf>
    <xf numFmtId="0" fontId="90" fillId="9" borderId="0" xfId="0" applyNumberFormat="1" applyFont="1" applyFill="1" applyBorder="1" applyAlignment="1" applyProtection="1">
      <alignment horizontal="left" vertical="center"/>
      <protection locked="0"/>
    </xf>
    <xf numFmtId="0" fontId="90" fillId="9" borderId="0" xfId="0" applyNumberFormat="1" applyFont="1" applyFill="1" applyBorder="1" applyAlignment="1" applyProtection="1">
      <alignment horizontal="left" vertical="center" wrapText="1"/>
      <protection locked="0"/>
    </xf>
    <xf numFmtId="0" fontId="28" fillId="0" borderId="0" xfId="0" applyNumberFormat="1" applyFont="1" applyFill="1">
      <alignment vertical="center"/>
    </xf>
    <xf numFmtId="181" fontId="90" fillId="0" borderId="12" xfId="0" applyNumberFormat="1" applyFont="1" applyBorder="1" applyAlignment="1" applyProtection="1">
      <alignment horizontal="left" vertical="center"/>
      <protection locked="0"/>
    </xf>
    <xf numFmtId="181" fontId="90" fillId="9" borderId="12" xfId="0" applyNumberFormat="1" applyFont="1" applyFill="1" applyBorder="1" applyAlignment="1" applyProtection="1">
      <alignment horizontal="left" vertical="center"/>
      <protection locked="0"/>
    </xf>
    <xf numFmtId="181" fontId="90" fillId="9" borderId="14" xfId="0" applyNumberFormat="1" applyFont="1" applyFill="1" applyBorder="1" applyAlignment="1" applyProtection="1">
      <alignment horizontal="left" vertical="center"/>
      <protection locked="0"/>
    </xf>
    <xf numFmtId="0" fontId="0" fillId="0" borderId="0" xfId="0" applyFont="1" applyFill="1" applyBorder="1">
      <alignment vertical="center"/>
    </xf>
    <xf numFmtId="0" fontId="92" fillId="0" borderId="0" xfId="0" applyNumberFormat="1" applyFont="1" applyBorder="1" applyAlignment="1" applyProtection="1">
      <alignment horizontal="left" vertical="center"/>
      <protection locked="0"/>
    </xf>
    <xf numFmtId="49" fontId="90" fillId="9" borderId="0" xfId="0" applyNumberFormat="1" applyFont="1" applyFill="1" applyBorder="1" applyAlignment="1" applyProtection="1">
      <alignment horizontal="left" vertical="center"/>
      <protection locked="0"/>
    </xf>
    <xf numFmtId="0" fontId="0" fillId="0" borderId="0" xfId="0" applyFont="1" applyFill="1" applyBorder="1" applyProtection="1">
      <alignment vertical="center"/>
      <protection locked="0"/>
    </xf>
    <xf numFmtId="0" fontId="69" fillId="0" borderId="0" xfId="0" applyNumberFormat="1" applyFont="1" applyFill="1" applyBorder="1">
      <alignment vertical="center"/>
    </xf>
    <xf numFmtId="0" fontId="89" fillId="0" borderId="0" xfId="0" applyNumberFormat="1" applyFont="1" applyFill="1" applyBorder="1">
      <alignment vertical="center"/>
    </xf>
    <xf numFmtId="0" fontId="33" fillId="4" borderId="12" xfId="0" applyNumberFormat="1" applyFont="1" applyFill="1" applyBorder="1" applyAlignment="1">
      <alignment horizontal="center" vertical="center"/>
    </xf>
    <xf numFmtId="0" fontId="28" fillId="0" borderId="0" xfId="0" applyNumberFormat="1" applyFont="1" applyFill="1" applyBorder="1">
      <alignment vertical="center"/>
    </xf>
    <xf numFmtId="0" fontId="29" fillId="0" borderId="0" xfId="0" applyFont="1" applyFill="1" applyBorder="1">
      <alignment vertical="center"/>
    </xf>
    <xf numFmtId="0" fontId="27" fillId="0" borderId="0" xfId="0" applyNumberFormat="1" applyFont="1" applyFill="1" applyBorder="1">
      <alignment vertical="center"/>
    </xf>
    <xf numFmtId="0" fontId="93" fillId="0" borderId="0" xfId="0" applyNumberFormat="1" applyFont="1" applyFill="1" applyBorder="1">
      <alignment vertical="center"/>
    </xf>
    <xf numFmtId="0" fontId="90" fillId="0" borderId="0" xfId="0" applyNumberFormat="1" applyFont="1" applyBorder="1" applyProtection="1">
      <alignment vertical="center"/>
      <protection locked="0"/>
    </xf>
    <xf numFmtId="0" fontId="33" fillId="9" borderId="0" xfId="0" applyNumberFormat="1" applyFont="1" applyFill="1" applyBorder="1" applyAlignment="1" applyProtection="1">
      <alignment horizontal="left" vertical="center"/>
      <protection locked="0"/>
    </xf>
    <xf numFmtId="0" fontId="33" fillId="9" borderId="12" xfId="0" applyNumberFormat="1" applyFont="1" applyFill="1" applyBorder="1" applyAlignment="1" applyProtection="1">
      <alignment horizontal="left" vertical="center"/>
      <protection locked="0"/>
    </xf>
    <xf numFmtId="0" fontId="90" fillId="0" borderId="0" xfId="0" applyNumberFormat="1" applyFont="1" applyFill="1" applyBorder="1" applyAlignment="1">
      <alignment horizontal="left" vertical="center"/>
    </xf>
    <xf numFmtId="0" fontId="29" fillId="0" borderId="0" xfId="0" applyFont="1" applyFill="1">
      <alignment vertical="center"/>
    </xf>
    <xf numFmtId="0" fontId="33" fillId="0" borderId="0" xfId="0" applyNumberFormat="1" applyFont="1" applyBorder="1" applyAlignment="1" applyProtection="1">
      <alignment horizontal="left" vertical="center"/>
      <protection locked="0"/>
    </xf>
    <xf numFmtId="49" fontId="90" fillId="0" borderId="0" xfId="0" applyNumberFormat="1" applyFont="1" applyBorder="1" applyAlignment="1" applyProtection="1">
      <alignment horizontal="left" vertical="center"/>
      <protection locked="0"/>
    </xf>
    <xf numFmtId="0" fontId="92" fillId="9" borderId="0" xfId="0" applyNumberFormat="1" applyFont="1" applyFill="1" applyBorder="1" applyAlignment="1" applyProtection="1">
      <alignment horizontal="left" vertical="center"/>
      <protection locked="0"/>
    </xf>
    <xf numFmtId="0" fontId="92" fillId="9" borderId="12" xfId="0" applyNumberFormat="1" applyFont="1" applyFill="1" applyBorder="1" applyAlignment="1" applyProtection="1">
      <alignment horizontal="left" vertical="center"/>
      <protection locked="0"/>
    </xf>
    <xf numFmtId="0" fontId="92" fillId="4" borderId="12" xfId="0" applyNumberFormat="1" applyFont="1" applyFill="1" applyBorder="1" applyAlignment="1">
      <alignment horizontal="center" vertical="center"/>
    </xf>
    <xf numFmtId="0" fontId="90" fillId="0" borderId="0" xfId="0" applyNumberFormat="1" applyFont="1" applyBorder="1">
      <alignment vertical="center"/>
    </xf>
    <xf numFmtId="0" fontId="90" fillId="0" borderId="0" xfId="0" applyNumberFormat="1" applyFont="1" applyFill="1" applyBorder="1">
      <alignment vertical="center"/>
    </xf>
    <xf numFmtId="0" fontId="29" fillId="0" borderId="0" xfId="0" applyFont="1" applyBorder="1">
      <alignment vertical="center"/>
    </xf>
    <xf numFmtId="0" fontId="29" fillId="0" borderId="0" xfId="0" applyFont="1" applyAlignment="1">
      <alignment vertical="center" wrapText="1"/>
    </xf>
    <xf numFmtId="0" fontId="94" fillId="9" borderId="12" xfId="0" applyNumberFormat="1" applyFont="1" applyFill="1" applyBorder="1" applyAlignment="1" applyProtection="1">
      <alignment horizontal="left" vertical="center"/>
      <protection locked="0"/>
    </xf>
    <xf numFmtId="0" fontId="94" fillId="0" borderId="12" xfId="0" applyNumberFormat="1" applyFont="1" applyBorder="1" applyAlignment="1" applyProtection="1">
      <alignment horizontal="left" vertical="center"/>
      <protection locked="0"/>
    </xf>
    <xf numFmtId="0" fontId="33" fillId="0" borderId="12" xfId="0" applyNumberFormat="1" applyFont="1" applyBorder="1" applyAlignment="1" applyProtection="1">
      <alignment horizontal="left" vertical="center"/>
      <protection locked="0"/>
    </xf>
    <xf numFmtId="0" fontId="42" fillId="9" borderId="0" xfId="0" applyNumberFormat="1" applyFont="1" applyFill="1" applyBorder="1" applyAlignment="1" applyProtection="1">
      <alignment horizontal="left" vertical="center" wrapText="1"/>
      <protection locked="0"/>
    </xf>
    <xf numFmtId="0" fontId="95" fillId="0" borderId="0" xfId="0" applyFont="1" applyFill="1" applyAlignment="1">
      <alignment horizontal="center" vertical="center"/>
    </xf>
    <xf numFmtId="0" fontId="96" fillId="0" borderId="0" xfId="0" applyFont="1" applyFill="1" applyAlignment="1">
      <alignment horizontal="center" vertical="center"/>
    </xf>
    <xf numFmtId="0" fontId="98" fillId="8" borderId="11" xfId="0" applyFont="1" applyFill="1" applyBorder="1" applyAlignment="1">
      <alignment horizontal="center" vertical="center"/>
    </xf>
    <xf numFmtId="0" fontId="98" fillId="8" borderId="0" xfId="0" applyFont="1" applyFill="1" applyAlignment="1">
      <alignment horizontal="center" vertical="center"/>
    </xf>
    <xf numFmtId="0" fontId="95" fillId="0" borderId="99" xfId="0" applyFont="1" applyFill="1" applyBorder="1" applyAlignment="1">
      <alignment horizontal="center" vertical="center"/>
    </xf>
    <xf numFmtId="0" fontId="99" fillId="0" borderId="0" xfId="0" applyFont="1" applyFill="1" applyBorder="1">
      <alignment vertical="center"/>
    </xf>
    <xf numFmtId="0" fontId="99" fillId="0" borderId="99" xfId="0" applyFont="1" applyFill="1" applyBorder="1">
      <alignment vertical="center"/>
    </xf>
    <xf numFmtId="0" fontId="99" fillId="0" borderId="100" xfId="0" applyFont="1" applyFill="1" applyBorder="1">
      <alignment vertical="center"/>
    </xf>
    <xf numFmtId="0" fontId="99" fillId="0" borderId="101" xfId="0" applyFont="1" applyFill="1" applyBorder="1">
      <alignment vertical="center"/>
    </xf>
    <xf numFmtId="0" fontId="99" fillId="0" borderId="0" xfId="0" applyFont="1" applyFill="1" applyBorder="1" applyAlignment="1">
      <alignment vertical="center" wrapText="1"/>
    </xf>
    <xf numFmtId="0" fontId="99" fillId="0" borderId="99" xfId="0" applyFont="1" applyFill="1" applyBorder="1" applyAlignment="1">
      <alignment vertical="center" wrapText="1"/>
    </xf>
    <xf numFmtId="0" fontId="99" fillId="0" borderId="102" xfId="0" applyFont="1" applyFill="1" applyBorder="1" applyAlignment="1">
      <alignment vertical="center" wrapText="1"/>
    </xf>
    <xf numFmtId="0" fontId="99" fillId="0" borderId="103" xfId="0" applyFont="1" applyFill="1" applyBorder="1" applyAlignment="1">
      <alignment vertical="center" wrapText="1"/>
    </xf>
    <xf numFmtId="0" fontId="101" fillId="0" borderId="0" xfId="0" applyFont="1" applyFill="1" applyBorder="1" applyAlignment="1">
      <alignment vertical="center" wrapText="1"/>
    </xf>
    <xf numFmtId="0" fontId="95" fillId="0" borderId="0" xfId="0" applyFont="1" applyFill="1" applyBorder="1" applyAlignment="1">
      <alignment horizontal="center" vertical="center"/>
    </xf>
    <xf numFmtId="0" fontId="95" fillId="0" borderId="104" xfId="0" applyFont="1" applyFill="1" applyBorder="1" applyAlignment="1">
      <alignment horizontal="center" vertical="center"/>
    </xf>
    <xf numFmtId="0" fontId="95" fillId="0" borderId="105" xfId="0" applyFont="1" applyFill="1" applyBorder="1" applyAlignment="1">
      <alignment horizontal="center" vertical="center"/>
    </xf>
    <xf numFmtId="0" fontId="95" fillId="0" borderId="106" xfId="0" applyFont="1" applyFill="1" applyBorder="1" applyAlignment="1">
      <alignment horizontal="center" vertical="center"/>
    </xf>
    <xf numFmtId="0" fontId="95" fillId="0" borderId="107" xfId="0" applyFont="1" applyFill="1" applyBorder="1" applyAlignment="1">
      <alignment horizontal="center" vertical="center"/>
    </xf>
    <xf numFmtId="0" fontId="101" fillId="0" borderId="108" xfId="0" applyFont="1" applyFill="1" applyBorder="1" applyAlignment="1">
      <alignment vertical="center" wrapText="1"/>
    </xf>
    <xf numFmtId="0" fontId="101" fillId="0" borderId="109" xfId="0" applyFont="1" applyFill="1" applyBorder="1" applyAlignment="1">
      <alignment vertical="center" wrapText="1"/>
    </xf>
    <xf numFmtId="0" fontId="95" fillId="0" borderId="110" xfId="0" applyFont="1" applyFill="1" applyBorder="1" applyAlignment="1">
      <alignment horizontal="center" vertical="center"/>
    </xf>
    <xf numFmtId="0" fontId="95" fillId="0" borderId="111" xfId="0" applyFont="1" applyFill="1" applyBorder="1" applyAlignment="1">
      <alignment horizontal="center" vertical="center"/>
    </xf>
    <xf numFmtId="0" fontId="95" fillId="0" borderId="0" xfId="0" applyFont="1" applyFill="1" applyBorder="1">
      <alignment vertical="center"/>
    </xf>
    <xf numFmtId="0" fontId="95" fillId="0" borderId="112" xfId="0" applyFont="1" applyFill="1" applyBorder="1">
      <alignment vertical="center"/>
    </xf>
    <xf numFmtId="0" fontId="95" fillId="0" borderId="113" xfId="0" applyFont="1" applyFill="1" applyBorder="1" applyAlignment="1">
      <alignment horizontal="center" vertical="center"/>
    </xf>
    <xf numFmtId="0" fontId="95" fillId="0" borderId="112" xfId="0" applyFont="1" applyFill="1" applyBorder="1" applyAlignment="1">
      <alignment horizontal="center" vertical="center"/>
    </xf>
    <xf numFmtId="0" fontId="99" fillId="0" borderId="114" xfId="0" applyFont="1" applyFill="1" applyBorder="1">
      <alignment vertical="center"/>
    </xf>
    <xf numFmtId="0" fontId="99" fillId="0" borderId="115" xfId="0" applyFont="1" applyFill="1" applyBorder="1">
      <alignment vertical="center"/>
    </xf>
    <xf numFmtId="0" fontId="99" fillId="0" borderId="116" xfId="0" applyFont="1" applyFill="1" applyBorder="1">
      <alignment vertical="center"/>
    </xf>
    <xf numFmtId="0" fontId="99" fillId="0" borderId="112" xfId="0" applyFont="1" applyFill="1" applyBorder="1">
      <alignment vertical="center"/>
    </xf>
    <xf numFmtId="0" fontId="99" fillId="0" borderId="110" xfId="0" applyFont="1" applyFill="1" applyBorder="1">
      <alignment vertical="center"/>
    </xf>
    <xf numFmtId="0" fontId="99" fillId="0" borderId="117" xfId="0" applyFont="1" applyFill="1" applyBorder="1">
      <alignment vertical="center"/>
    </xf>
    <xf numFmtId="0" fontId="95" fillId="0" borderId="117" xfId="0" applyFont="1" applyFill="1" applyBorder="1" applyAlignment="1">
      <alignment horizontal="center" vertical="center"/>
    </xf>
    <xf numFmtId="0" fontId="101" fillId="0" borderId="118" xfId="0" applyFont="1" applyFill="1" applyBorder="1" applyAlignment="1">
      <alignment vertical="center" wrapText="1"/>
    </xf>
    <xf numFmtId="0" fontId="95" fillId="0" borderId="123" xfId="0" applyFont="1" applyFill="1" applyBorder="1" applyAlignment="1">
      <alignment horizontal="center" vertical="center"/>
    </xf>
    <xf numFmtId="0" fontId="95" fillId="0" borderId="124" xfId="0" applyFont="1" applyFill="1" applyBorder="1" applyAlignment="1">
      <alignment horizontal="center" vertical="center"/>
    </xf>
    <xf numFmtId="0" fontId="95" fillId="0" borderId="0" xfId="0" applyFont="1" applyFill="1" applyBorder="1" applyAlignment="1">
      <alignment vertical="center" wrapText="1"/>
    </xf>
    <xf numFmtId="0" fontId="95" fillId="0" borderId="124" xfId="0" applyFont="1" applyFill="1" applyBorder="1" applyAlignment="1">
      <alignment vertical="center" wrapText="1"/>
    </xf>
    <xf numFmtId="0" fontId="95" fillId="0" borderId="125" xfId="0" applyFont="1" applyFill="1" applyBorder="1" applyAlignment="1">
      <alignment horizontal="center" vertical="center"/>
    </xf>
    <xf numFmtId="0" fontId="95" fillId="0" borderId="126" xfId="0" applyFont="1" applyFill="1" applyBorder="1" applyAlignment="1">
      <alignment horizontal="center" vertical="center"/>
    </xf>
    <xf numFmtId="0" fontId="96" fillId="0" borderId="0" xfId="0" applyFont="1" applyFill="1" applyBorder="1" applyAlignment="1">
      <alignment vertical="center" wrapText="1"/>
    </xf>
    <xf numFmtId="0" fontId="95" fillId="0" borderId="128" xfId="0" applyFont="1" applyFill="1" applyBorder="1" applyAlignment="1">
      <alignment horizontal="center" vertical="center"/>
    </xf>
    <xf numFmtId="0" fontId="95" fillId="0" borderId="129" xfId="0" applyFont="1" applyFill="1" applyBorder="1" applyAlignment="1">
      <alignment horizontal="center" vertical="center"/>
    </xf>
    <xf numFmtId="0" fontId="95" fillId="0" borderId="130" xfId="0" applyFont="1" applyFill="1" applyBorder="1" applyAlignment="1">
      <alignment vertical="center" wrapText="1"/>
    </xf>
    <xf numFmtId="0" fontId="95" fillId="0" borderId="131" xfId="0" applyFont="1" applyFill="1" applyBorder="1" applyAlignment="1">
      <alignment horizontal="center" vertical="center"/>
    </xf>
    <xf numFmtId="0" fontId="95" fillId="0" borderId="132" xfId="0" applyFont="1" applyFill="1" applyBorder="1" applyAlignment="1">
      <alignment horizontal="center" vertical="center"/>
    </xf>
    <xf numFmtId="0" fontId="102" fillId="0" borderId="0" xfId="0" applyFont="1" applyFill="1" applyBorder="1" applyAlignment="1">
      <alignment vertical="center" wrapText="1"/>
    </xf>
    <xf numFmtId="0" fontId="96" fillId="0" borderId="0" xfId="0" applyFont="1" applyFill="1" applyBorder="1" applyAlignment="1">
      <alignment horizontal="center" vertical="center"/>
    </xf>
    <xf numFmtId="0" fontId="104" fillId="0" borderId="0" xfId="0" applyFont="1" applyFill="1" applyAlignment="1">
      <alignment horizontal="center" vertical="center"/>
    </xf>
    <xf numFmtId="0" fontId="3" fillId="0" borderId="0" xfId="0" applyFont="1" applyFill="1" applyBorder="1" applyAlignment="1">
      <alignment horizontal="center" vertical="center"/>
    </xf>
    <xf numFmtId="0" fontId="58" fillId="4" borderId="12" xfId="0" applyFont="1" applyFill="1" applyBorder="1" applyAlignment="1">
      <alignment horizontal="center" vertical="center"/>
    </xf>
    <xf numFmtId="0" fontId="3" fillId="0" borderId="0" xfId="0" applyFont="1" applyFill="1">
      <alignment vertical="center"/>
    </xf>
    <xf numFmtId="0" fontId="95" fillId="0" borderId="0" xfId="0" applyFont="1" applyFill="1">
      <alignment vertical="center"/>
    </xf>
    <xf numFmtId="0" fontId="3" fillId="0" borderId="0" xfId="0" applyFont="1" applyFill="1" applyBorder="1">
      <alignment vertical="center"/>
    </xf>
    <xf numFmtId="0" fontId="2" fillId="0" borderId="0" xfId="0" applyFont="1" applyFill="1" applyBorder="1">
      <alignment vertical="center"/>
    </xf>
    <xf numFmtId="0" fontId="109" fillId="0" borderId="0" xfId="0" applyFont="1" applyFill="1" applyBorder="1" applyAlignment="1">
      <alignment vertical="center" wrapText="1"/>
    </xf>
    <xf numFmtId="0" fontId="1" fillId="0" borderId="0" xfId="0" applyFont="1" applyFill="1" applyBorder="1">
      <alignment vertical="center"/>
    </xf>
    <xf numFmtId="0" fontId="16" fillId="0" borderId="0" xfId="0" applyFont="1" applyFill="1" applyBorder="1" applyAlignment="1">
      <alignment horizontal="center" vertical="center" wrapText="1"/>
    </xf>
    <xf numFmtId="0" fontId="110" fillId="0" borderId="0" xfId="0" applyFont="1" applyFill="1" applyBorder="1" applyAlignment="1">
      <alignment vertical="center" wrapText="1"/>
    </xf>
    <xf numFmtId="0" fontId="99" fillId="0" borderId="0" xfId="0" applyFont="1" applyFill="1" applyBorder="1" applyAlignment="1">
      <alignment horizontal="center" vertical="center"/>
    </xf>
    <xf numFmtId="0" fontId="89" fillId="0" borderId="0" xfId="0" applyFont="1" applyFill="1" applyAlignment="1">
      <alignment vertical="top" wrapText="1"/>
    </xf>
    <xf numFmtId="0" fontId="113" fillId="0" borderId="0" xfId="0" applyFont="1" applyAlignment="1">
      <alignment vertical="center" wrapText="1"/>
    </xf>
    <xf numFmtId="0" fontId="1" fillId="51" borderId="11" xfId="0" applyFont="1" applyFill="1" applyBorder="1" applyAlignment="1">
      <alignment horizontal="center" vertical="center"/>
    </xf>
    <xf numFmtId="49" fontId="1" fillId="0" borderId="11" xfId="0" applyNumberFormat="1" applyFont="1" applyFill="1" applyBorder="1" applyAlignment="1">
      <alignment vertical="top" wrapText="1"/>
    </xf>
    <xf numFmtId="49" fontId="1" fillId="0" borderId="11" xfId="0" applyNumberFormat="1" applyFont="1" applyFill="1" applyBorder="1">
      <alignment vertical="center"/>
    </xf>
    <xf numFmtId="49" fontId="1" fillId="0" borderId="0" xfId="0" applyNumberFormat="1" applyFont="1" applyFill="1" applyBorder="1" applyAlignment="1">
      <alignment horizontal="left" vertical="center"/>
    </xf>
    <xf numFmtId="49" fontId="1" fillId="0" borderId="11" xfId="0" applyNumberFormat="1" applyFont="1" applyFill="1" applyBorder="1" applyAlignment="1">
      <alignment vertical="center" wrapText="1"/>
    </xf>
    <xf numFmtId="49" fontId="1" fillId="0" borderId="0" xfId="0" applyNumberFormat="1" applyFont="1" applyFill="1" applyAlignment="1">
      <alignment horizontal="left" vertical="center" wrapText="1"/>
    </xf>
    <xf numFmtId="49" fontId="1" fillId="0" borderId="11" xfId="0" applyNumberFormat="1" applyFont="1" applyFill="1" applyBorder="1" applyAlignment="1">
      <alignment horizontal="left" vertical="center" wrapText="1"/>
    </xf>
    <xf numFmtId="49" fontId="1" fillId="0" borderId="0" xfId="0" applyNumberFormat="1" applyFont="1" applyFill="1" applyBorder="1" applyAlignment="1">
      <alignment horizontal="left" vertical="center" wrapText="1"/>
    </xf>
    <xf numFmtId="49" fontId="1" fillId="0" borderId="0" xfId="0" applyNumberFormat="1" applyFont="1" applyFill="1" applyAlignment="1">
      <alignment vertical="center" wrapText="1"/>
    </xf>
    <xf numFmtId="0" fontId="1" fillId="0" borderId="11" xfId="0" applyFont="1" applyFill="1" applyBorder="1" applyAlignment="1">
      <alignment horizontal="center" vertical="center"/>
    </xf>
    <xf numFmtId="49" fontId="1" fillId="0" borderId="13" xfId="0" applyNumberFormat="1" applyFont="1" applyFill="1" applyBorder="1" applyAlignment="1">
      <alignment vertical="center" wrapText="1"/>
    </xf>
    <xf numFmtId="49" fontId="1" fillId="0" borderId="12" xfId="0" applyNumberFormat="1" applyFont="1" applyFill="1" applyBorder="1" applyAlignment="1">
      <alignment horizontal="left" vertical="center"/>
    </xf>
    <xf numFmtId="49" fontId="1" fillId="0" borderId="12" xfId="0" applyNumberFormat="1" applyFont="1" applyFill="1" applyBorder="1" applyAlignment="1">
      <alignment horizontal="left" vertical="center" wrapText="1"/>
    </xf>
    <xf numFmtId="49" fontId="1" fillId="0" borderId="12" xfId="0" applyNumberFormat="1" applyFont="1" applyFill="1" applyBorder="1" applyAlignment="1">
      <alignment vertical="center" wrapText="1"/>
    </xf>
    <xf numFmtId="0" fontId="1" fillId="0" borderId="12" xfId="0" applyFont="1" applyFill="1" applyBorder="1" applyAlignment="1">
      <alignment horizontal="center" vertical="center"/>
    </xf>
    <xf numFmtId="0" fontId="15" fillId="0" borderId="0" xfId="0" applyFont="1" applyFill="1">
      <alignment vertical="center"/>
    </xf>
    <xf numFmtId="0" fontId="115" fillId="0" borderId="0" xfId="0" applyFont="1" applyFill="1">
      <alignment vertical="center"/>
    </xf>
    <xf numFmtId="0" fontId="81" fillId="0" borderId="0" xfId="0" applyFont="1" applyFill="1" applyBorder="1" applyAlignment="1">
      <alignment vertical="center" wrapText="1"/>
    </xf>
    <xf numFmtId="0" fontId="118" fillId="0" borderId="0" xfId="0" applyFont="1" applyFill="1">
      <alignment vertical="center"/>
    </xf>
    <xf numFmtId="0" fontId="117" fillId="0" borderId="0" xfId="0" applyFont="1" applyFill="1" applyBorder="1">
      <alignment vertical="center"/>
    </xf>
    <xf numFmtId="0" fontId="115" fillId="0" borderId="0" xfId="0" applyFont="1" applyFill="1" applyBorder="1">
      <alignment vertical="center"/>
    </xf>
    <xf numFmtId="0" fontId="21" fillId="0" borderId="0" xfId="0" applyFont="1" applyFill="1" applyBorder="1" applyAlignment="1">
      <alignment vertical="center" wrapText="1"/>
    </xf>
    <xf numFmtId="0" fontId="10" fillId="0" borderId="0" xfId="0" applyFont="1" applyFill="1" applyAlignment="1">
      <alignment vertical="center" wrapText="1"/>
    </xf>
    <xf numFmtId="0" fontId="25" fillId="0" borderId="0" xfId="0" applyFont="1" applyFill="1" applyBorder="1">
      <alignment vertical="center"/>
    </xf>
    <xf numFmtId="0" fontId="15" fillId="0" borderId="30" xfId="0" applyFont="1" applyFill="1" applyBorder="1">
      <alignment vertical="center"/>
    </xf>
    <xf numFmtId="0" fontId="15" fillId="0" borderId="11" xfId="0" applyFont="1" applyFill="1" applyBorder="1">
      <alignment vertical="center"/>
    </xf>
    <xf numFmtId="0" fontId="15" fillId="0" borderId="45" xfId="0" applyFont="1" applyFill="1" applyBorder="1">
      <alignment vertical="center"/>
    </xf>
    <xf numFmtId="0" fontId="15" fillId="0" borderId="13" xfId="0" applyFont="1" applyFill="1" applyBorder="1">
      <alignment vertical="center"/>
    </xf>
    <xf numFmtId="0" fontId="11" fillId="0" borderId="0" xfId="0" applyFont="1" applyFill="1" applyAlignment="1">
      <alignment horizontal="left"/>
    </xf>
    <xf numFmtId="0" fontId="16" fillId="0" borderId="0" xfId="0" applyFont="1">
      <alignment vertical="center"/>
    </xf>
    <xf numFmtId="0" fontId="16" fillId="0" borderId="149" xfId="0" applyFont="1" applyBorder="1" applyAlignment="1">
      <alignment horizontal="center" vertical="center"/>
    </xf>
    <xf numFmtId="0" fontId="16" fillId="0" borderId="8" xfId="0" applyFont="1" applyFill="1" applyBorder="1" applyAlignment="1">
      <alignment horizontal="center" vertical="center"/>
    </xf>
    <xf numFmtId="0" fontId="16" fillId="7" borderId="7" xfId="0" applyFont="1" applyFill="1" applyBorder="1">
      <alignment vertical="center"/>
    </xf>
    <xf numFmtId="0" fontId="16" fillId="0" borderId="15" xfId="0" applyFont="1" applyFill="1" applyBorder="1">
      <alignment vertical="center"/>
    </xf>
    <xf numFmtId="0" fontId="16" fillId="0" borderId="11" xfId="0" applyFont="1" applyBorder="1" applyAlignment="1">
      <alignment horizontal="center" vertical="center" wrapText="1"/>
    </xf>
    <xf numFmtId="0" fontId="16" fillId="0" borderId="39" xfId="0" applyFont="1" applyBorder="1" applyAlignment="1">
      <alignment horizontal="center" vertical="center"/>
    </xf>
    <xf numFmtId="0" fontId="16" fillId="0" borderId="12" xfId="0" applyFont="1" applyFill="1" applyBorder="1" applyAlignment="1">
      <alignment horizontal="center" vertical="center"/>
    </xf>
    <xf numFmtId="0" fontId="16" fillId="0" borderId="11" xfId="0" applyFont="1" applyBorder="1">
      <alignment vertical="center"/>
    </xf>
    <xf numFmtId="0" fontId="16" fillId="0" borderId="77" xfId="0" applyFont="1" applyBorder="1">
      <alignment vertical="center"/>
    </xf>
    <xf numFmtId="0" fontId="16" fillId="0" borderId="11" xfId="0" applyFont="1" applyBorder="1" applyAlignment="1">
      <alignment horizontal="center" vertical="center"/>
    </xf>
    <xf numFmtId="0" fontId="16" fillId="0" borderId="76" xfId="0" applyFont="1" applyBorder="1">
      <alignment vertical="center"/>
    </xf>
    <xf numFmtId="0" fontId="16" fillId="0" borderId="11" xfId="0" applyFont="1" applyFill="1" applyBorder="1" applyAlignment="1">
      <alignment horizontal="center" vertical="center" wrapText="1"/>
    </xf>
    <xf numFmtId="0" fontId="16" fillId="9" borderId="39" xfId="0" applyFont="1" applyFill="1" applyBorder="1" applyAlignment="1">
      <alignment horizontal="center" vertical="center" wrapText="1"/>
    </xf>
    <xf numFmtId="0" fontId="16" fillId="9" borderId="40" xfId="0" applyFont="1" applyFill="1" applyBorder="1" applyAlignment="1">
      <alignment horizontal="center" vertical="center"/>
    </xf>
    <xf numFmtId="0" fontId="16" fillId="9" borderId="11" xfId="0" applyFont="1" applyFill="1" applyBorder="1" applyAlignment="1">
      <alignment horizontal="center" vertical="center" wrapText="1"/>
    </xf>
    <xf numFmtId="0" fontId="16" fillId="9" borderId="0" xfId="0" applyFont="1" applyFill="1" applyBorder="1" applyAlignment="1">
      <alignment horizontal="center" vertical="center"/>
    </xf>
    <xf numFmtId="0" fontId="16" fillId="9" borderId="39" xfId="0" applyFont="1" applyFill="1" applyBorder="1" applyAlignment="1">
      <alignment horizontal="center" vertical="center"/>
    </xf>
    <xf numFmtId="0" fontId="16" fillId="9" borderId="12" xfId="0" applyFont="1" applyFill="1" applyBorder="1" applyAlignment="1">
      <alignment horizontal="center" vertical="center"/>
    </xf>
    <xf numFmtId="0" fontId="16" fillId="0" borderId="13" xfId="0" applyFont="1" applyBorder="1">
      <alignment vertical="center"/>
    </xf>
    <xf numFmtId="0" fontId="16" fillId="0" borderId="16" xfId="0" applyFont="1" applyBorder="1">
      <alignment vertical="center"/>
    </xf>
    <xf numFmtId="0" fontId="16" fillId="0" borderId="150" xfId="0" applyFont="1" applyBorder="1" applyAlignment="1">
      <alignment horizontal="center" vertical="center"/>
    </xf>
    <xf numFmtId="0" fontId="13" fillId="9" borderId="88" xfId="0" applyNumberFormat="1" applyFont="1" applyFill="1" applyBorder="1" applyAlignment="1">
      <alignment horizontal="center" vertical="center"/>
    </xf>
    <xf numFmtId="0" fontId="13" fillId="9" borderId="27" xfId="0" applyNumberFormat="1" applyFont="1" applyFill="1" applyBorder="1" applyAlignment="1">
      <alignment horizontal="center" vertical="center"/>
    </xf>
    <xf numFmtId="0" fontId="13" fillId="0" borderId="88" xfId="0" applyNumberFormat="1" applyFont="1" applyFill="1" applyBorder="1" applyAlignment="1">
      <alignment horizontal="center" vertical="center"/>
    </xf>
    <xf numFmtId="0" fontId="13" fillId="0" borderId="27" xfId="0" applyNumberFormat="1" applyFont="1" applyFill="1" applyBorder="1" applyAlignment="1">
      <alignment horizontal="center" vertical="center"/>
    </xf>
    <xf numFmtId="0" fontId="16" fillId="7" borderId="15" xfId="0" applyFont="1" applyFill="1" applyBorder="1">
      <alignment vertical="center"/>
    </xf>
    <xf numFmtId="0" fontId="13" fillId="9" borderId="153" xfId="0" applyNumberFormat="1" applyFont="1" applyFill="1" applyBorder="1" applyAlignment="1">
      <alignment horizontal="center" vertical="center"/>
    </xf>
    <xf numFmtId="0" fontId="13" fillId="9" borderId="154" xfId="0" applyNumberFormat="1" applyFont="1" applyFill="1" applyBorder="1" applyAlignment="1">
      <alignment horizontal="center" vertical="center"/>
    </xf>
    <xf numFmtId="0" fontId="16" fillId="8" borderId="155" xfId="0" applyFont="1" applyFill="1" applyBorder="1" applyAlignment="1">
      <alignment horizontal="center" vertical="center" wrapText="1"/>
    </xf>
    <xf numFmtId="0" fontId="16" fillId="0" borderId="156" xfId="0" applyFont="1" applyFill="1" applyBorder="1" applyAlignment="1">
      <alignment horizontal="center" vertical="center" wrapText="1"/>
    </xf>
    <xf numFmtId="0" fontId="16" fillId="8" borderId="157" xfId="0" applyFont="1" applyFill="1" applyBorder="1" applyAlignment="1" applyProtection="1">
      <alignment horizontal="center" vertical="center" wrapText="1"/>
      <protection locked="0"/>
    </xf>
    <xf numFmtId="0" fontId="16" fillId="0" borderId="71" xfId="0" applyFont="1" applyFill="1" applyBorder="1" applyAlignment="1" applyProtection="1">
      <alignment horizontal="center" vertical="center" wrapText="1"/>
      <protection locked="0"/>
    </xf>
    <xf numFmtId="0" fontId="16" fillId="0" borderId="75" xfId="0" applyFont="1" applyBorder="1">
      <alignment vertical="center"/>
    </xf>
    <xf numFmtId="0" fontId="16" fillId="0" borderId="0" xfId="0" applyFont="1" applyFill="1" applyAlignment="1" applyProtection="1">
      <alignment horizontal="center" vertical="center"/>
      <protection locked="0"/>
    </xf>
    <xf numFmtId="0" fontId="16" fillId="0" borderId="15" xfId="0" applyFont="1" applyBorder="1">
      <alignment vertical="center"/>
    </xf>
    <xf numFmtId="0" fontId="16" fillId="0" borderId="0" xfId="0" applyFont="1" applyFill="1">
      <alignment vertical="center"/>
    </xf>
    <xf numFmtId="0" fontId="16" fillId="0" borderId="7" xfId="0" applyFont="1" applyBorder="1">
      <alignment vertical="center"/>
    </xf>
    <xf numFmtId="0" fontId="13" fillId="0" borderId="7" xfId="0" applyFont="1" applyBorder="1">
      <alignment vertical="center"/>
    </xf>
    <xf numFmtId="0" fontId="13" fillId="0" borderId="15" xfId="0" applyFont="1" applyBorder="1">
      <alignment vertical="center"/>
    </xf>
    <xf numFmtId="0" fontId="13" fillId="0" borderId="8" xfId="0" applyFont="1" applyBorder="1">
      <alignment vertical="center"/>
    </xf>
    <xf numFmtId="0" fontId="13" fillId="0" borderId="11" xfId="0" applyFont="1" applyBorder="1">
      <alignment vertical="center"/>
    </xf>
    <xf numFmtId="0" fontId="13" fillId="0" borderId="0" xfId="0" applyFont="1">
      <alignment vertical="center"/>
    </xf>
    <xf numFmtId="0" fontId="13" fillId="0" borderId="12" xfId="0" applyFont="1" applyBorder="1">
      <alignment vertical="center"/>
    </xf>
    <xf numFmtId="0" fontId="13" fillId="0" borderId="0" xfId="0" applyFont="1" applyAlignment="1">
      <alignment horizontal="center" vertical="center"/>
    </xf>
    <xf numFmtId="0" fontId="13" fillId="70" borderId="7" xfId="0" applyFont="1" applyFill="1" applyBorder="1">
      <alignment vertical="center"/>
    </xf>
    <xf numFmtId="0" fontId="13" fillId="70" borderId="15" xfId="0" applyFont="1" applyFill="1" applyBorder="1">
      <alignment vertical="center"/>
    </xf>
    <xf numFmtId="0" fontId="13" fillId="70" borderId="8" xfId="0" applyFont="1" applyFill="1" applyBorder="1">
      <alignment vertical="center"/>
    </xf>
    <xf numFmtId="0" fontId="13" fillId="70" borderId="11" xfId="0" applyFont="1" applyFill="1" applyBorder="1" applyAlignment="1">
      <alignment horizontal="center" vertical="center"/>
    </xf>
    <xf numFmtId="0" fontId="13" fillId="70" borderId="0" xfId="0" applyFont="1" applyFill="1">
      <alignment vertical="center"/>
    </xf>
    <xf numFmtId="0" fontId="13" fillId="70" borderId="12" xfId="0" applyFont="1" applyFill="1" applyBorder="1">
      <alignment vertical="center"/>
    </xf>
    <xf numFmtId="0" fontId="13" fillId="0" borderId="13" xfId="0" applyFont="1" applyBorder="1">
      <alignment vertical="center"/>
    </xf>
    <xf numFmtId="0" fontId="13" fillId="0" borderId="13" xfId="0" applyFont="1" applyFill="1" applyBorder="1">
      <alignment vertical="center"/>
    </xf>
    <xf numFmtId="0" fontId="13" fillId="0" borderId="16" xfId="0" applyFont="1" applyFill="1" applyBorder="1">
      <alignment vertical="center"/>
    </xf>
    <xf numFmtId="0" fontId="13" fillId="0" borderId="14" xfId="0" applyFont="1" applyFill="1" applyBorder="1">
      <alignment vertical="center"/>
    </xf>
    <xf numFmtId="0" fontId="13" fillId="0" borderId="14" xfId="0" applyFont="1" applyBorder="1">
      <alignment vertical="center"/>
    </xf>
    <xf numFmtId="0" fontId="16" fillId="0" borderId="8" xfId="0" applyFont="1" applyBorder="1">
      <alignment vertical="center"/>
    </xf>
    <xf numFmtId="0" fontId="16" fillId="0" borderId="0" xfId="0" applyFont="1" applyBorder="1">
      <alignment vertical="center"/>
    </xf>
    <xf numFmtId="0" fontId="16" fillId="0" borderId="12" xfId="0" applyFont="1" applyBorder="1">
      <alignment vertical="center"/>
    </xf>
    <xf numFmtId="0" fontId="16" fillId="0" borderId="0" xfId="0" applyFont="1" applyFill="1" applyBorder="1">
      <alignment vertical="center"/>
    </xf>
    <xf numFmtId="0" fontId="16" fillId="0" borderId="0" xfId="0" applyFont="1" applyBorder="1" applyAlignment="1">
      <alignment horizontal="center" vertical="center" wrapText="1"/>
    </xf>
    <xf numFmtId="0" fontId="16" fillId="9" borderId="12" xfId="0" applyFont="1" applyFill="1" applyBorder="1" applyAlignment="1">
      <alignment horizontal="center" vertical="center" wrapText="1"/>
    </xf>
    <xf numFmtId="0" fontId="16" fillId="0" borderId="0" xfId="0" applyFont="1" applyBorder="1" applyAlignment="1">
      <alignment horizontal="center" vertical="center"/>
    </xf>
    <xf numFmtId="0" fontId="16" fillId="0" borderId="14" xfId="0" applyFont="1" applyBorder="1">
      <alignment vertical="center"/>
    </xf>
    <xf numFmtId="0" fontId="16" fillId="8" borderId="156" xfId="0" applyFont="1" applyFill="1" applyBorder="1" applyAlignment="1">
      <alignment horizontal="center" vertical="center" wrapText="1"/>
    </xf>
    <xf numFmtId="0" fontId="16" fillId="0" borderId="161" xfId="0" applyFont="1" applyFill="1" applyBorder="1" applyAlignment="1">
      <alignment horizontal="center" vertical="center" wrapText="1"/>
    </xf>
    <xf numFmtId="0" fontId="16" fillId="8" borderId="71" xfId="0" applyFont="1" applyFill="1" applyBorder="1" applyAlignment="1" applyProtection="1">
      <alignment horizontal="center" vertical="center" wrapText="1"/>
      <protection locked="0"/>
    </xf>
    <xf numFmtId="0" fontId="16" fillId="0" borderId="162" xfId="0" applyFont="1" applyFill="1" applyBorder="1" applyAlignment="1" applyProtection="1">
      <alignment horizontal="center" vertical="center" wrapText="1"/>
      <protection locked="0"/>
    </xf>
    <xf numFmtId="0" fontId="16" fillId="0" borderId="0" xfId="0" applyFont="1" applyFill="1" applyBorder="1" applyAlignment="1">
      <alignment vertical="center" wrapText="1"/>
    </xf>
    <xf numFmtId="0" fontId="15" fillId="7" borderId="7" xfId="6" applyFont="1" applyFill="1" applyBorder="1" applyAlignment="1">
      <alignment vertical="center"/>
      <protection locked="0"/>
    </xf>
    <xf numFmtId="0" fontId="16" fillId="7" borderId="8" xfId="0" applyFont="1" applyFill="1" applyBorder="1">
      <alignment vertical="center"/>
    </xf>
    <xf numFmtId="0" fontId="16" fillId="4" borderId="11" xfId="0" applyFont="1" applyFill="1" applyBorder="1">
      <alignment vertical="center"/>
    </xf>
    <xf numFmtId="0" fontId="16" fillId="4" borderId="12" xfId="0" applyFont="1" applyFill="1" applyBorder="1">
      <alignment vertical="center"/>
    </xf>
    <xf numFmtId="0" fontId="10" fillId="9" borderId="11" xfId="6" applyFont="1" applyFill="1" applyBorder="1" applyAlignment="1">
      <alignment vertical="center"/>
      <protection locked="0"/>
    </xf>
    <xf numFmtId="0" fontId="10" fillId="9" borderId="12" xfId="6" applyFont="1" applyFill="1" applyBorder="1" applyAlignment="1">
      <alignment vertical="center"/>
      <protection locked="0"/>
    </xf>
    <xf numFmtId="0" fontId="10" fillId="4" borderId="11" xfId="6" applyFont="1" applyFill="1" applyBorder="1" applyAlignment="1">
      <alignment vertical="center"/>
      <protection locked="0"/>
    </xf>
    <xf numFmtId="0" fontId="10" fillId="0" borderId="12" xfId="6" applyFont="1" applyFill="1" applyBorder="1" applyAlignment="1">
      <alignment vertical="center"/>
      <protection locked="0"/>
    </xf>
    <xf numFmtId="0" fontId="13" fillId="9" borderId="11" xfId="6" applyFont="1" applyFill="1" applyBorder="1" applyAlignment="1">
      <alignment vertical="center"/>
      <protection locked="0"/>
    </xf>
    <xf numFmtId="0" fontId="13" fillId="0" borderId="12" xfId="6" applyFont="1" applyFill="1" applyBorder="1" applyAlignment="1">
      <alignment vertical="center"/>
      <protection locked="0"/>
    </xf>
    <xf numFmtId="0" fontId="10" fillId="0" borderId="13" xfId="6" applyFont="1" applyFill="1" applyBorder="1" applyAlignment="1">
      <alignment vertical="center"/>
      <protection locked="0"/>
    </xf>
    <xf numFmtId="0" fontId="10" fillId="0" borderId="14" xfId="6" applyFont="1" applyFill="1" applyBorder="1" applyAlignment="1">
      <alignment vertical="center"/>
      <protection locked="0"/>
    </xf>
    <xf numFmtId="0" fontId="13" fillId="0" borderId="0" xfId="0" applyFont="1" applyFill="1" applyBorder="1" applyAlignment="1" applyProtection="1">
      <alignment horizontal="center" vertical="center"/>
      <protection locked="0"/>
    </xf>
    <xf numFmtId="0" fontId="16" fillId="0" borderId="14" xfId="0" applyFont="1" applyBorder="1" applyAlignment="1">
      <alignment horizontal="center" vertical="center"/>
    </xf>
    <xf numFmtId="0" fontId="15" fillId="38" borderId="0" xfId="6" applyFont="1" applyFill="1" applyBorder="1" applyAlignment="1">
      <alignment horizontal="center" vertical="center"/>
      <protection locked="0"/>
    </xf>
    <xf numFmtId="0" fontId="15" fillId="0" borderId="0" xfId="6" applyFont="1" applyBorder="1" applyAlignment="1">
      <alignment vertical="center"/>
      <protection locked="0"/>
    </xf>
    <xf numFmtId="0" fontId="10" fillId="0" borderId="0" xfId="6" applyFont="1" applyBorder="1" applyAlignment="1">
      <alignment vertical="center"/>
      <protection locked="0"/>
    </xf>
    <xf numFmtId="0" fontId="10" fillId="0" borderId="0" xfId="6" applyFont="1" applyBorder="1" applyAlignment="1">
      <alignment horizontal="right" vertical="center"/>
      <protection locked="0"/>
    </xf>
    <xf numFmtId="0" fontId="15" fillId="41" borderId="0" xfId="6" applyFont="1" applyFill="1" applyBorder="1" applyAlignment="1">
      <alignment vertical="center"/>
      <protection locked="0"/>
    </xf>
    <xf numFmtId="0" fontId="13" fillId="41" borderId="0" xfId="6" applyFont="1" applyFill="1" applyBorder="1" applyAlignment="1">
      <alignment vertical="center"/>
      <protection locked="0"/>
    </xf>
    <xf numFmtId="0" fontId="10" fillId="41" borderId="0" xfId="6" applyFont="1" applyFill="1" applyBorder="1" applyAlignment="1">
      <alignment vertical="center"/>
      <protection locked="0"/>
    </xf>
    <xf numFmtId="0" fontId="13" fillId="41" borderId="0" xfId="6" applyFont="1" applyFill="1" applyBorder="1" applyAlignment="1">
      <alignment horizontal="right" vertical="center"/>
      <protection locked="0"/>
    </xf>
    <xf numFmtId="0" fontId="10" fillId="0" borderId="0" xfId="6" applyFont="1" applyFill="1" applyBorder="1" applyAlignment="1">
      <alignment horizontal="right" vertical="center"/>
      <protection locked="0"/>
    </xf>
    <xf numFmtId="0" fontId="10" fillId="41" borderId="0" xfId="6" applyFont="1" applyFill="1" applyBorder="1" applyAlignment="1">
      <alignment horizontal="right" vertical="center"/>
      <protection locked="0"/>
    </xf>
    <xf numFmtId="0" fontId="16" fillId="41" borderId="0" xfId="0" applyFont="1" applyFill="1" applyBorder="1">
      <alignment vertical="center"/>
    </xf>
    <xf numFmtId="0" fontId="13" fillId="0" borderId="0" xfId="6" applyFont="1" applyFill="1" applyBorder="1" applyAlignment="1">
      <alignment horizontal="right" vertical="center"/>
      <protection locked="0"/>
    </xf>
    <xf numFmtId="0" fontId="121" fillId="49" borderId="155" xfId="0" applyFont="1" applyFill="1" applyBorder="1" applyAlignment="1">
      <alignment horizontal="center" vertical="center" wrapText="1" readingOrder="1"/>
    </xf>
    <xf numFmtId="0" fontId="16" fillId="49" borderId="156" xfId="0" applyFont="1" applyFill="1" applyBorder="1">
      <alignment vertical="center"/>
    </xf>
    <xf numFmtId="0" fontId="121" fillId="49" borderId="161" xfId="0" applyFont="1" applyFill="1" applyBorder="1" applyAlignment="1">
      <alignment horizontal="center" vertical="center"/>
    </xf>
    <xf numFmtId="0" fontId="121" fillId="0" borderId="0" xfId="0" applyFont="1" applyFill="1" applyBorder="1">
      <alignment vertical="center"/>
    </xf>
    <xf numFmtId="0" fontId="97" fillId="41" borderId="148" xfId="0" applyFont="1" applyFill="1" applyBorder="1" applyAlignment="1">
      <alignment horizontal="center" vertical="center" wrapText="1"/>
    </xf>
    <xf numFmtId="0" fontId="97" fillId="0" borderId="1" xfId="0" applyFont="1" applyFill="1" applyBorder="1" applyAlignment="1">
      <alignment horizontal="center" vertical="center"/>
    </xf>
    <xf numFmtId="0" fontId="97" fillId="0" borderId="70" xfId="0" applyFont="1" applyFill="1" applyBorder="1" applyAlignment="1">
      <alignment horizontal="center" vertical="center"/>
    </xf>
    <xf numFmtId="0" fontId="97" fillId="0" borderId="0" xfId="0" applyFont="1" applyFill="1" applyBorder="1" applyAlignment="1">
      <alignment horizontal="center" vertical="center"/>
    </xf>
    <xf numFmtId="0" fontId="97" fillId="0" borderId="7" xfId="0" applyFont="1" applyFill="1" applyBorder="1" applyAlignment="1">
      <alignment horizontal="center" vertical="center"/>
    </xf>
    <xf numFmtId="49" fontId="16" fillId="0" borderId="0" xfId="0" applyNumberFormat="1" applyFont="1" applyFill="1" applyBorder="1">
      <alignment vertical="center"/>
    </xf>
    <xf numFmtId="0" fontId="97" fillId="0" borderId="11" xfId="0" applyFont="1" applyFill="1" applyBorder="1" applyAlignment="1">
      <alignment horizontal="center" vertical="center"/>
    </xf>
    <xf numFmtId="0" fontId="97" fillId="0" borderId="0" xfId="0" applyFont="1" applyFill="1" applyBorder="1" applyAlignment="1" applyProtection="1">
      <alignment horizontal="center" vertical="center" wrapText="1"/>
      <protection locked="0"/>
    </xf>
    <xf numFmtId="0" fontId="97" fillId="41" borderId="157" xfId="0" applyFont="1" applyFill="1" applyBorder="1" applyAlignment="1">
      <alignment horizontal="center" vertical="center" wrapText="1"/>
    </xf>
    <xf numFmtId="0" fontId="97" fillId="0" borderId="71" xfId="0" applyFont="1" applyFill="1" applyBorder="1" applyAlignment="1">
      <alignment horizontal="center" vertical="center"/>
    </xf>
    <xf numFmtId="0" fontId="97" fillId="0" borderId="72" xfId="0" applyFont="1" applyFill="1" applyBorder="1" applyAlignment="1">
      <alignment horizontal="center" vertical="center"/>
    </xf>
    <xf numFmtId="0" fontId="97" fillId="0" borderId="16" xfId="0" applyFont="1" applyFill="1" applyBorder="1" applyAlignment="1">
      <alignment horizontal="center" vertical="center"/>
    </xf>
    <xf numFmtId="0" fontId="97" fillId="0" borderId="13" xfId="0" applyFont="1" applyFill="1" applyBorder="1" applyAlignment="1">
      <alignment horizontal="center" vertical="center"/>
    </xf>
    <xf numFmtId="49" fontId="16" fillId="7" borderId="7" xfId="0" applyNumberFormat="1" applyFont="1" applyFill="1" applyBorder="1">
      <alignment vertical="center"/>
    </xf>
    <xf numFmtId="49" fontId="16" fillId="7" borderId="15" xfId="0" applyNumberFormat="1" applyFont="1" applyFill="1" applyBorder="1">
      <alignment vertical="center"/>
    </xf>
    <xf numFmtId="49" fontId="16" fillId="7" borderId="8" xfId="0" applyNumberFormat="1" applyFont="1" applyFill="1" applyBorder="1">
      <alignment vertical="center"/>
    </xf>
    <xf numFmtId="0" fontId="16" fillId="0" borderId="15" xfId="0" applyFont="1" applyFill="1" applyBorder="1" applyAlignment="1">
      <alignment horizontal="center" vertical="center" wrapText="1"/>
    </xf>
    <xf numFmtId="0" fontId="16" fillId="0" borderId="8" xfId="0" applyNumberFormat="1" applyFont="1" applyBorder="1">
      <alignment vertical="center"/>
    </xf>
    <xf numFmtId="0" fontId="16" fillId="0" borderId="12" xfId="0" applyNumberFormat="1" applyFont="1" applyBorder="1">
      <alignment vertical="center"/>
    </xf>
    <xf numFmtId="49" fontId="16" fillId="0" borderId="13" xfId="0" applyNumberFormat="1" applyFont="1" applyBorder="1">
      <alignment vertical="center"/>
    </xf>
    <xf numFmtId="181" fontId="16" fillId="0" borderId="12" xfId="0" applyNumberFormat="1" applyFont="1" applyFill="1" applyBorder="1" applyProtection="1">
      <alignment vertical="center"/>
      <protection locked="0"/>
    </xf>
    <xf numFmtId="0" fontId="16" fillId="0" borderId="0" xfId="0" applyFont="1" applyFill="1" applyBorder="1" applyAlignment="1" applyProtection="1">
      <alignment horizontal="center" vertical="center" wrapText="1"/>
      <protection locked="0"/>
    </xf>
    <xf numFmtId="49" fontId="13" fillId="0" borderId="7" xfId="0" applyNumberFormat="1" applyFont="1" applyFill="1" applyBorder="1" applyProtection="1">
      <alignment vertical="center"/>
      <protection locked="0" hidden="1"/>
    </xf>
    <xf numFmtId="49" fontId="13" fillId="0" borderId="11" xfId="0" applyNumberFormat="1" applyFont="1" applyFill="1" applyBorder="1" applyProtection="1">
      <alignment vertical="center"/>
      <protection locked="0" hidden="1"/>
    </xf>
    <xf numFmtId="49" fontId="13" fillId="0" borderId="11" xfId="0" applyNumberFormat="1" applyFont="1" applyFill="1" applyBorder="1" applyAlignment="1" applyProtection="1">
      <alignment vertical="center" wrapText="1"/>
      <protection locked="0" hidden="1"/>
    </xf>
    <xf numFmtId="185" fontId="13" fillId="0" borderId="11" xfId="0" applyNumberFormat="1" applyFont="1" applyFill="1" applyBorder="1" applyProtection="1">
      <alignment vertical="center"/>
      <protection locked="0" hidden="1"/>
    </xf>
    <xf numFmtId="0" fontId="16" fillId="0" borderId="0" xfId="0" applyFont="1" applyFill="1" applyAlignment="1" applyProtection="1">
      <alignment horizontal="center" vertical="center" wrapText="1"/>
      <protection locked="0"/>
    </xf>
    <xf numFmtId="0" fontId="16" fillId="0" borderId="0" xfId="0" applyFont="1" applyBorder="1" applyAlignment="1">
      <alignment vertical="center" wrapText="1"/>
    </xf>
    <xf numFmtId="0" fontId="97" fillId="0" borderId="12" xfId="0" applyFont="1" applyFill="1" applyBorder="1" applyAlignment="1">
      <alignment horizontal="center" vertical="center"/>
    </xf>
    <xf numFmtId="0" fontId="97" fillId="0" borderId="0" xfId="0" applyFont="1" applyFill="1">
      <alignment vertical="center"/>
    </xf>
    <xf numFmtId="0" fontId="97" fillId="0" borderId="0" xfId="0" applyFont="1" applyFill="1" applyBorder="1" applyAlignment="1">
      <alignment horizontal="left" vertical="center"/>
    </xf>
    <xf numFmtId="0" fontId="97" fillId="0" borderId="150" xfId="0" applyFont="1" applyFill="1" applyBorder="1">
      <alignment vertical="center"/>
    </xf>
    <xf numFmtId="0" fontId="16" fillId="0" borderId="151" xfId="0" applyFont="1" applyBorder="1">
      <alignment vertical="center"/>
    </xf>
    <xf numFmtId="0" fontId="97" fillId="0" borderId="151" xfId="0" applyFont="1" applyFill="1" applyBorder="1" applyAlignment="1">
      <alignment horizontal="left" vertical="center"/>
    </xf>
    <xf numFmtId="0" fontId="97" fillId="0" borderId="151" xfId="0" applyFont="1" applyFill="1" applyBorder="1" applyAlignment="1">
      <alignment horizontal="center" vertical="center"/>
    </xf>
    <xf numFmtId="0" fontId="97" fillId="0" borderId="152" xfId="0" applyFont="1" applyFill="1" applyBorder="1" applyAlignment="1">
      <alignment horizontal="center" vertical="center"/>
    </xf>
    <xf numFmtId="0" fontId="122" fillId="0" borderId="7" xfId="0" applyFont="1" applyFill="1" applyBorder="1" applyAlignment="1">
      <alignment horizontal="center" vertical="center"/>
    </xf>
    <xf numFmtId="0" fontId="97" fillId="0" borderId="15" xfId="0" applyFont="1" applyFill="1" applyBorder="1" applyAlignment="1">
      <alignment horizontal="left" vertical="center"/>
    </xf>
    <xf numFmtId="0" fontId="97" fillId="0" borderId="15" xfId="0" applyFont="1" applyFill="1" applyBorder="1">
      <alignment vertical="center"/>
    </xf>
    <xf numFmtId="0" fontId="97" fillId="0" borderId="8" xfId="0" applyFont="1" applyFill="1" applyBorder="1">
      <alignment vertical="center"/>
    </xf>
    <xf numFmtId="0" fontId="97" fillId="0" borderId="0" xfId="0" applyFont="1" applyFill="1" applyBorder="1" applyAlignment="1" applyProtection="1">
      <alignment vertical="center" wrapText="1"/>
      <protection locked="0"/>
    </xf>
    <xf numFmtId="0" fontId="97" fillId="0" borderId="12" xfId="0" applyFont="1" applyFill="1" applyBorder="1" applyAlignment="1" applyProtection="1">
      <alignment vertical="center" wrapText="1"/>
      <protection locked="0"/>
    </xf>
    <xf numFmtId="0" fontId="16" fillId="0" borderId="13" xfId="0" applyFont="1" applyBorder="1" applyAlignment="1">
      <alignment horizontal="center" vertical="center"/>
    </xf>
    <xf numFmtId="0" fontId="97" fillId="0" borderId="16" xfId="0" applyFont="1" applyFill="1" applyBorder="1" applyAlignment="1">
      <alignment horizontal="left" vertical="center"/>
    </xf>
    <xf numFmtId="0" fontId="97" fillId="0" borderId="14" xfId="0" applyFont="1" applyFill="1" applyBorder="1" applyAlignment="1" applyProtection="1">
      <alignment vertical="center" wrapText="1"/>
      <protection locked="0"/>
    </xf>
    <xf numFmtId="0" fontId="16" fillId="0" borderId="7" xfId="0" applyFont="1" applyFill="1" applyBorder="1" applyProtection="1">
      <alignment vertical="center"/>
      <protection locked="0"/>
    </xf>
    <xf numFmtId="0" fontId="16" fillId="0" borderId="75" xfId="0" applyFont="1" applyFill="1" applyBorder="1" applyProtection="1">
      <alignment vertical="center"/>
      <protection locked="0"/>
    </xf>
    <xf numFmtId="0" fontId="16" fillId="0" borderId="75" xfId="0" applyFont="1" applyFill="1" applyBorder="1">
      <alignment vertical="center"/>
    </xf>
    <xf numFmtId="0" fontId="16" fillId="0" borderId="13" xfId="0" applyFont="1" applyFill="1" applyBorder="1" applyAlignment="1" applyProtection="1">
      <alignment horizontal="center" vertical="center"/>
      <protection locked="0"/>
    </xf>
    <xf numFmtId="0" fontId="16" fillId="0" borderId="77" xfId="0" applyFont="1" applyFill="1" applyBorder="1" applyProtection="1">
      <alignment vertical="center"/>
      <protection locked="0"/>
    </xf>
    <xf numFmtId="0" fontId="16" fillId="0" borderId="77" xfId="0" applyFont="1" applyFill="1" applyBorder="1">
      <alignment vertical="center"/>
    </xf>
    <xf numFmtId="0" fontId="16" fillId="0" borderId="150" xfId="0" applyFont="1" applyBorder="1">
      <alignment vertical="center"/>
    </xf>
    <xf numFmtId="0" fontId="16" fillId="7" borderId="75" xfId="0" applyFont="1" applyFill="1" applyBorder="1">
      <alignment vertical="center"/>
    </xf>
    <xf numFmtId="0" fontId="16" fillId="0" borderId="166" xfId="0" applyFont="1" applyBorder="1">
      <alignment vertical="center"/>
    </xf>
    <xf numFmtId="0" fontId="16" fillId="7" borderId="167" xfId="0" applyFont="1" applyFill="1" applyBorder="1">
      <alignment vertical="center"/>
    </xf>
    <xf numFmtId="0" fontId="16" fillId="9" borderId="168" xfId="0" applyFont="1" applyFill="1" applyBorder="1">
      <alignment vertical="center"/>
    </xf>
    <xf numFmtId="0" fontId="16" fillId="9" borderId="167" xfId="0" applyFont="1" applyFill="1" applyBorder="1">
      <alignment vertical="center"/>
    </xf>
    <xf numFmtId="0" fontId="16" fillId="9" borderId="16" xfId="0" applyFont="1" applyFill="1" applyBorder="1">
      <alignment vertical="center"/>
    </xf>
    <xf numFmtId="0" fontId="16" fillId="0" borderId="150" xfId="0" applyFont="1" applyBorder="1" applyAlignment="1">
      <alignment vertical="center" wrapText="1"/>
    </xf>
    <xf numFmtId="0" fontId="16" fillId="0" borderId="152" xfId="0" applyFont="1" applyBorder="1">
      <alignment vertical="center"/>
    </xf>
    <xf numFmtId="0" fontId="16" fillId="0" borderId="13" xfId="0" applyFont="1" applyBorder="1" applyAlignment="1">
      <alignment vertical="center" wrapText="1"/>
    </xf>
    <xf numFmtId="0" fontId="16" fillId="9" borderId="169" xfId="0" applyFont="1" applyFill="1" applyBorder="1">
      <alignment vertical="center"/>
    </xf>
    <xf numFmtId="0" fontId="16" fillId="9" borderId="11" xfId="0" applyFont="1" applyFill="1" applyBorder="1">
      <alignment vertical="center"/>
    </xf>
    <xf numFmtId="0" fontId="16" fillId="9" borderId="171" xfId="0" applyFont="1" applyFill="1" applyBorder="1">
      <alignment vertical="center"/>
    </xf>
    <xf numFmtId="0" fontId="16" fillId="9" borderId="13" xfId="0" applyFont="1" applyFill="1" applyBorder="1">
      <alignment vertical="center"/>
    </xf>
    <xf numFmtId="0" fontId="16" fillId="9" borderId="172" xfId="0" applyFont="1" applyFill="1" applyBorder="1">
      <alignment vertical="center"/>
    </xf>
    <xf numFmtId="0" fontId="16" fillId="0" borderId="0" xfId="0" applyFont="1" applyAlignment="1">
      <alignment vertical="center" wrapText="1"/>
    </xf>
    <xf numFmtId="0" fontId="16" fillId="9" borderId="150" xfId="0" applyFont="1" applyFill="1" applyBorder="1">
      <alignment vertical="center"/>
    </xf>
    <xf numFmtId="0" fontId="16" fillId="67" borderId="173" xfId="0" applyNumberFormat="1" applyFont="1" applyFill="1" applyBorder="1">
      <alignment vertical="center"/>
    </xf>
    <xf numFmtId="0" fontId="16" fillId="67" borderId="0" xfId="0" applyNumberFormat="1" applyFont="1" applyFill="1" applyBorder="1" applyProtection="1">
      <alignment vertical="center"/>
      <protection locked="0"/>
    </xf>
    <xf numFmtId="0" fontId="16" fillId="0" borderId="173" xfId="0" applyNumberFormat="1" applyFont="1" applyFill="1" applyBorder="1" applyAlignment="1">
      <alignment horizontal="left" vertical="center"/>
    </xf>
    <xf numFmtId="0" fontId="16" fillId="0" borderId="0" xfId="0" applyNumberFormat="1" applyFont="1" applyFill="1" applyBorder="1" applyAlignment="1">
      <alignment horizontal="left" vertical="center" wrapText="1"/>
    </xf>
    <xf numFmtId="0" fontId="16" fillId="0" borderId="0" xfId="0" applyNumberFormat="1" applyFont="1" applyFill="1" applyBorder="1">
      <alignment vertical="center"/>
    </xf>
    <xf numFmtId="0" fontId="16" fillId="0" borderId="0" xfId="0" applyNumberFormat="1" applyFont="1" applyFill="1" applyBorder="1" applyAlignment="1">
      <alignment horizontal="left" vertical="center"/>
    </xf>
    <xf numFmtId="0" fontId="97" fillId="0" borderId="0" xfId="0" applyFont="1" applyFill="1" applyAlignment="1">
      <alignment horizontal="center" vertical="center"/>
    </xf>
    <xf numFmtId="0" fontId="16" fillId="0" borderId="41" xfId="0" applyFont="1" applyBorder="1">
      <alignment vertical="center"/>
    </xf>
    <xf numFmtId="0" fontId="46" fillId="0" borderId="0" xfId="0" applyNumberFormat="1" applyFont="1" applyFill="1" applyBorder="1">
      <alignment vertical="center"/>
    </xf>
    <xf numFmtId="0" fontId="124" fillId="0" borderId="0" xfId="0" applyNumberFormat="1" applyFont="1" applyFill="1" applyBorder="1">
      <alignment vertical="center"/>
    </xf>
    <xf numFmtId="0" fontId="16" fillId="0" borderId="75" xfId="0" applyFont="1" applyFill="1" applyBorder="1" applyAlignment="1" applyProtection="1">
      <alignment horizontal="center" vertical="center"/>
      <protection locked="0"/>
    </xf>
    <xf numFmtId="0" fontId="16" fillId="9" borderId="75" xfId="0" applyFont="1" applyFill="1" applyBorder="1" applyAlignment="1" applyProtection="1">
      <alignment horizontal="center" vertical="center"/>
      <protection locked="0"/>
    </xf>
    <xf numFmtId="0" fontId="16" fillId="0" borderId="77" xfId="0" applyFont="1" applyFill="1" applyBorder="1" applyAlignment="1" applyProtection="1">
      <alignment horizontal="center" vertical="center"/>
      <protection locked="0"/>
    </xf>
    <xf numFmtId="0" fontId="16" fillId="0" borderId="76" xfId="0" applyFont="1" applyFill="1" applyBorder="1" applyAlignment="1" applyProtection="1">
      <alignment horizontal="center" vertical="center"/>
      <protection locked="0"/>
    </xf>
    <xf numFmtId="0" fontId="16" fillId="9" borderId="76" xfId="0" applyFont="1" applyFill="1" applyBorder="1" applyAlignment="1" applyProtection="1">
      <alignment horizontal="center" vertical="center"/>
      <protection locked="0"/>
    </xf>
    <xf numFmtId="0" fontId="16" fillId="0" borderId="41" xfId="0" applyFont="1" applyFill="1" applyBorder="1" applyAlignment="1" applyProtection="1">
      <alignment horizontal="center" vertical="center"/>
      <protection locked="0"/>
    </xf>
    <xf numFmtId="0" fontId="16" fillId="9" borderId="41" xfId="0" applyFont="1" applyFill="1" applyBorder="1" applyAlignment="1" applyProtection="1">
      <alignment horizontal="center" vertical="center"/>
      <protection locked="0"/>
    </xf>
    <xf numFmtId="0" fontId="16" fillId="4" borderId="0" xfId="0" applyFont="1" applyFill="1">
      <alignment vertical="center"/>
    </xf>
    <xf numFmtId="0" fontId="16" fillId="0" borderId="11" xfId="0" applyFont="1" applyFill="1" applyBorder="1" applyProtection="1">
      <alignment vertical="center"/>
      <protection locked="0"/>
    </xf>
    <xf numFmtId="0" fontId="16" fillId="67" borderId="0" xfId="0" applyNumberFormat="1" applyFont="1" applyFill="1" applyBorder="1">
      <alignment vertical="center"/>
    </xf>
    <xf numFmtId="0" fontId="91" fillId="0" borderId="0" xfId="0" applyNumberFormat="1" applyFont="1" applyFill="1" applyBorder="1" applyProtection="1">
      <alignment vertical="center"/>
      <protection locked="0"/>
    </xf>
    <xf numFmtId="0" fontId="1" fillId="0" borderId="0" xfId="0" applyNumberFormat="1" applyFont="1" applyFill="1" applyBorder="1" applyAlignment="1" applyProtection="1">
      <alignment horizontal="center" vertical="center"/>
      <protection locked="0"/>
    </xf>
    <xf numFmtId="0" fontId="16" fillId="0" borderId="0" xfId="0" applyNumberFormat="1" applyFont="1" applyFill="1" applyBorder="1" applyAlignment="1">
      <alignment vertical="center" wrapText="1"/>
    </xf>
    <xf numFmtId="0" fontId="21" fillId="0" borderId="0" xfId="0" applyFont="1" applyFill="1" applyBorder="1" applyProtection="1">
      <alignment vertical="center"/>
      <protection locked="0"/>
    </xf>
    <xf numFmtId="0" fontId="16" fillId="0" borderId="0" xfId="0" applyNumberFormat="1" applyFont="1" applyFill="1" applyBorder="1" applyAlignment="1" applyProtection="1">
      <alignment horizontal="left" vertical="center"/>
      <protection locked="0"/>
    </xf>
    <xf numFmtId="0" fontId="16" fillId="0" borderId="0" xfId="0" applyNumberFormat="1" applyFont="1" applyFill="1" applyBorder="1" applyProtection="1">
      <alignment vertical="center"/>
      <protection locked="0"/>
    </xf>
    <xf numFmtId="0" fontId="19" fillId="0" borderId="0" xfId="0" applyFont="1" applyFill="1" applyBorder="1" applyProtection="1">
      <alignment vertical="center"/>
      <protection locked="0"/>
    </xf>
    <xf numFmtId="0" fontId="16" fillId="0" borderId="0" xfId="0" applyFont="1" applyFill="1" applyBorder="1" applyProtection="1">
      <alignment vertical="center"/>
      <protection locked="0"/>
    </xf>
    <xf numFmtId="0" fontId="16" fillId="0" borderId="174" xfId="0" applyFont="1" applyBorder="1">
      <alignment vertical="center"/>
    </xf>
    <xf numFmtId="0" fontId="16" fillId="0" borderId="149" xfId="0" applyFont="1" applyBorder="1">
      <alignment vertical="center"/>
    </xf>
    <xf numFmtId="0" fontId="16" fillId="0" borderId="34" xfId="0" applyFont="1" applyBorder="1">
      <alignment vertical="center"/>
    </xf>
    <xf numFmtId="0" fontId="16" fillId="0" borderId="39" xfId="0" applyFont="1" applyBorder="1">
      <alignment vertical="center"/>
    </xf>
    <xf numFmtId="0" fontId="16" fillId="0" borderId="40" xfId="0" applyFont="1" applyBorder="1">
      <alignment vertical="center"/>
    </xf>
    <xf numFmtId="0" fontId="16" fillId="0" borderId="35" xfId="0" applyFont="1" applyBorder="1">
      <alignment vertical="center"/>
    </xf>
    <xf numFmtId="0" fontId="16" fillId="0" borderId="37" xfId="0" applyFont="1" applyBorder="1">
      <alignment vertical="center"/>
    </xf>
    <xf numFmtId="0" fontId="16" fillId="0" borderId="175" xfId="0" applyFont="1" applyBorder="1">
      <alignment vertical="center"/>
    </xf>
    <xf numFmtId="0" fontId="90" fillId="0" borderId="0" xfId="0" applyFont="1" applyFill="1" applyBorder="1" applyAlignment="1">
      <alignment vertical="center" wrapText="1"/>
    </xf>
    <xf numFmtId="0" fontId="7" fillId="0" borderId="0" xfId="0" applyFont="1" applyFill="1" applyBorder="1" applyProtection="1">
      <alignment vertical="center"/>
      <protection locked="0"/>
    </xf>
    <xf numFmtId="0" fontId="3" fillId="0" borderId="0" xfId="0" applyFont="1" applyFill="1" applyBorder="1" applyProtection="1">
      <alignment vertical="center"/>
      <protection locked="0"/>
    </xf>
    <xf numFmtId="0" fontId="3" fillId="0" borderId="0" xfId="0" applyFont="1" applyFill="1" applyBorder="1" applyAlignment="1" applyProtection="1">
      <protection locked="0"/>
    </xf>
    <xf numFmtId="0" fontId="1" fillId="0" borderId="0" xfId="0" applyFont="1" applyFill="1" applyBorder="1" applyAlignment="1" applyProtection="1">
      <alignment vertical="top"/>
      <protection locked="0"/>
    </xf>
    <xf numFmtId="0" fontId="91" fillId="0" borderId="0" xfId="0" applyFont="1" applyFill="1" applyBorder="1" applyProtection="1">
      <alignment vertical="center"/>
      <protection locked="0"/>
    </xf>
    <xf numFmtId="0" fontId="7" fillId="0" borderId="0" xfId="0" applyFont="1" applyFill="1" applyBorder="1" applyAlignment="1" applyProtection="1">
      <alignment horizontal="center" vertical="center"/>
      <protection locked="0"/>
    </xf>
    <xf numFmtId="0" fontId="16" fillId="0" borderId="0" xfId="0" applyFont="1" applyFill="1" applyBorder="1" applyAlignment="1" applyProtection="1">
      <alignment vertical="top" wrapText="1"/>
      <protection locked="0"/>
    </xf>
    <xf numFmtId="0" fontId="3" fillId="0" borderId="0" xfId="0" applyFont="1" applyFill="1" applyBorder="1" applyAlignment="1" applyProtection="1">
      <alignment vertical="top" wrapText="1"/>
      <protection locked="0"/>
    </xf>
    <xf numFmtId="0" fontId="16" fillId="0" borderId="0" xfId="0" applyFont="1" applyFill="1" applyAlignment="1" applyProtection="1">
      <alignment vertical="center" wrapText="1"/>
      <protection locked="0"/>
    </xf>
    <xf numFmtId="0" fontId="78" fillId="0" borderId="0" xfId="6" applyFont="1" applyFill="1" applyBorder="1" applyAlignment="1">
      <alignment vertical="center"/>
      <protection locked="0"/>
    </xf>
    <xf numFmtId="0" fontId="13" fillId="0" borderId="0" xfId="6" applyFont="1" applyBorder="1" applyAlignment="1">
      <alignment vertical="center"/>
      <protection locked="0"/>
    </xf>
    <xf numFmtId="0" fontId="1" fillId="0" borderId="7" xfId="0" applyFont="1" applyFill="1" applyBorder="1" applyAlignment="1" applyProtection="1">
      <alignment horizontal="center" vertical="center"/>
      <protection locked="0" hidden="1"/>
    </xf>
    <xf numFmtId="0" fontId="1" fillId="0" borderId="15" xfId="0" applyFont="1" applyFill="1" applyBorder="1" applyProtection="1">
      <alignment vertical="center"/>
      <protection locked="0"/>
    </xf>
    <xf numFmtId="0" fontId="1" fillId="0" borderId="15" xfId="0" applyFont="1" applyFill="1" applyBorder="1" applyAlignment="1" applyProtection="1">
      <alignment horizontal="center" vertical="center"/>
      <protection locked="0"/>
    </xf>
    <xf numFmtId="0" fontId="16" fillId="0" borderId="11" xfId="0" applyFont="1" applyFill="1" applyBorder="1" applyAlignment="1" applyProtection="1">
      <alignment horizontal="left" vertical="center"/>
      <protection locked="0"/>
    </xf>
    <xf numFmtId="0" fontId="16" fillId="0" borderId="0" xfId="0" applyFont="1" applyFill="1" applyBorder="1" applyAlignment="1" applyProtection="1">
      <alignment horizontal="left" vertical="center"/>
      <protection locked="0"/>
    </xf>
    <xf numFmtId="49" fontId="16" fillId="0" borderId="0" xfId="0" applyNumberFormat="1" applyFont="1">
      <alignment vertical="center"/>
    </xf>
    <xf numFmtId="0" fontId="16" fillId="0" borderId="11" xfId="0" applyFont="1" applyFill="1" applyBorder="1" applyAlignment="1" applyProtection="1">
      <protection locked="0"/>
    </xf>
    <xf numFmtId="0" fontId="16" fillId="0" borderId="12" xfId="0" applyFont="1" applyBorder="1" applyAlignment="1">
      <alignment horizontal="left" vertical="center"/>
    </xf>
    <xf numFmtId="0" fontId="16" fillId="0" borderId="12" xfId="0" applyFont="1" applyFill="1" applyBorder="1">
      <alignment vertical="center"/>
    </xf>
    <xf numFmtId="0" fontId="91" fillId="0" borderId="12" xfId="0" applyFont="1" applyFill="1" applyBorder="1" applyProtection="1">
      <alignment vertical="center"/>
      <protection locked="0"/>
    </xf>
    <xf numFmtId="0" fontId="28" fillId="0" borderId="7" xfId="0" applyFont="1" applyFill="1" applyBorder="1">
      <alignment vertical="center"/>
    </xf>
    <xf numFmtId="0" fontId="28" fillId="0" borderId="11" xfId="0" applyFont="1" applyFill="1" applyBorder="1">
      <alignment vertical="center"/>
    </xf>
    <xf numFmtId="0" fontId="28" fillId="0" borderId="15" xfId="0" applyFont="1" applyFill="1" applyBorder="1">
      <alignment vertical="center"/>
    </xf>
    <xf numFmtId="0" fontId="28" fillId="0" borderId="0" xfId="0" applyFont="1" applyFill="1" applyBorder="1">
      <alignment vertical="center"/>
    </xf>
    <xf numFmtId="185" fontId="13" fillId="0" borderId="0" xfId="0" applyNumberFormat="1" applyFont="1" applyFill="1" applyBorder="1" applyAlignment="1" applyProtection="1">
      <alignment horizontal="left" vertical="center" wrapText="1"/>
      <protection locked="0" hidden="1"/>
    </xf>
    <xf numFmtId="0" fontId="126" fillId="0" borderId="0" xfId="0" applyNumberFormat="1" applyFont="1" applyFill="1" applyBorder="1" applyAlignment="1">
      <alignment horizontal="left" vertical="center"/>
    </xf>
    <xf numFmtId="0" fontId="13" fillId="0" borderId="0" xfId="0" applyNumberFormat="1" applyFont="1" applyFill="1" applyBorder="1" applyAlignment="1" applyProtection="1">
      <alignment horizontal="left" vertical="center" wrapText="1"/>
      <protection locked="0"/>
    </xf>
    <xf numFmtId="0" fontId="1" fillId="0" borderId="0" xfId="0" applyFont="1" applyFill="1" applyBorder="1" applyAlignment="1" applyProtection="1">
      <alignment horizontal="center" vertical="center"/>
      <protection locked="0" hidden="1"/>
    </xf>
    <xf numFmtId="0" fontId="16" fillId="0" borderId="0" xfId="0" applyNumberFormat="1" applyFont="1" applyFill="1" applyBorder="1" applyAlignment="1" applyProtection="1">
      <alignment horizontal="left" vertical="center" wrapText="1"/>
      <protection locked="0"/>
    </xf>
    <xf numFmtId="0" fontId="16" fillId="0" borderId="0" xfId="0" applyFont="1" applyFill="1" applyBorder="1" applyAlignment="1" applyProtection="1">
      <alignment vertical="top"/>
      <protection locked="0"/>
    </xf>
    <xf numFmtId="0" fontId="16" fillId="0" borderId="0" xfId="0" applyNumberFormat="1" applyFont="1" applyFill="1" applyBorder="1" applyAlignment="1" applyProtection="1">
      <alignment vertical="center" wrapText="1"/>
      <protection locked="0"/>
    </xf>
    <xf numFmtId="0" fontId="91" fillId="0" borderId="0" xfId="0" applyFont="1" applyFill="1" applyBorder="1" applyAlignment="1" applyProtection="1">
      <alignment vertical="top"/>
      <protection locked="0"/>
    </xf>
    <xf numFmtId="0" fontId="1" fillId="0" borderId="0" xfId="0" applyFont="1" applyFill="1" applyBorder="1" applyAlignment="1" applyProtection="1">
      <alignment vertical="top" wrapText="1"/>
      <protection locked="0"/>
    </xf>
    <xf numFmtId="0" fontId="16" fillId="0" borderId="0" xfId="0" applyFont="1" applyFill="1" applyBorder="1" applyAlignment="1" applyProtection="1">
      <alignment vertical="center" wrapText="1"/>
      <protection locked="0"/>
    </xf>
    <xf numFmtId="0" fontId="1" fillId="0" borderId="0" xfId="0" applyFont="1" applyFill="1" applyBorder="1" applyAlignment="1" applyProtection="1">
      <alignment vertical="center" wrapText="1"/>
      <protection locked="0"/>
    </xf>
    <xf numFmtId="0" fontId="91" fillId="0" borderId="0" xfId="0" applyFont="1" applyFill="1" applyBorder="1" applyAlignment="1" applyProtection="1">
      <alignment vertical="center" wrapText="1"/>
      <protection locked="0"/>
    </xf>
    <xf numFmtId="0" fontId="91" fillId="0" borderId="0" xfId="0" applyFont="1" applyFill="1" applyBorder="1" applyAlignment="1" applyProtection="1">
      <alignment vertical="top" wrapText="1"/>
      <protection locked="0"/>
    </xf>
    <xf numFmtId="0" fontId="98" fillId="0" borderId="0" xfId="0" applyFont="1">
      <alignment vertical="center"/>
    </xf>
    <xf numFmtId="0" fontId="16" fillId="0" borderId="0" xfId="0" applyFont="1" applyAlignment="1">
      <alignment horizontal="left" vertical="center"/>
    </xf>
    <xf numFmtId="0" fontId="98" fillId="0" borderId="0" xfId="0" applyFont="1" applyFill="1">
      <alignment vertical="center"/>
    </xf>
    <xf numFmtId="0" fontId="98" fillId="0" borderId="0" xfId="0" applyFont="1" applyFill="1" applyAlignment="1">
      <alignment horizontal="left" vertical="center"/>
    </xf>
    <xf numFmtId="0" fontId="16" fillId="0" borderId="176" xfId="0" applyNumberFormat="1" applyFont="1" applyFill="1" applyBorder="1">
      <alignment vertical="center"/>
    </xf>
    <xf numFmtId="0" fontId="127" fillId="0" borderId="0" xfId="0" applyFont="1">
      <alignment vertical="center"/>
    </xf>
    <xf numFmtId="0" fontId="58" fillId="0" borderId="0" xfId="0" applyFont="1">
      <alignment vertical="center"/>
    </xf>
    <xf numFmtId="0" fontId="126" fillId="0" borderId="0" xfId="0" applyNumberFormat="1" applyFont="1" applyFill="1" applyBorder="1" applyAlignment="1">
      <alignment horizontal="left" vertical="center" wrapText="1"/>
    </xf>
    <xf numFmtId="0" fontId="16" fillId="0" borderId="0" xfId="0" applyFont="1" applyAlignment="1">
      <alignment horizontal="left" vertical="center" wrapText="1"/>
    </xf>
    <xf numFmtId="0" fontId="16" fillId="0" borderId="8" xfId="0" applyFont="1" applyFill="1" applyBorder="1" applyAlignment="1">
      <alignment horizontal="left" vertical="center" wrapText="1"/>
    </xf>
    <xf numFmtId="0" fontId="58" fillId="0" borderId="75" xfId="0" applyNumberFormat="1" applyFont="1" applyFill="1" applyBorder="1" applyAlignment="1">
      <alignment horizontal="justify" vertical="center"/>
    </xf>
    <xf numFmtId="0" fontId="58" fillId="0" borderId="76" xfId="0" applyNumberFormat="1" applyFont="1" applyFill="1" applyBorder="1" applyAlignment="1">
      <alignment horizontal="justify" vertical="center"/>
    </xf>
    <xf numFmtId="0" fontId="16" fillId="0" borderId="176" xfId="0" applyNumberFormat="1" applyFont="1" applyFill="1" applyBorder="1" applyAlignment="1">
      <alignment vertical="center" wrapText="1"/>
    </xf>
    <xf numFmtId="0" fontId="120" fillId="0" borderId="177" xfId="0" applyFont="1" applyFill="1" applyBorder="1" applyAlignment="1">
      <alignment vertical="center" wrapText="1"/>
    </xf>
    <xf numFmtId="0" fontId="120" fillId="0" borderId="93" xfId="0" applyFont="1" applyFill="1" applyBorder="1" applyAlignment="1">
      <alignment vertical="center" wrapText="1"/>
    </xf>
    <xf numFmtId="0" fontId="53" fillId="0" borderId="0" xfId="0" applyFont="1" applyFill="1" applyBorder="1">
      <alignment vertical="center"/>
    </xf>
    <xf numFmtId="0" fontId="120" fillId="0" borderId="87" xfId="0" applyFont="1" applyFill="1" applyBorder="1" applyAlignment="1">
      <alignment vertical="center" wrapText="1"/>
    </xf>
    <xf numFmtId="0" fontId="120" fillId="0" borderId="0" xfId="0" applyFont="1" applyFill="1" applyBorder="1" applyAlignment="1">
      <alignment vertical="center" wrapText="1"/>
    </xf>
    <xf numFmtId="0" fontId="120" fillId="0" borderId="84" xfId="0" applyFont="1" applyFill="1" applyBorder="1" applyAlignment="1">
      <alignment vertical="center" wrapText="1"/>
    </xf>
    <xf numFmtId="184" fontId="24" fillId="0" borderId="0" xfId="0" applyNumberFormat="1" applyFont="1" applyFill="1" applyBorder="1">
      <alignment vertical="center"/>
    </xf>
    <xf numFmtId="49" fontId="16" fillId="0" borderId="0" xfId="0" applyNumberFormat="1" applyFont="1" applyFill="1">
      <alignment vertical="center"/>
    </xf>
    <xf numFmtId="0" fontId="16" fillId="0" borderId="0" xfId="0" applyFont="1" applyFill="1" applyAlignment="1">
      <alignment horizontal="right" vertical="center"/>
    </xf>
    <xf numFmtId="49" fontId="16" fillId="0" borderId="16" xfId="0" applyNumberFormat="1" applyFont="1" applyBorder="1">
      <alignment vertical="center"/>
    </xf>
    <xf numFmtId="0" fontId="98" fillId="0" borderId="12" xfId="0" applyFont="1" applyBorder="1">
      <alignment vertical="center"/>
    </xf>
    <xf numFmtId="0" fontId="28" fillId="0" borderId="13" xfId="0" applyFont="1" applyFill="1" applyBorder="1">
      <alignment vertical="center"/>
    </xf>
    <xf numFmtId="0" fontId="1" fillId="51" borderId="39" xfId="0" applyFont="1" applyFill="1" applyBorder="1" applyAlignment="1" applyProtection="1">
      <alignment horizontal="center" vertical="center"/>
      <protection locked="0"/>
    </xf>
    <xf numFmtId="0" fontId="1" fillId="51" borderId="0" xfId="0" applyFont="1" applyFill="1" applyBorder="1" applyAlignment="1" applyProtection="1">
      <alignment horizontal="center" vertical="center"/>
      <protection locked="0"/>
    </xf>
    <xf numFmtId="0" fontId="1" fillId="0" borderId="39" xfId="0" applyFont="1" applyFill="1" applyBorder="1" applyAlignment="1" applyProtection="1">
      <alignment horizontal="center" vertical="center"/>
      <protection locked="0" hidden="1"/>
    </xf>
    <xf numFmtId="0" fontId="1" fillId="0" borderId="0" xfId="0" applyFont="1" applyFill="1" applyBorder="1" applyAlignment="1" applyProtection="1">
      <alignment horizontal="center" vertical="center"/>
      <protection locked="0"/>
    </xf>
    <xf numFmtId="0" fontId="1" fillId="8" borderId="39" xfId="0" applyFont="1" applyFill="1" applyBorder="1" applyAlignment="1" applyProtection="1">
      <alignment horizontal="center" vertical="center"/>
      <protection locked="0" hidden="1"/>
    </xf>
    <xf numFmtId="0" fontId="1" fillId="8" borderId="0" xfId="0" applyFont="1" applyFill="1" applyBorder="1" applyAlignment="1" applyProtection="1">
      <alignment horizontal="center" vertical="center"/>
      <protection locked="0"/>
    </xf>
    <xf numFmtId="0" fontId="1" fillId="0" borderId="12" xfId="0" applyFont="1" applyFill="1" applyBorder="1" applyAlignment="1" applyProtection="1">
      <alignment horizontal="center" vertical="center"/>
      <protection locked="0"/>
    </xf>
    <xf numFmtId="0" fontId="1" fillId="8" borderId="12" xfId="0" applyFont="1" applyFill="1" applyBorder="1" applyAlignment="1" applyProtection="1">
      <alignment horizontal="center" vertical="center"/>
      <protection locked="0"/>
    </xf>
    <xf numFmtId="0" fontId="1" fillId="0" borderId="178" xfId="0" applyFont="1" applyFill="1" applyBorder="1" applyAlignment="1" applyProtection="1">
      <alignment horizontal="center" vertical="center"/>
      <protection locked="0" hidden="1"/>
    </xf>
    <xf numFmtId="0" fontId="1" fillId="0" borderId="14" xfId="0" applyFont="1" applyFill="1" applyBorder="1" applyAlignment="1" applyProtection="1">
      <alignment horizontal="center" vertical="center"/>
      <protection locked="0"/>
    </xf>
    <xf numFmtId="0" fontId="1" fillId="0" borderId="14" xfId="0" applyFont="1" applyFill="1" applyBorder="1" applyAlignment="1" applyProtection="1">
      <alignment horizontal="center" vertical="center"/>
      <protection locked="0" hidden="1"/>
    </xf>
    <xf numFmtId="0" fontId="1" fillId="9" borderId="39" xfId="0" applyFont="1" applyFill="1" applyBorder="1" applyAlignment="1" applyProtection="1">
      <alignment horizontal="center" vertical="center"/>
      <protection locked="0" hidden="1"/>
    </xf>
    <xf numFmtId="0" fontId="1" fillId="9" borderId="178" xfId="0" applyFont="1" applyFill="1" applyBorder="1" applyAlignment="1" applyProtection="1">
      <alignment horizontal="center" vertical="center"/>
      <protection locked="0" hidden="1"/>
    </xf>
    <xf numFmtId="0" fontId="16" fillId="9" borderId="14" xfId="0" applyFont="1" applyFill="1" applyBorder="1" applyAlignment="1">
      <alignment horizontal="center" vertical="center"/>
    </xf>
    <xf numFmtId="0" fontId="16" fillId="0" borderId="178" xfId="0" applyFont="1" applyBorder="1" applyAlignment="1">
      <alignment horizontal="center" vertical="center"/>
    </xf>
    <xf numFmtId="0" fontId="28" fillId="0" borderId="16" xfId="0" applyFont="1" applyFill="1" applyBorder="1">
      <alignment vertical="center"/>
    </xf>
    <xf numFmtId="0" fontId="1" fillId="51" borderId="12" xfId="0" applyFont="1" applyFill="1" applyBorder="1" applyAlignment="1" applyProtection="1">
      <alignment horizontal="center" vertical="center"/>
      <protection locked="0"/>
    </xf>
    <xf numFmtId="0" fontId="10" fillId="7" borderId="0" xfId="0" applyFont="1" applyFill="1" applyBorder="1" applyAlignment="1" applyProtection="1">
      <alignment horizontal="center" vertical="center"/>
      <protection locked="0"/>
    </xf>
    <xf numFmtId="0" fontId="10" fillId="7" borderId="12" xfId="0" applyFont="1" applyFill="1" applyBorder="1" applyAlignment="1" applyProtection="1">
      <alignment horizontal="center" vertical="center"/>
      <protection locked="0"/>
    </xf>
    <xf numFmtId="0" fontId="1" fillId="51" borderId="11" xfId="0" applyFont="1" applyFill="1" applyBorder="1" applyAlignment="1" applyProtection="1">
      <alignment horizontal="center" vertical="center"/>
      <protection locked="0"/>
    </xf>
    <xf numFmtId="185" fontId="10" fillId="9" borderId="0" xfId="0" applyNumberFormat="1" applyFont="1" applyFill="1" applyBorder="1" applyAlignment="1" applyProtection="1">
      <alignment horizontal="center" vertical="center"/>
      <protection locked="0" hidden="1"/>
    </xf>
    <xf numFmtId="0" fontId="10" fillId="9" borderId="12" xfId="0" applyNumberFormat="1" applyFont="1" applyFill="1" applyBorder="1" applyAlignment="1">
      <alignment horizontal="center" vertical="center"/>
    </xf>
    <xf numFmtId="0" fontId="1" fillId="0" borderId="11" xfId="0" applyFont="1" applyFill="1" applyBorder="1" applyAlignment="1" applyProtection="1">
      <alignment horizontal="center" vertical="center"/>
      <protection locked="0" hidden="1"/>
    </xf>
    <xf numFmtId="185" fontId="10" fillId="0" borderId="16" xfId="0" applyNumberFormat="1" applyFont="1" applyFill="1" applyBorder="1" applyAlignment="1" applyProtection="1">
      <alignment horizontal="center" vertical="center"/>
      <protection locked="0" hidden="1"/>
    </xf>
    <xf numFmtId="0" fontId="10" fillId="0" borderId="14" xfId="0" applyNumberFormat="1" applyFont="1" applyFill="1" applyBorder="1" applyAlignment="1">
      <alignment horizontal="center" vertical="center"/>
    </xf>
    <xf numFmtId="0" fontId="1" fillId="0" borderId="16" xfId="0" applyFont="1" applyFill="1" applyBorder="1" applyAlignment="1" applyProtection="1">
      <alignment horizontal="center" vertical="center"/>
      <protection locked="0" hidden="1"/>
    </xf>
    <xf numFmtId="0" fontId="1" fillId="8" borderId="11" xfId="0" applyFont="1" applyFill="1" applyBorder="1" applyAlignment="1" applyProtection="1">
      <alignment horizontal="center" vertical="center"/>
      <protection locked="0" hidden="1"/>
    </xf>
    <xf numFmtId="0" fontId="1" fillId="0" borderId="0" xfId="0" applyFont="1" applyFill="1" applyAlignment="1" applyProtection="1">
      <alignment horizontal="center" vertical="center"/>
      <protection locked="0" hidden="1"/>
    </xf>
    <xf numFmtId="0" fontId="1" fillId="8" borderId="13" xfId="0" applyFont="1" applyFill="1" applyBorder="1" applyAlignment="1" applyProtection="1">
      <alignment horizontal="center" vertical="center"/>
      <protection locked="0" hidden="1"/>
    </xf>
    <xf numFmtId="0" fontId="1" fillId="8" borderId="14" xfId="0" applyFont="1" applyFill="1" applyBorder="1" applyAlignment="1" applyProtection="1">
      <alignment horizontal="center" vertical="center"/>
      <protection locked="0"/>
    </xf>
    <xf numFmtId="0" fontId="1" fillId="0" borderId="13" xfId="0" applyFont="1" applyFill="1" applyBorder="1" applyAlignment="1" applyProtection="1">
      <alignment horizontal="center" vertical="center"/>
      <protection locked="0" hidden="1"/>
    </xf>
    <xf numFmtId="0" fontId="1" fillId="0" borderId="0" xfId="0" applyFont="1" applyFill="1" applyBorder="1" applyProtection="1">
      <alignment vertical="center"/>
      <protection locked="0"/>
    </xf>
    <xf numFmtId="185" fontId="13" fillId="0" borderId="0" xfId="0" applyNumberFormat="1" applyFont="1" applyFill="1" applyBorder="1" applyAlignment="1" applyProtection="1">
      <alignment horizontal="center" vertical="center"/>
      <protection locked="0" hidden="1"/>
    </xf>
    <xf numFmtId="0" fontId="10" fillId="0" borderId="0" xfId="0" applyNumberFormat="1" applyFont="1" applyFill="1" applyBorder="1" applyAlignment="1">
      <alignment horizontal="center" vertical="center"/>
    </xf>
    <xf numFmtId="0" fontId="12" fillId="0" borderId="0" xfId="0" applyFont="1" applyFill="1" applyBorder="1">
      <alignment vertical="center"/>
    </xf>
    <xf numFmtId="0" fontId="16" fillId="0" borderId="7" xfId="0" applyNumberFormat="1" applyFont="1" applyBorder="1">
      <alignment vertical="center"/>
    </xf>
    <xf numFmtId="0" fontId="16" fillId="0" borderId="15" xfId="0" applyNumberFormat="1" applyFont="1" applyBorder="1">
      <alignment vertical="center"/>
    </xf>
    <xf numFmtId="0" fontId="16" fillId="0" borderId="0" xfId="0" applyNumberFormat="1" applyFont="1">
      <alignment vertical="center"/>
    </xf>
    <xf numFmtId="0" fontId="16" fillId="70" borderId="8" xfId="0" applyNumberFormat="1" applyFont="1" applyFill="1" applyBorder="1">
      <alignment vertical="center"/>
    </xf>
    <xf numFmtId="0" fontId="16" fillId="7" borderId="0" xfId="0" applyNumberFormat="1" applyFont="1" applyFill="1" applyBorder="1" applyAlignment="1">
      <alignment horizontal="left" vertical="center"/>
    </xf>
    <xf numFmtId="0" fontId="13" fillId="70" borderId="11" xfId="0" applyNumberFormat="1" applyFont="1" applyFill="1" applyBorder="1" applyAlignment="1">
      <alignment horizontal="center" vertical="center"/>
    </xf>
    <xf numFmtId="0" fontId="16" fillId="0" borderId="0" xfId="0" applyNumberFormat="1" applyFont="1" applyBorder="1" applyAlignment="1">
      <alignment horizontal="left" vertical="center"/>
    </xf>
    <xf numFmtId="0" fontId="16" fillId="0" borderId="14" xfId="0" applyNumberFormat="1" applyFont="1" applyBorder="1">
      <alignment vertical="center"/>
    </xf>
    <xf numFmtId="0" fontId="16" fillId="0" borderId="0" xfId="0" applyNumberFormat="1" applyFont="1" applyBorder="1">
      <alignment vertical="center"/>
    </xf>
    <xf numFmtId="0" fontId="13" fillId="70" borderId="13" xfId="0" applyNumberFormat="1" applyFont="1" applyFill="1" applyBorder="1" applyAlignment="1">
      <alignment horizontal="center" vertical="center"/>
    </xf>
    <xf numFmtId="0" fontId="16" fillId="0" borderId="16" xfId="0" applyNumberFormat="1" applyFont="1" applyBorder="1">
      <alignment vertical="center"/>
    </xf>
    <xf numFmtId="0" fontId="16" fillId="7" borderId="150" xfId="0" applyNumberFormat="1" applyFont="1" applyFill="1" applyBorder="1">
      <alignment vertical="center"/>
    </xf>
    <xf numFmtId="0" fontId="16" fillId="0" borderId="152" xfId="0" applyNumberFormat="1" applyFont="1" applyFill="1" applyBorder="1">
      <alignment vertical="center"/>
    </xf>
    <xf numFmtId="0" fontId="16" fillId="4" borderId="7" xfId="0" applyNumberFormat="1" applyFont="1" applyFill="1" applyBorder="1">
      <alignment vertical="center"/>
    </xf>
    <xf numFmtId="0" fontId="13" fillId="4" borderId="11" xfId="0" applyNumberFormat="1" applyFont="1" applyFill="1" applyBorder="1" applyAlignment="1">
      <alignment horizontal="center" vertical="center"/>
    </xf>
    <xf numFmtId="0" fontId="13" fillId="4" borderId="0" xfId="0" applyNumberFormat="1" applyFont="1" applyFill="1" applyBorder="1" applyAlignment="1">
      <alignment horizontal="center" vertical="center"/>
    </xf>
    <xf numFmtId="0" fontId="16" fillId="0" borderId="13" xfId="0" applyNumberFormat="1" applyFont="1" applyBorder="1" applyAlignment="1">
      <alignment horizontal="left" vertical="center"/>
    </xf>
    <xf numFmtId="0" fontId="16" fillId="0" borderId="16" xfId="0" applyNumberFormat="1" applyFont="1" applyBorder="1" applyAlignment="1">
      <alignment horizontal="left" vertical="center"/>
    </xf>
    <xf numFmtId="186" fontId="16" fillId="0" borderId="0" xfId="0" applyNumberFormat="1" applyFont="1">
      <alignment vertical="center"/>
    </xf>
    <xf numFmtId="0" fontId="16" fillId="9" borderId="11" xfId="0" applyNumberFormat="1" applyFont="1" applyFill="1" applyBorder="1">
      <alignment vertical="center"/>
    </xf>
    <xf numFmtId="0" fontId="13" fillId="4" borderId="12" xfId="0" applyNumberFormat="1" applyFont="1" applyFill="1" applyBorder="1" applyAlignment="1">
      <alignment horizontal="center" vertical="center"/>
    </xf>
    <xf numFmtId="0" fontId="16" fillId="0" borderId="13" xfId="0" applyNumberFormat="1" applyFont="1" applyBorder="1" applyAlignment="1">
      <alignment horizontal="center" vertical="center"/>
    </xf>
    <xf numFmtId="0" fontId="16" fillId="0" borderId="16" xfId="0" applyNumberFormat="1" applyFont="1" applyBorder="1" applyAlignment="1">
      <alignment horizontal="center" vertical="center"/>
    </xf>
    <xf numFmtId="0" fontId="16" fillId="9" borderId="13" xfId="0" applyNumberFormat="1" applyFont="1" applyFill="1" applyBorder="1">
      <alignment vertical="center"/>
    </xf>
    <xf numFmtId="186" fontId="26" fillId="0" borderId="0" xfId="0" applyNumberFormat="1" applyFont="1" applyAlignment="1">
      <alignment horizontal="left" vertical="center"/>
    </xf>
    <xf numFmtId="0" fontId="16" fillId="70" borderId="7" xfId="0" applyFont="1" applyFill="1" applyBorder="1">
      <alignment vertical="center"/>
    </xf>
    <xf numFmtId="0" fontId="13" fillId="70" borderId="15" xfId="0" applyFont="1" applyFill="1" applyBorder="1" applyAlignment="1">
      <alignment horizontal="center" vertical="center"/>
    </xf>
    <xf numFmtId="0" fontId="16" fillId="70" borderId="15" xfId="0" applyFont="1" applyFill="1" applyBorder="1">
      <alignment vertical="center"/>
    </xf>
    <xf numFmtId="0" fontId="16" fillId="69" borderId="7" xfId="0" applyFont="1" applyFill="1" applyBorder="1">
      <alignment vertical="center"/>
    </xf>
    <xf numFmtId="0" fontId="13" fillId="4" borderId="11" xfId="0" applyFont="1" applyFill="1" applyBorder="1" applyAlignment="1">
      <alignment vertical="center" wrapText="1"/>
    </xf>
    <xf numFmtId="0" fontId="16" fillId="8" borderId="0" xfId="0" applyNumberFormat="1" applyFont="1" applyFill="1" applyBorder="1" applyAlignment="1" applyProtection="1">
      <alignment horizontal="center" vertical="center"/>
      <protection locked="0"/>
    </xf>
    <xf numFmtId="0" fontId="13" fillId="8" borderId="0" xfId="0" applyNumberFormat="1" applyFont="1" applyFill="1" applyBorder="1" applyAlignment="1">
      <alignment horizontal="center" vertical="center"/>
    </xf>
    <xf numFmtId="0" fontId="13" fillId="4" borderId="11" xfId="0" applyFont="1" applyFill="1" applyBorder="1">
      <alignment vertical="center"/>
    </xf>
    <xf numFmtId="0" fontId="13" fillId="8" borderId="0" xfId="0" applyFont="1" applyFill="1" applyBorder="1" applyAlignment="1">
      <alignment horizontal="center" vertical="center"/>
    </xf>
    <xf numFmtId="0" fontId="13" fillId="7" borderId="11" xfId="0" applyFont="1" applyFill="1" applyBorder="1" applyAlignment="1">
      <alignment vertical="center" wrapText="1"/>
    </xf>
    <xf numFmtId="2" fontId="13" fillId="0" borderId="0" xfId="0" applyNumberFormat="1" applyFont="1" applyFill="1" applyBorder="1">
      <alignment vertical="center"/>
    </xf>
    <xf numFmtId="0" fontId="16" fillId="7" borderId="12" xfId="0" applyNumberFormat="1" applyFont="1" applyFill="1" applyBorder="1" applyAlignment="1">
      <alignment horizontal="left" vertical="center"/>
    </xf>
    <xf numFmtId="0" fontId="16" fillId="0" borderId="12" xfId="0" applyNumberFormat="1" applyFont="1" applyBorder="1" applyAlignment="1">
      <alignment horizontal="left" vertical="center"/>
    </xf>
    <xf numFmtId="0" fontId="16" fillId="0" borderId="14" xfId="0" applyNumberFormat="1" applyFont="1" applyBorder="1" applyAlignment="1">
      <alignment horizontal="left" vertical="center"/>
    </xf>
    <xf numFmtId="0" fontId="16" fillId="0" borderId="14" xfId="0" applyNumberFormat="1" applyFont="1" applyBorder="1" applyAlignment="1">
      <alignment horizontal="center" vertical="center"/>
    </xf>
    <xf numFmtId="0" fontId="13" fillId="70" borderId="8" xfId="0" applyFont="1" applyFill="1" applyBorder="1" applyAlignment="1">
      <alignment horizontal="center" vertical="center"/>
    </xf>
    <xf numFmtId="0" fontId="13" fillId="8" borderId="12" xfId="0" applyNumberFormat="1" applyFont="1" applyFill="1" applyBorder="1" applyAlignment="1">
      <alignment horizontal="center" vertical="center"/>
    </xf>
    <xf numFmtId="0" fontId="114" fillId="0" borderId="0" xfId="0" applyFont="1" applyFill="1" applyBorder="1">
      <alignment vertical="center"/>
    </xf>
    <xf numFmtId="0" fontId="13" fillId="0" borderId="0" xfId="0" applyNumberFormat="1" applyFont="1" applyFill="1" applyBorder="1">
      <alignment vertical="center"/>
    </xf>
    <xf numFmtId="2" fontId="16" fillId="0" borderId="0" xfId="0" applyNumberFormat="1" applyFont="1" applyBorder="1">
      <alignment vertical="center"/>
    </xf>
    <xf numFmtId="0" fontId="13" fillId="4" borderId="13" xfId="0" applyFont="1" applyFill="1" applyBorder="1">
      <alignment vertical="center"/>
    </xf>
    <xf numFmtId="0" fontId="16" fillId="8" borderId="16" xfId="0" applyNumberFormat="1" applyFont="1" applyFill="1" applyBorder="1" applyAlignment="1" applyProtection="1">
      <alignment horizontal="center" vertical="center"/>
      <protection locked="0"/>
    </xf>
    <xf numFmtId="0" fontId="13" fillId="8" borderId="16" xfId="0" applyNumberFormat="1" applyFont="1" applyFill="1" applyBorder="1" applyAlignment="1">
      <alignment horizontal="center" vertical="center"/>
    </xf>
    <xf numFmtId="0" fontId="13" fillId="0" borderId="0" xfId="0" applyFont="1" applyFill="1" applyBorder="1" applyAlignment="1">
      <alignment horizontal="center" vertical="center"/>
    </xf>
    <xf numFmtId="0" fontId="13" fillId="0" borderId="0" xfId="0" applyNumberFormat="1" applyFont="1" applyFill="1" applyBorder="1" applyAlignment="1">
      <alignment horizontal="center" vertical="center"/>
    </xf>
    <xf numFmtId="0" fontId="13" fillId="0" borderId="0" xfId="0" applyFont="1" applyFill="1" applyBorder="1" applyAlignment="1">
      <alignment horizontal="center" vertical="center" wrapText="1"/>
    </xf>
    <xf numFmtId="0" fontId="13" fillId="8" borderId="14" xfId="0" applyNumberFormat="1" applyFont="1" applyFill="1" applyBorder="1" applyAlignment="1">
      <alignment horizontal="center" vertical="center"/>
    </xf>
    <xf numFmtId="0" fontId="58" fillId="0" borderId="77" xfId="0" applyNumberFormat="1" applyFont="1" applyFill="1" applyBorder="1" applyAlignment="1">
      <alignment horizontal="justify" vertical="center"/>
    </xf>
    <xf numFmtId="0" fontId="28" fillId="0" borderId="0" xfId="0" applyFont="1" applyFill="1">
      <alignment vertical="center"/>
    </xf>
    <xf numFmtId="0" fontId="90" fillId="0" borderId="0" xfId="0" applyFont="1" applyFill="1" applyAlignment="1">
      <alignment vertical="center" wrapText="1"/>
    </xf>
    <xf numFmtId="0" fontId="128" fillId="0" borderId="0" xfId="0" applyFont="1" applyFill="1">
      <alignment vertical="center"/>
    </xf>
    <xf numFmtId="0" fontId="128" fillId="3" borderId="0" xfId="0" applyFont="1" applyFill="1">
      <alignment vertical="center"/>
    </xf>
    <xf numFmtId="0" fontId="28" fillId="72" borderId="0" xfId="0" applyFont="1" applyFill="1">
      <alignment vertical="center"/>
    </xf>
    <xf numFmtId="0" fontId="28" fillId="3" borderId="0" xfId="0" applyFont="1" applyFill="1">
      <alignment vertical="center"/>
    </xf>
    <xf numFmtId="0" fontId="28" fillId="41" borderId="0" xfId="0" applyFont="1" applyFill="1">
      <alignment vertical="center"/>
    </xf>
    <xf numFmtId="0" fontId="28" fillId="13" borderId="0" xfId="0" applyFont="1" applyFill="1">
      <alignment vertical="center"/>
    </xf>
    <xf numFmtId="0" fontId="28" fillId="73" borderId="0" xfId="0" applyFont="1" applyFill="1">
      <alignment vertical="center"/>
    </xf>
    <xf numFmtId="0" fontId="28" fillId="26" borderId="0" xfId="0" applyFont="1" applyFill="1">
      <alignment vertical="center"/>
    </xf>
    <xf numFmtId="0" fontId="28" fillId="74" borderId="0" xfId="0" applyFont="1" applyFill="1">
      <alignment vertical="center"/>
    </xf>
    <xf numFmtId="0" fontId="28" fillId="14" borderId="0" xfId="0" applyFont="1" applyFill="1">
      <alignment vertical="center"/>
    </xf>
    <xf numFmtId="0" fontId="28" fillId="9" borderId="0" xfId="0" applyFont="1" applyFill="1">
      <alignment vertical="center"/>
    </xf>
    <xf numFmtId="0" fontId="28" fillId="75" borderId="0" xfId="0" applyFont="1" applyFill="1">
      <alignment vertical="center"/>
    </xf>
    <xf numFmtId="0" fontId="90" fillId="0" borderId="0" xfId="0" applyFont="1" applyFill="1" applyAlignment="1">
      <alignment vertical="center" shrinkToFit="1"/>
    </xf>
    <xf numFmtId="0" fontId="129" fillId="0" borderId="0" xfId="0" applyFont="1" applyFill="1" applyBorder="1" applyAlignment="1"/>
    <xf numFmtId="0" fontId="129" fillId="0" borderId="0" xfId="0" applyFont="1" applyFill="1" applyAlignment="1"/>
    <xf numFmtId="0" fontId="130" fillId="0" borderId="0" xfId="0" applyFont="1" applyFill="1" applyAlignment="1"/>
    <xf numFmtId="16" fontId="130" fillId="0" borderId="0" xfId="0" applyNumberFormat="1" applyFont="1" applyFill="1" applyAlignment="1"/>
    <xf numFmtId="0" fontId="129" fillId="3" borderId="39" xfId="0" applyFont="1" applyFill="1" applyBorder="1" applyAlignment="1">
      <alignment vertical="center" wrapText="1"/>
    </xf>
    <xf numFmtId="0" fontId="130" fillId="3" borderId="0" xfId="0" applyFont="1" applyFill="1" applyAlignment="1"/>
    <xf numFmtId="0" fontId="128" fillId="0" borderId="0" xfId="0" applyFont="1" applyFill="1" applyAlignment="1">
      <alignment horizontal="left"/>
    </xf>
    <xf numFmtId="0" fontId="131" fillId="0" borderId="0" xfId="0" applyFont="1" applyFill="1" applyBorder="1">
      <alignment vertical="center"/>
    </xf>
    <xf numFmtId="0" fontId="131" fillId="0" borderId="0" xfId="0" applyFont="1" applyFill="1" applyAlignment="1">
      <alignment horizontal="left"/>
    </xf>
    <xf numFmtId="0" fontId="132" fillId="0" borderId="0" xfId="0" applyFont="1" applyFill="1" applyAlignment="1">
      <alignment horizontal="left"/>
    </xf>
    <xf numFmtId="0" fontId="131" fillId="0" borderId="0" xfId="0" applyFont="1" applyFill="1" applyBorder="1" applyAlignment="1">
      <alignment horizontal="left"/>
    </xf>
    <xf numFmtId="0" fontId="131" fillId="72" borderId="0" xfId="0" applyFont="1" applyFill="1" applyBorder="1" applyAlignment="1">
      <alignment vertical="center" wrapText="1"/>
    </xf>
    <xf numFmtId="0" fontId="131" fillId="72" borderId="0" xfId="0" applyFont="1" applyFill="1" applyAlignment="1">
      <alignment horizontal="left"/>
    </xf>
    <xf numFmtId="0" fontId="131" fillId="72" borderId="0" xfId="0" applyFont="1" applyFill="1" applyBorder="1" applyAlignment="1">
      <alignment horizontal="left"/>
    </xf>
    <xf numFmtId="0" fontId="132" fillId="0" borderId="0" xfId="0" applyFont="1" applyFill="1" applyAlignment="1"/>
    <xf numFmtId="0" fontId="133" fillId="0" borderId="0" xfId="0" applyFont="1" applyFill="1" applyAlignment="1">
      <alignment horizontal="left"/>
    </xf>
    <xf numFmtId="0" fontId="131" fillId="3" borderId="0" xfId="0" applyFont="1" applyFill="1" applyBorder="1">
      <alignment vertical="center"/>
    </xf>
    <xf numFmtId="0" fontId="131" fillId="3" borderId="0" xfId="0" applyFont="1" applyFill="1" applyAlignment="1">
      <alignment horizontal="left"/>
    </xf>
    <xf numFmtId="0" fontId="131" fillId="3" borderId="0" xfId="0" applyFont="1" applyFill="1" applyBorder="1" applyAlignment="1">
      <alignment horizontal="left"/>
    </xf>
    <xf numFmtId="0" fontId="132" fillId="3" borderId="0" xfId="0" applyFont="1" applyFill="1" applyAlignment="1">
      <alignment horizontal="left"/>
    </xf>
    <xf numFmtId="0" fontId="132" fillId="0" borderId="0" xfId="0" applyFont="1" applyFill="1" applyBorder="1">
      <alignment vertical="center"/>
    </xf>
    <xf numFmtId="0" fontId="131" fillId="41" borderId="0" xfId="0" applyFont="1" applyFill="1" applyBorder="1">
      <alignment vertical="center"/>
    </xf>
    <xf numFmtId="0" fontId="131" fillId="41" borderId="0" xfId="0" applyFont="1" applyFill="1" applyAlignment="1">
      <alignment horizontal="left"/>
    </xf>
    <xf numFmtId="0" fontId="131" fillId="41" borderId="0" xfId="0" applyFont="1" applyFill="1" applyBorder="1" applyAlignment="1">
      <alignment horizontal="left"/>
    </xf>
    <xf numFmtId="0" fontId="132" fillId="13" borderId="0" xfId="0" applyFont="1" applyFill="1" applyBorder="1" applyAlignment="1"/>
    <xf numFmtId="0" fontId="131" fillId="13" borderId="0" xfId="0" applyFont="1" applyFill="1" applyAlignment="1">
      <alignment horizontal="left"/>
    </xf>
    <xf numFmtId="0" fontId="131" fillId="13" borderId="0" xfId="0" applyFont="1" applyFill="1" applyBorder="1" applyAlignment="1">
      <alignment horizontal="left"/>
    </xf>
    <xf numFmtId="0" fontId="132" fillId="0" borderId="0" xfId="0" applyFont="1" applyFill="1" applyBorder="1" applyAlignment="1"/>
    <xf numFmtId="0" fontId="132" fillId="73" borderId="0" xfId="0" applyFont="1" applyFill="1" applyBorder="1" applyAlignment="1"/>
    <xf numFmtId="0" fontId="131" fillId="73" borderId="0" xfId="0" applyFont="1" applyFill="1" applyAlignment="1">
      <alignment horizontal="left"/>
    </xf>
    <xf numFmtId="0" fontId="131" fillId="73" borderId="0" xfId="0" applyFont="1" applyFill="1" applyBorder="1" applyAlignment="1">
      <alignment horizontal="left"/>
    </xf>
    <xf numFmtId="0" fontId="134" fillId="0" borderId="0" xfId="0" applyFont="1" applyFill="1">
      <alignment vertical="center"/>
    </xf>
    <xf numFmtId="0" fontId="135" fillId="0" borderId="0" xfId="0" applyFont="1" applyFill="1">
      <alignment vertical="center"/>
    </xf>
    <xf numFmtId="0" fontId="132" fillId="26" borderId="0" xfId="0" applyFont="1" applyFill="1" applyBorder="1">
      <alignment vertical="center"/>
    </xf>
    <xf numFmtId="0" fontId="131" fillId="26" borderId="0" xfId="0" applyFont="1" applyFill="1" applyAlignment="1">
      <alignment horizontal="left"/>
    </xf>
    <xf numFmtId="0" fontId="131" fillId="26" borderId="0" xfId="0" applyFont="1" applyFill="1" applyBorder="1" applyAlignment="1">
      <alignment horizontal="left"/>
    </xf>
    <xf numFmtId="0" fontId="131" fillId="74" borderId="0" xfId="0" applyFont="1" applyFill="1" applyBorder="1">
      <alignment vertical="center"/>
    </xf>
    <xf numFmtId="0" fontId="131" fillId="74" borderId="0" xfId="0" applyFont="1" applyFill="1" applyAlignment="1">
      <alignment horizontal="left"/>
    </xf>
    <xf numFmtId="0" fontId="131" fillId="74" borderId="0" xfId="0" applyFont="1" applyFill="1" applyBorder="1" applyAlignment="1">
      <alignment horizontal="left"/>
    </xf>
    <xf numFmtId="0" fontId="132" fillId="0" borderId="39" xfId="0" applyFont="1" applyFill="1" applyBorder="1">
      <alignment vertical="center"/>
    </xf>
    <xf numFmtId="0" fontId="131" fillId="0" borderId="39" xfId="0" applyFont="1" applyFill="1" applyBorder="1">
      <alignment vertical="center"/>
    </xf>
    <xf numFmtId="0" fontId="131" fillId="14" borderId="39" xfId="0" applyFont="1" applyFill="1" applyBorder="1">
      <alignment vertical="center"/>
    </xf>
    <xf numFmtId="0" fontId="131" fillId="14" borderId="0" xfId="0" applyFont="1" applyFill="1" applyAlignment="1">
      <alignment horizontal="left"/>
    </xf>
    <xf numFmtId="0" fontId="131" fillId="14" borderId="0" xfId="0" applyFont="1" applyFill="1" applyBorder="1" applyAlignment="1">
      <alignment horizontal="left"/>
    </xf>
    <xf numFmtId="0" fontId="132" fillId="9" borderId="39" xfId="0" applyFont="1" applyFill="1" applyBorder="1">
      <alignment vertical="center"/>
    </xf>
    <xf numFmtId="0" fontId="131" fillId="9" borderId="0" xfId="0" applyFont="1" applyFill="1" applyAlignment="1">
      <alignment horizontal="left"/>
    </xf>
    <xf numFmtId="0" fontId="131" fillId="74" borderId="39" xfId="0" applyFont="1" applyFill="1" applyBorder="1">
      <alignment vertical="center"/>
    </xf>
    <xf numFmtId="0" fontId="132" fillId="9" borderId="0" xfId="0" applyFont="1" applyFill="1" applyAlignment="1">
      <alignment horizontal="left"/>
    </xf>
    <xf numFmtId="0" fontId="132" fillId="13" borderId="0" xfId="0" applyFont="1" applyFill="1" applyAlignment="1">
      <alignment horizontal="left"/>
    </xf>
    <xf numFmtId="0" fontId="136" fillId="0" borderId="0" xfId="0" applyFont="1" applyFill="1" applyAlignment="1">
      <alignment horizontal="left"/>
    </xf>
    <xf numFmtId="0" fontId="132" fillId="74" borderId="0" xfId="0" applyFont="1" applyFill="1" applyBorder="1" applyAlignment="1">
      <alignment horizontal="left"/>
    </xf>
    <xf numFmtId="0" fontId="133" fillId="3" borderId="0" xfId="0" applyFont="1" applyFill="1" applyAlignment="1">
      <alignment horizontal="left"/>
    </xf>
    <xf numFmtId="0" fontId="137" fillId="73" borderId="0" xfId="0" applyFont="1" applyFill="1" applyAlignment="1">
      <alignment horizontal="left"/>
    </xf>
    <xf numFmtId="0" fontId="137" fillId="0" borderId="0" xfId="0" applyFont="1" applyFill="1" applyAlignment="1">
      <alignment horizontal="left"/>
    </xf>
    <xf numFmtId="0" fontId="133" fillId="26" borderId="0" xfId="0" applyFont="1" applyFill="1" applyAlignment="1">
      <alignment horizontal="left"/>
    </xf>
    <xf numFmtId="0" fontId="132" fillId="73" borderId="0" xfId="0" applyFont="1" applyFill="1" applyAlignment="1">
      <alignment horizontal="left"/>
    </xf>
    <xf numFmtId="0" fontId="132" fillId="72" borderId="0" xfId="0" applyFont="1" applyFill="1" applyAlignment="1">
      <alignment horizontal="left"/>
    </xf>
    <xf numFmtId="0" fontId="132" fillId="0" borderId="0" xfId="0" applyFont="1" applyFill="1" applyBorder="1" applyAlignment="1">
      <alignment horizontal="left"/>
    </xf>
    <xf numFmtId="0" fontId="133" fillId="74" borderId="0" xfId="0" applyFont="1" applyFill="1" applyAlignment="1">
      <alignment horizontal="left"/>
    </xf>
    <xf numFmtId="0" fontId="133" fillId="9" borderId="0" xfId="0" applyFont="1" applyFill="1" applyAlignment="1">
      <alignment horizontal="left"/>
    </xf>
    <xf numFmtId="0" fontId="132" fillId="73" borderId="0" xfId="0" applyFont="1" applyFill="1" applyBorder="1" applyAlignment="1">
      <alignment horizontal="left"/>
    </xf>
    <xf numFmtId="0" fontId="131" fillId="9" borderId="0" xfId="0" applyFont="1" applyFill="1" applyBorder="1" applyAlignment="1">
      <alignment horizontal="left"/>
    </xf>
    <xf numFmtId="0" fontId="132" fillId="26" borderId="0" xfId="0" applyFont="1" applyFill="1" applyAlignment="1">
      <alignment horizontal="left"/>
    </xf>
    <xf numFmtId="0" fontId="42" fillId="0" borderId="0" xfId="0" applyFont="1" applyFill="1" applyAlignment="1">
      <alignment vertical="center" shrinkToFit="1"/>
    </xf>
    <xf numFmtId="0" fontId="132" fillId="72" borderId="0" xfId="0" applyFont="1" applyFill="1" applyBorder="1" applyAlignment="1">
      <alignment horizontal="left"/>
    </xf>
    <xf numFmtId="0" fontId="132" fillId="26" borderId="0" xfId="0" applyFont="1" applyFill="1" applyBorder="1" applyAlignment="1">
      <alignment horizontal="left"/>
    </xf>
    <xf numFmtId="0" fontId="132" fillId="74" borderId="0" xfId="0" applyFont="1" applyFill="1" applyAlignment="1">
      <alignment horizontal="left"/>
    </xf>
    <xf numFmtId="0" fontId="135" fillId="14" borderId="0" xfId="0" applyFont="1" applyFill="1" applyAlignment="1">
      <alignment horizontal="left"/>
    </xf>
    <xf numFmtId="0" fontId="132" fillId="14" borderId="0" xfId="0" applyFont="1" applyFill="1" applyAlignment="1">
      <alignment horizontal="left"/>
    </xf>
    <xf numFmtId="0" fontId="134" fillId="0" borderId="0" xfId="0" applyFont="1" applyFill="1" applyAlignment="1">
      <alignment horizontal="left"/>
    </xf>
    <xf numFmtId="0" fontId="132" fillId="41" borderId="0" xfId="0" applyFont="1" applyFill="1" applyAlignment="1">
      <alignment horizontal="left"/>
    </xf>
    <xf numFmtId="0" fontId="132" fillId="14" borderId="0" xfId="0" applyFont="1" applyFill="1" applyBorder="1" applyAlignment="1">
      <alignment horizontal="left"/>
    </xf>
    <xf numFmtId="0" fontId="131" fillId="0" borderId="0" xfId="0" applyFont="1" applyFill="1" applyAlignment="1"/>
    <xf numFmtId="0" fontId="138" fillId="0" borderId="0" xfId="0" applyFont="1" applyFill="1" applyAlignment="1"/>
    <xf numFmtId="0" fontId="138" fillId="3" borderId="0" xfId="0" applyFont="1" applyFill="1" applyAlignment="1"/>
    <xf numFmtId="0" fontId="131" fillId="72" borderId="0" xfId="0" applyFont="1" applyFill="1" applyAlignment="1"/>
    <xf numFmtId="0" fontId="131" fillId="3" borderId="0" xfId="0" applyFont="1" applyFill="1" applyAlignment="1"/>
    <xf numFmtId="0" fontId="131" fillId="41" borderId="0" xfId="0" applyFont="1" applyFill="1" applyAlignment="1"/>
    <xf numFmtId="0" fontId="131" fillId="13" borderId="0" xfId="0" applyFont="1" applyFill="1" applyAlignment="1"/>
    <xf numFmtId="0" fontId="131" fillId="73" borderId="0" xfId="0" applyFont="1" applyFill="1" applyAlignment="1"/>
    <xf numFmtId="0" fontId="131" fillId="26" borderId="0" xfId="0" applyFont="1" applyFill="1" applyAlignment="1"/>
    <xf numFmtId="0" fontId="131" fillId="74" borderId="0" xfId="0" applyFont="1" applyFill="1" applyAlignment="1"/>
    <xf numFmtId="0" fontId="131" fillId="14" borderId="0" xfId="0" applyFont="1" applyFill="1" applyAlignment="1"/>
    <xf numFmtId="0" fontId="131" fillId="9" borderId="0" xfId="0" applyFont="1" applyFill="1" applyAlignment="1"/>
    <xf numFmtId="0" fontId="134" fillId="75" borderId="0" xfId="0" applyFont="1" applyFill="1">
      <alignment vertical="center"/>
    </xf>
    <xf numFmtId="0" fontId="131" fillId="75" borderId="0" xfId="0" applyFont="1" applyFill="1" applyAlignment="1">
      <alignment horizontal="left"/>
    </xf>
    <xf numFmtId="0" fontId="131" fillId="75" borderId="0" xfId="0" applyFont="1" applyFill="1" applyBorder="1" applyAlignment="1">
      <alignment horizontal="left"/>
    </xf>
    <xf numFmtId="0" fontId="132" fillId="0" borderId="39" xfId="0" applyFont="1" applyFill="1" applyBorder="1" applyAlignment="1">
      <alignment vertical="center" wrapText="1"/>
    </xf>
    <xf numFmtId="0" fontId="132" fillId="0" borderId="0" xfId="0" applyFont="1" applyFill="1" applyBorder="1" applyAlignment="1">
      <alignment vertical="center" wrapText="1"/>
    </xf>
    <xf numFmtId="0" fontId="27" fillId="0" borderId="0" xfId="0" applyFont="1" applyFill="1">
      <alignment vertical="center"/>
    </xf>
    <xf numFmtId="0" fontId="135" fillId="75" borderId="0" xfId="0" applyFont="1" applyFill="1">
      <alignment vertical="center"/>
    </xf>
    <xf numFmtId="0" fontId="131" fillId="75" borderId="0" xfId="0" applyFont="1" applyFill="1" applyAlignment="1"/>
    <xf numFmtId="0" fontId="10" fillId="32" borderId="1" xfId="0" applyNumberFormat="1" applyFont="1" applyFill="1" applyBorder="1" applyAlignment="1" applyProtection="1">
      <alignment horizontal="center" vertical="center"/>
      <protection locked="0"/>
    </xf>
    <xf numFmtId="0" fontId="139" fillId="0" borderId="0" xfId="0" applyNumberFormat="1" applyFont="1" applyFill="1" applyBorder="1" applyAlignment="1" applyProtection="1">
      <alignment horizontal="center" vertical="center"/>
      <protection locked="0"/>
    </xf>
    <xf numFmtId="0" fontId="0" fillId="0" borderId="0" xfId="0" applyNumberFormat="1" applyFont="1" applyFill="1" applyBorder="1" applyAlignment="1" applyProtection="1">
      <alignment horizontal="center" vertical="center"/>
      <protection locked="0"/>
    </xf>
    <xf numFmtId="0" fontId="1" fillId="76" borderId="1" xfId="0" applyNumberFormat="1" applyFont="1" applyFill="1" applyBorder="1" applyAlignment="1" applyProtection="1">
      <alignment horizontal="center" vertical="center"/>
      <protection locked="0"/>
    </xf>
    <xf numFmtId="0" fontId="1" fillId="76" borderId="0" xfId="0" applyNumberFormat="1" applyFont="1" applyFill="1" applyBorder="1" applyAlignment="1" applyProtection="1">
      <alignment horizontal="center" vertical="center"/>
      <protection locked="0"/>
    </xf>
    <xf numFmtId="0" fontId="10" fillId="77" borderId="5" xfId="0" applyNumberFormat="1" applyFont="1" applyFill="1" applyBorder="1" applyAlignment="1" applyProtection="1">
      <alignment horizontal="center" vertical="center"/>
      <protection locked="0"/>
    </xf>
    <xf numFmtId="0" fontId="0" fillId="78" borderId="1" xfId="0" applyNumberFormat="1" applyFont="1" applyFill="1" applyBorder="1" applyAlignment="1" applyProtection="1">
      <alignment horizontal="center" vertical="center"/>
      <protection locked="0"/>
    </xf>
    <xf numFmtId="0" fontId="0" fillId="77" borderId="1" xfId="0" applyNumberFormat="1" applyFont="1" applyFill="1" applyBorder="1" applyAlignment="1" applyProtection="1">
      <alignment horizontal="center" vertical="center"/>
      <protection locked="0"/>
    </xf>
    <xf numFmtId="0" fontId="29" fillId="78" borderId="4" xfId="0" applyNumberFormat="1" applyFont="1" applyFill="1" applyBorder="1" applyAlignment="1" applyProtection="1">
      <alignment horizontal="center" vertical="center"/>
      <protection locked="0"/>
    </xf>
    <xf numFmtId="0" fontId="29" fillId="78" borderId="1" xfId="0" applyNumberFormat="1" applyFont="1" applyFill="1" applyBorder="1" applyAlignment="1" applyProtection="1">
      <alignment horizontal="center" vertical="center"/>
      <protection locked="0"/>
    </xf>
    <xf numFmtId="0" fontId="97" fillId="0" borderId="0" xfId="0" applyFont="1" applyFill="1" applyAlignment="1">
      <alignment horizontal="center" vertical="center" wrapText="1"/>
    </xf>
    <xf numFmtId="0" fontId="97" fillId="0" borderId="0" xfId="0" applyFont="1" applyFill="1" applyAlignment="1">
      <alignment horizontal="left" vertical="center" wrapText="1"/>
    </xf>
    <xf numFmtId="49" fontId="97" fillId="0" borderId="0" xfId="0" applyNumberFormat="1" applyFont="1" applyFill="1" applyAlignment="1">
      <alignment horizontal="center" vertical="center" wrapText="1"/>
    </xf>
    <xf numFmtId="0" fontId="121" fillId="0" borderId="0" xfId="0" applyFont="1" applyFill="1" applyAlignment="1">
      <alignment horizontal="center" vertical="center"/>
    </xf>
    <xf numFmtId="0" fontId="140" fillId="2" borderId="7" xfId="0" applyFont="1" applyFill="1" applyBorder="1" applyAlignment="1">
      <alignment horizontal="center" vertical="center" wrapText="1"/>
    </xf>
    <xf numFmtId="0" fontId="140" fillId="2" borderId="15" xfId="0" applyFont="1" applyFill="1" applyBorder="1" applyAlignment="1">
      <alignment horizontal="center" vertical="center" wrapText="1"/>
    </xf>
    <xf numFmtId="49" fontId="140" fillId="2" borderId="15" xfId="0" applyNumberFormat="1" applyFont="1" applyFill="1" applyBorder="1" applyAlignment="1">
      <alignment horizontal="center" vertical="center" wrapText="1"/>
    </xf>
    <xf numFmtId="0" fontId="140" fillId="2" borderId="8" xfId="0" applyFont="1" applyFill="1" applyBorder="1" applyAlignment="1">
      <alignment horizontal="center" vertical="center" wrapText="1"/>
    </xf>
    <xf numFmtId="0" fontId="97" fillId="0" borderId="0" xfId="0" applyFont="1" applyFill="1" applyBorder="1" applyAlignment="1">
      <alignment horizontal="center" vertical="center" wrapText="1"/>
    </xf>
    <xf numFmtId="0" fontId="97" fillId="0" borderId="11" xfId="0" applyFont="1" applyFill="1" applyBorder="1" applyAlignment="1">
      <alignment horizontal="center" vertical="center" wrapText="1"/>
    </xf>
    <xf numFmtId="0" fontId="97" fillId="38" borderId="11" xfId="0" applyFont="1" applyFill="1" applyBorder="1" applyAlignment="1">
      <alignment horizontal="center" vertical="center" wrapText="1"/>
    </xf>
    <xf numFmtId="0" fontId="97" fillId="38" borderId="0" xfId="0" applyFont="1" applyFill="1" applyBorder="1" applyAlignment="1" applyProtection="1">
      <alignment vertical="center" wrapText="1"/>
      <protection locked="0"/>
    </xf>
    <xf numFmtId="0" fontId="98" fillId="79" borderId="0" xfId="0" applyFont="1" applyFill="1" applyBorder="1" applyAlignment="1" applyProtection="1">
      <alignment horizontal="center" vertical="center" wrapText="1"/>
      <protection locked="0"/>
    </xf>
    <xf numFmtId="49" fontId="97" fillId="78" borderId="0" xfId="0" applyNumberFormat="1" applyFont="1" applyFill="1" applyBorder="1" applyAlignment="1" applyProtection="1">
      <alignment horizontal="center" vertical="center" wrapText="1"/>
      <protection locked="0"/>
    </xf>
    <xf numFmtId="0" fontId="121" fillId="38" borderId="0" xfId="0" applyNumberFormat="1" applyFont="1" applyFill="1" applyBorder="1" applyAlignment="1" applyProtection="1">
      <alignment horizontal="center" vertical="center" wrapText="1"/>
      <protection locked="0" hidden="1"/>
    </xf>
    <xf numFmtId="0" fontId="97" fillId="38" borderId="0" xfId="0" applyFont="1" applyFill="1" applyBorder="1" applyAlignment="1" applyProtection="1">
      <alignment horizontal="center" vertical="center" wrapText="1"/>
      <protection locked="0"/>
    </xf>
    <xf numFmtId="0" fontId="97" fillId="38" borderId="12" xfId="0" applyFont="1" applyFill="1" applyBorder="1" applyAlignment="1" applyProtection="1">
      <alignment horizontal="left" vertical="center" wrapText="1"/>
      <protection locked="0"/>
    </xf>
    <xf numFmtId="0" fontId="97" fillId="0" borderId="0" xfId="0" applyFont="1" applyFill="1" applyBorder="1" applyAlignment="1">
      <alignment horizontal="left" vertical="center" wrapText="1"/>
    </xf>
    <xf numFmtId="0" fontId="97" fillId="0" borderId="0" xfId="0" applyFont="1" applyBorder="1" applyAlignment="1">
      <alignment horizontal="center" vertical="center" wrapText="1"/>
    </xf>
    <xf numFmtId="0" fontId="97" fillId="0" borderId="12" xfId="0" applyFont="1" applyFill="1" applyBorder="1" applyAlignment="1">
      <alignment horizontal="left" vertical="center" wrapText="1"/>
    </xf>
    <xf numFmtId="0" fontId="97" fillId="8" borderId="11" xfId="0" applyFont="1" applyFill="1" applyBorder="1" applyAlignment="1">
      <alignment horizontal="center" vertical="center" wrapText="1"/>
    </xf>
    <xf numFmtId="0" fontId="97" fillId="8" borderId="0" xfId="0" applyFont="1" applyFill="1" applyBorder="1" applyAlignment="1">
      <alignment horizontal="left" vertical="center" wrapText="1"/>
    </xf>
    <xf numFmtId="49" fontId="97" fillId="8" borderId="0" xfId="0" applyNumberFormat="1" applyFont="1" applyFill="1" applyBorder="1" applyAlignment="1">
      <alignment horizontal="center" vertical="center" wrapText="1"/>
    </xf>
    <xf numFmtId="0" fontId="97" fillId="8" borderId="0" xfId="0" applyFont="1" applyFill="1" applyBorder="1" applyAlignment="1">
      <alignment horizontal="center" vertical="center" wrapText="1"/>
    </xf>
    <xf numFmtId="0" fontId="97" fillId="8" borderId="12" xfId="0" applyFont="1" applyFill="1" applyBorder="1" applyAlignment="1">
      <alignment horizontal="left" vertical="center" wrapText="1"/>
    </xf>
    <xf numFmtId="0" fontId="28" fillId="49" borderId="11" xfId="0" applyFont="1" applyFill="1" applyBorder="1" applyAlignment="1">
      <alignment horizontal="center" vertical="center" wrapText="1" readingOrder="1"/>
    </xf>
    <xf numFmtId="0" fontId="90" fillId="41" borderId="11" xfId="0" applyFont="1" applyFill="1" applyBorder="1" applyAlignment="1">
      <alignment horizontal="center" vertical="center" wrapText="1"/>
    </xf>
    <xf numFmtId="0" fontId="90" fillId="0" borderId="11" xfId="0" applyFont="1" applyFill="1" applyBorder="1" applyAlignment="1">
      <alignment horizontal="center" vertical="center" wrapText="1"/>
    </xf>
    <xf numFmtId="0" fontId="121" fillId="32" borderId="0" xfId="0" applyFont="1" applyFill="1" applyBorder="1" applyAlignment="1">
      <alignment horizontal="center" vertical="center" wrapText="1"/>
    </xf>
    <xf numFmtId="0" fontId="121" fillId="32" borderId="0" xfId="0" applyFont="1" applyFill="1" applyBorder="1" applyAlignment="1">
      <alignment horizontal="center" vertical="center"/>
    </xf>
    <xf numFmtId="0" fontId="121" fillId="0" borderId="0" xfId="0" applyFont="1" applyFill="1" applyBorder="1" applyAlignment="1">
      <alignment horizontal="center" vertical="center"/>
    </xf>
    <xf numFmtId="0" fontId="121" fillId="32" borderId="0" xfId="0" applyFont="1" applyFill="1" applyAlignment="1">
      <alignment horizontal="left" vertical="center"/>
    </xf>
    <xf numFmtId="0" fontId="121" fillId="32" borderId="0" xfId="0" applyFont="1" applyFill="1" applyBorder="1" applyAlignment="1">
      <alignment horizontal="centerContinuous" vertical="center"/>
    </xf>
    <xf numFmtId="0" fontId="98" fillId="41" borderId="157" xfId="0" applyFont="1" applyFill="1" applyBorder="1" applyAlignment="1">
      <alignment horizontal="left" vertical="center" wrapText="1"/>
    </xf>
    <xf numFmtId="0" fontId="97" fillId="41" borderId="72" xfId="0" applyFont="1" applyFill="1" applyBorder="1" applyAlignment="1" applyProtection="1">
      <alignment vertical="center" wrapText="1"/>
      <protection locked="0"/>
    </xf>
    <xf numFmtId="0" fontId="28" fillId="49" borderId="0" xfId="0" applyFont="1" applyFill="1" applyBorder="1" applyAlignment="1">
      <alignment horizontal="center" vertical="center"/>
    </xf>
    <xf numFmtId="0" fontId="28" fillId="49" borderId="12" xfId="0" applyFont="1" applyFill="1" applyBorder="1" applyAlignment="1">
      <alignment horizontal="center" vertical="center"/>
    </xf>
    <xf numFmtId="0" fontId="90" fillId="41" borderId="48" xfId="0" applyFont="1" applyFill="1" applyBorder="1" applyAlignment="1" applyProtection="1">
      <alignment horizontal="center" vertical="center" wrapText="1"/>
      <protection locked="0"/>
    </xf>
    <xf numFmtId="0" fontId="90" fillId="41" borderId="20" xfId="0" applyFont="1" applyFill="1" applyBorder="1" applyAlignment="1" applyProtection="1">
      <alignment horizontal="center" vertical="center" wrapText="1"/>
      <protection locked="0"/>
    </xf>
    <xf numFmtId="0" fontId="90" fillId="0" borderId="48" xfId="0" applyFont="1" applyFill="1" applyBorder="1" applyAlignment="1" applyProtection="1">
      <alignment horizontal="center" vertical="center" wrapText="1"/>
      <protection locked="0"/>
    </xf>
    <xf numFmtId="0" fontId="90" fillId="0" borderId="20" xfId="0" applyFont="1" applyFill="1" applyBorder="1" applyAlignment="1" applyProtection="1">
      <alignment horizontal="center" vertical="center" wrapText="1"/>
      <protection locked="0"/>
    </xf>
    <xf numFmtId="0" fontId="97" fillId="0" borderId="0" xfId="0" applyFont="1" applyFill="1" applyAlignment="1">
      <alignment vertical="center" wrapText="1"/>
    </xf>
    <xf numFmtId="0" fontId="121" fillId="32" borderId="0" xfId="0" applyFont="1" applyFill="1" applyAlignment="1">
      <alignment horizontal="left" vertical="center" wrapText="1"/>
    </xf>
    <xf numFmtId="49" fontId="16" fillId="0" borderId="0" xfId="0" applyNumberFormat="1" applyFont="1" applyFill="1" applyBorder="1" applyProtection="1">
      <alignment vertical="center"/>
      <protection hidden="1"/>
    </xf>
    <xf numFmtId="49" fontId="16" fillId="0" borderId="0" xfId="0" applyNumberFormat="1" applyFont="1" applyFill="1" applyBorder="1" applyAlignment="1" applyProtection="1">
      <alignment vertical="center" wrapText="1"/>
      <protection hidden="1"/>
    </xf>
    <xf numFmtId="185" fontId="16" fillId="0" borderId="0" xfId="0" applyNumberFormat="1" applyFont="1" applyFill="1" applyBorder="1" applyProtection="1">
      <alignment vertical="center"/>
      <protection hidden="1"/>
    </xf>
    <xf numFmtId="0" fontId="97" fillId="8" borderId="13" xfId="0" applyFont="1" applyFill="1" applyBorder="1" applyAlignment="1">
      <alignment horizontal="center" vertical="center" wrapText="1"/>
    </xf>
    <xf numFmtId="49" fontId="97" fillId="8" borderId="16" xfId="0" applyNumberFormat="1" applyFont="1" applyFill="1" applyBorder="1" applyAlignment="1">
      <alignment horizontal="center" vertical="center" wrapText="1"/>
    </xf>
    <xf numFmtId="0" fontId="97" fillId="8" borderId="16" xfId="0" applyFont="1" applyFill="1" applyBorder="1" applyAlignment="1">
      <alignment horizontal="center" vertical="center" wrapText="1"/>
    </xf>
    <xf numFmtId="0" fontId="97" fillId="8" borderId="14" xfId="0" applyFont="1" applyFill="1" applyBorder="1" applyAlignment="1">
      <alignment horizontal="left" vertical="center" wrapText="1"/>
    </xf>
    <xf numFmtId="0" fontId="142" fillId="0" borderId="7" xfId="0" applyFont="1" applyFill="1" applyBorder="1" applyAlignment="1">
      <alignment horizontal="center" vertical="center"/>
    </xf>
    <xf numFmtId="0" fontId="142" fillId="0" borderId="15" xfId="0" applyFont="1" applyFill="1" applyBorder="1" applyAlignment="1">
      <alignment horizontal="center" vertical="center"/>
    </xf>
    <xf numFmtId="0" fontId="97" fillId="0" borderId="15" xfId="0" applyFont="1" applyFill="1" applyBorder="1" applyAlignment="1">
      <alignment horizontal="center" vertical="center" wrapText="1"/>
    </xf>
    <xf numFmtId="0" fontId="142" fillId="0" borderId="8" xfId="0" applyFont="1" applyFill="1" applyBorder="1" applyAlignment="1">
      <alignment horizontal="left" vertical="center"/>
    </xf>
    <xf numFmtId="0" fontId="142" fillId="81" borderId="11" xfId="0" applyFont="1" applyFill="1" applyBorder="1" applyAlignment="1">
      <alignment horizontal="center" vertical="center"/>
    </xf>
    <xf numFmtId="49" fontId="142" fillId="81" borderId="0" xfId="0" applyNumberFormat="1" applyFont="1" applyFill="1" applyBorder="1" applyAlignment="1">
      <alignment horizontal="center" vertical="center"/>
    </xf>
    <xf numFmtId="0" fontId="142" fillId="81" borderId="0" xfId="0" applyFont="1" applyFill="1" applyBorder="1" applyAlignment="1">
      <alignment horizontal="center" vertical="center" wrapText="1"/>
    </xf>
    <xf numFmtId="0" fontId="142" fillId="81" borderId="0" xfId="0" applyFont="1" applyFill="1" applyBorder="1" applyAlignment="1">
      <alignment horizontal="center" vertical="center"/>
    </xf>
    <xf numFmtId="0" fontId="142" fillId="81" borderId="12" xfId="0" applyFont="1" applyFill="1" applyBorder="1" applyAlignment="1">
      <alignment horizontal="left" vertical="center" wrapText="1"/>
    </xf>
    <xf numFmtId="0" fontId="142" fillId="0" borderId="11" xfId="0" applyFont="1" applyFill="1" applyBorder="1" applyAlignment="1">
      <alignment horizontal="center" vertical="center"/>
    </xf>
    <xf numFmtId="0" fontId="142" fillId="0" borderId="0" xfId="0" applyFont="1" applyFill="1" applyAlignment="1">
      <alignment horizontal="center" vertical="center"/>
    </xf>
    <xf numFmtId="0" fontId="142" fillId="0" borderId="0" xfId="0" applyFont="1" applyFill="1" applyAlignment="1">
      <alignment horizontal="center" vertical="center" wrapText="1"/>
    </xf>
    <xf numFmtId="0" fontId="142" fillId="0" borderId="12" xfId="0" applyFont="1" applyFill="1" applyBorder="1" applyAlignment="1">
      <alignment horizontal="left" vertical="center"/>
    </xf>
    <xf numFmtId="0" fontId="121" fillId="32" borderId="0" xfId="0" applyFont="1" applyFill="1" applyAlignment="1">
      <alignment horizontal="centerContinuous" vertical="center"/>
    </xf>
    <xf numFmtId="0" fontId="142" fillId="0" borderId="0" xfId="0" applyFont="1" applyFill="1">
      <alignment vertical="center"/>
    </xf>
    <xf numFmtId="0" fontId="97" fillId="81" borderId="0" xfId="0" applyFont="1" applyFill="1" applyBorder="1" applyAlignment="1">
      <alignment horizontal="center" vertical="center" wrapText="1"/>
    </xf>
    <xf numFmtId="0" fontId="142" fillId="0" borderId="13" xfId="0" applyFont="1" applyFill="1" applyBorder="1" applyAlignment="1">
      <alignment horizontal="center" vertical="center"/>
    </xf>
    <xf numFmtId="0" fontId="142" fillId="0" borderId="16" xfId="0" applyFont="1" applyFill="1" applyBorder="1" applyAlignment="1">
      <alignment horizontal="center" vertical="center"/>
    </xf>
    <xf numFmtId="0" fontId="142" fillId="0" borderId="16" xfId="0" applyFont="1" applyFill="1" applyBorder="1" applyAlignment="1">
      <alignment horizontal="center" vertical="center" wrapText="1"/>
    </xf>
    <xf numFmtId="0" fontId="142" fillId="0" borderId="14" xfId="0" applyFont="1" applyFill="1" applyBorder="1" applyAlignment="1">
      <alignment horizontal="left" vertical="center"/>
    </xf>
    <xf numFmtId="0" fontId="142" fillId="81" borderId="7" xfId="0" applyFont="1" applyFill="1" applyBorder="1" applyAlignment="1">
      <alignment horizontal="center" vertical="center"/>
    </xf>
    <xf numFmtId="49" fontId="142" fillId="81" borderId="15" xfId="0" applyNumberFormat="1" applyFont="1" applyFill="1" applyBorder="1" applyAlignment="1">
      <alignment horizontal="center" vertical="center"/>
    </xf>
    <xf numFmtId="0" fontId="142" fillId="81" borderId="15" xfId="0" applyFont="1" applyFill="1" applyBorder="1" applyAlignment="1">
      <alignment horizontal="center" vertical="center" wrapText="1"/>
    </xf>
    <xf numFmtId="0" fontId="142" fillId="81" borderId="15" xfId="0" applyFont="1" applyFill="1" applyBorder="1" applyAlignment="1">
      <alignment horizontal="center" vertical="center"/>
    </xf>
    <xf numFmtId="0" fontId="142" fillId="81" borderId="8" xfId="0" applyFont="1" applyFill="1" applyBorder="1" applyAlignment="1">
      <alignment horizontal="left" vertical="center" wrapText="1"/>
    </xf>
    <xf numFmtId="0" fontId="142" fillId="0" borderId="12" xfId="0" applyFont="1" applyFill="1" applyBorder="1" applyAlignment="1">
      <alignment horizontal="left" vertical="center" wrapText="1"/>
    </xf>
    <xf numFmtId="0" fontId="142" fillId="81" borderId="13" xfId="0" applyFont="1" applyFill="1" applyBorder="1" applyAlignment="1">
      <alignment horizontal="center" vertical="center"/>
    </xf>
    <xf numFmtId="49" fontId="142" fillId="81" borderId="16" xfId="0" applyNumberFormat="1" applyFont="1" applyFill="1" applyBorder="1" applyAlignment="1">
      <alignment horizontal="center" vertical="center"/>
    </xf>
    <xf numFmtId="0" fontId="142" fillId="81" borderId="16" xfId="0" applyFont="1" applyFill="1" applyBorder="1" applyAlignment="1">
      <alignment horizontal="center" vertical="center" wrapText="1"/>
    </xf>
    <xf numFmtId="0" fontId="142" fillId="81" borderId="16" xfId="0" applyFont="1" applyFill="1" applyBorder="1" applyAlignment="1">
      <alignment horizontal="center" vertical="center"/>
    </xf>
    <xf numFmtId="0" fontId="142" fillId="81" borderId="14" xfId="0" applyFont="1" applyFill="1" applyBorder="1" applyAlignment="1">
      <alignment horizontal="left" vertical="center" wrapText="1"/>
    </xf>
    <xf numFmtId="0" fontId="142" fillId="0" borderId="0" xfId="0" applyFont="1" applyFill="1" applyAlignment="1">
      <alignment vertical="center" wrapText="1"/>
    </xf>
    <xf numFmtId="0" fontId="142" fillId="0" borderId="1" xfId="0" applyFont="1" applyFill="1" applyBorder="1">
      <alignment vertical="center"/>
    </xf>
    <xf numFmtId="0" fontId="121" fillId="0" borderId="1" xfId="0" applyFont="1" applyFill="1" applyBorder="1" applyAlignment="1">
      <alignment horizontal="center" vertical="center"/>
    </xf>
    <xf numFmtId="0" fontId="121" fillId="0" borderId="5" xfId="0" applyFont="1" applyFill="1" applyBorder="1" applyAlignment="1">
      <alignment horizontal="center" vertical="center"/>
    </xf>
    <xf numFmtId="0" fontId="142" fillId="0" borderId="2" xfId="0" applyFont="1" applyFill="1" applyBorder="1">
      <alignment vertical="center"/>
    </xf>
    <xf numFmtId="0" fontId="121" fillId="0" borderId="2" xfId="0" applyFont="1" applyFill="1" applyBorder="1" applyAlignment="1">
      <alignment horizontal="center" vertical="center"/>
    </xf>
    <xf numFmtId="0" fontId="142" fillId="0" borderId="0" xfId="0" applyFont="1" applyFill="1" applyBorder="1">
      <alignment vertical="center"/>
    </xf>
    <xf numFmtId="0" fontId="69" fillId="7" borderId="147" xfId="0" applyFont="1" applyFill="1" applyBorder="1">
      <alignment vertical="center"/>
    </xf>
    <xf numFmtId="0" fontId="69" fillId="0" borderId="27" xfId="0" applyFont="1" applyFill="1" applyBorder="1">
      <alignment vertical="center"/>
    </xf>
    <xf numFmtId="0" fontId="69" fillId="9" borderId="27" xfId="0" applyFont="1" applyFill="1" applyBorder="1">
      <alignment vertical="center"/>
    </xf>
    <xf numFmtId="0" fontId="69" fillId="9" borderId="154" xfId="0" applyFont="1" applyFill="1" applyBorder="1">
      <alignment vertical="center"/>
    </xf>
    <xf numFmtId="0" fontId="142" fillId="0" borderId="0" xfId="0" applyFont="1" applyFill="1" applyBorder="1" applyAlignment="1">
      <alignment horizontal="center" vertical="center"/>
    </xf>
    <xf numFmtId="49" fontId="142" fillId="0" borderId="7" xfId="0" applyNumberFormat="1" applyFont="1" applyFill="1" applyBorder="1" applyAlignment="1">
      <alignment horizontal="center" vertical="center"/>
    </xf>
    <xf numFmtId="49" fontId="142" fillId="0" borderId="15" xfId="0" applyNumberFormat="1" applyFont="1" applyFill="1" applyBorder="1" applyAlignment="1">
      <alignment horizontal="center" vertical="center"/>
    </xf>
    <xf numFmtId="49" fontId="142" fillId="0" borderId="15" xfId="0" applyNumberFormat="1" applyFont="1" applyFill="1" applyBorder="1" applyAlignment="1">
      <alignment horizontal="center" vertical="center" wrapText="1"/>
    </xf>
    <xf numFmtId="0" fontId="142" fillId="0" borderId="15" xfId="0" applyNumberFormat="1" applyFont="1" applyFill="1" applyBorder="1" applyAlignment="1">
      <alignment horizontal="center" vertical="center"/>
    </xf>
    <xf numFmtId="49" fontId="142" fillId="0" borderId="8" xfId="0" applyNumberFormat="1" applyFont="1" applyFill="1" applyBorder="1" applyAlignment="1">
      <alignment horizontal="left" vertical="center" wrapText="1"/>
    </xf>
    <xf numFmtId="49" fontId="142" fillId="81" borderId="11" xfId="0" applyNumberFormat="1" applyFont="1" applyFill="1" applyBorder="1" applyAlignment="1">
      <alignment horizontal="center" vertical="center"/>
    </xf>
    <xf numFmtId="49" fontId="142" fillId="81" borderId="0" xfId="0" applyNumberFormat="1" applyFont="1" applyFill="1" applyBorder="1" applyAlignment="1">
      <alignment horizontal="center" vertical="center" wrapText="1"/>
    </xf>
    <xf numFmtId="0" fontId="142" fillId="81" borderId="0" xfId="0" applyNumberFormat="1" applyFont="1" applyFill="1" applyBorder="1" applyAlignment="1">
      <alignment horizontal="center" vertical="center"/>
    </xf>
    <xf numFmtId="49" fontId="142" fillId="81" borderId="12" xfId="0" applyNumberFormat="1" applyFont="1" applyFill="1" applyBorder="1" applyAlignment="1">
      <alignment horizontal="left" vertical="center" wrapText="1"/>
    </xf>
    <xf numFmtId="49" fontId="142" fillId="0" borderId="11" xfId="0" applyNumberFormat="1" applyFont="1" applyFill="1" applyBorder="1" applyAlignment="1">
      <alignment horizontal="center" vertical="center"/>
    </xf>
    <xf numFmtId="49" fontId="142" fillId="0" borderId="0" xfId="0" applyNumberFormat="1" applyFont="1" applyFill="1" applyAlignment="1">
      <alignment horizontal="center" vertical="center"/>
    </xf>
    <xf numFmtId="49" fontId="142" fillId="0" borderId="0" xfId="0" applyNumberFormat="1" applyFont="1" applyFill="1" applyAlignment="1">
      <alignment horizontal="center" vertical="center" wrapText="1"/>
    </xf>
    <xf numFmtId="0" fontId="142" fillId="0" borderId="0" xfId="0" applyNumberFormat="1" applyFont="1" applyFill="1" applyAlignment="1">
      <alignment horizontal="center" vertical="center"/>
    </xf>
    <xf numFmtId="49" fontId="142" fillId="0" borderId="12" xfId="0" applyNumberFormat="1" applyFont="1" applyFill="1" applyBorder="1" applyAlignment="1">
      <alignment horizontal="left" vertical="center"/>
    </xf>
    <xf numFmtId="49" fontId="142" fillId="0" borderId="12" xfId="0" applyNumberFormat="1" applyFont="1" applyFill="1" applyBorder="1" applyAlignment="1">
      <alignment horizontal="left" vertical="center" wrapText="1"/>
    </xf>
    <xf numFmtId="49" fontId="142" fillId="81" borderId="13" xfId="0" applyNumberFormat="1" applyFont="1" applyFill="1" applyBorder="1" applyAlignment="1">
      <alignment horizontal="center" vertical="center"/>
    </xf>
    <xf numFmtId="0" fontId="97" fillId="8" borderId="16" xfId="0" applyNumberFormat="1" applyFont="1" applyFill="1" applyBorder="1" applyAlignment="1">
      <alignment horizontal="center" vertical="center" wrapText="1"/>
    </xf>
    <xf numFmtId="49" fontId="142" fillId="81" borderId="14" xfId="0" applyNumberFormat="1" applyFont="1" applyFill="1" applyBorder="1" applyAlignment="1">
      <alignment horizontal="left" vertical="center" wrapText="1"/>
    </xf>
    <xf numFmtId="49" fontId="145" fillId="0" borderId="0" xfId="0" applyNumberFormat="1" applyFont="1" applyFill="1" applyBorder="1" applyAlignment="1">
      <alignment horizontal="center" vertical="center"/>
    </xf>
    <xf numFmtId="49" fontId="145" fillId="0" borderId="0" xfId="0" applyNumberFormat="1" applyFont="1" applyFill="1" applyBorder="1" applyAlignment="1">
      <alignment horizontal="left" vertical="center"/>
    </xf>
    <xf numFmtId="49" fontId="145" fillId="0" borderId="0" xfId="0" applyNumberFormat="1" applyFont="1" applyFill="1" applyBorder="1" applyAlignment="1">
      <alignment horizontal="center" vertical="center" wrapText="1"/>
    </xf>
    <xf numFmtId="0" fontId="121" fillId="0" borderId="0" xfId="0" applyFont="1" applyFill="1" applyBorder="1" applyAlignment="1">
      <alignment horizontal="left" vertical="center" wrapText="1"/>
    </xf>
    <xf numFmtId="0" fontId="145" fillId="0" borderId="0" xfId="0" applyFont="1" applyFill="1" applyBorder="1" applyAlignment="1">
      <alignment horizontal="center" vertical="center"/>
    </xf>
    <xf numFmtId="0" fontId="145" fillId="0" borderId="0" xfId="0" applyFont="1" applyFill="1" applyBorder="1" applyAlignment="1">
      <alignment horizontal="left" vertical="center"/>
    </xf>
    <xf numFmtId="0" fontId="145" fillId="0" borderId="0" xfId="0" applyFont="1" applyFill="1" applyBorder="1" applyAlignment="1">
      <alignment horizontal="center" vertical="center" wrapText="1"/>
    </xf>
    <xf numFmtId="0" fontId="145" fillId="0" borderId="0" xfId="0" applyFont="1" applyFill="1" applyBorder="1" applyAlignment="1">
      <alignment horizontal="left" vertical="center" wrapText="1"/>
    </xf>
    <xf numFmtId="0" fontId="121" fillId="0" borderId="0" xfId="0" applyFont="1" applyFill="1" applyBorder="1" applyAlignment="1">
      <alignment horizontal="center" vertical="center" wrapText="1"/>
    </xf>
    <xf numFmtId="49" fontId="121" fillId="0" borderId="0" xfId="0" applyNumberFormat="1" applyFont="1" applyFill="1" applyBorder="1" applyAlignment="1">
      <alignment horizontal="center" vertical="center" wrapText="1"/>
    </xf>
    <xf numFmtId="0" fontId="145" fillId="0" borderId="0" xfId="0" applyFont="1" applyFill="1" applyBorder="1">
      <alignment vertical="center"/>
    </xf>
    <xf numFmtId="0" fontId="121" fillId="0" borderId="0" xfId="0" applyFont="1" applyFill="1" applyAlignment="1">
      <alignment horizontal="center" vertical="center" wrapText="1"/>
    </xf>
    <xf numFmtId="182" fontId="3" fillId="9" borderId="0" xfId="0" applyNumberFormat="1" applyFont="1" applyFill="1" applyBorder="1" applyAlignment="1">
      <alignment horizontal="center" vertical="center"/>
    </xf>
    <xf numFmtId="182" fontId="3" fillId="4" borderId="0" xfId="0" applyNumberFormat="1" applyFont="1" applyFill="1" applyBorder="1" applyAlignment="1">
      <alignment horizontal="center" vertical="center"/>
    </xf>
    <xf numFmtId="182" fontId="13" fillId="0" borderId="0" xfId="0" applyNumberFormat="1" applyFont="1" applyFill="1" applyBorder="1" applyAlignment="1">
      <alignment horizontal="center" vertical="center"/>
    </xf>
    <xf numFmtId="182" fontId="13" fillId="0" borderId="16" xfId="0" applyNumberFormat="1" applyFont="1" applyFill="1" applyBorder="1" applyAlignment="1">
      <alignment horizontal="center" vertical="center"/>
    </xf>
    <xf numFmtId="182" fontId="91" fillId="0" borderId="11" xfId="0" applyNumberFormat="1" applyFont="1" applyFill="1" applyBorder="1" applyAlignment="1">
      <alignment horizontal="center" vertical="center"/>
    </xf>
    <xf numFmtId="182" fontId="91" fillId="0" borderId="0" xfId="0" applyNumberFormat="1" applyFont="1" applyFill="1" applyAlignment="1">
      <alignment horizontal="center" vertical="center"/>
    </xf>
    <xf numFmtId="182" fontId="19" fillId="9" borderId="11" xfId="0" applyNumberFormat="1" applyFont="1" applyFill="1" applyBorder="1" applyAlignment="1">
      <alignment horizontal="center" vertical="center"/>
    </xf>
    <xf numFmtId="182" fontId="19" fillId="9" borderId="0" xfId="0" applyNumberFormat="1" applyFont="1" applyFill="1" applyAlignment="1">
      <alignment horizontal="center" vertical="center"/>
    </xf>
    <xf numFmtId="182" fontId="19" fillId="0" borderId="11" xfId="0" applyNumberFormat="1" applyFont="1" applyFill="1" applyBorder="1" applyAlignment="1">
      <alignment horizontal="center" vertical="center"/>
    </xf>
    <xf numFmtId="182" fontId="19" fillId="0" borderId="0" xfId="0" applyNumberFormat="1" applyFont="1" applyFill="1" applyAlignment="1">
      <alignment horizontal="center" vertical="center"/>
    </xf>
    <xf numFmtId="182" fontId="19" fillId="0" borderId="0" xfId="0" applyNumberFormat="1" applyFont="1" applyFill="1" applyBorder="1" applyAlignment="1">
      <alignment horizontal="center" vertical="center"/>
    </xf>
    <xf numFmtId="0" fontId="16" fillId="9" borderId="11" xfId="0" applyFont="1" applyFill="1" applyBorder="1" applyAlignment="1">
      <alignment horizontal="center" vertical="center"/>
    </xf>
    <xf numFmtId="0" fontId="16" fillId="9" borderId="90" xfId="0" applyFont="1" applyFill="1" applyBorder="1" applyAlignment="1">
      <alignment horizontal="center" vertical="center"/>
    </xf>
    <xf numFmtId="0" fontId="16" fillId="0" borderId="90" xfId="0" applyFont="1" applyBorder="1" applyAlignment="1">
      <alignment horizontal="center" vertical="center"/>
    </xf>
    <xf numFmtId="0" fontId="16" fillId="9" borderId="13" xfId="0" applyFont="1" applyFill="1" applyBorder="1" applyAlignment="1">
      <alignment horizontal="center" vertical="center" wrapText="1"/>
    </xf>
    <xf numFmtId="182" fontId="3" fillId="4" borderId="12" xfId="0" applyNumberFormat="1" applyFont="1" applyFill="1" applyBorder="1" applyAlignment="1">
      <alignment horizontal="center" vertical="center"/>
    </xf>
    <xf numFmtId="182" fontId="13" fillId="0" borderId="12" xfId="0" applyNumberFormat="1" applyFont="1" applyFill="1" applyBorder="1" applyAlignment="1">
      <alignment horizontal="center" vertical="center"/>
    </xf>
    <xf numFmtId="182" fontId="3" fillId="9" borderId="12" xfId="0" applyNumberFormat="1" applyFont="1" applyFill="1" applyBorder="1" applyAlignment="1">
      <alignment horizontal="center" vertical="center"/>
    </xf>
    <xf numFmtId="182" fontId="13" fillId="0" borderId="14" xfId="0" applyNumberFormat="1" applyFont="1" applyFill="1" applyBorder="1" applyAlignment="1">
      <alignment horizontal="center" vertical="center"/>
    </xf>
    <xf numFmtId="182" fontId="3" fillId="9" borderId="11" xfId="0" applyNumberFormat="1" applyFont="1" applyFill="1" applyBorder="1">
      <alignment vertical="center"/>
    </xf>
    <xf numFmtId="182" fontId="91" fillId="0" borderId="12" xfId="0" applyNumberFormat="1" applyFont="1" applyFill="1" applyBorder="1" applyAlignment="1">
      <alignment horizontal="center" vertical="center"/>
    </xf>
    <xf numFmtId="182" fontId="19" fillId="9" borderId="12" xfId="0" applyNumberFormat="1" applyFont="1" applyFill="1" applyBorder="1" applyAlignment="1">
      <alignment horizontal="center" vertical="center"/>
    </xf>
    <xf numFmtId="182" fontId="19" fillId="0" borderId="12" xfId="0" applyNumberFormat="1" applyFont="1" applyFill="1" applyBorder="1" applyAlignment="1">
      <alignment horizontal="center" vertical="center"/>
    </xf>
    <xf numFmtId="0" fontId="91" fillId="4" borderId="12" xfId="0" applyFont="1" applyFill="1" applyBorder="1" applyAlignment="1">
      <alignment horizontal="center" vertical="center"/>
    </xf>
    <xf numFmtId="182" fontId="3" fillId="9" borderId="13" xfId="0" applyNumberFormat="1" applyFont="1" applyFill="1" applyBorder="1">
      <alignment vertical="center"/>
    </xf>
    <xf numFmtId="182" fontId="1" fillId="9" borderId="0" xfId="0" applyNumberFormat="1" applyFont="1" applyFill="1" applyAlignment="1">
      <alignment horizontal="center" vertical="center"/>
    </xf>
    <xf numFmtId="182" fontId="1" fillId="9" borderId="0" xfId="0" applyNumberFormat="1" applyFont="1" applyFill="1" applyAlignment="1">
      <alignment horizontal="right" vertical="center"/>
    </xf>
    <xf numFmtId="180" fontId="1" fillId="9" borderId="0" xfId="0" applyNumberFormat="1" applyFont="1" applyFill="1" applyAlignment="1">
      <alignment horizontal="left" vertical="center"/>
    </xf>
    <xf numFmtId="182" fontId="1" fillId="4" borderId="0" xfId="0" applyNumberFormat="1" applyFont="1" applyFill="1" applyAlignment="1">
      <alignment horizontal="center" vertical="center"/>
    </xf>
    <xf numFmtId="182" fontId="1" fillId="4" borderId="0" xfId="0" applyNumberFormat="1" applyFont="1" applyFill="1" applyAlignment="1">
      <alignment horizontal="right" vertical="center"/>
    </xf>
    <xf numFmtId="0" fontId="1" fillId="9" borderId="0" xfId="0" applyNumberFormat="1" applyFont="1" applyFill="1" applyAlignment="1">
      <alignment horizontal="center" vertical="center"/>
    </xf>
    <xf numFmtId="179" fontId="1" fillId="9" borderId="0" xfId="0" applyNumberFormat="1" applyFont="1" applyFill="1" applyAlignment="1">
      <alignment horizontal="right" vertical="center"/>
    </xf>
    <xf numFmtId="179" fontId="1" fillId="9" borderId="0" xfId="0" applyNumberFormat="1" applyFont="1" applyFill="1" applyAlignment="1">
      <alignment horizontal="left" vertical="center"/>
    </xf>
    <xf numFmtId="182" fontId="3" fillId="4" borderId="0" xfId="0" applyNumberFormat="1" applyFont="1" applyFill="1">
      <alignment vertical="center"/>
    </xf>
    <xf numFmtId="0" fontId="1" fillId="9" borderId="16" xfId="0" applyNumberFormat="1" applyFont="1" applyFill="1" applyBorder="1" applyAlignment="1">
      <alignment horizontal="center" vertical="center"/>
    </xf>
    <xf numFmtId="179" fontId="1" fillId="9" borderId="16" xfId="0" applyNumberFormat="1" applyFont="1" applyFill="1" applyBorder="1" applyAlignment="1">
      <alignment horizontal="right" vertical="center"/>
    </xf>
    <xf numFmtId="179" fontId="1" fillId="9" borderId="16" xfId="0" applyNumberFormat="1" applyFont="1" applyFill="1" applyBorder="1" applyAlignment="1">
      <alignment horizontal="left" vertical="center"/>
    </xf>
    <xf numFmtId="182" fontId="1" fillId="4" borderId="16" xfId="0" applyNumberFormat="1" applyFont="1" applyFill="1" applyBorder="1" applyAlignment="1">
      <alignment horizontal="center" vertical="center"/>
    </xf>
    <xf numFmtId="182" fontId="1" fillId="4" borderId="16" xfId="0" applyNumberFormat="1" applyFont="1" applyFill="1" applyBorder="1" applyAlignment="1">
      <alignment horizontal="right" vertical="center"/>
    </xf>
    <xf numFmtId="180" fontId="1" fillId="4" borderId="12" xfId="0" applyNumberFormat="1" applyFont="1" applyFill="1" applyBorder="1" applyAlignment="1">
      <alignment horizontal="left" vertical="center"/>
    </xf>
    <xf numFmtId="0" fontId="16" fillId="0" borderId="85" xfId="0" applyFont="1" applyFill="1" applyBorder="1" applyAlignment="1">
      <alignment horizontal="center" vertical="center"/>
    </xf>
    <xf numFmtId="0" fontId="16" fillId="0" borderId="16" xfId="0" applyFont="1" applyFill="1" applyBorder="1" applyAlignment="1">
      <alignment horizontal="center" vertical="center"/>
    </xf>
    <xf numFmtId="0" fontId="16" fillId="0" borderId="98" xfId="0" applyFont="1" applyFill="1" applyBorder="1" applyAlignment="1">
      <alignment horizontal="center" vertical="center"/>
    </xf>
    <xf numFmtId="180" fontId="1" fillId="4" borderId="14" xfId="0" applyNumberFormat="1" applyFont="1" applyFill="1" applyBorder="1" applyAlignment="1">
      <alignment horizontal="left" vertical="center"/>
    </xf>
    <xf numFmtId="0" fontId="147" fillId="0" borderId="0" xfId="0" applyFont="1" applyBorder="1">
      <alignment vertical="center"/>
    </xf>
    <xf numFmtId="0" fontId="16" fillId="9" borderId="0" xfId="0" applyFont="1" applyFill="1" applyBorder="1">
      <alignment vertical="center"/>
    </xf>
    <xf numFmtId="0" fontId="16" fillId="9" borderId="34" xfId="0" applyFont="1" applyFill="1" applyBorder="1">
      <alignment vertical="center"/>
    </xf>
    <xf numFmtId="0" fontId="98" fillId="0" borderId="0" xfId="0" applyFont="1" applyFill="1" applyAlignment="1">
      <alignment vertical="center" wrapText="1"/>
    </xf>
    <xf numFmtId="0" fontId="53" fillId="0" borderId="0" xfId="0" applyFont="1" applyFill="1" applyAlignment="1">
      <alignment horizontal="center" vertical="center"/>
    </xf>
    <xf numFmtId="185" fontId="53" fillId="0" borderId="0" xfId="0" applyNumberFormat="1" applyFont="1" applyFill="1" applyBorder="1" applyAlignment="1">
      <alignment horizontal="center" vertical="center"/>
    </xf>
    <xf numFmtId="0" fontId="16" fillId="0" borderId="0" xfId="0" applyFont="1" applyFill="1" applyAlignment="1">
      <alignment horizontal="left" vertical="center"/>
    </xf>
    <xf numFmtId="0" fontId="114" fillId="0" borderId="16" xfId="0" applyFont="1" applyFill="1" applyBorder="1" applyAlignment="1">
      <alignment horizontal="center" vertical="center"/>
    </xf>
    <xf numFmtId="0" fontId="58" fillId="0" borderId="0" xfId="0" applyFont="1" applyFill="1" applyBorder="1" applyAlignment="1">
      <alignment horizontal="left" vertical="center"/>
    </xf>
    <xf numFmtId="0" fontId="0" fillId="0" borderId="0" xfId="0" applyBorder="1">
      <alignment vertical="center"/>
    </xf>
    <xf numFmtId="0" fontId="29" fillId="0" borderId="16" xfId="0" applyFont="1" applyBorder="1">
      <alignment vertical="center"/>
    </xf>
    <xf numFmtId="0" fontId="13" fillId="0" borderId="0" xfId="0" applyFont="1" applyFill="1">
      <alignment vertical="center"/>
    </xf>
    <xf numFmtId="0" fontId="29" fillId="0" borderId="12" xfId="0" applyFont="1" applyBorder="1">
      <alignment vertical="center"/>
    </xf>
    <xf numFmtId="0" fontId="0" fillId="0" borderId="12" xfId="0" applyBorder="1">
      <alignment vertical="center"/>
    </xf>
    <xf numFmtId="0" fontId="29" fillId="0" borderId="14" xfId="0" applyFont="1" applyBorder="1">
      <alignment vertical="center"/>
    </xf>
    <xf numFmtId="0" fontId="19" fillId="0" borderId="0" xfId="0" applyFont="1" applyFill="1" applyBorder="1" applyAlignment="1">
      <alignment vertical="center" wrapText="1"/>
    </xf>
    <xf numFmtId="0" fontId="170" fillId="0" borderId="0" xfId="0" applyNumberFormat="1" applyFont="1" applyBorder="1" applyAlignment="1">
      <alignment vertical="top"/>
    </xf>
    <xf numFmtId="0" fontId="114" fillId="0" borderId="0" xfId="0" applyFont="1" applyFill="1" applyAlignment="1"/>
    <xf numFmtId="0" fontId="170" fillId="0" borderId="0" xfId="0" applyNumberFormat="1" applyFont="1" applyAlignment="1">
      <alignment vertical="top"/>
    </xf>
    <xf numFmtId="0" fontId="173" fillId="0" borderId="0" xfId="0" applyFont="1" applyFill="1" applyBorder="1" applyAlignment="1">
      <alignment vertical="top" wrapText="1"/>
    </xf>
    <xf numFmtId="0" fontId="58" fillId="8" borderId="12" xfId="0" quotePrefix="1" applyFont="1" applyFill="1" applyBorder="1" applyAlignment="1">
      <alignment horizontal="center" vertical="center"/>
    </xf>
    <xf numFmtId="0" fontId="58" fillId="0" borderId="12" xfId="0" quotePrefix="1" applyFont="1" applyFill="1" applyBorder="1" applyAlignment="1">
      <alignment horizontal="center" vertical="center"/>
    </xf>
    <xf numFmtId="0" fontId="58" fillId="0" borderId="14" xfId="0" quotePrefix="1" applyFont="1" applyFill="1" applyBorder="1" applyAlignment="1">
      <alignment horizontal="center" vertical="center"/>
    </xf>
    <xf numFmtId="0" fontId="32" fillId="0" borderId="0" xfId="0" quotePrefix="1" applyFont="1" applyFill="1" applyBorder="1" applyAlignment="1">
      <alignment horizontal="center" vertical="center"/>
    </xf>
    <xf numFmtId="0" fontId="32" fillId="0" borderId="12" xfId="0" quotePrefix="1" applyNumberFormat="1" applyFont="1" applyFill="1" applyBorder="1" applyAlignment="1">
      <alignment horizontal="center" vertical="center"/>
    </xf>
    <xf numFmtId="0" fontId="32" fillId="0" borderId="31" xfId="0" quotePrefix="1" applyFont="1" applyFill="1" applyBorder="1" applyAlignment="1">
      <alignment horizontal="center" vertical="center"/>
    </xf>
    <xf numFmtId="0" fontId="32" fillId="10" borderId="0" xfId="0" quotePrefix="1" applyFont="1" applyFill="1" applyBorder="1" applyAlignment="1">
      <alignment horizontal="center" vertical="center"/>
    </xf>
    <xf numFmtId="0" fontId="32" fillId="10" borderId="0" xfId="6" quotePrefix="1" applyFont="1" applyFill="1" applyAlignment="1" applyProtection="1">
      <alignment horizontal="center" vertical="center"/>
    </xf>
    <xf numFmtId="0" fontId="32" fillId="12" borderId="0" xfId="0" quotePrefix="1" applyFont="1" applyFill="1" applyBorder="1" applyAlignment="1">
      <alignment horizontal="center" vertical="center"/>
    </xf>
    <xf numFmtId="0" fontId="27" fillId="0" borderId="12" xfId="6" quotePrefix="1" applyNumberFormat="1" applyFont="1" applyBorder="1" applyAlignment="1" applyProtection="1">
      <alignment horizontal="center" vertical="center"/>
    </xf>
    <xf numFmtId="0" fontId="32" fillId="18" borderId="0" xfId="0" quotePrefix="1" applyFont="1" applyFill="1" applyBorder="1" applyAlignment="1">
      <alignment horizontal="center" vertical="center"/>
    </xf>
    <xf numFmtId="0" fontId="33" fillId="0" borderId="12" xfId="0" quotePrefix="1" applyNumberFormat="1" applyFont="1" applyFill="1" applyBorder="1" applyAlignment="1">
      <alignment horizontal="center" vertical="center"/>
    </xf>
    <xf numFmtId="0" fontId="33" fillId="20" borderId="0" xfId="0" quotePrefix="1" applyFont="1" applyFill="1" applyBorder="1" applyAlignment="1">
      <alignment horizontal="center" vertical="center"/>
    </xf>
    <xf numFmtId="0" fontId="33" fillId="12" borderId="12" xfId="0" quotePrefix="1" applyNumberFormat="1" applyFont="1" applyFill="1" applyBorder="1" applyAlignment="1">
      <alignment horizontal="center" vertical="center"/>
    </xf>
    <xf numFmtId="0" fontId="33" fillId="0" borderId="0" xfId="0" quotePrefix="1" applyFont="1" applyFill="1" applyBorder="1" applyAlignment="1">
      <alignment horizontal="center" vertical="center"/>
    </xf>
    <xf numFmtId="0" fontId="33" fillId="21" borderId="0" xfId="0" quotePrefix="1" applyFont="1" applyFill="1" applyBorder="1" applyAlignment="1">
      <alignment horizontal="center" vertical="center"/>
    </xf>
    <xf numFmtId="58" fontId="33" fillId="17" borderId="12" xfId="0" quotePrefix="1" applyNumberFormat="1" applyFont="1" applyFill="1" applyBorder="1" applyAlignment="1">
      <alignment horizontal="center" vertical="center"/>
    </xf>
    <xf numFmtId="0" fontId="27" fillId="0" borderId="0" xfId="6" quotePrefix="1" applyFont="1" applyAlignment="1" applyProtection="1">
      <alignment horizontal="center" vertical="center"/>
    </xf>
    <xf numFmtId="0" fontId="33" fillId="12" borderId="0" xfId="0" quotePrefix="1" applyFont="1" applyFill="1" applyBorder="1" applyAlignment="1">
      <alignment horizontal="center" vertical="center"/>
    </xf>
    <xf numFmtId="0" fontId="33" fillId="23" borderId="0" xfId="0" quotePrefix="1" applyFont="1" applyFill="1" applyBorder="1" applyAlignment="1">
      <alignment horizontal="center" vertical="center"/>
    </xf>
    <xf numFmtId="0" fontId="27" fillId="23" borderId="0" xfId="6" quotePrefix="1" applyFont="1" applyFill="1" applyAlignment="1" applyProtection="1">
      <alignment horizontal="center" vertical="center"/>
    </xf>
    <xf numFmtId="0" fontId="33" fillId="24" borderId="0" xfId="0" quotePrefix="1" applyFont="1" applyFill="1" applyBorder="1" applyAlignment="1">
      <alignment horizontal="center" vertical="center"/>
    </xf>
    <xf numFmtId="58" fontId="33" fillId="9" borderId="12" xfId="0" quotePrefix="1" applyNumberFormat="1" applyFont="1" applyFill="1" applyBorder="1" applyAlignment="1">
      <alignment horizontal="center" vertical="center"/>
    </xf>
    <xf numFmtId="58" fontId="27" fillId="9" borderId="12" xfId="0" quotePrefix="1" applyNumberFormat="1" applyFont="1" applyFill="1" applyBorder="1" applyAlignment="1">
      <alignment horizontal="center" vertical="center"/>
    </xf>
    <xf numFmtId="0" fontId="16" fillId="0" borderId="97" xfId="0" applyFont="1" applyFill="1" applyBorder="1" applyAlignment="1">
      <alignment horizontal="left" vertical="center" wrapText="1"/>
    </xf>
    <xf numFmtId="0" fontId="91" fillId="0" borderId="97" xfId="0" applyFont="1" applyFill="1" applyBorder="1" applyAlignment="1">
      <alignment horizontal="center" vertical="center" wrapText="1"/>
    </xf>
    <xf numFmtId="0" fontId="91" fillId="0" borderId="27" xfId="0" applyFont="1" applyFill="1" applyBorder="1" applyAlignment="1">
      <alignment horizontal="center" vertical="center" wrapText="1"/>
    </xf>
    <xf numFmtId="0" fontId="16" fillId="0" borderId="146" xfId="0" applyFont="1" applyFill="1" applyBorder="1" applyAlignment="1">
      <alignment horizontal="center" vertical="center"/>
    </xf>
    <xf numFmtId="0" fontId="16" fillId="0" borderId="97" xfId="0" applyFont="1" applyFill="1" applyBorder="1" applyAlignment="1">
      <alignment horizontal="center" vertical="center"/>
    </xf>
    <xf numFmtId="0" fontId="90" fillId="9" borderId="146" xfId="0" applyNumberFormat="1" applyFont="1" applyFill="1" applyBorder="1" applyAlignment="1">
      <alignment horizontal="left" vertical="top" wrapText="1"/>
    </xf>
    <xf numFmtId="0" fontId="90" fillId="9" borderId="97" xfId="0" applyNumberFormat="1" applyFont="1" applyFill="1" applyBorder="1" applyAlignment="1">
      <alignment horizontal="left" vertical="top" wrapText="1"/>
    </xf>
    <xf numFmtId="0" fontId="90" fillId="9" borderId="27" xfId="0" applyNumberFormat="1" applyFont="1" applyFill="1" applyBorder="1" applyAlignment="1">
      <alignment horizontal="left" vertical="top" wrapText="1"/>
    </xf>
    <xf numFmtId="0" fontId="90" fillId="9" borderId="185" xfId="0" applyNumberFormat="1" applyFont="1" applyFill="1" applyBorder="1" applyAlignment="1">
      <alignment horizontal="left" vertical="top" wrapText="1"/>
    </xf>
    <xf numFmtId="0" fontId="90" fillId="9" borderId="186" xfId="0" applyNumberFormat="1" applyFont="1" applyFill="1" applyBorder="1" applyAlignment="1">
      <alignment horizontal="left" vertical="top" wrapText="1"/>
    </xf>
    <xf numFmtId="0" fontId="90" fillId="9" borderId="154" xfId="0" applyNumberFormat="1" applyFont="1" applyFill="1" applyBorder="1" applyAlignment="1">
      <alignment horizontal="left" vertical="top" wrapText="1"/>
    </xf>
    <xf numFmtId="0" fontId="167" fillId="8" borderId="97" xfId="0" applyFont="1" applyFill="1" applyBorder="1" applyAlignment="1" applyProtection="1">
      <alignment horizontal="center" vertical="center"/>
      <protection locked="0"/>
    </xf>
    <xf numFmtId="0" fontId="167" fillId="8" borderId="27" xfId="0" applyFont="1" applyFill="1" applyBorder="1" applyAlignment="1" applyProtection="1">
      <alignment horizontal="center" vertical="center"/>
      <protection locked="0"/>
    </xf>
    <xf numFmtId="0" fontId="91" fillId="0" borderId="146" xfId="0" applyFont="1" applyFill="1" applyBorder="1" applyAlignment="1">
      <alignment horizontal="left" vertical="top" wrapText="1"/>
    </xf>
    <xf numFmtId="0" fontId="91" fillId="0" borderId="97" xfId="0" applyFont="1" applyFill="1" applyBorder="1" applyAlignment="1">
      <alignment horizontal="left" vertical="top" wrapText="1"/>
    </xf>
    <xf numFmtId="0" fontId="91" fillId="0" borderId="197" xfId="0" applyFont="1" applyFill="1" applyBorder="1" applyAlignment="1">
      <alignment horizontal="left" vertical="top" wrapText="1"/>
    </xf>
    <xf numFmtId="0" fontId="91" fillId="0" borderId="185" xfId="0" applyFont="1" applyFill="1" applyBorder="1" applyAlignment="1">
      <alignment horizontal="left" vertical="top" wrapText="1"/>
    </xf>
    <xf numFmtId="0" fontId="91" fillId="0" borderId="186" xfId="0" applyFont="1" applyFill="1" applyBorder="1" applyAlignment="1">
      <alignment horizontal="left" vertical="top" wrapText="1"/>
    </xf>
    <xf numFmtId="0" fontId="91" fillId="0" borderId="218" xfId="0" applyFont="1" applyFill="1" applyBorder="1" applyAlignment="1">
      <alignment horizontal="left" vertical="top" wrapText="1"/>
    </xf>
    <xf numFmtId="0" fontId="156" fillId="0" borderId="89" xfId="0" applyFont="1" applyFill="1" applyBorder="1" applyAlignment="1" applyProtection="1">
      <alignment horizontal="left" vertical="top" wrapText="1"/>
      <protection locked="0"/>
    </xf>
    <xf numFmtId="0" fontId="156" fillId="0" borderId="97" xfId="0" applyFont="1" applyFill="1" applyBorder="1" applyAlignment="1" applyProtection="1">
      <alignment horizontal="left" vertical="top" wrapText="1"/>
      <protection locked="0"/>
    </xf>
    <xf numFmtId="0" fontId="156" fillId="0" borderId="27" xfId="0" applyFont="1" applyFill="1" applyBorder="1" applyAlignment="1" applyProtection="1">
      <alignment horizontal="left" vertical="top" wrapText="1"/>
      <protection locked="0"/>
    </xf>
    <xf numFmtId="0" fontId="156" fillId="0" borderId="193" xfId="0" applyFont="1" applyFill="1" applyBorder="1" applyAlignment="1" applyProtection="1">
      <alignment horizontal="left" vertical="top" wrapText="1"/>
      <protection locked="0"/>
    </xf>
    <xf numFmtId="0" fontId="156" fillId="0" borderId="186" xfId="0" applyFont="1" applyFill="1" applyBorder="1" applyAlignment="1" applyProtection="1">
      <alignment horizontal="left" vertical="top" wrapText="1"/>
      <protection locked="0"/>
    </xf>
    <xf numFmtId="0" fontId="156" fillId="0" borderId="154" xfId="0" applyFont="1" applyFill="1" applyBorder="1" applyAlignment="1" applyProtection="1">
      <alignment horizontal="left" vertical="top" wrapText="1"/>
      <protection locked="0"/>
    </xf>
    <xf numFmtId="0" fontId="16" fillId="8" borderId="7" xfId="0" applyFont="1" applyFill="1" applyBorder="1" applyAlignment="1" applyProtection="1">
      <alignment horizontal="center" vertical="center"/>
      <protection locked="0"/>
    </xf>
    <xf numFmtId="0" fontId="16" fillId="8" borderId="15" xfId="0" applyFont="1" applyFill="1" applyBorder="1" applyAlignment="1" applyProtection="1">
      <alignment horizontal="center" vertical="center"/>
      <protection locked="0"/>
    </xf>
    <xf numFmtId="0" fontId="16" fillId="8" borderId="8" xfId="0" applyFont="1" applyFill="1" applyBorder="1" applyAlignment="1" applyProtection="1">
      <alignment horizontal="center" vertical="center"/>
      <protection locked="0"/>
    </xf>
    <xf numFmtId="0" fontId="16" fillId="8" borderId="11" xfId="0" applyFont="1" applyFill="1" applyBorder="1" applyAlignment="1" applyProtection="1">
      <alignment horizontal="center" vertical="center"/>
      <protection locked="0"/>
    </xf>
    <xf numFmtId="0" fontId="16" fillId="8" borderId="0" xfId="0" applyFont="1" applyFill="1" applyAlignment="1" applyProtection="1">
      <alignment horizontal="center" vertical="center"/>
      <protection locked="0"/>
    </xf>
    <xf numFmtId="0" fontId="16" fillId="8" borderId="12" xfId="0" applyFont="1" applyFill="1" applyBorder="1" applyAlignment="1" applyProtection="1">
      <alignment horizontal="center" vertical="center"/>
      <protection locked="0"/>
    </xf>
    <xf numFmtId="0" fontId="16" fillId="8" borderId="13" xfId="0" applyFont="1" applyFill="1" applyBorder="1" applyAlignment="1" applyProtection="1">
      <alignment horizontal="center" vertical="center"/>
      <protection locked="0"/>
    </xf>
    <xf numFmtId="0" fontId="16" fillId="8" borderId="16" xfId="0" applyFont="1" applyFill="1" applyBorder="1" applyAlignment="1" applyProtection="1">
      <alignment horizontal="center" vertical="center"/>
      <protection locked="0"/>
    </xf>
    <xf numFmtId="0" fontId="16" fillId="8" borderId="14" xfId="0" applyFont="1" applyFill="1" applyBorder="1" applyAlignment="1" applyProtection="1">
      <alignment horizontal="center" vertical="center"/>
      <protection locked="0"/>
    </xf>
    <xf numFmtId="182" fontId="10" fillId="9" borderId="146" xfId="0" applyNumberFormat="1" applyFont="1" applyFill="1" applyBorder="1" applyAlignment="1">
      <alignment horizontal="center" vertical="top" wrapText="1"/>
    </xf>
    <xf numFmtId="182" fontId="10" fillId="9" borderId="97" xfId="0" applyNumberFormat="1" applyFont="1" applyFill="1" applyBorder="1" applyAlignment="1">
      <alignment horizontal="center" vertical="top" wrapText="1"/>
    </xf>
    <xf numFmtId="182" fontId="10" fillId="9" borderId="27" xfId="0" applyNumberFormat="1" applyFont="1" applyFill="1" applyBorder="1" applyAlignment="1">
      <alignment horizontal="center" vertical="top" wrapText="1"/>
    </xf>
    <xf numFmtId="0" fontId="15" fillId="9" borderId="145" xfId="0" applyFont="1" applyFill="1" applyBorder="1" applyAlignment="1">
      <alignment horizontal="center" vertical="center" wrapText="1"/>
    </xf>
    <xf numFmtId="0" fontId="15" fillId="9" borderId="147" xfId="0" applyFont="1" applyFill="1" applyBorder="1" applyAlignment="1">
      <alignment horizontal="center" vertical="center" wrapText="1"/>
    </xf>
    <xf numFmtId="0" fontId="15" fillId="9" borderId="97" xfId="0" applyFont="1" applyFill="1" applyBorder="1" applyAlignment="1">
      <alignment horizontal="center" vertical="center" wrapText="1"/>
    </xf>
    <xf numFmtId="0" fontId="15" fillId="9" borderId="27" xfId="0" applyFont="1" applyFill="1" applyBorder="1" applyAlignment="1">
      <alignment horizontal="center" vertical="center" wrapText="1"/>
    </xf>
    <xf numFmtId="0" fontId="15" fillId="9" borderId="186" xfId="0" applyFont="1" applyFill="1" applyBorder="1" applyAlignment="1">
      <alignment horizontal="center" vertical="center" wrapText="1"/>
    </xf>
    <xf numFmtId="0" fontId="15" fillId="9" borderId="154" xfId="0" applyFont="1" applyFill="1" applyBorder="1" applyAlignment="1">
      <alignment horizontal="center" vertical="center" wrapText="1"/>
    </xf>
    <xf numFmtId="0" fontId="33" fillId="9" borderId="146" xfId="0" applyFont="1" applyFill="1" applyBorder="1" applyAlignment="1">
      <alignment horizontal="left" vertical="top" wrapText="1"/>
    </xf>
    <xf numFmtId="0" fontId="33" fillId="9" borderId="97" xfId="0" applyFont="1" applyFill="1" applyBorder="1" applyAlignment="1">
      <alignment horizontal="left" vertical="top" wrapText="1"/>
    </xf>
    <xf numFmtId="0" fontId="33" fillId="9" borderId="27" xfId="0" applyFont="1" applyFill="1" applyBorder="1" applyAlignment="1">
      <alignment horizontal="left" vertical="top" wrapText="1"/>
    </xf>
    <xf numFmtId="0" fontId="16" fillId="0" borderId="146" xfId="0" applyFont="1" applyFill="1" applyBorder="1" applyAlignment="1">
      <alignment horizontal="left" vertical="center" wrapText="1"/>
    </xf>
    <xf numFmtId="0" fontId="16" fillId="8" borderId="146" xfId="0" applyFont="1" applyFill="1" applyBorder="1" applyAlignment="1">
      <alignment horizontal="center" vertical="center"/>
    </xf>
    <xf numFmtId="0" fontId="16" fillId="8" borderId="97" xfId="0" applyFont="1" applyFill="1" applyBorder="1" applyAlignment="1">
      <alignment horizontal="center" vertical="center"/>
    </xf>
    <xf numFmtId="0" fontId="167" fillId="0" borderId="97" xfId="0" applyFont="1" applyFill="1" applyBorder="1" applyAlignment="1" applyProtection="1">
      <alignment horizontal="center" vertical="center"/>
      <protection locked="0"/>
    </xf>
    <xf numFmtId="0" fontId="167" fillId="0" borderId="27" xfId="0" applyFont="1" applyFill="1" applyBorder="1" applyAlignment="1" applyProtection="1">
      <alignment horizontal="center" vertical="center"/>
      <protection locked="0"/>
    </xf>
    <xf numFmtId="0" fontId="16" fillId="8" borderId="0" xfId="0" applyFont="1" applyFill="1" applyAlignment="1" applyProtection="1">
      <alignment horizontal="center" vertical="center" wrapText="1"/>
      <protection locked="0"/>
    </xf>
    <xf numFmtId="0" fontId="16" fillId="8" borderId="15" xfId="0" applyFont="1" applyFill="1" applyBorder="1" applyAlignment="1" applyProtection="1">
      <alignment horizontal="center" vertical="center" wrapText="1"/>
      <protection locked="0"/>
    </xf>
    <xf numFmtId="0" fontId="16" fillId="8" borderId="204" xfId="0" applyFont="1" applyFill="1" applyBorder="1" applyAlignment="1" applyProtection="1">
      <alignment horizontal="center" vertical="center" wrapText="1"/>
      <protection locked="0"/>
    </xf>
    <xf numFmtId="0" fontId="16" fillId="8" borderId="0" xfId="0" applyFont="1" applyFill="1" applyBorder="1" applyAlignment="1" applyProtection="1">
      <alignment horizontal="center" vertical="center" wrapText="1"/>
      <protection locked="0"/>
    </xf>
    <xf numFmtId="0" fontId="16" fillId="8" borderId="90" xfId="0" applyFont="1" applyFill="1" applyBorder="1" applyAlignment="1" applyProtection="1">
      <alignment horizontal="center" vertical="center" wrapText="1"/>
      <protection locked="0"/>
    </xf>
    <xf numFmtId="0" fontId="91" fillId="0" borderId="141" xfId="0" applyNumberFormat="1" applyFont="1" applyFill="1" applyBorder="1" applyAlignment="1" applyProtection="1">
      <alignment horizontal="left" vertical="top" wrapText="1"/>
      <protection locked="0"/>
    </xf>
    <xf numFmtId="0" fontId="91" fillId="0" borderId="189" xfId="0" applyNumberFormat="1" applyFont="1" applyFill="1" applyBorder="1" applyAlignment="1" applyProtection="1">
      <alignment horizontal="left" vertical="top" wrapText="1"/>
      <protection locked="0"/>
    </xf>
    <xf numFmtId="0" fontId="91" fillId="0" borderId="25" xfId="0" applyNumberFormat="1" applyFont="1" applyFill="1" applyBorder="1" applyAlignment="1" applyProtection="1">
      <alignment horizontal="left" vertical="top" wrapText="1"/>
      <protection locked="0"/>
    </xf>
    <xf numFmtId="0" fontId="91" fillId="0" borderId="97" xfId="0" applyNumberFormat="1" applyFont="1" applyFill="1" applyBorder="1" applyAlignment="1" applyProtection="1">
      <alignment horizontal="left" vertical="top" wrapText="1"/>
      <protection locked="0"/>
    </xf>
    <xf numFmtId="0" fontId="91" fillId="0" borderId="27" xfId="0" applyNumberFormat="1" applyFont="1" applyFill="1" applyBorder="1" applyAlignment="1" applyProtection="1">
      <alignment horizontal="left" vertical="top" wrapText="1"/>
      <protection locked="0"/>
    </xf>
    <xf numFmtId="0" fontId="91" fillId="0" borderId="186" xfId="0" applyNumberFormat="1" applyFont="1" applyFill="1" applyBorder="1" applyAlignment="1" applyProtection="1">
      <alignment horizontal="left" vertical="top" wrapText="1"/>
      <protection locked="0"/>
    </xf>
    <xf numFmtId="0" fontId="91" fillId="0" borderId="154" xfId="0" applyNumberFormat="1" applyFont="1" applyFill="1" applyBorder="1" applyAlignment="1" applyProtection="1">
      <alignment horizontal="left" vertical="top" wrapText="1"/>
      <protection locked="0"/>
    </xf>
    <xf numFmtId="0" fontId="10" fillId="8" borderId="97" xfId="0" applyFont="1" applyFill="1" applyBorder="1" applyAlignment="1" applyProtection="1">
      <alignment horizontal="center" vertical="center"/>
      <protection locked="0"/>
    </xf>
    <xf numFmtId="0" fontId="10" fillId="8" borderId="27" xfId="0" applyFont="1" applyFill="1" applyBorder="1" applyAlignment="1" applyProtection="1">
      <alignment horizontal="center" vertical="center"/>
      <protection locked="0"/>
    </xf>
    <xf numFmtId="0" fontId="16" fillId="8" borderId="133" xfId="0" applyFont="1" applyFill="1" applyBorder="1" applyAlignment="1">
      <alignment horizontal="center" vertical="center" wrapText="1"/>
    </xf>
    <xf numFmtId="0" fontId="16" fillId="8" borderId="0" xfId="0" applyFont="1" applyFill="1" applyAlignment="1">
      <alignment horizontal="center" vertical="center" wrapText="1"/>
    </xf>
    <xf numFmtId="0" fontId="16" fillId="8" borderId="196" xfId="0" applyFont="1" applyFill="1" applyBorder="1" applyAlignment="1">
      <alignment horizontal="center" vertical="center" wrapText="1"/>
    </xf>
    <xf numFmtId="0" fontId="16" fillId="8" borderId="16" xfId="0" applyFont="1" applyFill="1" applyBorder="1" applyAlignment="1">
      <alignment horizontal="center" vertical="center" wrapText="1"/>
    </xf>
    <xf numFmtId="0" fontId="16" fillId="0" borderId="146" xfId="0" applyFont="1" applyFill="1" applyBorder="1" applyAlignment="1">
      <alignment horizontal="center" vertical="center" wrapText="1"/>
    </xf>
    <xf numFmtId="0" fontId="16" fillId="0" borderId="97" xfId="0" applyFont="1" applyFill="1" applyBorder="1" applyAlignment="1">
      <alignment horizontal="center" vertical="center" wrapText="1"/>
    </xf>
    <xf numFmtId="0" fontId="91" fillId="8" borderId="146" xfId="0" applyFont="1" applyFill="1" applyBorder="1" applyAlignment="1">
      <alignment horizontal="center" vertical="center" wrapText="1"/>
    </xf>
    <xf numFmtId="0" fontId="91" fillId="8" borderId="97" xfId="0" applyFont="1" applyFill="1" applyBorder="1" applyAlignment="1">
      <alignment horizontal="center" vertical="center" wrapText="1"/>
    </xf>
    <xf numFmtId="0" fontId="10" fillId="9" borderId="97" xfId="0" applyFont="1" applyFill="1" applyBorder="1" applyAlignment="1" applyProtection="1">
      <alignment horizontal="center" vertical="center" wrapText="1"/>
      <protection locked="0"/>
    </xf>
    <xf numFmtId="0" fontId="10" fillId="9" borderId="27" xfId="0" applyFont="1" applyFill="1" applyBorder="1" applyAlignment="1" applyProtection="1">
      <alignment horizontal="center" vertical="center" wrapText="1"/>
      <protection locked="0"/>
    </xf>
    <xf numFmtId="189" fontId="168" fillId="0" borderId="146" xfId="0" applyNumberFormat="1" applyFont="1" applyFill="1" applyBorder="1" applyAlignment="1">
      <alignment horizontal="center" vertical="center"/>
    </xf>
    <xf numFmtId="189" fontId="168" fillId="0" borderId="97" xfId="0" applyNumberFormat="1" applyFont="1" applyFill="1" applyBorder="1" applyAlignment="1">
      <alignment horizontal="center" vertical="center"/>
    </xf>
    <xf numFmtId="189" fontId="168" fillId="0" borderId="91" xfId="0" applyNumberFormat="1" applyFont="1" applyFill="1" applyBorder="1" applyAlignment="1">
      <alignment horizontal="center" vertical="center"/>
    </xf>
    <xf numFmtId="189" fontId="168" fillId="0" borderId="189" xfId="0" applyNumberFormat="1" applyFont="1" applyFill="1" applyBorder="1" applyAlignment="1">
      <alignment horizontal="center" vertical="center"/>
    </xf>
    <xf numFmtId="0" fontId="1" fillId="8" borderId="146" xfId="0" applyFont="1" applyFill="1" applyBorder="1" applyAlignment="1" applyProtection="1">
      <alignment horizontal="center" vertical="center" wrapText="1"/>
      <protection locked="0"/>
    </xf>
    <xf numFmtId="0" fontId="1" fillId="8" borderId="97" xfId="0" applyFont="1" applyFill="1" applyBorder="1" applyAlignment="1" applyProtection="1">
      <alignment horizontal="center" vertical="center" wrapText="1"/>
      <protection locked="0"/>
    </xf>
    <xf numFmtId="0" fontId="1" fillId="8" borderId="208" xfId="0" applyFont="1" applyFill="1" applyBorder="1" applyAlignment="1" applyProtection="1">
      <alignment horizontal="center" vertical="center" wrapText="1"/>
      <protection locked="0"/>
    </xf>
    <xf numFmtId="0" fontId="1" fillId="8" borderId="209" xfId="0" applyFont="1" applyFill="1" applyBorder="1" applyAlignment="1" applyProtection="1">
      <alignment horizontal="center" vertical="center" wrapText="1"/>
      <protection locked="0"/>
    </xf>
    <xf numFmtId="0" fontId="1" fillId="0" borderId="97" xfId="0" applyFont="1" applyFill="1" applyBorder="1" applyAlignment="1" applyProtection="1">
      <alignment horizontal="center" vertical="center" wrapText="1"/>
      <protection locked="0"/>
    </xf>
    <xf numFmtId="0" fontId="1" fillId="0" borderId="209" xfId="0" applyFont="1" applyFill="1" applyBorder="1" applyAlignment="1" applyProtection="1">
      <alignment horizontal="center" vertical="center" wrapText="1"/>
      <protection locked="0"/>
    </xf>
    <xf numFmtId="0" fontId="1" fillId="8" borderId="97" xfId="0" applyNumberFormat="1" applyFont="1" applyFill="1" applyBorder="1" applyAlignment="1" applyProtection="1">
      <alignment horizontal="center" vertical="center" wrapText="1"/>
      <protection locked="0"/>
    </xf>
    <xf numFmtId="0" fontId="1" fillId="8" borderId="27" xfId="0" applyNumberFormat="1" applyFont="1" applyFill="1" applyBorder="1" applyAlignment="1" applyProtection="1">
      <alignment horizontal="center" vertical="center" wrapText="1"/>
      <protection locked="0"/>
    </xf>
    <xf numFmtId="0" fontId="1" fillId="8" borderId="209" xfId="0" applyNumberFormat="1" applyFont="1" applyFill="1" applyBorder="1" applyAlignment="1" applyProtection="1">
      <alignment horizontal="center" vertical="center" wrapText="1"/>
      <protection locked="0"/>
    </xf>
    <xf numFmtId="0" fontId="1" fillId="8" borderId="215" xfId="0" applyNumberFormat="1" applyFont="1" applyFill="1" applyBorder="1" applyAlignment="1" applyProtection="1">
      <alignment horizontal="center" vertical="center" wrapText="1"/>
      <protection locked="0"/>
    </xf>
    <xf numFmtId="1" fontId="16" fillId="9" borderId="15" xfId="0" applyNumberFormat="1" applyFont="1" applyFill="1" applyBorder="1" applyAlignment="1" applyProtection="1">
      <alignment horizontal="right" vertical="center" wrapText="1"/>
      <protection locked="0"/>
    </xf>
    <xf numFmtId="1" fontId="16" fillId="9" borderId="16" xfId="0" applyNumberFormat="1" applyFont="1" applyFill="1" applyBorder="1" applyAlignment="1" applyProtection="1">
      <alignment horizontal="right" vertical="center" wrapText="1"/>
      <protection locked="0"/>
    </xf>
    <xf numFmtId="183" fontId="16" fillId="9" borderId="15" xfId="0" applyNumberFormat="1" applyFont="1" applyFill="1" applyBorder="1" applyAlignment="1">
      <alignment horizontal="left" vertical="center" wrapText="1"/>
    </xf>
    <xf numFmtId="183" fontId="16" fillId="9" borderId="16" xfId="0" applyNumberFormat="1" applyFont="1" applyFill="1" applyBorder="1" applyAlignment="1">
      <alignment horizontal="left" vertical="center" wrapText="1"/>
    </xf>
    <xf numFmtId="185" fontId="16" fillId="9" borderId="152" xfId="0" applyNumberFormat="1" applyFont="1" applyFill="1" applyBorder="1" applyAlignment="1" applyProtection="1">
      <alignment horizontal="center" vertical="center" wrapText="1"/>
      <protection locked="0"/>
    </xf>
    <xf numFmtId="185" fontId="16" fillId="9" borderId="211" xfId="0" applyNumberFormat="1" applyFont="1" applyFill="1" applyBorder="1" applyAlignment="1" applyProtection="1">
      <alignment horizontal="center" vertical="center" wrapText="1"/>
      <protection locked="0"/>
    </xf>
    <xf numFmtId="0" fontId="91" fillId="8" borderId="97" xfId="0" applyFont="1" applyFill="1" applyBorder="1" applyAlignment="1" applyProtection="1">
      <alignment horizontal="center" vertical="center" wrapText="1"/>
      <protection locked="0"/>
    </xf>
    <xf numFmtId="185" fontId="91" fillId="0" borderId="97" xfId="0" applyNumberFormat="1" applyFont="1" applyFill="1" applyBorder="1" applyAlignment="1">
      <alignment horizontal="center" vertical="center"/>
    </xf>
    <xf numFmtId="185" fontId="91" fillId="0" borderId="186" xfId="0" applyNumberFormat="1" applyFont="1" applyFill="1" applyBorder="1" applyAlignment="1">
      <alignment horizontal="center" vertical="center"/>
    </xf>
    <xf numFmtId="0" fontId="16" fillId="9" borderId="146" xfId="0" applyFont="1" applyFill="1" applyBorder="1" applyAlignment="1">
      <alignment horizontal="center" vertical="center" wrapText="1"/>
    </xf>
    <xf numFmtId="0" fontId="16" fillId="9" borderId="97" xfId="0" applyFont="1" applyFill="1" applyBorder="1" applyAlignment="1">
      <alignment horizontal="center" vertical="center" wrapText="1"/>
    </xf>
    <xf numFmtId="0" fontId="91" fillId="0" borderId="146" xfId="0" applyFont="1" applyFill="1" applyBorder="1" applyAlignment="1">
      <alignment horizontal="center" vertical="center" wrapText="1"/>
    </xf>
    <xf numFmtId="183" fontId="16" fillId="0" borderId="0" xfId="0" applyNumberFormat="1" applyFont="1" applyFill="1" applyBorder="1" applyAlignment="1" applyProtection="1">
      <alignment vertical="center" wrapText="1"/>
      <protection locked="0"/>
    </xf>
    <xf numFmtId="183" fontId="16" fillId="0" borderId="0" xfId="0" applyNumberFormat="1" applyFont="1" applyFill="1" applyBorder="1" applyProtection="1">
      <alignment vertical="center"/>
      <protection locked="0"/>
    </xf>
    <xf numFmtId="0" fontId="167" fillId="0" borderId="91" xfId="0" applyFont="1" applyFill="1" applyBorder="1" applyAlignment="1" applyProtection="1">
      <alignment horizontal="center" vertical="center"/>
      <protection locked="0"/>
    </xf>
    <xf numFmtId="0" fontId="167" fillId="0" borderId="26" xfId="0" applyFont="1" applyFill="1" applyBorder="1" applyAlignment="1" applyProtection="1">
      <alignment horizontal="center" vertical="center"/>
      <protection locked="0"/>
    </xf>
    <xf numFmtId="0" fontId="16" fillId="0" borderId="146" xfId="0" applyFont="1" applyFill="1" applyBorder="1" applyAlignment="1" applyProtection="1">
      <alignment horizontal="center" vertical="top" wrapText="1"/>
      <protection locked="0"/>
    </xf>
    <xf numFmtId="0" fontId="16" fillId="0" borderId="97" xfId="0" applyFont="1" applyFill="1" applyBorder="1" applyAlignment="1" applyProtection="1">
      <alignment horizontal="center" vertical="top" wrapText="1"/>
      <protection locked="0"/>
    </xf>
    <xf numFmtId="0" fontId="16" fillId="0" borderId="97" xfId="0" applyFont="1" applyFill="1" applyBorder="1" applyAlignment="1" applyProtection="1">
      <alignment horizontal="center" vertical="center"/>
      <protection locked="0"/>
    </xf>
    <xf numFmtId="0" fontId="16" fillId="0" borderId="27" xfId="0" applyFont="1" applyFill="1" applyBorder="1" applyAlignment="1" applyProtection="1">
      <alignment horizontal="center" vertical="center"/>
      <protection locked="0"/>
    </xf>
    <xf numFmtId="0" fontId="91" fillId="0" borderId="97" xfId="0" applyFont="1" applyFill="1" applyBorder="1" applyAlignment="1">
      <alignment horizontal="center" vertical="center"/>
    </xf>
    <xf numFmtId="0" fontId="91" fillId="0" borderId="27" xfId="0" applyFont="1" applyFill="1" applyBorder="1">
      <alignment vertical="center"/>
    </xf>
    <xf numFmtId="49" fontId="91" fillId="8" borderId="11" xfId="0" applyNumberFormat="1" applyFont="1" applyFill="1" applyBorder="1" applyAlignment="1" applyProtection="1">
      <alignment horizontal="center" vertical="center" wrapText="1"/>
      <protection locked="0"/>
    </xf>
    <xf numFmtId="49" fontId="91" fillId="8" borderId="78" xfId="0" applyNumberFormat="1" applyFont="1" applyFill="1" applyBorder="1" applyAlignment="1" applyProtection="1">
      <alignment horizontal="center" vertical="center" wrapText="1"/>
      <protection locked="0"/>
    </xf>
    <xf numFmtId="49" fontId="91" fillId="8" borderId="23" xfId="0" applyNumberFormat="1" applyFont="1" applyFill="1" applyBorder="1" applyAlignment="1" applyProtection="1">
      <alignment horizontal="center" vertical="center" wrapText="1"/>
      <protection locked="0"/>
    </xf>
    <xf numFmtId="49" fontId="91" fillId="0" borderId="11" xfId="0" applyNumberFormat="1" applyFont="1" applyFill="1" applyBorder="1" applyAlignment="1" applyProtection="1">
      <alignment horizontal="center" vertical="center" wrapText="1"/>
      <protection locked="0"/>
    </xf>
    <xf numFmtId="49" fontId="91" fillId="0" borderId="78" xfId="0" applyNumberFormat="1" applyFont="1" applyFill="1" applyBorder="1" applyAlignment="1" applyProtection="1">
      <alignment horizontal="center" vertical="center" wrapText="1"/>
      <protection locked="0"/>
    </xf>
    <xf numFmtId="0" fontId="170" fillId="0" borderId="0" xfId="0" applyNumberFormat="1" applyFont="1" applyAlignment="1">
      <alignment horizontal="center" vertical="top"/>
    </xf>
    <xf numFmtId="0" fontId="91" fillId="0" borderId="97" xfId="0" applyFont="1" applyFill="1" applyBorder="1" applyAlignment="1" applyProtection="1">
      <alignment horizontal="center" vertical="center" wrapText="1"/>
      <protection locked="0"/>
    </xf>
    <xf numFmtId="182" fontId="165" fillId="8" borderId="11" xfId="0" applyNumberFormat="1" applyFont="1" applyFill="1" applyBorder="1" applyAlignment="1">
      <alignment horizontal="center" vertical="center"/>
    </xf>
    <xf numFmtId="182" fontId="165" fillId="8" borderId="0" xfId="0" applyNumberFormat="1" applyFont="1" applyFill="1" applyBorder="1" applyAlignment="1">
      <alignment horizontal="center" vertical="center"/>
    </xf>
    <xf numFmtId="0" fontId="16" fillId="8" borderId="200" xfId="0" applyFont="1" applyFill="1" applyBorder="1" applyAlignment="1">
      <alignment horizontal="center" vertical="center" wrapText="1"/>
    </xf>
    <xf numFmtId="0" fontId="16" fillId="8" borderId="189" xfId="0" applyFont="1" applyFill="1" applyBorder="1" applyAlignment="1">
      <alignment horizontal="center" vertical="center" wrapText="1"/>
    </xf>
    <xf numFmtId="0" fontId="16" fillId="8" borderId="146" xfId="0" applyFont="1" applyFill="1" applyBorder="1" applyAlignment="1">
      <alignment horizontal="center" vertical="center" wrapText="1"/>
    </xf>
    <xf numFmtId="0" fontId="16" fillId="8" borderId="97" xfId="0" applyFont="1" applyFill="1" applyBorder="1" applyAlignment="1">
      <alignment horizontal="center" vertical="center" wrapText="1"/>
    </xf>
    <xf numFmtId="0" fontId="16" fillId="8" borderId="189" xfId="0" applyFont="1" applyFill="1" applyBorder="1" applyAlignment="1" applyProtection="1">
      <alignment horizontal="center" vertical="center" wrapText="1"/>
      <protection locked="0"/>
    </xf>
    <xf numFmtId="0" fontId="16" fillId="8" borderId="97" xfId="0" applyFont="1" applyFill="1" applyBorder="1" applyAlignment="1" applyProtection="1">
      <alignment horizontal="center" vertical="center" wrapText="1"/>
      <protection locked="0"/>
    </xf>
    <xf numFmtId="0" fontId="16" fillId="0" borderId="189" xfId="0" applyFont="1" applyFill="1" applyBorder="1" applyAlignment="1">
      <alignment horizontal="center" vertical="center" wrapText="1"/>
    </xf>
    <xf numFmtId="0" fontId="16" fillId="0" borderId="189" xfId="0" applyFont="1" applyFill="1" applyBorder="1" applyAlignment="1" applyProtection="1">
      <alignment horizontal="center" vertical="center" wrapText="1"/>
      <protection locked="0"/>
    </xf>
    <xf numFmtId="0" fontId="16" fillId="0" borderId="97" xfId="0" applyFont="1" applyFill="1" applyBorder="1" applyAlignment="1" applyProtection="1">
      <alignment horizontal="center" vertical="center" wrapText="1"/>
      <protection locked="0"/>
    </xf>
    <xf numFmtId="0" fontId="90" fillId="9" borderId="146" xfId="0" applyFont="1" applyFill="1" applyBorder="1" applyAlignment="1">
      <alignment horizontal="center" vertical="top" wrapText="1"/>
    </xf>
    <xf numFmtId="0" fontId="90" fillId="9" borderId="97" xfId="0" applyFont="1" applyFill="1" applyBorder="1" applyAlignment="1">
      <alignment horizontal="center" vertical="top" wrapText="1"/>
    </xf>
    <xf numFmtId="0" fontId="90" fillId="9" borderId="27" xfId="0" applyFont="1" applyFill="1" applyBorder="1" applyAlignment="1">
      <alignment horizontal="center" vertical="top" wrapText="1"/>
    </xf>
    <xf numFmtId="0" fontId="90" fillId="9" borderId="185" xfId="0" applyFont="1" applyFill="1" applyBorder="1" applyAlignment="1">
      <alignment horizontal="center" vertical="top" wrapText="1"/>
    </xf>
    <xf numFmtId="0" fontId="90" fillId="9" borderId="186" xfId="0" applyFont="1" applyFill="1" applyBorder="1" applyAlignment="1">
      <alignment horizontal="center" vertical="top" wrapText="1"/>
    </xf>
    <xf numFmtId="0" fontId="90" fillId="9" borderId="154" xfId="0" applyFont="1" applyFill="1" applyBorder="1" applyAlignment="1">
      <alignment horizontal="center" vertical="top" wrapText="1"/>
    </xf>
    <xf numFmtId="0" fontId="16" fillId="0" borderId="217" xfId="0" applyFont="1" applyFill="1" applyBorder="1" applyAlignment="1">
      <alignment horizontal="center" vertical="center"/>
    </xf>
    <xf numFmtId="0" fontId="16" fillId="0" borderId="91" xfId="0" applyFont="1" applyFill="1" applyBorder="1" applyAlignment="1">
      <alignment horizontal="center" vertical="center"/>
    </xf>
    <xf numFmtId="0" fontId="1" fillId="0" borderId="146" xfId="0" applyFont="1" applyFill="1" applyBorder="1" applyAlignment="1" applyProtection="1">
      <alignment horizontal="center" vertical="center" wrapText="1"/>
      <protection locked="0"/>
    </xf>
    <xf numFmtId="0" fontId="1" fillId="0" borderId="27" xfId="0" applyFont="1" applyFill="1" applyBorder="1" applyAlignment="1" applyProtection="1">
      <alignment horizontal="center" vertical="center" wrapText="1"/>
      <protection locked="0"/>
    </xf>
    <xf numFmtId="0" fontId="170" fillId="0" borderId="0" xfId="0" applyNumberFormat="1" applyFont="1" applyAlignment="1">
      <alignment horizontal="center" vertical="top" wrapText="1"/>
    </xf>
    <xf numFmtId="0" fontId="16" fillId="0" borderId="27" xfId="0" applyFont="1" applyFill="1" applyBorder="1" applyAlignment="1">
      <alignment horizontal="center" vertical="center"/>
    </xf>
    <xf numFmtId="0" fontId="171" fillId="0" borderId="0" xfId="0" applyNumberFormat="1" applyFont="1" applyFill="1" applyAlignment="1">
      <alignment horizontal="center" vertical="top"/>
    </xf>
    <xf numFmtId="0" fontId="91" fillId="9" borderId="97" xfId="0" applyFont="1" applyFill="1" applyBorder="1" applyAlignment="1" applyProtection="1">
      <alignment horizontal="center" vertical="center" wrapText="1"/>
      <protection locked="0"/>
    </xf>
    <xf numFmtId="182" fontId="172" fillId="8" borderId="97" xfId="4" applyNumberFormat="1" applyFont="1" applyFill="1" applyBorder="1" applyAlignment="1" applyProtection="1">
      <alignment horizontal="center" vertical="center"/>
    </xf>
    <xf numFmtId="182" fontId="172" fillId="8" borderId="27" xfId="4" applyNumberFormat="1" applyFont="1" applyFill="1" applyBorder="1" applyAlignment="1" applyProtection="1">
      <alignment horizontal="center" vertical="center"/>
    </xf>
    <xf numFmtId="0" fontId="16" fillId="4" borderId="146" xfId="0" applyFont="1" applyFill="1" applyBorder="1" applyAlignment="1">
      <alignment horizontal="center" vertical="center"/>
    </xf>
    <xf numFmtId="0" fontId="16" fillId="4" borderId="97" xfId="0" applyFont="1" applyFill="1" applyBorder="1" applyAlignment="1">
      <alignment horizontal="center" vertical="center"/>
    </xf>
    <xf numFmtId="0" fontId="16" fillId="4" borderId="27" xfId="0" applyFont="1" applyFill="1" applyBorder="1" applyAlignment="1">
      <alignment horizontal="center" vertical="center"/>
    </xf>
    <xf numFmtId="0" fontId="16" fillId="0" borderId="185" xfId="0" applyFont="1" applyFill="1" applyBorder="1" applyAlignment="1">
      <alignment horizontal="center" vertical="center"/>
    </xf>
    <xf numFmtId="0" fontId="16" fillId="0" borderId="186" xfId="0" applyFont="1" applyFill="1" applyBorder="1" applyAlignment="1">
      <alignment horizontal="center" vertical="center"/>
    </xf>
    <xf numFmtId="0" fontId="16" fillId="0" borderId="154" xfId="0" applyFont="1" applyFill="1" applyBorder="1" applyAlignment="1">
      <alignment horizontal="center" vertical="center"/>
    </xf>
    <xf numFmtId="49" fontId="16" fillId="0" borderId="13" xfId="0" applyNumberFormat="1" applyFont="1" applyFill="1" applyBorder="1" applyAlignment="1" applyProtection="1">
      <alignment horizontal="center" vertical="center" wrapText="1"/>
      <protection locked="0"/>
    </xf>
    <xf numFmtId="49" fontId="16" fillId="0" borderId="16" xfId="0" applyNumberFormat="1" applyFont="1" applyFill="1" applyBorder="1" applyAlignment="1" applyProtection="1">
      <alignment horizontal="center" vertical="center" wrapText="1"/>
      <protection locked="0"/>
    </xf>
    <xf numFmtId="49" fontId="16" fillId="0" borderId="98" xfId="0" applyNumberFormat="1" applyFont="1" applyFill="1" applyBorder="1" applyAlignment="1" applyProtection="1">
      <alignment horizontal="center" vertical="center" wrapText="1"/>
      <protection locked="0"/>
    </xf>
    <xf numFmtId="49" fontId="16" fillId="0" borderId="96" xfId="0" applyNumberFormat="1" applyFont="1" applyFill="1" applyBorder="1" applyAlignment="1" applyProtection="1">
      <alignment horizontal="center" vertical="center" wrapText="1"/>
      <protection locked="0"/>
    </xf>
    <xf numFmtId="0" fontId="16" fillId="82" borderId="0" xfId="0" applyNumberFormat="1" applyFont="1" applyFill="1" applyAlignment="1" applyProtection="1">
      <alignment horizontal="right" vertical="center" wrapText="1"/>
      <protection locked="0"/>
    </xf>
    <xf numFmtId="0" fontId="16" fillId="82" borderId="16" xfId="0" applyNumberFormat="1" applyFont="1" applyFill="1" applyBorder="1" applyAlignment="1" applyProtection="1">
      <alignment horizontal="right" vertical="center" wrapText="1"/>
      <protection locked="0"/>
    </xf>
    <xf numFmtId="49" fontId="16" fillId="0" borderId="14" xfId="0" applyNumberFormat="1" applyFont="1" applyFill="1" applyBorder="1" applyAlignment="1" applyProtection="1">
      <alignment horizontal="center" vertical="center" wrapText="1"/>
      <protection locked="0"/>
    </xf>
    <xf numFmtId="0" fontId="13" fillId="9" borderId="186" xfId="0" applyFont="1" applyFill="1" applyBorder="1" applyAlignment="1" applyProtection="1">
      <alignment horizontal="center" vertical="center"/>
      <protection locked="0"/>
    </xf>
    <xf numFmtId="0" fontId="13" fillId="9" borderId="154" xfId="0" applyFont="1" applyFill="1" applyBorder="1" applyAlignment="1" applyProtection="1">
      <alignment horizontal="center" vertical="center"/>
      <protection locked="0"/>
    </xf>
    <xf numFmtId="0" fontId="150" fillId="0" borderId="0" xfId="0" applyFont="1" applyFill="1" applyAlignment="1">
      <alignment horizontal="center" vertical="center"/>
    </xf>
    <xf numFmtId="0" fontId="114" fillId="0" borderId="0" xfId="0" applyFont="1" applyFill="1" applyBorder="1" applyAlignment="1">
      <alignment horizontal="center" vertical="center"/>
    </xf>
    <xf numFmtId="0" fontId="174" fillId="0" borderId="0" xfId="0" applyFont="1" applyFill="1" applyAlignment="1">
      <alignment horizontal="center" vertical="center"/>
    </xf>
    <xf numFmtId="0" fontId="7" fillId="68" borderId="144" xfId="0" applyFont="1" applyFill="1" applyBorder="1" applyAlignment="1">
      <alignment horizontal="center" vertical="center" wrapText="1"/>
    </xf>
    <xf numFmtId="0" fontId="7" fillId="68" borderId="146" xfId="0" applyFont="1" applyFill="1" applyBorder="1" applyAlignment="1">
      <alignment horizontal="center" vertical="center" wrapText="1"/>
    </xf>
    <xf numFmtId="0" fontId="7" fillId="68" borderId="185" xfId="0" applyFont="1" applyFill="1" applyBorder="1" applyAlignment="1">
      <alignment horizontal="center" vertical="center" wrapText="1"/>
    </xf>
    <xf numFmtId="0" fontId="16" fillId="8" borderId="185" xfId="0" applyFont="1" applyFill="1" applyBorder="1" applyAlignment="1">
      <alignment horizontal="center" vertical="center" wrapText="1"/>
    </xf>
    <xf numFmtId="0" fontId="16" fillId="8" borderId="186" xfId="0" applyFont="1" applyFill="1" applyBorder="1" applyAlignment="1">
      <alignment horizontal="center" vertical="center" wrapText="1"/>
    </xf>
    <xf numFmtId="0" fontId="16" fillId="8" borderId="186" xfId="0" applyFont="1" applyFill="1" applyBorder="1" applyAlignment="1" applyProtection="1">
      <alignment horizontal="center" vertical="center" wrapText="1"/>
      <protection locked="0"/>
    </xf>
    <xf numFmtId="0" fontId="16" fillId="0" borderId="186" xfId="0" applyFont="1" applyFill="1" applyBorder="1" applyAlignment="1">
      <alignment horizontal="center" vertical="center" wrapText="1"/>
    </xf>
    <xf numFmtId="0" fontId="16" fillId="0" borderId="186" xfId="0" applyFont="1" applyFill="1" applyBorder="1" applyAlignment="1" applyProtection="1">
      <alignment horizontal="center" vertical="center" wrapText="1"/>
      <protection locked="0"/>
    </xf>
    <xf numFmtId="0" fontId="160" fillId="8" borderId="84" xfId="0" applyFont="1" applyFill="1" applyBorder="1" applyAlignment="1">
      <alignment horizontal="center" vertical="center" wrapText="1"/>
    </xf>
    <xf numFmtId="0" fontId="160" fillId="8" borderId="81" xfId="0" applyFont="1" applyFill="1" applyBorder="1" applyAlignment="1">
      <alignment horizontal="center" vertical="center" wrapText="1"/>
    </xf>
    <xf numFmtId="0" fontId="160" fillId="8" borderId="98" xfId="0" applyFont="1" applyFill="1" applyBorder="1" applyAlignment="1">
      <alignment horizontal="center" vertical="center" wrapText="1"/>
    </xf>
    <xf numFmtId="0" fontId="160" fillId="8" borderId="16" xfId="0" applyFont="1" applyFill="1" applyBorder="1" applyAlignment="1">
      <alignment horizontal="center" vertical="center" wrapText="1"/>
    </xf>
    <xf numFmtId="0" fontId="160" fillId="8" borderId="84" xfId="0" applyFont="1" applyFill="1" applyBorder="1" applyAlignment="1" applyProtection="1">
      <alignment horizontal="center" vertical="center"/>
      <protection locked="0"/>
    </xf>
    <xf numFmtId="0" fontId="160" fillId="8" borderId="81" xfId="0" applyFont="1" applyFill="1" applyBorder="1" applyAlignment="1" applyProtection="1">
      <alignment horizontal="center" vertical="center"/>
      <protection locked="0"/>
    </xf>
    <xf numFmtId="0" fontId="160" fillId="8" borderId="98" xfId="0" applyFont="1" applyFill="1" applyBorder="1" applyAlignment="1" applyProtection="1">
      <alignment horizontal="center" vertical="center"/>
      <protection locked="0"/>
    </xf>
    <xf numFmtId="0" fontId="160" fillId="8" borderId="16" xfId="0" applyFont="1" applyFill="1" applyBorder="1" applyAlignment="1" applyProtection="1">
      <alignment horizontal="center" vertical="center"/>
      <protection locked="0"/>
    </xf>
    <xf numFmtId="49" fontId="16" fillId="0" borderId="80" xfId="0" applyNumberFormat="1" applyFont="1" applyFill="1" applyBorder="1" applyAlignment="1" applyProtection="1">
      <alignment horizontal="left" vertical="top"/>
      <protection locked="0"/>
    </xf>
    <xf numFmtId="49" fontId="16" fillId="0" borderId="81" xfId="0" applyNumberFormat="1" applyFont="1" applyFill="1" applyBorder="1" applyAlignment="1" applyProtection="1">
      <alignment horizontal="left" vertical="top"/>
      <protection locked="0"/>
    </xf>
    <xf numFmtId="49" fontId="16" fillId="0" borderId="165" xfId="0" applyNumberFormat="1" applyFont="1" applyFill="1" applyBorder="1" applyAlignment="1" applyProtection="1">
      <alignment horizontal="left" vertical="top"/>
      <protection locked="0"/>
    </xf>
    <xf numFmtId="49" fontId="16" fillId="0" borderId="11" xfId="0" applyNumberFormat="1" applyFont="1" applyFill="1" applyBorder="1" applyAlignment="1" applyProtection="1">
      <alignment horizontal="left" vertical="top"/>
      <protection locked="0"/>
    </xf>
    <xf numFmtId="49" fontId="16" fillId="0" borderId="0" xfId="0" applyNumberFormat="1" applyFont="1" applyFill="1" applyAlignment="1" applyProtection="1">
      <alignment horizontal="left" vertical="top"/>
      <protection locked="0"/>
    </xf>
    <xf numFmtId="49" fontId="16" fillId="0" borderId="90" xfId="0" applyNumberFormat="1" applyFont="1" applyFill="1" applyBorder="1" applyAlignment="1" applyProtection="1">
      <alignment horizontal="left" vertical="top"/>
      <protection locked="0"/>
    </xf>
    <xf numFmtId="49" fontId="16" fillId="0" borderId="13" xfId="0" applyNumberFormat="1" applyFont="1" applyFill="1" applyBorder="1" applyAlignment="1" applyProtection="1">
      <alignment horizontal="left" vertical="top"/>
      <protection locked="0"/>
    </xf>
    <xf numFmtId="49" fontId="16" fillId="0" borderId="16" xfId="0" applyNumberFormat="1" applyFont="1" applyFill="1" applyBorder="1" applyAlignment="1" applyProtection="1">
      <alignment horizontal="left" vertical="top"/>
      <protection locked="0"/>
    </xf>
    <xf numFmtId="49" fontId="16" fillId="0" borderId="96" xfId="0" applyNumberFormat="1" applyFont="1" applyFill="1" applyBorder="1" applyAlignment="1" applyProtection="1">
      <alignment horizontal="left" vertical="top"/>
      <protection locked="0"/>
    </xf>
    <xf numFmtId="49" fontId="16" fillId="0" borderId="92" xfId="0" applyNumberFormat="1" applyFont="1" applyFill="1" applyBorder="1" applyAlignment="1" applyProtection="1">
      <alignment horizontal="left" vertical="top"/>
      <protection locked="0"/>
    </xf>
    <xf numFmtId="49" fontId="16" fillId="0" borderId="12" xfId="0" applyNumberFormat="1" applyFont="1" applyFill="1" applyBorder="1" applyAlignment="1" applyProtection="1">
      <alignment horizontal="left" vertical="top"/>
      <protection locked="0"/>
    </xf>
    <xf numFmtId="49" fontId="16" fillId="0" borderId="14" xfId="0" applyNumberFormat="1" applyFont="1" applyFill="1" applyBorder="1" applyAlignment="1" applyProtection="1">
      <alignment horizontal="left" vertical="top"/>
      <protection locked="0"/>
    </xf>
    <xf numFmtId="0" fontId="16" fillId="4" borderId="15" xfId="0" applyFont="1" applyFill="1" applyBorder="1" applyAlignment="1" applyProtection="1">
      <alignment horizontal="right" vertical="center"/>
      <protection locked="0"/>
    </xf>
    <xf numFmtId="0" fontId="16" fillId="4" borderId="16" xfId="0" applyFont="1" applyFill="1" applyBorder="1" applyAlignment="1" applyProtection="1">
      <alignment horizontal="right" vertical="center"/>
      <protection locked="0"/>
    </xf>
    <xf numFmtId="183" fontId="16" fillId="4" borderId="15" xfId="0" applyNumberFormat="1" applyFont="1" applyFill="1" applyBorder="1" applyAlignment="1">
      <alignment horizontal="left" vertical="center"/>
    </xf>
    <xf numFmtId="183" fontId="16" fillId="4" borderId="16" xfId="0" applyNumberFormat="1" applyFont="1" applyFill="1" applyBorder="1" applyAlignment="1">
      <alignment horizontal="left" vertical="center"/>
    </xf>
    <xf numFmtId="0" fontId="19" fillId="8" borderId="151" xfId="0" applyFont="1" applyFill="1" applyBorder="1" applyAlignment="1">
      <alignment horizontal="center" vertical="center"/>
    </xf>
    <xf numFmtId="0" fontId="19" fillId="8" borderId="210" xfId="0" applyFont="1" applyFill="1" applyBorder="1" applyAlignment="1">
      <alignment horizontal="center" vertical="center"/>
    </xf>
    <xf numFmtId="0" fontId="19" fillId="8" borderId="15" xfId="0" applyFont="1" applyFill="1" applyBorder="1" applyAlignment="1">
      <alignment horizontal="center" vertical="center"/>
    </xf>
    <xf numFmtId="0" fontId="19" fillId="8" borderId="204" xfId="0" applyFont="1" applyFill="1" applyBorder="1" applyAlignment="1">
      <alignment horizontal="center" vertical="center"/>
    </xf>
    <xf numFmtId="0" fontId="16" fillId="0" borderId="27" xfId="0" applyFont="1" applyFill="1" applyBorder="1" applyAlignment="1">
      <alignment horizontal="center" vertical="center" wrapText="1"/>
    </xf>
    <xf numFmtId="0" fontId="91" fillId="8" borderId="97" xfId="4" applyFont="1" applyFill="1" applyBorder="1" applyAlignment="1" applyProtection="1">
      <alignment horizontal="center" vertical="center"/>
    </xf>
    <xf numFmtId="0" fontId="91" fillId="8" borderId="27" xfId="4" applyFont="1" applyFill="1" applyBorder="1" applyAlignment="1" applyProtection="1">
      <alignment horizontal="center" vertical="center"/>
    </xf>
    <xf numFmtId="49" fontId="16" fillId="0" borderId="11" xfId="0" applyNumberFormat="1" applyFont="1" applyFill="1" applyBorder="1" applyAlignment="1" applyProtection="1">
      <alignment horizontal="center" vertical="center" wrapText="1"/>
      <protection locked="0"/>
    </xf>
    <xf numFmtId="49" fontId="16" fillId="0" borderId="0" xfId="0" applyNumberFormat="1" applyFont="1" applyFill="1" applyBorder="1" applyAlignment="1" applyProtection="1">
      <alignment horizontal="center" vertical="center" wrapText="1"/>
      <protection locked="0"/>
    </xf>
    <xf numFmtId="49" fontId="16" fillId="0" borderId="78" xfId="0" applyNumberFormat="1" applyFont="1" applyFill="1" applyBorder="1" applyAlignment="1" applyProtection="1">
      <alignment horizontal="center" vertical="center" wrapText="1"/>
      <protection locked="0"/>
    </xf>
    <xf numFmtId="49" fontId="16" fillId="0" borderId="90" xfId="0" applyNumberFormat="1" applyFont="1" applyFill="1" applyBorder="1" applyAlignment="1" applyProtection="1">
      <alignment horizontal="center" vertical="center" wrapText="1"/>
      <protection locked="0"/>
    </xf>
    <xf numFmtId="49" fontId="16" fillId="0" borderId="12" xfId="0" applyNumberFormat="1" applyFont="1" applyFill="1" applyBorder="1" applyAlignment="1" applyProtection="1">
      <alignment horizontal="center" vertical="center" wrapText="1"/>
      <protection locked="0"/>
    </xf>
    <xf numFmtId="49" fontId="16" fillId="8" borderId="11" xfId="0" applyNumberFormat="1" applyFont="1" applyFill="1" applyBorder="1" applyAlignment="1" applyProtection="1">
      <alignment horizontal="center" vertical="center" wrapText="1"/>
      <protection locked="0"/>
    </xf>
    <xf numFmtId="49" fontId="16" fillId="8" borderId="0" xfId="0" applyNumberFormat="1" applyFont="1" applyFill="1" applyBorder="1" applyAlignment="1" applyProtection="1">
      <alignment horizontal="center" vertical="center" wrapText="1"/>
      <protection locked="0"/>
    </xf>
    <xf numFmtId="49" fontId="16" fillId="8" borderId="78" xfId="0" applyNumberFormat="1" applyFont="1" applyFill="1" applyBorder="1" applyAlignment="1" applyProtection="1">
      <alignment horizontal="center" vertical="center" wrapText="1"/>
      <protection locked="0"/>
    </xf>
    <xf numFmtId="49" fontId="16" fillId="8" borderId="90" xfId="0" applyNumberFormat="1" applyFont="1" applyFill="1" applyBorder="1" applyAlignment="1" applyProtection="1">
      <alignment horizontal="center" vertical="center" wrapText="1"/>
      <protection locked="0"/>
    </xf>
    <xf numFmtId="49" fontId="16" fillId="8" borderId="12" xfId="0" applyNumberFormat="1" applyFont="1" applyFill="1" applyBorder="1" applyAlignment="1" applyProtection="1">
      <alignment horizontal="center" vertical="center" wrapText="1"/>
      <protection locked="0"/>
    </xf>
    <xf numFmtId="0" fontId="16" fillId="0" borderId="146" xfId="0" applyFont="1" applyFill="1" applyBorder="1" applyAlignment="1">
      <alignment horizontal="left" vertical="center"/>
    </xf>
    <xf numFmtId="0" fontId="16" fillId="0" borderId="97" xfId="0" applyFont="1" applyFill="1" applyBorder="1" applyAlignment="1">
      <alignment horizontal="left" vertical="center"/>
    </xf>
    <xf numFmtId="0" fontId="16" fillId="0" borderId="27" xfId="0" applyFont="1" applyFill="1" applyBorder="1" applyAlignment="1">
      <alignment horizontal="left" vertical="center"/>
    </xf>
    <xf numFmtId="0" fontId="16" fillId="9" borderId="97" xfId="0" applyFont="1" applyFill="1" applyBorder="1" applyAlignment="1">
      <alignment horizontal="center" vertical="center"/>
    </xf>
    <xf numFmtId="1" fontId="150" fillId="9" borderId="97" xfId="0" applyNumberFormat="1" applyFont="1" applyFill="1" applyBorder="1" applyAlignment="1" applyProtection="1">
      <alignment horizontal="center" vertical="center"/>
      <protection locked="0"/>
    </xf>
    <xf numFmtId="1" fontId="150" fillId="9" borderId="27" xfId="0" applyNumberFormat="1" applyFont="1" applyFill="1" applyBorder="1" applyAlignment="1" applyProtection="1">
      <alignment horizontal="center" vertical="center"/>
      <protection locked="0"/>
    </xf>
    <xf numFmtId="49" fontId="16" fillId="8" borderId="177" xfId="0" applyNumberFormat="1" applyFont="1" applyFill="1" applyBorder="1" applyAlignment="1" applyProtection="1">
      <alignment horizontal="center" vertical="center" wrapText="1"/>
      <protection locked="0"/>
    </xf>
    <xf numFmtId="49" fontId="16" fillId="8" borderId="93" xfId="0" applyNumberFormat="1" applyFont="1" applyFill="1" applyBorder="1" applyAlignment="1" applyProtection="1">
      <alignment horizontal="center" vertical="center" wrapText="1"/>
      <protection locked="0"/>
    </xf>
    <xf numFmtId="49" fontId="16" fillId="8" borderId="23" xfId="0" applyNumberFormat="1" applyFont="1" applyFill="1" applyBorder="1" applyAlignment="1" applyProtection="1">
      <alignment horizontal="center" vertical="center" wrapText="1"/>
      <protection locked="0"/>
    </xf>
    <xf numFmtId="49" fontId="16" fillId="0" borderId="177" xfId="0" applyNumberFormat="1" applyFont="1" applyFill="1" applyBorder="1" applyAlignment="1" applyProtection="1">
      <alignment horizontal="center" vertical="center" wrapText="1"/>
      <protection locked="0"/>
    </xf>
    <xf numFmtId="49" fontId="16" fillId="0" borderId="93" xfId="0" applyNumberFormat="1" applyFont="1" applyFill="1" applyBorder="1" applyAlignment="1" applyProtection="1">
      <alignment horizontal="center" vertical="center" wrapText="1"/>
      <protection locked="0"/>
    </xf>
    <xf numFmtId="49" fontId="16" fillId="0" borderId="23" xfId="0" applyNumberFormat="1" applyFont="1" applyFill="1" applyBorder="1" applyAlignment="1" applyProtection="1">
      <alignment horizontal="center" vertical="center" wrapText="1"/>
      <protection locked="0"/>
    </xf>
    <xf numFmtId="0" fontId="53" fillId="68" borderId="7" xfId="3" applyFont="1" applyFill="1" applyBorder="1" applyAlignment="1" applyProtection="1">
      <alignment horizontal="center" vertical="center"/>
    </xf>
    <xf numFmtId="0" fontId="53" fillId="68" borderId="15" xfId="3" applyFont="1" applyFill="1" applyBorder="1" applyAlignment="1" applyProtection="1">
      <alignment horizontal="center" vertical="center"/>
    </xf>
    <xf numFmtId="0" fontId="53" fillId="68" borderId="8" xfId="3" applyFont="1" applyFill="1" applyBorder="1" applyAlignment="1" applyProtection="1">
      <alignment horizontal="center" vertical="center"/>
    </xf>
    <xf numFmtId="49" fontId="16" fillId="0" borderId="217" xfId="0" applyNumberFormat="1" applyFont="1" applyFill="1" applyBorder="1" applyAlignment="1" applyProtection="1">
      <alignment horizontal="center" vertical="center" wrapText="1"/>
      <protection locked="0"/>
    </xf>
    <xf numFmtId="49" fontId="16" fillId="0" borderId="91" xfId="0" applyNumberFormat="1" applyFont="1" applyFill="1" applyBorder="1" applyAlignment="1" applyProtection="1">
      <alignment horizontal="center" vertical="center" wrapText="1"/>
      <protection locked="0"/>
    </xf>
    <xf numFmtId="49" fontId="16" fillId="0" borderId="84" xfId="0" applyNumberFormat="1" applyFont="1" applyFill="1" applyBorder="1" applyAlignment="1" applyProtection="1">
      <alignment horizontal="center" vertical="center" wrapText="1"/>
      <protection locked="0"/>
    </xf>
    <xf numFmtId="49" fontId="16" fillId="0" borderId="165" xfId="0" applyNumberFormat="1" applyFont="1" applyFill="1" applyBorder="1" applyAlignment="1" applyProtection="1">
      <alignment horizontal="center" vertical="center" wrapText="1"/>
      <protection locked="0"/>
    </xf>
    <xf numFmtId="49" fontId="16" fillId="0" borderId="26" xfId="0" applyNumberFormat="1" applyFont="1" applyFill="1" applyBorder="1" applyAlignment="1" applyProtection="1">
      <alignment horizontal="center" vertical="center" wrapText="1"/>
      <protection locked="0"/>
    </xf>
    <xf numFmtId="0" fontId="91" fillId="0" borderId="146" xfId="0" applyFont="1" applyFill="1" applyBorder="1" applyAlignment="1">
      <alignment horizontal="center" vertical="center"/>
    </xf>
    <xf numFmtId="0" fontId="91" fillId="0" borderId="27" xfId="0" applyFont="1" applyFill="1" applyBorder="1" applyAlignment="1">
      <alignment horizontal="center" vertical="center"/>
    </xf>
    <xf numFmtId="49" fontId="91" fillId="0" borderId="13" xfId="0" applyNumberFormat="1" applyFont="1" applyFill="1" applyBorder="1" applyAlignment="1" applyProtection="1">
      <alignment horizontal="center" vertical="center" wrapText="1"/>
      <protection locked="0"/>
    </xf>
    <xf numFmtId="49" fontId="91" fillId="0" borderId="98" xfId="0" applyNumberFormat="1" applyFont="1" applyFill="1" applyBorder="1" applyAlignment="1" applyProtection="1">
      <alignment horizontal="center" vertical="center" wrapText="1"/>
      <protection locked="0"/>
    </xf>
    <xf numFmtId="49" fontId="91" fillId="0" borderId="24" xfId="0" applyNumberFormat="1" applyFont="1" applyFill="1" applyBorder="1" applyAlignment="1" applyProtection="1">
      <alignment horizontal="center" vertical="center" wrapText="1"/>
      <protection locked="0"/>
    </xf>
    <xf numFmtId="0" fontId="53" fillId="68" borderId="144" xfId="0" applyFont="1" applyFill="1" applyBorder="1" applyAlignment="1">
      <alignment horizontal="center" vertical="center"/>
    </xf>
    <xf numFmtId="0" fontId="53" fillId="68" borderId="145" xfId="0" applyFont="1" applyFill="1" applyBorder="1" applyAlignment="1">
      <alignment horizontal="center" vertical="center"/>
    </xf>
    <xf numFmtId="0" fontId="53" fillId="68" borderId="147" xfId="0" applyFont="1" applyFill="1" applyBorder="1" applyAlignment="1">
      <alignment horizontal="center" vertical="center"/>
    </xf>
    <xf numFmtId="0" fontId="1" fillId="86" borderId="146" xfId="0" applyFont="1" applyFill="1" applyBorder="1" applyAlignment="1">
      <alignment horizontal="center" vertical="center"/>
    </xf>
    <xf numFmtId="0" fontId="1" fillId="86" borderId="97" xfId="0" applyFont="1" applyFill="1" applyBorder="1" applyAlignment="1">
      <alignment horizontal="center" vertical="center"/>
    </xf>
    <xf numFmtId="0" fontId="1" fillId="86" borderId="27" xfId="0" applyFont="1" applyFill="1" applyBorder="1" applyAlignment="1">
      <alignment horizontal="center" vertical="center"/>
    </xf>
    <xf numFmtId="0" fontId="91" fillId="0" borderId="217" xfId="0" applyFont="1" applyFill="1" applyBorder="1" applyAlignment="1">
      <alignment horizontal="center" vertical="center"/>
    </xf>
    <xf numFmtId="0" fontId="91" fillId="0" borderId="91" xfId="0" applyFont="1" applyFill="1" applyBorder="1" applyAlignment="1">
      <alignment horizontal="center" vertical="center"/>
    </xf>
    <xf numFmtId="0" fontId="91" fillId="0" borderId="26" xfId="0" applyFont="1" applyFill="1" applyBorder="1" applyAlignment="1">
      <alignment horizontal="center" vertical="center"/>
    </xf>
    <xf numFmtId="49" fontId="16" fillId="51" borderId="146" xfId="0" applyNumberFormat="1" applyFont="1" applyFill="1" applyBorder="1" applyAlignment="1">
      <alignment horizontal="center" vertical="top" wrapText="1"/>
    </xf>
    <xf numFmtId="49" fontId="16" fillId="51" borderId="97" xfId="0" applyNumberFormat="1" applyFont="1" applyFill="1" applyBorder="1" applyAlignment="1">
      <alignment horizontal="center" vertical="top" wrapText="1"/>
    </xf>
    <xf numFmtId="49" fontId="16" fillId="51" borderId="97" xfId="0" applyNumberFormat="1" applyFont="1" applyFill="1" applyBorder="1" applyAlignment="1">
      <alignment horizontal="center" vertical="top"/>
    </xf>
    <xf numFmtId="49" fontId="16" fillId="51" borderId="27" xfId="0" applyNumberFormat="1" applyFont="1" applyFill="1" applyBorder="1" applyAlignment="1">
      <alignment horizontal="center" vertical="top"/>
    </xf>
    <xf numFmtId="0" fontId="10" fillId="4" borderId="146" xfId="0" applyFont="1" applyFill="1" applyBorder="1" applyAlignment="1">
      <alignment horizontal="right" vertical="top"/>
    </xf>
    <xf numFmtId="0" fontId="10" fillId="4" borderId="97" xfId="0" applyFont="1" applyFill="1" applyBorder="1" applyAlignment="1">
      <alignment horizontal="right" vertical="top"/>
    </xf>
    <xf numFmtId="0" fontId="10" fillId="4" borderId="97" xfId="0" applyFont="1" applyFill="1" applyBorder="1" applyAlignment="1" applyProtection="1">
      <alignment horizontal="left" vertical="top"/>
      <protection locked="0"/>
    </xf>
    <xf numFmtId="189" fontId="15" fillId="4" borderId="97" xfId="0" applyNumberFormat="1" applyFont="1" applyFill="1" applyBorder="1" applyAlignment="1" applyProtection="1">
      <alignment horizontal="left" vertical="top"/>
      <protection locked="0"/>
    </xf>
    <xf numFmtId="189" fontId="15" fillId="4" borderId="27" xfId="0" applyNumberFormat="1" applyFont="1" applyFill="1" applyBorder="1" applyAlignment="1" applyProtection="1">
      <alignment horizontal="left" vertical="top"/>
      <protection locked="0"/>
    </xf>
    <xf numFmtId="49" fontId="91" fillId="0" borderId="23" xfId="0" applyNumberFormat="1" applyFont="1" applyFill="1" applyBorder="1" applyAlignment="1" applyProtection="1">
      <alignment horizontal="center" vertical="center" wrapText="1"/>
      <protection locked="0"/>
    </xf>
    <xf numFmtId="49" fontId="16" fillId="0" borderId="97" xfId="0" applyNumberFormat="1" applyFont="1" applyFill="1" applyBorder="1" applyAlignment="1">
      <alignment horizontal="center" vertical="center"/>
    </xf>
    <xf numFmtId="49" fontId="16" fillId="0" borderId="27" xfId="0" applyNumberFormat="1" applyFont="1" applyFill="1" applyBorder="1" applyAlignment="1">
      <alignment horizontal="center" vertical="center"/>
    </xf>
    <xf numFmtId="49" fontId="16" fillId="0" borderId="200" xfId="0" applyNumberFormat="1" applyFont="1" applyFill="1" applyBorder="1" applyAlignment="1" applyProtection="1">
      <alignment horizontal="center" vertical="center" wrapText="1"/>
      <protection locked="0"/>
    </xf>
    <xf numFmtId="49" fontId="16" fillId="0" borderId="189" xfId="0" applyNumberFormat="1" applyFont="1" applyFill="1" applyBorder="1" applyAlignment="1" applyProtection="1">
      <alignment horizontal="center" vertical="center" wrapText="1"/>
      <protection locked="0"/>
    </xf>
    <xf numFmtId="49" fontId="16" fillId="0" borderId="85" xfId="0" applyNumberFormat="1" applyFont="1" applyFill="1" applyBorder="1" applyAlignment="1" applyProtection="1">
      <alignment horizontal="center" vertical="center" wrapText="1"/>
      <protection locked="0"/>
    </xf>
    <xf numFmtId="49" fontId="16" fillId="0" borderId="146" xfId="0" applyNumberFormat="1" applyFont="1" applyFill="1" applyBorder="1" applyAlignment="1" applyProtection="1">
      <alignment horizontal="center" vertical="center" wrapText="1"/>
      <protection locked="0"/>
    </xf>
    <xf numFmtId="49" fontId="16" fillId="0" borderId="97" xfId="0" applyNumberFormat="1" applyFont="1" applyFill="1" applyBorder="1" applyAlignment="1" applyProtection="1">
      <alignment horizontal="center" vertical="center" wrapText="1"/>
      <protection locked="0"/>
    </xf>
    <xf numFmtId="49" fontId="16" fillId="0" borderId="88" xfId="0" applyNumberFormat="1" applyFont="1" applyFill="1" applyBorder="1" applyAlignment="1" applyProtection="1">
      <alignment horizontal="center" vertical="center" wrapText="1"/>
      <protection locked="0"/>
    </xf>
    <xf numFmtId="49" fontId="16" fillId="0" borderId="185" xfId="0" applyNumberFormat="1" applyFont="1" applyFill="1" applyBorder="1" applyAlignment="1" applyProtection="1">
      <alignment horizontal="center" vertical="center" wrapText="1"/>
      <protection locked="0"/>
    </xf>
    <xf numFmtId="49" fontId="16" fillId="0" borderId="186" xfId="0" applyNumberFormat="1" applyFont="1" applyFill="1" applyBorder="1" applyAlignment="1" applyProtection="1">
      <alignment horizontal="center" vertical="center" wrapText="1"/>
      <protection locked="0"/>
    </xf>
    <xf numFmtId="49" fontId="16" fillId="0" borderId="153" xfId="0" applyNumberFormat="1" applyFont="1" applyFill="1" applyBorder="1" applyAlignment="1" applyProtection="1">
      <alignment horizontal="center" vertical="center" wrapText="1"/>
      <protection locked="0"/>
    </xf>
    <xf numFmtId="49" fontId="1" fillId="0" borderId="141" xfId="0" applyNumberFormat="1" applyFont="1" applyFill="1" applyBorder="1" applyAlignment="1" applyProtection="1">
      <alignment horizontal="center" vertical="center" wrapText="1"/>
      <protection locked="0"/>
    </xf>
    <xf numFmtId="49" fontId="1" fillId="0" borderId="189" xfId="0" applyNumberFormat="1" applyFont="1" applyFill="1" applyBorder="1" applyAlignment="1" applyProtection="1">
      <alignment horizontal="center" vertical="center" wrapText="1"/>
      <protection locked="0"/>
    </xf>
    <xf numFmtId="49" fontId="1" fillId="0" borderId="89" xfId="0" applyNumberFormat="1" applyFont="1" applyFill="1" applyBorder="1" applyAlignment="1" applyProtection="1">
      <alignment horizontal="center" vertical="center" wrapText="1"/>
      <protection locked="0"/>
    </xf>
    <xf numFmtId="49" fontId="1" fillId="0" borderId="97" xfId="0" applyNumberFormat="1" applyFont="1" applyFill="1" applyBorder="1" applyAlignment="1" applyProtection="1">
      <alignment horizontal="center" vertical="center" wrapText="1"/>
      <protection locked="0"/>
    </xf>
    <xf numFmtId="49" fontId="1" fillId="0" borderId="193" xfId="0" applyNumberFormat="1" applyFont="1" applyFill="1" applyBorder="1" applyAlignment="1" applyProtection="1">
      <alignment horizontal="center" vertical="center" wrapText="1"/>
      <protection locked="0"/>
    </xf>
    <xf numFmtId="49" fontId="1" fillId="0" borderId="186" xfId="0" applyNumberFormat="1" applyFont="1" applyFill="1" applyBorder="1" applyAlignment="1" applyProtection="1">
      <alignment horizontal="center" vertical="center" wrapText="1"/>
      <protection locked="0"/>
    </xf>
    <xf numFmtId="49" fontId="16" fillId="8" borderId="13" xfId="0" applyNumberFormat="1" applyFont="1" applyFill="1" applyBorder="1" applyAlignment="1" applyProtection="1">
      <alignment horizontal="center" vertical="center" wrapText="1"/>
      <protection locked="0"/>
    </xf>
    <xf numFmtId="49" fontId="16" fillId="8" borderId="16" xfId="0" applyNumberFormat="1" applyFont="1" applyFill="1" applyBorder="1" applyAlignment="1" applyProtection="1">
      <alignment horizontal="center" vertical="center" wrapText="1"/>
      <protection locked="0"/>
    </xf>
    <xf numFmtId="49" fontId="16" fillId="8" borderId="96" xfId="0" applyNumberFormat="1" applyFont="1" applyFill="1" applyBorder="1" applyAlignment="1" applyProtection="1">
      <alignment horizontal="center" vertical="center" wrapText="1"/>
      <protection locked="0"/>
    </xf>
    <xf numFmtId="49" fontId="91" fillId="8" borderId="16" xfId="0" applyNumberFormat="1" applyFont="1" applyFill="1" applyBorder="1" applyAlignment="1" applyProtection="1">
      <alignment horizontal="center" vertical="center" wrapText="1"/>
      <protection locked="0"/>
    </xf>
    <xf numFmtId="49" fontId="91" fillId="8" borderId="98" xfId="0" applyNumberFormat="1" applyFont="1" applyFill="1" applyBorder="1" applyAlignment="1" applyProtection="1">
      <alignment horizontal="center" vertical="center" wrapText="1"/>
      <protection locked="0"/>
    </xf>
    <xf numFmtId="49" fontId="91" fillId="8" borderId="96" xfId="0" applyNumberFormat="1" applyFont="1" applyFill="1" applyBorder="1" applyAlignment="1" applyProtection="1">
      <alignment horizontal="center" vertical="center" wrapText="1"/>
      <protection locked="0"/>
    </xf>
    <xf numFmtId="49" fontId="16" fillId="8" borderId="14" xfId="0" applyNumberFormat="1" applyFont="1" applyFill="1" applyBorder="1" applyAlignment="1" applyProtection="1">
      <alignment horizontal="center" vertical="center" wrapText="1"/>
      <protection locked="0"/>
    </xf>
    <xf numFmtId="49" fontId="16" fillId="8" borderId="82" xfId="0" applyNumberFormat="1" applyFont="1" applyFill="1" applyBorder="1" applyAlignment="1" applyProtection="1">
      <alignment horizontal="center" vertical="center" wrapText="1"/>
      <protection locked="0"/>
    </xf>
    <xf numFmtId="49" fontId="16" fillId="8" borderId="83" xfId="0" applyNumberFormat="1" applyFont="1" applyFill="1" applyBorder="1" applyAlignment="1" applyProtection="1">
      <alignment horizontal="center" vertical="center" wrapText="1"/>
      <protection locked="0"/>
    </xf>
    <xf numFmtId="49" fontId="16" fillId="8" borderId="141" xfId="0" applyNumberFormat="1" applyFont="1" applyFill="1" applyBorder="1" applyAlignment="1" applyProtection="1">
      <alignment horizontal="center" vertical="center" wrapText="1"/>
      <protection locked="0"/>
    </xf>
    <xf numFmtId="49" fontId="16" fillId="8" borderId="94" xfId="0" applyNumberFormat="1" applyFont="1" applyFill="1" applyBorder="1" applyAlignment="1" applyProtection="1">
      <alignment horizontal="center" vertical="center" wrapText="1"/>
      <protection locked="0"/>
    </xf>
    <xf numFmtId="0" fontId="13" fillId="51" borderId="86" xfId="2" applyFont="1" applyFill="1" applyBorder="1" applyAlignment="1" applyProtection="1">
      <alignment horizontal="center" vertical="center"/>
    </xf>
    <xf numFmtId="0" fontId="13" fillId="51" borderId="87" xfId="2" applyFont="1" applyFill="1" applyBorder="1" applyAlignment="1" applyProtection="1">
      <alignment horizontal="center" vertical="center"/>
    </xf>
    <xf numFmtId="0" fontId="13" fillId="51" borderId="88" xfId="2" applyFont="1" applyFill="1" applyBorder="1" applyAlignment="1" applyProtection="1">
      <alignment horizontal="center" vertical="center"/>
    </xf>
    <xf numFmtId="0" fontId="13" fillId="51" borderId="89" xfId="2" applyFont="1" applyFill="1" applyBorder="1" applyAlignment="1" applyProtection="1">
      <alignment horizontal="center" vertical="center"/>
    </xf>
    <xf numFmtId="49" fontId="16" fillId="51" borderId="88" xfId="0" applyNumberFormat="1" applyFont="1" applyFill="1" applyBorder="1" applyAlignment="1">
      <alignment horizontal="center" vertical="center" wrapText="1"/>
    </xf>
    <xf numFmtId="49" fontId="16" fillId="51" borderId="87" xfId="0" applyNumberFormat="1" applyFont="1" applyFill="1" applyBorder="1" applyAlignment="1">
      <alignment horizontal="center" vertical="center" wrapText="1"/>
    </xf>
    <xf numFmtId="49" fontId="16" fillId="51" borderId="95" xfId="0" applyNumberFormat="1" applyFont="1" applyFill="1" applyBorder="1" applyAlignment="1">
      <alignment horizontal="center" vertical="center" wrapText="1"/>
    </xf>
    <xf numFmtId="49" fontId="91" fillId="0" borderId="0" xfId="0" applyNumberFormat="1" applyFont="1" applyFill="1" applyBorder="1" applyAlignment="1" applyProtection="1">
      <alignment horizontal="center" vertical="center" wrapText="1"/>
      <protection locked="0"/>
    </xf>
    <xf numFmtId="49" fontId="91" fillId="0" borderId="220" xfId="0" applyNumberFormat="1" applyFont="1" applyFill="1" applyBorder="1" applyAlignment="1" applyProtection="1">
      <alignment horizontal="center" vertical="center" wrapText="1"/>
      <protection locked="0"/>
    </xf>
    <xf numFmtId="49" fontId="91" fillId="0" borderId="90" xfId="0" applyNumberFormat="1" applyFont="1" applyFill="1" applyBorder="1" applyAlignment="1" applyProtection="1">
      <alignment horizontal="center" vertical="center" wrapText="1"/>
      <protection locked="0"/>
    </xf>
    <xf numFmtId="49" fontId="91" fillId="8" borderId="0" xfId="0" applyNumberFormat="1" applyFont="1" applyFill="1" applyBorder="1" applyAlignment="1" applyProtection="1">
      <alignment horizontal="center" vertical="center" wrapText="1"/>
      <protection locked="0"/>
    </xf>
    <xf numFmtId="49" fontId="91" fillId="8" borderId="220" xfId="0" applyNumberFormat="1" applyFont="1" applyFill="1" applyBorder="1" applyAlignment="1" applyProtection="1">
      <alignment horizontal="center" vertical="center" wrapText="1"/>
      <protection locked="0"/>
    </xf>
    <xf numFmtId="49" fontId="91" fillId="8" borderId="90" xfId="0" applyNumberFormat="1" applyFont="1" applyFill="1" applyBorder="1" applyAlignment="1" applyProtection="1">
      <alignment horizontal="center" vertical="center" wrapText="1"/>
      <protection locked="0"/>
    </xf>
    <xf numFmtId="0" fontId="1" fillId="86" borderId="200" xfId="0" applyFont="1" applyFill="1" applyBorder="1" applyAlignment="1">
      <alignment horizontal="center" vertical="center"/>
    </xf>
    <xf numFmtId="0" fontId="1" fillId="86" borderId="189" xfId="0" applyFont="1" applyFill="1" applyBorder="1" applyAlignment="1">
      <alignment horizontal="center" vertical="center"/>
    </xf>
    <xf numFmtId="0" fontId="1" fillId="86" borderId="25" xfId="0" applyFont="1" applyFill="1" applyBorder="1" applyAlignment="1">
      <alignment horizontal="center" vertical="center"/>
    </xf>
    <xf numFmtId="49" fontId="19" fillId="8" borderId="0" xfId="0" applyNumberFormat="1" applyFont="1" applyFill="1" applyBorder="1" applyAlignment="1" applyProtection="1">
      <alignment horizontal="center" vertical="center" wrapText="1"/>
      <protection locked="0"/>
    </xf>
    <xf numFmtId="49" fontId="19" fillId="8" borderId="220" xfId="0" applyNumberFormat="1" applyFont="1" applyFill="1" applyBorder="1" applyAlignment="1" applyProtection="1">
      <alignment horizontal="center" vertical="center" wrapText="1"/>
      <protection locked="0"/>
    </xf>
    <xf numFmtId="49" fontId="19" fillId="8" borderId="78" xfId="0" applyNumberFormat="1" applyFont="1" applyFill="1" applyBorder="1" applyAlignment="1" applyProtection="1">
      <alignment horizontal="center" vertical="center" wrapText="1"/>
      <protection locked="0"/>
    </xf>
    <xf numFmtId="49" fontId="19" fillId="8" borderId="90" xfId="0" applyNumberFormat="1" applyFont="1" applyFill="1" applyBorder="1" applyAlignment="1" applyProtection="1">
      <alignment horizontal="center" vertical="center" wrapText="1"/>
      <protection locked="0"/>
    </xf>
    <xf numFmtId="49" fontId="19" fillId="0" borderId="0" xfId="0" applyNumberFormat="1" applyFont="1" applyFill="1" applyBorder="1" applyAlignment="1" applyProtection="1">
      <alignment horizontal="center" vertical="center" wrapText="1"/>
      <protection locked="0"/>
    </xf>
    <xf numFmtId="49" fontId="19" fillId="0" borderId="220" xfId="0" applyNumberFormat="1" applyFont="1" applyFill="1" applyBorder="1" applyAlignment="1" applyProtection="1">
      <alignment horizontal="center" vertical="center" wrapText="1"/>
      <protection locked="0"/>
    </xf>
    <xf numFmtId="49" fontId="19" fillId="0" borderId="78" xfId="0" applyNumberFormat="1" applyFont="1" applyFill="1" applyBorder="1" applyAlignment="1" applyProtection="1">
      <alignment horizontal="center" vertical="center" wrapText="1"/>
      <protection locked="0"/>
    </xf>
    <xf numFmtId="49" fontId="19" fillId="0" borderId="90" xfId="0" applyNumberFormat="1" applyFont="1" applyFill="1" applyBorder="1" applyAlignment="1" applyProtection="1">
      <alignment horizontal="center" vertical="center" wrapText="1"/>
      <protection locked="0"/>
    </xf>
    <xf numFmtId="0" fontId="91" fillId="7" borderId="11" xfId="0" applyNumberFormat="1" applyFont="1" applyFill="1" applyBorder="1" applyAlignment="1" applyProtection="1">
      <alignment horizontal="center" vertical="center" wrapText="1"/>
      <protection locked="0"/>
    </xf>
    <xf numFmtId="0" fontId="91" fillId="7" borderId="0" xfId="0" applyNumberFormat="1" applyFont="1" applyFill="1" applyBorder="1" applyAlignment="1" applyProtection="1">
      <alignment horizontal="center" vertical="center" wrapText="1"/>
      <protection locked="0"/>
    </xf>
    <xf numFmtId="0" fontId="91" fillId="7" borderId="78" xfId="0" applyNumberFormat="1" applyFont="1" applyFill="1" applyBorder="1" applyAlignment="1" applyProtection="1">
      <alignment horizontal="center" vertical="center" wrapText="1"/>
      <protection locked="0"/>
    </xf>
    <xf numFmtId="0" fontId="91" fillId="7" borderId="90" xfId="0" applyNumberFormat="1" applyFont="1" applyFill="1" applyBorder="1" applyAlignment="1" applyProtection="1">
      <alignment horizontal="center" vertical="center" wrapText="1"/>
      <protection locked="0"/>
    </xf>
    <xf numFmtId="0" fontId="91" fillId="8" borderId="78" xfId="0" applyNumberFormat="1" applyFont="1" applyFill="1" applyBorder="1" applyAlignment="1" applyProtection="1">
      <alignment horizontal="center" vertical="center" wrapText="1"/>
      <protection locked="0"/>
    </xf>
    <xf numFmtId="0" fontId="91" fillId="8" borderId="0" xfId="0" applyNumberFormat="1" applyFont="1" applyFill="1" applyBorder="1" applyAlignment="1" applyProtection="1">
      <alignment horizontal="center" vertical="center" wrapText="1"/>
      <protection locked="0"/>
    </xf>
    <xf numFmtId="0" fontId="91" fillId="8" borderId="90" xfId="0" applyNumberFormat="1" applyFont="1" applyFill="1" applyBorder="1" applyAlignment="1" applyProtection="1">
      <alignment horizontal="center" vertical="center" wrapText="1"/>
      <protection locked="0"/>
    </xf>
    <xf numFmtId="0" fontId="91" fillId="8" borderId="12" xfId="0" applyNumberFormat="1" applyFont="1" applyFill="1" applyBorder="1" applyAlignment="1" applyProtection="1">
      <alignment horizontal="center" vertical="center" wrapText="1"/>
      <protection locked="0"/>
    </xf>
    <xf numFmtId="0" fontId="16" fillId="4" borderId="13" xfId="0" applyFont="1" applyFill="1" applyBorder="1" applyAlignment="1" applyProtection="1">
      <alignment horizontal="center" vertical="center"/>
      <protection locked="0"/>
    </xf>
    <xf numFmtId="0" fontId="16" fillId="4" borderId="16" xfId="0" applyFont="1" applyFill="1" applyBorder="1" applyAlignment="1" applyProtection="1">
      <alignment horizontal="center" vertical="center"/>
      <protection locked="0"/>
    </xf>
    <xf numFmtId="0" fontId="16" fillId="4" borderId="98" xfId="0" applyFont="1" applyFill="1" applyBorder="1" applyAlignment="1" applyProtection="1">
      <alignment horizontal="center" vertical="center"/>
      <protection locked="0"/>
    </xf>
    <xf numFmtId="0" fontId="16" fillId="4" borderId="96" xfId="0" applyFont="1" applyFill="1" applyBorder="1" applyAlignment="1" applyProtection="1">
      <alignment horizontal="center" vertical="center"/>
      <protection locked="0"/>
    </xf>
    <xf numFmtId="0" fontId="16" fillId="0" borderId="98" xfId="0" applyFont="1" applyFill="1" applyBorder="1" applyAlignment="1" applyProtection="1">
      <alignment horizontal="center" vertical="center"/>
      <protection locked="0"/>
    </xf>
    <xf numFmtId="0" fontId="16" fillId="0" borderId="16" xfId="0" applyFont="1" applyFill="1" applyBorder="1" applyAlignment="1" applyProtection="1">
      <alignment horizontal="center" vertical="center"/>
      <protection locked="0"/>
    </xf>
    <xf numFmtId="0" fontId="16" fillId="0" borderId="96" xfId="0" applyFont="1" applyFill="1" applyBorder="1" applyAlignment="1" applyProtection="1">
      <alignment horizontal="center" vertical="center"/>
      <protection locked="0"/>
    </xf>
    <xf numFmtId="0" fontId="16" fillId="0" borderId="14" xfId="0" applyFont="1" applyFill="1" applyBorder="1" applyAlignment="1" applyProtection="1">
      <alignment horizontal="center" vertical="center"/>
      <protection locked="0"/>
    </xf>
    <xf numFmtId="0" fontId="53" fillId="68" borderId="7" xfId="0" applyFont="1" applyFill="1" applyBorder="1" applyAlignment="1">
      <alignment horizontal="center" vertical="center"/>
    </xf>
    <xf numFmtId="0" fontId="53" fillId="68" borderId="15" xfId="0" applyFont="1" applyFill="1" applyBorder="1" applyAlignment="1">
      <alignment horizontal="center" vertical="center"/>
    </xf>
    <xf numFmtId="0" fontId="53" fillId="68" borderId="8" xfId="0" applyFont="1" applyFill="1" applyBorder="1" applyAlignment="1">
      <alignment horizontal="center" vertical="center"/>
    </xf>
    <xf numFmtId="49" fontId="16" fillId="51" borderId="217" xfId="0" applyNumberFormat="1" applyFont="1" applyFill="1" applyBorder="1" applyAlignment="1">
      <alignment horizontal="center" vertical="top" wrapText="1"/>
    </xf>
    <xf numFmtId="49" fontId="16" fillId="51" borderId="91" xfId="0" applyNumberFormat="1" applyFont="1" applyFill="1" applyBorder="1" applyAlignment="1">
      <alignment horizontal="center" vertical="top" wrapText="1"/>
    </xf>
    <xf numFmtId="49" fontId="16" fillId="51" borderId="165" xfId="0" applyNumberFormat="1" applyFont="1" applyFill="1" applyBorder="1" applyAlignment="1">
      <alignment horizontal="center" vertical="top"/>
    </xf>
    <xf numFmtId="49" fontId="16" fillId="51" borderId="91" xfId="0" applyNumberFormat="1" applyFont="1" applyFill="1" applyBorder="1" applyAlignment="1">
      <alignment horizontal="center" vertical="top"/>
    </xf>
    <xf numFmtId="49" fontId="16" fillId="51" borderId="26" xfId="0" applyNumberFormat="1" applyFont="1" applyFill="1" applyBorder="1" applyAlignment="1">
      <alignment horizontal="center" vertical="top"/>
    </xf>
    <xf numFmtId="0" fontId="16" fillId="67" borderId="86" xfId="0" applyFont="1" applyFill="1" applyBorder="1" applyAlignment="1">
      <alignment horizontal="center" vertical="center"/>
    </xf>
    <xf numFmtId="0" fontId="16" fillId="67" borderId="87" xfId="0" applyFont="1" applyFill="1" applyBorder="1" applyAlignment="1">
      <alignment horizontal="center" vertical="center"/>
    </xf>
    <xf numFmtId="0" fontId="16" fillId="67" borderId="89" xfId="0" applyFont="1" applyFill="1" applyBorder="1" applyAlignment="1">
      <alignment horizontal="center" vertical="center"/>
    </xf>
    <xf numFmtId="0" fontId="16" fillId="67" borderId="95" xfId="0" applyFont="1" applyFill="1" applyBorder="1" applyAlignment="1">
      <alignment horizontal="center" vertical="center"/>
    </xf>
    <xf numFmtId="0" fontId="1" fillId="4" borderId="82" xfId="5" applyFont="1" applyFill="1" applyBorder="1" applyAlignment="1" applyProtection="1">
      <alignment horizontal="center" vertical="center"/>
    </xf>
    <xf numFmtId="0" fontId="1" fillId="4" borderId="83" xfId="5" applyFont="1" applyFill="1" applyBorder="1" applyAlignment="1" applyProtection="1">
      <alignment horizontal="center" vertical="center"/>
    </xf>
    <xf numFmtId="0" fontId="1" fillId="4" borderId="141" xfId="5" applyFont="1" applyFill="1" applyBorder="1" applyAlignment="1" applyProtection="1">
      <alignment horizontal="center" vertical="center"/>
    </xf>
    <xf numFmtId="0" fontId="1" fillId="4" borderId="219" xfId="5" applyFont="1" applyFill="1" applyBorder="1" applyAlignment="1" applyProtection="1">
      <alignment horizontal="center" vertical="center"/>
    </xf>
    <xf numFmtId="0" fontId="16" fillId="4" borderId="85" xfId="0" applyFont="1" applyFill="1" applyBorder="1" applyAlignment="1">
      <alignment horizontal="center" vertical="center"/>
    </xf>
    <xf numFmtId="0" fontId="16" fillId="4" borderId="83" xfId="0" applyFont="1" applyFill="1" applyBorder="1" applyAlignment="1">
      <alignment horizontal="center" vertical="center"/>
    </xf>
    <xf numFmtId="0" fontId="16" fillId="4" borderId="141" xfId="0" applyFont="1" applyFill="1" applyBorder="1" applyAlignment="1">
      <alignment horizontal="center" vertical="center"/>
    </xf>
    <xf numFmtId="0" fontId="16" fillId="4" borderId="94" xfId="0" applyFont="1" applyFill="1" applyBorder="1" applyAlignment="1">
      <alignment horizontal="center" vertical="center"/>
    </xf>
    <xf numFmtId="0" fontId="169" fillId="0" borderId="41" xfId="0" applyFont="1" applyFill="1" applyBorder="1" applyAlignment="1" applyProtection="1">
      <alignment horizontal="left" vertical="top" wrapText="1"/>
      <protection locked="0"/>
    </xf>
    <xf numFmtId="0" fontId="91" fillId="4" borderId="11" xfId="0" applyNumberFormat="1" applyFont="1" applyFill="1" applyBorder="1" applyAlignment="1" applyProtection="1">
      <alignment horizontal="center" vertical="center" wrapText="1"/>
      <protection locked="0"/>
    </xf>
    <xf numFmtId="0" fontId="91" fillId="4" borderId="0" xfId="0" applyNumberFormat="1" applyFont="1" applyFill="1" applyBorder="1" applyAlignment="1" applyProtection="1">
      <alignment horizontal="center" vertical="center" wrapText="1"/>
      <protection locked="0"/>
    </xf>
    <xf numFmtId="0" fontId="91" fillId="4" borderId="78" xfId="0" applyNumberFormat="1" applyFont="1" applyFill="1" applyBorder="1" applyAlignment="1" applyProtection="1">
      <alignment horizontal="center" vertical="center" wrapText="1"/>
      <protection locked="0"/>
    </xf>
    <xf numFmtId="0" fontId="91" fillId="4" borderId="90" xfId="0" applyNumberFormat="1" applyFont="1" applyFill="1" applyBorder="1" applyAlignment="1" applyProtection="1">
      <alignment horizontal="center" vertical="center" wrapText="1"/>
      <protection locked="0"/>
    </xf>
    <xf numFmtId="0" fontId="91" fillId="0" borderId="78" xfId="0" applyNumberFormat="1" applyFont="1" applyFill="1" applyBorder="1" applyAlignment="1" applyProtection="1">
      <alignment horizontal="center" vertical="center" wrapText="1"/>
      <protection locked="0"/>
    </xf>
    <xf numFmtId="0" fontId="91" fillId="0" borderId="0" xfId="0" applyNumberFormat="1" applyFont="1" applyFill="1" applyBorder="1" applyAlignment="1" applyProtection="1">
      <alignment horizontal="center" vertical="center" wrapText="1"/>
      <protection locked="0"/>
    </xf>
    <xf numFmtId="0" fontId="91" fillId="0" borderId="90" xfId="0" applyNumberFormat="1" applyFont="1" applyFill="1" applyBorder="1" applyAlignment="1" applyProtection="1">
      <alignment horizontal="center" vertical="center" wrapText="1"/>
      <protection locked="0"/>
    </xf>
    <xf numFmtId="0" fontId="91" fillId="0" borderId="12" xfId="0" applyNumberFormat="1" applyFont="1" applyFill="1" applyBorder="1" applyAlignment="1" applyProtection="1">
      <alignment horizontal="center" vertical="center" wrapText="1"/>
      <protection locked="0"/>
    </xf>
    <xf numFmtId="0" fontId="16" fillId="4" borderId="11" xfId="0" applyFont="1" applyFill="1" applyBorder="1" applyAlignment="1" applyProtection="1">
      <alignment horizontal="center" vertical="center"/>
      <protection locked="0"/>
    </xf>
    <xf numFmtId="0" fontId="16" fillId="4" borderId="0" xfId="0" applyFont="1" applyFill="1" applyBorder="1" applyAlignment="1" applyProtection="1">
      <alignment horizontal="center" vertical="center"/>
      <protection locked="0"/>
    </xf>
    <xf numFmtId="0" fontId="16" fillId="4" borderId="78" xfId="0" applyFont="1" applyFill="1" applyBorder="1" applyAlignment="1" applyProtection="1">
      <alignment horizontal="center" vertical="center"/>
      <protection locked="0"/>
    </xf>
    <xf numFmtId="0" fontId="16" fillId="4" borderId="90" xfId="0" applyFont="1" applyFill="1" applyBorder="1" applyAlignment="1" applyProtection="1">
      <alignment horizontal="center" vertical="center"/>
      <protection locked="0"/>
    </xf>
    <xf numFmtId="0" fontId="16" fillId="0" borderId="78" xfId="0" applyFont="1" applyFill="1" applyBorder="1" applyAlignment="1" applyProtection="1">
      <alignment horizontal="center" vertical="center"/>
      <protection locked="0"/>
    </xf>
    <xf numFmtId="0" fontId="16" fillId="0" borderId="0" xfId="0" applyFont="1" applyFill="1" applyBorder="1" applyAlignment="1" applyProtection="1">
      <alignment horizontal="center" vertical="center"/>
      <protection locked="0"/>
    </xf>
    <xf numFmtId="0" fontId="16" fillId="0" borderId="90" xfId="0" applyFont="1" applyFill="1" applyBorder="1" applyAlignment="1" applyProtection="1">
      <alignment horizontal="center" vertical="center"/>
      <protection locked="0"/>
    </xf>
    <xf numFmtId="0" fontId="16" fillId="0" borderId="12" xfId="0" applyFont="1" applyFill="1" applyBorder="1" applyAlignment="1" applyProtection="1">
      <alignment horizontal="center" vertical="center"/>
      <protection locked="0"/>
    </xf>
    <xf numFmtId="0" fontId="13" fillId="7" borderId="217" xfId="0" applyFont="1" applyFill="1" applyBorder="1" applyAlignment="1">
      <alignment horizontal="center" vertical="center"/>
    </xf>
    <xf numFmtId="0" fontId="13" fillId="7" borderId="91" xfId="0" applyFont="1" applyFill="1" applyBorder="1" applyAlignment="1">
      <alignment horizontal="center" vertical="center"/>
    </xf>
    <xf numFmtId="0" fontId="13" fillId="7" borderId="165" xfId="0" applyFont="1" applyFill="1" applyBorder="1" applyAlignment="1">
      <alignment horizontal="center" vertical="center"/>
    </xf>
    <xf numFmtId="0" fontId="13" fillId="7" borderId="26" xfId="0" applyFont="1" applyFill="1" applyBorder="1" applyAlignment="1">
      <alignment horizontal="center" vertical="center"/>
    </xf>
    <xf numFmtId="0" fontId="16" fillId="9" borderId="91" xfId="0" applyFont="1" applyFill="1" applyBorder="1" applyAlignment="1">
      <alignment horizontal="center" vertical="center" wrapText="1"/>
    </xf>
    <xf numFmtId="0" fontId="16" fillId="9" borderId="26" xfId="0" applyFont="1" applyFill="1" applyBorder="1" applyAlignment="1">
      <alignment horizontal="center" vertical="center" wrapText="1"/>
    </xf>
    <xf numFmtId="182" fontId="16" fillId="0" borderId="93" xfId="0" applyNumberFormat="1" applyFont="1" applyFill="1" applyBorder="1" applyAlignment="1">
      <alignment horizontal="center" vertical="center" wrapText="1"/>
    </xf>
    <xf numFmtId="182" fontId="16" fillId="0" borderId="23" xfId="0" applyNumberFormat="1" applyFont="1" applyFill="1" applyBorder="1" applyAlignment="1">
      <alignment horizontal="center" vertical="center" wrapText="1"/>
    </xf>
    <xf numFmtId="182" fontId="16" fillId="9" borderId="189" xfId="0" applyNumberFormat="1" applyFont="1" applyFill="1" applyBorder="1" applyAlignment="1">
      <alignment horizontal="center" vertical="center" wrapText="1"/>
    </xf>
    <xf numFmtId="182" fontId="16" fillId="9" borderId="25" xfId="0" applyNumberFormat="1" applyFont="1" applyFill="1" applyBorder="1" applyAlignment="1">
      <alignment horizontal="center" vertical="center" wrapText="1"/>
    </xf>
    <xf numFmtId="181" fontId="16" fillId="0" borderId="185" xfId="0" applyNumberFormat="1" applyFont="1" applyFill="1" applyBorder="1" applyAlignment="1" applyProtection="1">
      <alignment horizontal="center" vertical="center"/>
      <protection locked="0"/>
    </xf>
    <xf numFmtId="181" fontId="16" fillId="0" borderId="186" xfId="0" applyNumberFormat="1" applyFont="1" applyFill="1" applyBorder="1" applyAlignment="1" applyProtection="1">
      <alignment horizontal="center" vertical="center"/>
      <protection locked="0"/>
    </xf>
    <xf numFmtId="181" fontId="16" fillId="0" borderId="154" xfId="0" applyNumberFormat="1" applyFont="1" applyFill="1" applyBorder="1" applyAlignment="1" applyProtection="1">
      <alignment horizontal="center" vertical="center"/>
      <protection locked="0"/>
    </xf>
    <xf numFmtId="0" fontId="91" fillId="0" borderId="91" xfId="0" applyFont="1" applyFill="1" applyBorder="1" applyAlignment="1" applyProtection="1">
      <alignment horizontal="center" vertical="center" wrapText="1"/>
      <protection locked="0"/>
    </xf>
    <xf numFmtId="0" fontId="16" fillId="0" borderId="0" xfId="0" applyFont="1" applyFill="1" applyAlignment="1">
      <alignment horizontal="left" vertical="center"/>
    </xf>
    <xf numFmtId="0" fontId="16" fillId="0" borderId="0" xfId="0" applyFont="1" applyFill="1" applyAlignment="1">
      <alignment horizontal="center" vertical="center"/>
    </xf>
    <xf numFmtId="0" fontId="91" fillId="51" borderId="146" xfId="0" applyFont="1" applyFill="1" applyBorder="1" applyAlignment="1">
      <alignment horizontal="center" vertical="center"/>
    </xf>
    <xf numFmtId="0" fontId="91" fillId="51" borderId="97" xfId="0" applyFont="1" applyFill="1" applyBorder="1" applyAlignment="1">
      <alignment horizontal="center" vertical="center"/>
    </xf>
    <xf numFmtId="0" fontId="91" fillId="51" borderId="197" xfId="0" applyFont="1" applyFill="1" applyBorder="1" applyAlignment="1">
      <alignment horizontal="center" vertical="center"/>
    </xf>
    <xf numFmtId="0" fontId="91" fillId="51" borderId="89" xfId="0" applyFont="1" applyFill="1" applyBorder="1" applyAlignment="1">
      <alignment horizontal="center" vertical="center"/>
    </xf>
    <xf numFmtId="0" fontId="91" fillId="51" borderId="27" xfId="0" applyFont="1" applyFill="1" applyBorder="1" applyAlignment="1">
      <alignment horizontal="center" vertical="center"/>
    </xf>
    <xf numFmtId="0" fontId="91" fillId="8" borderId="146" xfId="0" applyNumberFormat="1" applyFont="1" applyFill="1" applyBorder="1" applyAlignment="1">
      <alignment horizontal="center" vertical="center"/>
    </xf>
    <xf numFmtId="0" fontId="91" fillId="8" borderId="97" xfId="0" applyNumberFormat="1" applyFont="1" applyFill="1" applyBorder="1" applyAlignment="1">
      <alignment horizontal="center" vertical="center"/>
    </xf>
    <xf numFmtId="0" fontId="91" fillId="8" borderId="97" xfId="0" applyNumberFormat="1" applyFont="1" applyFill="1" applyBorder="1" applyAlignment="1" applyProtection="1">
      <alignment horizontal="center" vertical="center"/>
      <protection locked="0"/>
    </xf>
    <xf numFmtId="0" fontId="91" fillId="8" borderId="197" xfId="0" applyNumberFormat="1" applyFont="1" applyFill="1" applyBorder="1" applyAlignment="1" applyProtection="1">
      <alignment horizontal="center" vertical="center"/>
      <protection locked="0"/>
    </xf>
    <xf numFmtId="0" fontId="91" fillId="8" borderId="89" xfId="0" applyNumberFormat="1" applyFont="1" applyFill="1" applyBorder="1" applyAlignment="1" applyProtection="1">
      <alignment horizontal="center" vertical="center"/>
      <protection locked="0"/>
    </xf>
    <xf numFmtId="0" fontId="91" fillId="8" borderId="97" xfId="0" applyNumberFormat="1" applyFont="1" applyFill="1" applyBorder="1" applyAlignment="1" applyProtection="1">
      <alignment horizontal="center" vertical="center" wrapText="1"/>
      <protection locked="0"/>
    </xf>
    <xf numFmtId="0" fontId="91" fillId="8" borderId="27" xfId="0" applyNumberFormat="1" applyFont="1" applyFill="1" applyBorder="1" applyAlignment="1" applyProtection="1">
      <alignment horizontal="center" vertical="center" wrapText="1"/>
      <protection locked="0"/>
    </xf>
    <xf numFmtId="0" fontId="7" fillId="68" borderId="144" xfId="0" applyFont="1" applyFill="1" applyBorder="1" applyAlignment="1">
      <alignment horizontal="center" vertical="center"/>
    </xf>
    <xf numFmtId="0" fontId="7" fillId="68" borderId="145" xfId="0" applyFont="1" applyFill="1" applyBorder="1" applyAlignment="1">
      <alignment horizontal="center" vertical="center"/>
    </xf>
    <xf numFmtId="0" fontId="7" fillId="68" borderId="147" xfId="0" applyFont="1" applyFill="1" applyBorder="1" applyAlignment="1">
      <alignment horizontal="center" vertical="center"/>
    </xf>
    <xf numFmtId="0" fontId="16" fillId="86" borderId="146" xfId="0" applyFont="1" applyFill="1" applyBorder="1" applyAlignment="1">
      <alignment horizontal="center" vertical="center"/>
    </xf>
    <xf numFmtId="0" fontId="16" fillId="86" borderId="97" xfId="0" applyFont="1" applyFill="1" applyBorder="1" applyAlignment="1">
      <alignment horizontal="center" vertical="center"/>
    </xf>
    <xf numFmtId="0" fontId="16" fillId="86" borderId="27" xfId="0" applyFont="1" applyFill="1" applyBorder="1" applyAlignment="1">
      <alignment horizontal="center" vertical="center"/>
    </xf>
    <xf numFmtId="0" fontId="91" fillId="8" borderId="146" xfId="0" applyNumberFormat="1" applyFont="1" applyFill="1" applyBorder="1" applyAlignment="1" applyProtection="1">
      <alignment horizontal="center" vertical="center"/>
      <protection locked="0"/>
    </xf>
    <xf numFmtId="0" fontId="91" fillId="8" borderId="97" xfId="0" applyNumberFormat="1" applyFont="1" applyFill="1" applyBorder="1" applyAlignment="1" applyProtection="1">
      <alignment horizontal="center" vertical="center"/>
      <protection locked="0" hidden="1"/>
    </xf>
    <xf numFmtId="0" fontId="91" fillId="8" borderId="27" xfId="0" applyNumberFormat="1" applyFont="1" applyFill="1" applyBorder="1" applyAlignment="1" applyProtection="1">
      <alignment horizontal="center" vertical="center"/>
      <protection locked="0"/>
    </xf>
    <xf numFmtId="185" fontId="91" fillId="0" borderId="27" xfId="0" applyNumberFormat="1" applyFont="1" applyFill="1" applyBorder="1" applyAlignment="1">
      <alignment horizontal="center" vertical="center"/>
    </xf>
    <xf numFmtId="0" fontId="91" fillId="0" borderId="185" xfId="0" applyNumberFormat="1" applyFont="1" applyBorder="1" applyAlignment="1" applyProtection="1">
      <alignment horizontal="center" vertical="center"/>
      <protection locked="0"/>
    </xf>
    <xf numFmtId="0" fontId="91" fillId="0" borderId="186" xfId="0" applyNumberFormat="1" applyFont="1" applyBorder="1" applyAlignment="1" applyProtection="1">
      <alignment horizontal="center" vertical="center"/>
      <protection locked="0"/>
    </xf>
    <xf numFmtId="0" fontId="91" fillId="0" borderId="186" xfId="0" applyNumberFormat="1" applyFont="1" applyBorder="1" applyAlignment="1" applyProtection="1">
      <alignment horizontal="center" vertical="center"/>
      <protection locked="0" hidden="1"/>
    </xf>
    <xf numFmtId="0" fontId="91" fillId="0" borderId="186" xfId="0" applyNumberFormat="1" applyFont="1" applyFill="1" applyBorder="1" applyAlignment="1" applyProtection="1">
      <alignment horizontal="center" vertical="center"/>
      <protection locked="0"/>
    </xf>
    <xf numFmtId="0" fontId="91" fillId="0" borderId="154" xfId="0" applyNumberFormat="1" applyFont="1" applyFill="1" applyBorder="1" applyAlignment="1" applyProtection="1">
      <alignment horizontal="center" vertical="center"/>
      <protection locked="0"/>
    </xf>
    <xf numFmtId="185" fontId="91" fillId="0" borderId="154" xfId="0" applyNumberFormat="1" applyFont="1" applyFill="1" applyBorder="1" applyAlignment="1">
      <alignment horizontal="center" vertical="center"/>
    </xf>
    <xf numFmtId="0" fontId="91" fillId="0" borderId="185" xfId="0" applyFont="1" applyFill="1" applyBorder="1" applyAlignment="1">
      <alignment horizontal="center" vertical="center" wrapText="1"/>
    </xf>
    <xf numFmtId="0" fontId="91" fillId="0" borderId="186" xfId="0" applyFont="1" applyFill="1" applyBorder="1" applyAlignment="1">
      <alignment horizontal="center" vertical="center" wrapText="1"/>
    </xf>
    <xf numFmtId="0" fontId="91" fillId="0" borderId="146" xfId="0" applyNumberFormat="1" applyFont="1" applyBorder="1" applyAlignment="1" applyProtection="1">
      <alignment horizontal="center" vertical="center"/>
      <protection locked="0"/>
    </xf>
    <xf numFmtId="0" fontId="91" fillId="0" borderId="97" xfId="0" applyNumberFormat="1" applyFont="1" applyBorder="1" applyAlignment="1" applyProtection="1">
      <alignment horizontal="center" vertical="center"/>
      <protection locked="0"/>
    </xf>
    <xf numFmtId="0" fontId="91" fillId="0" borderId="97" xfId="0" applyNumberFormat="1" applyFont="1" applyBorder="1" applyAlignment="1" applyProtection="1">
      <alignment horizontal="center" vertical="center" wrapText="1"/>
      <protection locked="0"/>
    </xf>
    <xf numFmtId="0" fontId="91" fillId="0" borderId="97" xfId="0" applyFont="1" applyFill="1" applyBorder="1" applyAlignment="1" applyProtection="1">
      <alignment horizontal="center" vertical="center"/>
      <protection locked="0"/>
    </xf>
    <xf numFmtId="0" fontId="91" fillId="0" borderId="27" xfId="0" applyNumberFormat="1" applyFont="1" applyBorder="1" applyAlignment="1" applyProtection="1">
      <alignment horizontal="center" vertical="center"/>
      <protection locked="0"/>
    </xf>
    <xf numFmtId="185" fontId="91" fillId="8" borderId="97" xfId="0" applyNumberFormat="1" applyFont="1" applyFill="1" applyBorder="1" applyAlignment="1">
      <alignment horizontal="center" vertical="center"/>
    </xf>
    <xf numFmtId="0" fontId="91" fillId="8" borderId="27" xfId="0" applyNumberFormat="1" applyFont="1" applyFill="1" applyBorder="1" applyAlignment="1">
      <alignment horizontal="center" vertical="center"/>
    </xf>
    <xf numFmtId="185" fontId="16" fillId="9" borderId="186" xfId="0" applyNumberFormat="1" applyFont="1" applyFill="1" applyBorder="1" applyAlignment="1" applyProtection="1">
      <alignment horizontal="center" vertical="center"/>
      <protection locked="0"/>
    </xf>
    <xf numFmtId="185" fontId="16" fillId="9" borderId="186" xfId="0" applyNumberFormat="1" applyFont="1" applyFill="1" applyBorder="1" applyAlignment="1">
      <alignment horizontal="center" vertical="center"/>
    </xf>
    <xf numFmtId="185" fontId="16" fillId="9" borderId="154" xfId="0" applyNumberFormat="1" applyFont="1" applyFill="1" applyBorder="1" applyAlignment="1">
      <alignment horizontal="center" vertical="center"/>
    </xf>
    <xf numFmtId="0" fontId="114" fillId="0" borderId="0" xfId="0" applyFont="1" applyFill="1" applyAlignment="1">
      <alignment horizontal="left" vertical="top"/>
    </xf>
    <xf numFmtId="0" fontId="114" fillId="0" borderId="0" xfId="0" applyNumberFormat="1" applyFont="1" applyFill="1" applyAlignment="1">
      <alignment horizontal="left" vertical="top" wrapText="1"/>
    </xf>
    <xf numFmtId="0" fontId="91" fillId="7" borderId="146" xfId="0" applyNumberFormat="1" applyFont="1" applyFill="1" applyBorder="1" applyAlignment="1">
      <alignment horizontal="center" vertical="center"/>
    </xf>
    <xf numFmtId="0" fontId="91" fillId="7" borderId="97" xfId="0" applyNumberFormat="1" applyFont="1" applyFill="1" applyBorder="1" applyAlignment="1">
      <alignment horizontal="center" vertical="center"/>
    </xf>
    <xf numFmtId="0" fontId="91" fillId="7" borderId="97" xfId="0" applyFont="1" applyFill="1" applyBorder="1" applyAlignment="1">
      <alignment horizontal="center" vertical="center"/>
    </xf>
    <xf numFmtId="0" fontId="91" fillId="7" borderId="27" xfId="0" applyFont="1" applyFill="1" applyBorder="1" applyAlignment="1">
      <alignment horizontal="center" vertical="center"/>
    </xf>
    <xf numFmtId="0" fontId="10" fillId="0" borderId="97" xfId="0" applyFont="1" applyFill="1" applyBorder="1" applyAlignment="1" applyProtection="1">
      <alignment horizontal="center" vertical="center"/>
      <protection locked="0"/>
    </xf>
    <xf numFmtId="0" fontId="10" fillId="0" borderId="27" xfId="0" applyFont="1" applyFill="1" applyBorder="1" applyAlignment="1" applyProtection="1">
      <alignment horizontal="center" vertical="center"/>
      <protection locked="0"/>
    </xf>
    <xf numFmtId="49" fontId="16" fillId="9" borderId="185" xfId="0" applyNumberFormat="1" applyFont="1" applyFill="1" applyBorder="1" applyAlignment="1" applyProtection="1">
      <alignment horizontal="center" vertical="center"/>
      <protection locked="0"/>
    </xf>
    <xf numFmtId="49" fontId="16" fillId="9" borderId="186" xfId="0" applyNumberFormat="1" applyFont="1" applyFill="1" applyBorder="1" applyAlignment="1" applyProtection="1">
      <alignment horizontal="center" vertical="center"/>
      <protection locked="0"/>
    </xf>
    <xf numFmtId="182" fontId="15" fillId="9" borderId="186" xfId="0" applyNumberFormat="1" applyFont="1" applyFill="1" applyBorder="1" applyAlignment="1">
      <alignment horizontal="center" vertical="center"/>
    </xf>
    <xf numFmtId="0" fontId="16" fillId="9" borderId="186" xfId="0" applyNumberFormat="1" applyFont="1" applyFill="1" applyBorder="1" applyAlignment="1" applyProtection="1">
      <alignment horizontal="right" vertical="center"/>
      <protection locked="0"/>
    </xf>
    <xf numFmtId="0" fontId="16" fillId="9" borderId="153" xfId="0" applyNumberFormat="1" applyFont="1" applyFill="1" applyBorder="1" applyAlignment="1" applyProtection="1">
      <alignment horizontal="right" vertical="center"/>
      <protection locked="0"/>
    </xf>
    <xf numFmtId="0" fontId="16" fillId="9" borderId="193" xfId="0" applyNumberFormat="1" applyFont="1" applyFill="1" applyBorder="1" applyProtection="1">
      <alignment vertical="center"/>
      <protection locked="0"/>
    </xf>
    <xf numFmtId="0" fontId="16" fillId="9" borderId="186" xfId="0" applyNumberFormat="1" applyFont="1" applyFill="1" applyBorder="1" applyProtection="1">
      <alignment vertical="center"/>
      <protection locked="0"/>
    </xf>
    <xf numFmtId="0" fontId="16" fillId="9" borderId="186" xfId="0" applyNumberFormat="1" applyFont="1" applyFill="1" applyBorder="1" applyAlignment="1">
      <alignment horizontal="center" vertical="center"/>
    </xf>
    <xf numFmtId="0" fontId="16" fillId="9" borderId="186" xfId="0" applyNumberFormat="1" applyFont="1" applyFill="1" applyBorder="1" applyAlignment="1" applyProtection="1">
      <alignment horizontal="center" vertical="center"/>
      <protection locked="0"/>
    </xf>
    <xf numFmtId="0" fontId="16" fillId="9" borderId="153" xfId="0" applyNumberFormat="1" applyFont="1" applyFill="1" applyBorder="1" applyAlignment="1">
      <alignment horizontal="center" vertical="center"/>
    </xf>
    <xf numFmtId="0" fontId="16" fillId="9" borderId="203" xfId="0" applyNumberFormat="1" applyFont="1" applyFill="1" applyBorder="1" applyAlignment="1" applyProtection="1">
      <alignment horizontal="center" vertical="center"/>
      <protection locked="0"/>
    </xf>
    <xf numFmtId="182" fontId="3" fillId="9" borderId="186" xfId="0" applyNumberFormat="1" applyFont="1" applyFill="1" applyBorder="1" applyAlignment="1" applyProtection="1">
      <alignment horizontal="center" vertical="center"/>
      <protection locked="0"/>
    </xf>
    <xf numFmtId="0" fontId="164" fillId="9" borderId="186" xfId="0" applyNumberFormat="1" applyFont="1" applyFill="1" applyBorder="1" applyAlignment="1" applyProtection="1">
      <alignment horizontal="center" vertical="center"/>
      <protection locked="0"/>
    </xf>
    <xf numFmtId="0" fontId="16" fillId="9" borderId="97" xfId="0" applyNumberFormat="1" applyFont="1" applyFill="1" applyBorder="1" applyAlignment="1" applyProtection="1">
      <alignment horizontal="center" vertical="center"/>
      <protection locked="0"/>
    </xf>
    <xf numFmtId="185" fontId="16" fillId="9" borderId="97" xfId="0" applyNumberFormat="1" applyFont="1" applyFill="1" applyBorder="1" applyAlignment="1" applyProtection="1">
      <alignment horizontal="center" vertical="center"/>
      <protection locked="0"/>
    </xf>
    <xf numFmtId="185" fontId="16" fillId="9" borderId="97" xfId="0" applyNumberFormat="1" applyFont="1" applyFill="1" applyBorder="1" applyAlignment="1">
      <alignment horizontal="center" vertical="center"/>
    </xf>
    <xf numFmtId="185" fontId="16" fillId="9" borderId="27" xfId="0" applyNumberFormat="1" applyFont="1" applyFill="1" applyBorder="1" applyAlignment="1">
      <alignment horizontal="center" vertical="center"/>
    </xf>
    <xf numFmtId="49" fontId="16" fillId="0" borderId="146" xfId="0" applyNumberFormat="1" applyFont="1" applyFill="1" applyBorder="1" applyAlignment="1" applyProtection="1">
      <alignment horizontal="center" vertical="center"/>
      <protection locked="0"/>
    </xf>
    <xf numFmtId="49" fontId="16" fillId="0" borderId="97" xfId="0" applyNumberFormat="1" applyFont="1" applyFill="1" applyBorder="1" applyAlignment="1" applyProtection="1">
      <alignment horizontal="center" vertical="center"/>
      <protection locked="0"/>
    </xf>
    <xf numFmtId="182" fontId="15" fillId="0" borderId="97" xfId="0" applyNumberFormat="1" applyFont="1" applyFill="1" applyBorder="1" applyAlignment="1">
      <alignment horizontal="center" vertical="center"/>
    </xf>
    <xf numFmtId="0" fontId="16" fillId="0" borderId="97" xfId="0" applyNumberFormat="1" applyFont="1" applyFill="1" applyBorder="1" applyAlignment="1" applyProtection="1">
      <alignment horizontal="right" vertical="center" wrapText="1"/>
      <protection locked="0"/>
    </xf>
    <xf numFmtId="0" fontId="16" fillId="0" borderId="88" xfId="0" applyNumberFormat="1" applyFont="1" applyFill="1" applyBorder="1" applyAlignment="1" applyProtection="1">
      <alignment horizontal="right" vertical="center" wrapText="1"/>
      <protection locked="0"/>
    </xf>
    <xf numFmtId="0" fontId="16" fillId="0" borderId="89" xfId="0" applyNumberFormat="1" applyFont="1" applyFill="1" applyBorder="1" applyAlignment="1" applyProtection="1">
      <alignment vertical="center" wrapText="1"/>
      <protection locked="0"/>
    </xf>
    <xf numFmtId="0" fontId="16" fillId="0" borderId="97" xfId="0" applyNumberFormat="1" applyFont="1" applyFill="1" applyBorder="1" applyAlignment="1" applyProtection="1">
      <alignment vertical="center" wrapText="1"/>
      <protection locked="0"/>
    </xf>
    <xf numFmtId="0" fontId="16" fillId="0" borderId="97" xfId="0" applyNumberFormat="1" applyFont="1" applyFill="1" applyBorder="1" applyAlignment="1">
      <alignment horizontal="center" vertical="center"/>
    </xf>
    <xf numFmtId="0" fontId="16" fillId="0" borderId="97" xfId="0" applyNumberFormat="1" applyFont="1" applyFill="1" applyBorder="1" applyAlignment="1" applyProtection="1">
      <alignment horizontal="center" vertical="center"/>
      <protection locked="0"/>
    </xf>
    <xf numFmtId="185" fontId="16" fillId="0" borderId="97" xfId="0" applyNumberFormat="1" applyFont="1" applyFill="1" applyBorder="1" applyAlignment="1">
      <alignment horizontal="center" vertical="center"/>
    </xf>
    <xf numFmtId="0" fontId="16" fillId="0" borderId="88" xfId="0" applyNumberFormat="1" applyFont="1" applyFill="1" applyBorder="1" applyAlignment="1">
      <alignment horizontal="center" vertical="center"/>
    </xf>
    <xf numFmtId="0" fontId="16" fillId="0" borderId="202" xfId="0" applyNumberFormat="1" applyFont="1" applyFill="1" applyBorder="1" applyAlignment="1" applyProtection="1">
      <alignment horizontal="center" vertical="center"/>
      <protection locked="0"/>
    </xf>
    <xf numFmtId="182" fontId="3" fillId="0" borderId="97" xfId="0" applyNumberFormat="1" applyFont="1" applyFill="1" applyBorder="1" applyAlignment="1" applyProtection="1">
      <alignment horizontal="center" vertical="center"/>
      <protection locked="0"/>
    </xf>
    <xf numFmtId="0" fontId="164" fillId="0" borderId="97" xfId="0" applyNumberFormat="1" applyFont="1" applyFill="1" applyBorder="1" applyAlignment="1" applyProtection="1">
      <alignment horizontal="center" vertical="center"/>
      <protection locked="0"/>
    </xf>
    <xf numFmtId="0" fontId="164" fillId="0" borderId="88" xfId="0" applyNumberFormat="1" applyFont="1" applyFill="1" applyBorder="1" applyAlignment="1" applyProtection="1">
      <alignment horizontal="center" vertical="center"/>
      <protection locked="0"/>
    </xf>
    <xf numFmtId="0" fontId="164" fillId="0" borderId="89" xfId="0" applyNumberFormat="1" applyFont="1" applyFill="1" applyBorder="1" applyAlignment="1" applyProtection="1">
      <alignment horizontal="center" vertical="center"/>
      <protection locked="0"/>
    </xf>
    <xf numFmtId="185" fontId="16" fillId="0" borderId="97" xfId="0" applyNumberFormat="1" applyFont="1" applyFill="1" applyBorder="1" applyAlignment="1" applyProtection="1">
      <alignment horizontal="center" vertical="center"/>
      <protection locked="0"/>
    </xf>
    <xf numFmtId="185" fontId="16" fillId="0" borderId="27" xfId="0" applyNumberFormat="1" applyFont="1" applyFill="1" applyBorder="1" applyAlignment="1">
      <alignment horizontal="center" vertical="center"/>
    </xf>
    <xf numFmtId="49" fontId="16" fillId="9" borderId="146" xfId="0" applyNumberFormat="1" applyFont="1" applyFill="1" applyBorder="1" applyAlignment="1" applyProtection="1">
      <alignment horizontal="center" vertical="center"/>
      <protection locked="0"/>
    </xf>
    <xf numFmtId="49" fontId="16" fillId="9" borderId="97" xfId="0" applyNumberFormat="1" applyFont="1" applyFill="1" applyBorder="1" applyAlignment="1" applyProtection="1">
      <alignment horizontal="center" vertical="center"/>
      <protection locked="0"/>
    </xf>
    <xf numFmtId="182" fontId="15" fillId="9" borderId="97" xfId="0" applyNumberFormat="1" applyFont="1" applyFill="1" applyBorder="1" applyAlignment="1">
      <alignment horizontal="center" vertical="center"/>
    </xf>
    <xf numFmtId="0" fontId="16" fillId="9" borderId="97" xfId="0" applyNumberFormat="1" applyFont="1" applyFill="1" applyBorder="1" applyAlignment="1" applyProtection="1">
      <alignment horizontal="right" vertical="center"/>
      <protection locked="0"/>
    </xf>
    <xf numFmtId="0" fontId="16" fillId="9" borderId="88" xfId="0" applyNumberFormat="1" applyFont="1" applyFill="1" applyBorder="1" applyAlignment="1" applyProtection="1">
      <alignment horizontal="right" vertical="center"/>
      <protection locked="0"/>
    </xf>
    <xf numFmtId="0" fontId="16" fillId="9" borderId="89" xfId="0" applyNumberFormat="1" applyFont="1" applyFill="1" applyBorder="1" applyProtection="1">
      <alignment vertical="center"/>
      <protection locked="0"/>
    </xf>
    <xf numFmtId="0" fontId="16" fillId="9" borderId="97" xfId="0" applyNumberFormat="1" applyFont="1" applyFill="1" applyBorder="1" applyProtection="1">
      <alignment vertical="center"/>
      <protection locked="0"/>
    </xf>
    <xf numFmtId="0" fontId="16" fillId="9" borderId="97" xfId="0" applyNumberFormat="1" applyFont="1" applyFill="1" applyBorder="1" applyAlignment="1">
      <alignment horizontal="center" vertical="center"/>
    </xf>
    <xf numFmtId="0" fontId="16" fillId="9" borderId="88" xfId="0" applyNumberFormat="1" applyFont="1" applyFill="1" applyBorder="1" applyAlignment="1">
      <alignment horizontal="center" vertical="center"/>
    </xf>
    <xf numFmtId="0" fontId="16" fillId="9" borderId="202" xfId="0" applyNumberFormat="1" applyFont="1" applyFill="1" applyBorder="1" applyAlignment="1" applyProtection="1">
      <alignment horizontal="center" vertical="center"/>
      <protection locked="0"/>
    </xf>
    <xf numFmtId="182" fontId="3" fillId="9" borderId="97" xfId="0" applyNumberFormat="1" applyFont="1" applyFill="1" applyBorder="1" applyAlignment="1" applyProtection="1">
      <alignment horizontal="center" vertical="center"/>
      <protection locked="0"/>
    </xf>
    <xf numFmtId="0" fontId="32" fillId="9" borderId="97" xfId="0" applyNumberFormat="1" applyFont="1" applyFill="1" applyBorder="1" applyAlignment="1" applyProtection="1">
      <alignment horizontal="right" vertical="center"/>
      <protection locked="0"/>
    </xf>
    <xf numFmtId="0" fontId="32" fillId="9" borderId="88" xfId="0" applyNumberFormat="1" applyFont="1" applyFill="1" applyBorder="1" applyAlignment="1" applyProtection="1">
      <alignment horizontal="right" vertical="center"/>
      <protection locked="0"/>
    </xf>
    <xf numFmtId="0" fontId="32" fillId="9" borderId="89" xfId="0" applyNumberFormat="1" applyFont="1" applyFill="1" applyBorder="1" applyAlignment="1" applyProtection="1">
      <alignment horizontal="left" vertical="center"/>
      <protection locked="0"/>
    </xf>
    <xf numFmtId="0" fontId="32" fillId="9" borderId="97" xfId="0" applyNumberFormat="1" applyFont="1" applyFill="1" applyBorder="1" applyAlignment="1" applyProtection="1">
      <alignment horizontal="left" vertical="center"/>
      <protection locked="0"/>
    </xf>
    <xf numFmtId="0" fontId="32" fillId="9" borderId="97" xfId="0" applyNumberFormat="1" applyFont="1" applyFill="1" applyBorder="1" applyAlignment="1" applyProtection="1">
      <alignment horizontal="center" vertical="center"/>
      <protection locked="0"/>
    </xf>
    <xf numFmtId="0" fontId="32" fillId="9" borderId="88" xfId="0" applyNumberFormat="1" applyFont="1" applyFill="1" applyBorder="1" applyAlignment="1" applyProtection="1">
      <alignment horizontal="center" vertical="center"/>
      <protection locked="0"/>
    </xf>
    <xf numFmtId="0" fontId="32" fillId="9" borderId="89" xfId="0" applyNumberFormat="1" applyFont="1" applyFill="1" applyBorder="1" applyAlignment="1" applyProtection="1">
      <alignment horizontal="center" vertical="center"/>
      <protection locked="0"/>
    </xf>
    <xf numFmtId="0" fontId="32" fillId="0" borderId="97" xfId="0" applyNumberFormat="1" applyFont="1" applyFill="1" applyBorder="1" applyAlignment="1" applyProtection="1">
      <alignment horizontal="center" vertical="center"/>
      <protection locked="0"/>
    </xf>
    <xf numFmtId="0" fontId="32" fillId="0" borderId="88" xfId="0" applyNumberFormat="1" applyFont="1" applyFill="1" applyBorder="1" applyAlignment="1" applyProtection="1">
      <alignment horizontal="center" vertical="center"/>
      <protection locked="0"/>
    </xf>
    <xf numFmtId="0" fontId="32" fillId="0" borderId="89" xfId="0" applyNumberFormat="1" applyFont="1" applyFill="1" applyBorder="1" applyAlignment="1" applyProtection="1">
      <alignment horizontal="center" vertical="center"/>
      <protection locked="0"/>
    </xf>
    <xf numFmtId="0" fontId="16" fillId="9" borderId="88" xfId="0" applyNumberFormat="1" applyFont="1" applyFill="1" applyBorder="1" applyAlignment="1" applyProtection="1">
      <alignment horizontal="center" vertical="center"/>
      <protection locked="0"/>
    </xf>
    <xf numFmtId="0" fontId="16" fillId="9" borderId="89" xfId="0" applyNumberFormat="1" applyFont="1" applyFill="1" applyBorder="1" applyAlignment="1" applyProtection="1">
      <alignment horizontal="center" vertical="center"/>
      <protection locked="0"/>
    </xf>
    <xf numFmtId="0" fontId="16" fillId="0" borderId="88" xfId="0" applyNumberFormat="1" applyFont="1" applyFill="1" applyBorder="1" applyAlignment="1" applyProtection="1">
      <alignment horizontal="center" vertical="center"/>
      <protection locked="0"/>
    </xf>
    <xf numFmtId="0" fontId="16" fillId="0" borderId="89" xfId="0" applyNumberFormat="1" applyFont="1" applyFill="1" applyBorder="1" applyAlignment="1" applyProtection="1">
      <alignment horizontal="center" vertical="center"/>
      <protection locked="0"/>
    </xf>
    <xf numFmtId="0" fontId="13" fillId="0" borderId="97" xfId="0" applyNumberFormat="1" applyFont="1" applyFill="1" applyBorder="1" applyAlignment="1">
      <alignment horizontal="center" vertical="center"/>
    </xf>
    <xf numFmtId="0" fontId="16" fillId="9" borderId="97" xfId="0" applyNumberFormat="1" applyFont="1" applyFill="1" applyBorder="1" applyAlignment="1" applyProtection="1">
      <alignment horizontal="right" vertical="center" wrapText="1"/>
      <protection locked="0"/>
    </xf>
    <xf numFmtId="0" fontId="16" fillId="9" borderId="88" xfId="0" applyNumberFormat="1" applyFont="1" applyFill="1" applyBorder="1" applyAlignment="1" applyProtection="1">
      <alignment horizontal="right" vertical="center" wrapText="1"/>
      <protection locked="0"/>
    </xf>
    <xf numFmtId="0" fontId="16" fillId="9" borderId="89" xfId="0" applyNumberFormat="1" applyFont="1" applyFill="1" applyBorder="1" applyAlignment="1" applyProtection="1">
      <alignment vertical="center" wrapText="1"/>
      <protection locked="0"/>
    </xf>
    <xf numFmtId="0" fontId="16" fillId="9" borderId="97" xfId="0" applyNumberFormat="1" applyFont="1" applyFill="1" applyBorder="1" applyAlignment="1" applyProtection="1">
      <alignment vertical="center" wrapText="1"/>
      <protection locked="0"/>
    </xf>
    <xf numFmtId="0" fontId="16" fillId="0" borderId="89" xfId="0" applyNumberFormat="1" applyFont="1" applyFill="1" applyBorder="1" applyProtection="1">
      <alignment vertical="center"/>
      <protection locked="0"/>
    </xf>
    <xf numFmtId="0" fontId="16" fillId="0" borderId="97" xfId="0" applyNumberFormat="1" applyFont="1" applyFill="1" applyBorder="1" applyProtection="1">
      <alignment vertical="center"/>
      <protection locked="0"/>
    </xf>
    <xf numFmtId="49" fontId="1" fillId="0" borderId="212" xfId="0" applyNumberFormat="1" applyFont="1" applyFill="1" applyBorder="1" applyAlignment="1" applyProtection="1">
      <alignment horizontal="center" vertical="center"/>
      <protection locked="0"/>
    </xf>
    <xf numFmtId="49" fontId="1" fillId="0" borderId="213" xfId="0" applyNumberFormat="1" applyFont="1" applyFill="1" applyBorder="1" applyAlignment="1" applyProtection="1">
      <alignment horizontal="center" vertical="center"/>
      <protection locked="0"/>
    </xf>
    <xf numFmtId="49" fontId="1" fillId="0" borderId="214" xfId="0" applyNumberFormat="1" applyFont="1" applyFill="1" applyBorder="1" applyAlignment="1" applyProtection="1">
      <alignment horizontal="center" vertical="center"/>
      <protection locked="0"/>
    </xf>
    <xf numFmtId="0" fontId="16" fillId="9" borderId="89" xfId="0" applyNumberFormat="1" applyFont="1" applyFill="1" applyBorder="1" applyAlignment="1" applyProtection="1">
      <alignment horizontal="left" vertical="center"/>
      <protection locked="0"/>
    </xf>
    <xf numFmtId="0" fontId="16" fillId="9" borderId="97" xfId="0" applyNumberFormat="1" applyFont="1" applyFill="1" applyBorder="1" applyAlignment="1" applyProtection="1">
      <alignment horizontal="left" vertical="center"/>
      <protection locked="0"/>
    </xf>
    <xf numFmtId="49" fontId="1" fillId="0" borderId="153" xfId="0" applyNumberFormat="1" applyFont="1" applyFill="1" applyBorder="1" applyAlignment="1" applyProtection="1">
      <alignment horizontal="center" vertical="center"/>
      <protection locked="0"/>
    </xf>
    <xf numFmtId="0" fontId="7" fillId="90" borderId="158" xfId="0" applyFont="1" applyFill="1" applyBorder="1" applyAlignment="1">
      <alignment horizontal="center" vertical="center" wrapText="1"/>
    </xf>
    <xf numFmtId="0" fontId="7" fillId="90" borderId="159" xfId="0" applyFont="1" applyFill="1" applyBorder="1" applyAlignment="1">
      <alignment horizontal="center" vertical="center"/>
    </xf>
    <xf numFmtId="0" fontId="7" fillId="90" borderId="164" xfId="0" applyFont="1" applyFill="1" applyBorder="1" applyAlignment="1">
      <alignment horizontal="center" vertical="center"/>
    </xf>
    <xf numFmtId="0" fontId="16" fillId="0" borderId="97" xfId="0" applyNumberFormat="1" applyFont="1" applyFill="1" applyBorder="1" applyAlignment="1" applyProtection="1">
      <alignment horizontal="right" vertical="center"/>
      <protection locked="0"/>
    </xf>
    <xf numFmtId="0" fontId="16" fillId="0" borderId="88" xfId="0" applyNumberFormat="1" applyFont="1" applyFill="1" applyBorder="1" applyAlignment="1" applyProtection="1">
      <alignment horizontal="right" vertical="center"/>
      <protection locked="0"/>
    </xf>
    <xf numFmtId="0" fontId="1" fillId="85" borderId="80" xfId="0" applyFont="1" applyFill="1" applyBorder="1" applyAlignment="1">
      <alignment horizontal="center" vertical="center" wrapText="1"/>
    </xf>
    <xf numFmtId="0" fontId="1" fillId="85" borderId="81" xfId="0" applyFont="1" applyFill="1" applyBorder="1" applyAlignment="1">
      <alignment horizontal="center" vertical="center"/>
    </xf>
    <xf numFmtId="0" fontId="1" fillId="85" borderId="92" xfId="0" applyFont="1" applyFill="1" applyBorder="1" applyAlignment="1">
      <alignment horizontal="center" vertical="center"/>
    </xf>
    <xf numFmtId="0" fontId="1" fillId="91" borderId="86" xfId="0" applyFont="1" applyFill="1" applyBorder="1" applyAlignment="1">
      <alignment horizontal="center" vertical="center"/>
    </xf>
    <xf numFmtId="0" fontId="1" fillId="91" borderId="87" xfId="0" applyFont="1" applyFill="1" applyBorder="1" applyAlignment="1">
      <alignment horizontal="center" vertical="center"/>
    </xf>
    <xf numFmtId="0" fontId="1" fillId="91" borderId="88" xfId="0" applyFont="1" applyFill="1" applyBorder="1" applyAlignment="1">
      <alignment horizontal="center" vertical="center"/>
    </xf>
    <xf numFmtId="0" fontId="1" fillId="91" borderId="95" xfId="0" applyFont="1" applyFill="1" applyBorder="1" applyAlignment="1">
      <alignment horizontal="center" vertical="center"/>
    </xf>
    <xf numFmtId="49" fontId="13" fillId="0" borderId="146" xfId="0" applyNumberFormat="1" applyFont="1" applyFill="1" applyBorder="1" applyAlignment="1" applyProtection="1">
      <alignment horizontal="center" vertical="center"/>
      <protection locked="0"/>
    </xf>
    <xf numFmtId="49" fontId="13" fillId="0" borderId="97" xfId="0" applyNumberFormat="1" applyFont="1" applyFill="1" applyBorder="1" applyAlignment="1" applyProtection="1">
      <alignment horizontal="center" vertical="center"/>
      <protection locked="0"/>
    </xf>
    <xf numFmtId="49" fontId="1" fillId="0" borderId="97" xfId="0" applyNumberFormat="1" applyFont="1" applyFill="1" applyBorder="1" applyAlignment="1" applyProtection="1">
      <alignment horizontal="center" vertical="center"/>
      <protection locked="0" hidden="1"/>
    </xf>
    <xf numFmtId="49" fontId="1" fillId="0" borderId="27" xfId="0" applyNumberFormat="1" applyFont="1" applyFill="1" applyBorder="1" applyAlignment="1" applyProtection="1">
      <alignment horizontal="center" vertical="center"/>
      <protection locked="0" hidden="1"/>
    </xf>
    <xf numFmtId="0" fontId="7" fillId="84" borderId="158" xfId="0" applyFont="1" applyFill="1" applyBorder="1" applyAlignment="1">
      <alignment horizontal="center" vertical="center" wrapText="1"/>
    </xf>
    <xf numFmtId="0" fontId="7" fillId="84" borderId="159" xfId="0" applyFont="1" applyFill="1" applyBorder="1" applyAlignment="1">
      <alignment horizontal="center" vertical="center"/>
    </xf>
    <xf numFmtId="0" fontId="7" fillId="84" borderId="164" xfId="0" applyFont="1" applyFill="1" applyBorder="1" applyAlignment="1">
      <alignment horizontal="center" vertical="center"/>
    </xf>
    <xf numFmtId="0" fontId="16" fillId="0" borderId="89" xfId="0" applyNumberFormat="1" applyFont="1" applyFill="1" applyBorder="1" applyAlignment="1" applyProtection="1">
      <alignment horizontal="left" vertical="center"/>
      <protection locked="0"/>
    </xf>
    <xf numFmtId="0" fontId="16" fillId="0" borderId="97" xfId="0" applyNumberFormat="1" applyFont="1" applyFill="1" applyBorder="1" applyAlignment="1" applyProtection="1">
      <alignment horizontal="left" vertical="center"/>
      <protection locked="0"/>
    </xf>
    <xf numFmtId="0" fontId="1" fillId="4" borderId="146" xfId="0" applyFont="1" applyFill="1" applyBorder="1" applyAlignment="1" applyProtection="1">
      <alignment horizontal="center" vertical="center"/>
      <protection hidden="1"/>
    </xf>
    <xf numFmtId="0" fontId="1" fillId="4" borderId="97" xfId="0" applyFont="1" applyFill="1" applyBorder="1" applyAlignment="1" applyProtection="1">
      <alignment horizontal="center" vertical="center"/>
      <protection hidden="1"/>
    </xf>
    <xf numFmtId="0" fontId="1" fillId="4" borderId="97" xfId="0" applyFont="1" applyFill="1" applyBorder="1" applyProtection="1">
      <alignment vertical="center"/>
      <protection hidden="1"/>
    </xf>
    <xf numFmtId="0" fontId="1" fillId="4" borderId="27" xfId="0" applyFont="1" applyFill="1" applyBorder="1" applyProtection="1">
      <alignment vertical="center"/>
      <protection hidden="1"/>
    </xf>
    <xf numFmtId="0" fontId="16" fillId="9" borderId="97" xfId="0" applyNumberFormat="1" applyFont="1" applyFill="1" applyBorder="1" applyAlignment="1" applyProtection="1">
      <alignment horizontal="center" vertical="center" wrapText="1"/>
      <protection locked="0"/>
    </xf>
    <xf numFmtId="187" fontId="13" fillId="0" borderId="86" xfId="0" applyNumberFormat="1" applyFont="1" applyFill="1" applyBorder="1" applyAlignment="1" applyProtection="1">
      <alignment horizontal="center" vertical="center"/>
      <protection locked="0"/>
    </xf>
    <xf numFmtId="187" fontId="13" fillId="0" borderId="87" xfId="0" applyNumberFormat="1" applyFont="1" applyFill="1" applyBorder="1" applyAlignment="1" applyProtection="1">
      <alignment horizontal="center" vertical="center"/>
      <protection locked="0"/>
    </xf>
    <xf numFmtId="187" fontId="13" fillId="0" borderId="89" xfId="0" applyNumberFormat="1" applyFont="1" applyFill="1" applyBorder="1" applyAlignment="1" applyProtection="1">
      <alignment horizontal="center" vertical="center"/>
      <protection locked="0"/>
    </xf>
    <xf numFmtId="188" fontId="1" fillId="0" borderId="88" xfId="0" applyNumberFormat="1" applyFont="1" applyFill="1" applyBorder="1" applyAlignment="1" applyProtection="1">
      <alignment horizontal="center" vertical="center"/>
      <protection locked="0" hidden="1"/>
    </xf>
    <xf numFmtId="188" fontId="1" fillId="0" borderId="87" xfId="0" applyNumberFormat="1" applyFont="1" applyFill="1" applyBorder="1" applyAlignment="1" applyProtection="1">
      <alignment horizontal="center" vertical="center"/>
      <protection locked="0" hidden="1"/>
    </xf>
    <xf numFmtId="188" fontId="1" fillId="0" borderId="95" xfId="0" applyNumberFormat="1" applyFont="1" applyFill="1" applyBorder="1" applyAlignment="1" applyProtection="1">
      <alignment horizontal="center" vertical="center"/>
      <protection locked="0" hidden="1"/>
    </xf>
    <xf numFmtId="0" fontId="1" fillId="38" borderId="146" xfId="0" applyFont="1" applyFill="1" applyBorder="1" applyAlignment="1">
      <alignment horizontal="center" vertical="center"/>
    </xf>
    <xf numFmtId="0" fontId="1" fillId="38" borderId="97" xfId="0" applyFont="1" applyFill="1" applyBorder="1" applyAlignment="1">
      <alignment horizontal="center" vertical="center"/>
    </xf>
    <xf numFmtId="0" fontId="1" fillId="38" borderId="27" xfId="0" applyFont="1" applyFill="1" applyBorder="1" applyAlignment="1">
      <alignment horizontal="center" vertical="center"/>
    </xf>
    <xf numFmtId="0" fontId="1" fillId="38" borderId="86" xfId="0" applyFont="1" applyFill="1" applyBorder="1" applyAlignment="1" applyProtection="1">
      <alignment horizontal="center" vertical="center"/>
      <protection hidden="1"/>
    </xf>
    <xf numFmtId="0" fontId="1" fillId="38" borderId="87" xfId="0" applyFont="1" applyFill="1" applyBorder="1" applyAlignment="1" applyProtection="1">
      <alignment horizontal="center" vertical="center"/>
      <protection hidden="1"/>
    </xf>
    <xf numFmtId="0" fontId="1" fillId="38" borderId="89" xfId="0" applyFont="1" applyFill="1" applyBorder="1" applyAlignment="1" applyProtection="1">
      <alignment horizontal="center" vertical="center"/>
      <protection hidden="1"/>
    </xf>
    <xf numFmtId="0" fontId="1" fillId="38" borderId="88" xfId="0" applyFont="1" applyFill="1" applyBorder="1" applyAlignment="1" applyProtection="1">
      <alignment horizontal="center" vertical="center"/>
      <protection hidden="1"/>
    </xf>
    <xf numFmtId="0" fontId="1" fillId="38" borderId="95" xfId="0" applyFont="1" applyFill="1" applyBorder="1" applyAlignment="1" applyProtection="1">
      <alignment horizontal="center" vertical="center"/>
      <protection hidden="1"/>
    </xf>
    <xf numFmtId="0" fontId="1" fillId="89" borderId="86" xfId="0" applyFont="1" applyFill="1" applyBorder="1" applyAlignment="1">
      <alignment horizontal="center" vertical="center"/>
    </xf>
    <xf numFmtId="0" fontId="1" fillId="89" borderId="87" xfId="0" applyFont="1" applyFill="1" applyBorder="1" applyAlignment="1">
      <alignment horizontal="center" vertical="center"/>
    </xf>
    <xf numFmtId="0" fontId="1" fillId="89" borderId="88" xfId="0" applyFont="1" applyFill="1" applyBorder="1" applyAlignment="1">
      <alignment horizontal="center" vertical="center"/>
    </xf>
    <xf numFmtId="0" fontId="1" fillId="89" borderId="95" xfId="0" applyFont="1" applyFill="1" applyBorder="1" applyAlignment="1">
      <alignment horizontal="center" vertical="center"/>
    </xf>
    <xf numFmtId="0" fontId="1" fillId="38" borderId="86" xfId="0" applyFont="1" applyFill="1" applyBorder="1" applyAlignment="1" applyProtection="1">
      <alignment horizontal="center" vertical="center" wrapText="1"/>
      <protection hidden="1"/>
    </xf>
    <xf numFmtId="0" fontId="16" fillId="89" borderId="86" xfId="0" applyFont="1" applyFill="1" applyBorder="1" applyAlignment="1" applyProtection="1">
      <alignment horizontal="center" vertical="center" wrapText="1"/>
      <protection hidden="1"/>
    </xf>
    <xf numFmtId="0" fontId="16" fillId="89" borderId="87" xfId="0" applyFont="1" applyFill="1" applyBorder="1" applyAlignment="1" applyProtection="1">
      <alignment horizontal="center" vertical="center"/>
      <protection hidden="1"/>
    </xf>
    <xf numFmtId="0" fontId="16" fillId="89" borderId="95" xfId="0" applyFont="1" applyFill="1" applyBorder="1" applyAlignment="1" applyProtection="1">
      <alignment horizontal="center" vertical="center"/>
      <protection hidden="1"/>
    </xf>
    <xf numFmtId="49" fontId="13" fillId="0" borderId="86" xfId="0" applyNumberFormat="1" applyFont="1" applyFill="1" applyBorder="1" applyAlignment="1" applyProtection="1">
      <alignment horizontal="center" vertical="center"/>
      <protection locked="0"/>
    </xf>
    <xf numFmtId="49" fontId="13" fillId="0" borderId="87" xfId="0" applyNumberFormat="1" applyFont="1" applyFill="1" applyBorder="1" applyAlignment="1" applyProtection="1">
      <alignment horizontal="center" vertical="center"/>
      <protection locked="0"/>
    </xf>
    <xf numFmtId="49" fontId="13" fillId="0" borderId="95" xfId="0" applyNumberFormat="1" applyFont="1" applyFill="1" applyBorder="1" applyAlignment="1" applyProtection="1">
      <alignment horizontal="center" vertical="center"/>
      <protection locked="0"/>
    </xf>
    <xf numFmtId="49" fontId="1" fillId="0" borderId="86" xfId="0" applyNumberFormat="1" applyFont="1" applyFill="1" applyBorder="1" applyAlignment="1" applyProtection="1">
      <alignment horizontal="center" vertical="center"/>
      <protection locked="0" hidden="1"/>
    </xf>
    <xf numFmtId="49" fontId="1" fillId="0" borderId="87" xfId="0" applyNumberFormat="1" applyFont="1" applyFill="1" applyBorder="1" applyAlignment="1" applyProtection="1">
      <alignment horizontal="center" vertical="center"/>
      <protection locked="0" hidden="1"/>
    </xf>
    <xf numFmtId="49" fontId="1" fillId="0" borderId="88" xfId="0" applyNumberFormat="1" applyFont="1" applyFill="1" applyBorder="1" applyAlignment="1" applyProtection="1">
      <alignment horizontal="center" vertical="center"/>
      <protection locked="0" hidden="1"/>
    </xf>
    <xf numFmtId="49" fontId="1" fillId="0" borderId="95" xfId="0" applyNumberFormat="1" applyFont="1" applyFill="1" applyBorder="1" applyAlignment="1" applyProtection="1">
      <alignment horizontal="center" vertical="center"/>
      <protection locked="0" hidden="1"/>
    </xf>
    <xf numFmtId="0" fontId="7" fillId="68" borderId="144" xfId="0" applyFont="1" applyFill="1" applyBorder="1" applyAlignment="1" applyProtection="1">
      <alignment horizontal="center" vertical="center"/>
      <protection locked="0"/>
    </xf>
    <xf numFmtId="0" fontId="7" fillId="68" borderId="145" xfId="0" applyFont="1" applyFill="1" applyBorder="1" applyAlignment="1" applyProtection="1">
      <alignment horizontal="center" vertical="center"/>
      <protection locked="0"/>
    </xf>
    <xf numFmtId="0" fontId="7" fillId="68" borderId="147" xfId="0" applyFont="1" applyFill="1" applyBorder="1" applyAlignment="1" applyProtection="1">
      <alignment horizontal="center" vertical="center"/>
      <protection locked="0"/>
    </xf>
    <xf numFmtId="0" fontId="7" fillId="87" borderId="144" xfId="0" applyFont="1" applyFill="1" applyBorder="1" applyAlignment="1" applyProtection="1">
      <alignment horizontal="center" vertical="center"/>
      <protection hidden="1"/>
    </xf>
    <xf numFmtId="0" fontId="7" fillId="87" borderId="145" xfId="0" applyFont="1" applyFill="1" applyBorder="1" applyAlignment="1" applyProtection="1">
      <alignment horizontal="center" vertical="center"/>
      <protection hidden="1"/>
    </xf>
    <xf numFmtId="0" fontId="7" fillId="87" borderId="147" xfId="0" applyFont="1" applyFill="1" applyBorder="1" applyAlignment="1" applyProtection="1">
      <alignment horizontal="center" vertical="center"/>
      <protection hidden="1"/>
    </xf>
    <xf numFmtId="0" fontId="7" fillId="88" borderId="144" xfId="0" applyFont="1" applyFill="1" applyBorder="1" applyAlignment="1" applyProtection="1">
      <alignment horizontal="center" vertical="center"/>
      <protection hidden="1"/>
    </xf>
    <xf numFmtId="0" fontId="7" fillId="88" borderId="145" xfId="0" applyFont="1" applyFill="1" applyBorder="1" applyAlignment="1" applyProtection="1">
      <alignment horizontal="center" vertical="center"/>
      <protection hidden="1"/>
    </xf>
    <xf numFmtId="0" fontId="7" fillId="88" borderId="147" xfId="0" applyFont="1" applyFill="1" applyBorder="1" applyAlignment="1" applyProtection="1">
      <alignment horizontal="center" vertical="center"/>
      <protection hidden="1"/>
    </xf>
    <xf numFmtId="0" fontId="10" fillId="0" borderId="78" xfId="0" applyFont="1" applyFill="1" applyBorder="1" applyAlignment="1" applyProtection="1">
      <alignment horizontal="center" vertical="center"/>
      <protection locked="0"/>
    </xf>
    <xf numFmtId="0" fontId="10" fillId="0" borderId="0" xfId="0" applyFont="1" applyFill="1" applyBorder="1" applyAlignment="1" applyProtection="1">
      <alignment horizontal="center" vertical="center"/>
      <protection locked="0"/>
    </xf>
    <xf numFmtId="0" fontId="166" fillId="4" borderId="13" xfId="0" applyFont="1" applyFill="1" applyBorder="1" applyAlignment="1">
      <alignment horizontal="center" vertical="center"/>
    </xf>
    <xf numFmtId="0" fontId="166" fillId="4" borderId="16" xfId="0" applyFont="1" applyFill="1" applyBorder="1" applyAlignment="1">
      <alignment horizontal="center" vertical="center"/>
    </xf>
    <xf numFmtId="0" fontId="166" fillId="4" borderId="14" xfId="0" applyFont="1" applyFill="1" applyBorder="1" applyAlignment="1">
      <alignment horizontal="center" vertical="center"/>
    </xf>
    <xf numFmtId="0" fontId="10" fillId="0" borderId="12" xfId="0" applyFont="1" applyFill="1" applyBorder="1" applyAlignment="1" applyProtection="1">
      <alignment horizontal="center" vertical="center"/>
      <protection locked="0"/>
    </xf>
    <xf numFmtId="49" fontId="16" fillId="0" borderId="89" xfId="0" applyNumberFormat="1" applyFont="1" applyFill="1" applyBorder="1" applyAlignment="1" applyProtection="1">
      <alignment vertical="center" wrapText="1"/>
      <protection locked="0"/>
    </xf>
    <xf numFmtId="49" fontId="16" fillId="0" borderId="97" xfId="0" applyNumberFormat="1" applyFont="1" applyFill="1" applyBorder="1" applyAlignment="1" applyProtection="1">
      <alignment vertical="center" wrapText="1"/>
      <protection locked="0"/>
    </xf>
    <xf numFmtId="0" fontId="16" fillId="9" borderId="85" xfId="0" applyFont="1" applyFill="1" applyBorder="1" applyAlignment="1" applyProtection="1">
      <alignment horizontal="center" vertical="center"/>
      <protection locked="0"/>
    </xf>
    <xf numFmtId="0" fontId="16" fillId="9" borderId="83" xfId="0" applyFont="1" applyFill="1" applyBorder="1" applyAlignment="1" applyProtection="1">
      <alignment horizontal="center" vertical="center"/>
      <protection locked="0"/>
    </xf>
    <xf numFmtId="0" fontId="16" fillId="9" borderId="94" xfId="0" applyFont="1" applyFill="1" applyBorder="1" applyAlignment="1" applyProtection="1">
      <alignment horizontal="center" vertical="center"/>
      <protection locked="0"/>
    </xf>
    <xf numFmtId="185" fontId="16" fillId="9" borderId="89" xfId="0" applyNumberFormat="1" applyFont="1" applyFill="1" applyBorder="1" applyProtection="1">
      <alignment vertical="center"/>
      <protection locked="0"/>
    </xf>
    <xf numFmtId="185" fontId="16" fillId="9" borderId="97" xfId="0" applyNumberFormat="1" applyFont="1" applyFill="1" applyBorder="1" applyProtection="1">
      <alignment vertical="center"/>
      <protection locked="0"/>
    </xf>
    <xf numFmtId="0" fontId="10" fillId="9" borderId="78" xfId="0" applyFont="1" applyFill="1" applyBorder="1" applyAlignment="1" applyProtection="1">
      <alignment horizontal="center" vertical="center"/>
      <protection locked="0"/>
    </xf>
    <xf numFmtId="0" fontId="10" fillId="9" borderId="0" xfId="0" applyFont="1" applyFill="1" applyBorder="1" applyAlignment="1" applyProtection="1">
      <alignment horizontal="center" vertical="center"/>
      <protection locked="0"/>
    </xf>
    <xf numFmtId="0" fontId="10" fillId="9" borderId="12" xfId="0" applyFont="1" applyFill="1" applyBorder="1" applyAlignment="1" applyProtection="1">
      <alignment horizontal="center" vertical="center"/>
      <protection locked="0"/>
    </xf>
    <xf numFmtId="0" fontId="7" fillId="68" borderId="7" xfId="0" applyFont="1" applyFill="1" applyBorder="1" applyAlignment="1">
      <alignment horizontal="center" vertical="center"/>
    </xf>
    <xf numFmtId="0" fontId="7" fillId="68" borderId="15" xfId="0" applyFont="1" applyFill="1" applyBorder="1" applyAlignment="1">
      <alignment horizontal="center" vertical="center"/>
    </xf>
    <xf numFmtId="0" fontId="7" fillId="68" borderId="8" xfId="0" applyFont="1" applyFill="1" applyBorder="1" applyAlignment="1">
      <alignment horizontal="center" vertical="center"/>
    </xf>
    <xf numFmtId="0" fontId="10" fillId="4" borderId="11" xfId="0" applyFont="1" applyFill="1" applyBorder="1" applyAlignment="1">
      <alignment horizontal="center" vertical="center"/>
    </xf>
    <xf numFmtId="0" fontId="10" fillId="4" borderId="0" xfId="0" applyFont="1" applyFill="1" applyBorder="1" applyAlignment="1">
      <alignment horizontal="center" vertical="center"/>
    </xf>
    <xf numFmtId="0" fontId="10" fillId="9" borderId="84" xfId="0" applyFont="1" applyFill="1" applyBorder="1" applyAlignment="1" applyProtection="1">
      <alignment horizontal="center" vertical="center"/>
      <protection locked="0"/>
    </xf>
    <xf numFmtId="0" fontId="10" fillId="9" borderId="81" xfId="0" applyFont="1" applyFill="1" applyBorder="1" applyAlignment="1" applyProtection="1">
      <alignment horizontal="center" vertical="center"/>
      <protection locked="0"/>
    </xf>
    <xf numFmtId="0" fontId="10" fillId="9" borderId="216" xfId="0" applyFont="1" applyFill="1" applyBorder="1" applyAlignment="1" applyProtection="1">
      <alignment horizontal="center" vertical="center"/>
      <protection locked="0"/>
    </xf>
    <xf numFmtId="0" fontId="10" fillId="9" borderId="92" xfId="0" applyFont="1" applyFill="1" applyBorder="1" applyAlignment="1" applyProtection="1">
      <alignment horizontal="center" vertical="center"/>
      <protection locked="0"/>
    </xf>
    <xf numFmtId="0" fontId="16" fillId="82" borderId="97" xfId="0" applyNumberFormat="1" applyFont="1" applyFill="1" applyBorder="1" applyAlignment="1" applyProtection="1">
      <alignment horizontal="center" vertical="center"/>
      <protection locked="0"/>
    </xf>
    <xf numFmtId="0" fontId="153" fillId="8" borderId="196" xfId="0" applyNumberFormat="1" applyFont="1" applyFill="1" applyBorder="1" applyAlignment="1">
      <alignment horizontal="center" vertical="center"/>
    </xf>
    <xf numFmtId="0" fontId="153" fillId="8" borderId="16" xfId="0" applyNumberFormat="1" applyFont="1" applyFill="1" applyBorder="1" applyAlignment="1">
      <alignment horizontal="center" vertical="center"/>
    </xf>
    <xf numFmtId="0" fontId="13" fillId="8" borderId="152" xfId="0" applyNumberFormat="1" applyFont="1" applyFill="1" applyBorder="1" applyAlignment="1" applyProtection="1">
      <alignment horizontal="center" vertical="center"/>
      <protection locked="0"/>
    </xf>
    <xf numFmtId="0" fontId="154" fillId="0" borderId="0" xfId="0" applyFont="1" applyFill="1" applyAlignment="1">
      <alignment horizontal="center" vertical="center"/>
    </xf>
    <xf numFmtId="0" fontId="154" fillId="0" borderId="0" xfId="0" applyFont="1" applyFill="1" applyBorder="1" applyAlignment="1">
      <alignment horizontal="center" vertical="center"/>
    </xf>
    <xf numFmtId="0" fontId="53" fillId="68" borderId="160" xfId="0" applyFont="1" applyFill="1" applyBorder="1" applyAlignment="1">
      <alignment horizontal="center" vertical="center"/>
    </xf>
    <xf numFmtId="0" fontId="91" fillId="4" borderId="146" xfId="0" applyFont="1" applyFill="1" applyBorder="1" applyAlignment="1">
      <alignment horizontal="center" vertical="center"/>
    </xf>
    <xf numFmtId="0" fontId="91" fillId="4" borderId="97" xfId="0" applyFont="1" applyFill="1" applyBorder="1" applyAlignment="1">
      <alignment horizontal="center" vertical="center"/>
    </xf>
    <xf numFmtId="0" fontId="16" fillId="4" borderId="88" xfId="0" applyFont="1" applyFill="1" applyBorder="1" applyAlignment="1">
      <alignment horizontal="center" vertical="center"/>
    </xf>
    <xf numFmtId="0" fontId="91" fillId="4" borderId="202" xfId="0" applyFont="1" applyFill="1" applyBorder="1" applyAlignment="1">
      <alignment horizontal="center" vertical="center"/>
    </xf>
    <xf numFmtId="0" fontId="91" fillId="4" borderId="88" xfId="0" applyFont="1" applyFill="1" applyBorder="1" applyAlignment="1">
      <alignment horizontal="center" vertical="center"/>
    </xf>
    <xf numFmtId="0" fontId="17" fillId="9" borderId="98" xfId="0" applyFont="1" applyFill="1" applyBorder="1" applyAlignment="1" applyProtection="1">
      <alignment horizontal="center" vertical="center"/>
      <protection locked="0"/>
    </xf>
    <xf numFmtId="0" fontId="17" fillId="9" borderId="16" xfId="0" applyFont="1" applyFill="1" applyBorder="1" applyAlignment="1" applyProtection="1">
      <alignment horizontal="center" vertical="center"/>
      <protection locked="0"/>
    </xf>
    <xf numFmtId="0" fontId="17" fillId="4" borderId="98" xfId="0" applyFont="1" applyFill="1" applyBorder="1" applyAlignment="1" applyProtection="1">
      <alignment horizontal="center" vertical="center"/>
      <protection locked="0"/>
    </xf>
    <xf numFmtId="0" fontId="17" fillId="4" borderId="201" xfId="0" applyFont="1" applyFill="1" applyBorder="1" applyAlignment="1" applyProtection="1">
      <alignment horizontal="center" vertical="center"/>
      <protection locked="0"/>
    </xf>
    <xf numFmtId="0" fontId="162" fillId="82" borderId="16" xfId="0" applyFont="1" applyFill="1" applyBorder="1" applyAlignment="1" applyProtection="1">
      <alignment horizontal="center" vertical="center" wrapText="1"/>
      <protection locked="0"/>
    </xf>
    <xf numFmtId="0" fontId="162" fillId="82" borderId="206" xfId="0" applyFont="1" applyFill="1" applyBorder="1" applyAlignment="1" applyProtection="1">
      <alignment horizontal="center" vertical="center" wrapText="1"/>
      <protection locked="0"/>
    </xf>
    <xf numFmtId="177" fontId="13" fillId="83" borderId="98" xfId="0" applyNumberFormat="1" applyFont="1" applyFill="1" applyBorder="1" applyAlignment="1">
      <alignment horizontal="center" vertical="center"/>
    </xf>
    <xf numFmtId="177" fontId="13" fillId="83" borderId="16" xfId="0" applyNumberFormat="1" applyFont="1" applyFill="1" applyBorder="1" applyAlignment="1">
      <alignment horizontal="center" vertical="center"/>
    </xf>
    <xf numFmtId="0" fontId="153" fillId="9" borderId="13" xfId="0" applyNumberFormat="1" applyFont="1" applyFill="1" applyBorder="1" applyAlignment="1">
      <alignment horizontal="center" vertical="center"/>
    </xf>
    <xf numFmtId="0" fontId="153" fillId="9" borderId="16" xfId="0" applyNumberFormat="1" applyFont="1" applyFill="1" applyBorder="1" applyAlignment="1">
      <alignment horizontal="center" vertical="center"/>
    </xf>
    <xf numFmtId="0" fontId="153" fillId="9" borderId="16" xfId="0" applyNumberFormat="1" applyFont="1" applyFill="1" applyBorder="1" applyAlignment="1" applyProtection="1">
      <alignment horizontal="center" vertical="center"/>
      <protection locked="0"/>
    </xf>
    <xf numFmtId="0" fontId="153" fillId="9" borderId="96" xfId="0" applyNumberFormat="1" applyFont="1" applyFill="1" applyBorder="1" applyAlignment="1" applyProtection="1">
      <alignment horizontal="center" vertical="center"/>
      <protection locked="0"/>
    </xf>
    <xf numFmtId="0" fontId="13" fillId="9" borderId="16" xfId="0" applyNumberFormat="1" applyFont="1" applyFill="1" applyBorder="1" applyAlignment="1" applyProtection="1">
      <alignment horizontal="center" vertical="center"/>
      <protection locked="0"/>
    </xf>
    <xf numFmtId="183" fontId="153" fillId="4" borderId="196" xfId="0" applyNumberFormat="1" applyFont="1" applyFill="1" applyBorder="1" applyAlignment="1">
      <alignment horizontal="center" vertical="center"/>
    </xf>
    <xf numFmtId="183" fontId="153" fillId="4" borderId="16" xfId="0" applyNumberFormat="1" applyFont="1" applyFill="1" applyBorder="1" applyAlignment="1">
      <alignment horizontal="center" vertical="center"/>
    </xf>
    <xf numFmtId="0" fontId="13" fillId="4" borderId="16" xfId="0" applyNumberFormat="1" applyFont="1" applyFill="1" applyBorder="1" applyAlignment="1" applyProtection="1">
      <alignment horizontal="center" vertical="center"/>
      <protection locked="0"/>
    </xf>
    <xf numFmtId="12" fontId="153" fillId="4" borderId="98" xfId="0" applyNumberFormat="1" applyFont="1" applyFill="1" applyBorder="1" applyAlignment="1">
      <alignment horizontal="center" vertical="center"/>
    </xf>
    <xf numFmtId="12" fontId="153" fillId="4" borderId="16" xfId="0" applyNumberFormat="1" applyFont="1" applyFill="1" applyBorder="1" applyAlignment="1">
      <alignment horizontal="center" vertical="center"/>
    </xf>
    <xf numFmtId="188" fontId="13" fillId="4" borderId="16" xfId="0" applyNumberFormat="1" applyFont="1" applyFill="1" applyBorder="1" applyAlignment="1" applyProtection="1">
      <alignment horizontal="center" vertical="center"/>
      <protection locked="0"/>
    </xf>
    <xf numFmtId="188" fontId="13" fillId="4" borderId="201" xfId="0" applyNumberFormat="1" applyFont="1" applyFill="1" applyBorder="1" applyAlignment="1" applyProtection="1">
      <alignment horizontal="center" vertical="center"/>
      <protection locked="0"/>
    </xf>
    <xf numFmtId="0" fontId="153" fillId="82" borderId="196" xfId="0" applyFont="1" applyFill="1" applyBorder="1" applyAlignment="1">
      <alignment horizontal="center" vertical="center" wrapText="1"/>
    </xf>
    <xf numFmtId="0" fontId="153" fillId="82" borderId="16" xfId="0" applyFont="1" applyFill="1" applyBorder="1" applyAlignment="1">
      <alignment horizontal="center" vertical="center" wrapText="1"/>
    </xf>
    <xf numFmtId="0" fontId="13" fillId="82" borderId="16" xfId="0" applyNumberFormat="1" applyFont="1" applyFill="1" applyBorder="1" applyAlignment="1" applyProtection="1">
      <alignment horizontal="center" vertical="center" wrapText="1"/>
      <protection locked="0"/>
    </xf>
    <xf numFmtId="0" fontId="13" fillId="82" borderId="206" xfId="0" applyNumberFormat="1" applyFont="1" applyFill="1" applyBorder="1" applyAlignment="1" applyProtection="1">
      <alignment horizontal="center" vertical="center" wrapText="1"/>
      <protection locked="0"/>
    </xf>
    <xf numFmtId="0" fontId="163" fillId="83" borderId="16" xfId="0" applyNumberFormat="1" applyFont="1" applyFill="1" applyBorder="1" applyAlignment="1">
      <alignment horizontal="center" vertical="center"/>
    </xf>
    <xf numFmtId="0" fontId="163" fillId="83" borderId="16" xfId="0" applyNumberFormat="1" applyFont="1" applyFill="1" applyBorder="1" applyAlignment="1" applyProtection="1">
      <alignment horizontal="center" vertical="center"/>
      <protection locked="0"/>
    </xf>
    <xf numFmtId="0" fontId="163" fillId="83" borderId="96" xfId="0" applyNumberFormat="1" applyFont="1" applyFill="1" applyBorder="1" applyAlignment="1" applyProtection="1">
      <alignment horizontal="center" vertical="center"/>
      <protection locked="0"/>
    </xf>
    <xf numFmtId="0" fontId="16" fillId="9" borderId="7" xfId="0" applyFont="1" applyFill="1" applyBorder="1" applyAlignment="1">
      <alignment horizontal="center" vertical="center" wrapText="1"/>
    </xf>
    <xf numFmtId="0" fontId="16" fillId="9" borderId="15" xfId="0" applyFont="1" applyFill="1" applyBorder="1" applyAlignment="1">
      <alignment horizontal="center" vertical="center" wrapText="1"/>
    </xf>
    <xf numFmtId="0" fontId="16" fillId="9" borderId="13" xfId="0" applyFont="1" applyFill="1" applyBorder="1" applyAlignment="1">
      <alignment horizontal="center" vertical="center" wrapText="1"/>
    </xf>
    <xf numFmtId="0" fontId="16" fillId="9" borderId="16" xfId="0" applyFont="1" applyFill="1" applyBorder="1" applyAlignment="1">
      <alignment horizontal="center" vertical="center" wrapText="1"/>
    </xf>
    <xf numFmtId="0" fontId="16" fillId="4" borderId="195" xfId="0" applyFont="1" applyFill="1" applyBorder="1" applyAlignment="1">
      <alignment horizontal="center" vertical="center" wrapText="1"/>
    </xf>
    <xf numFmtId="0" fontId="16" fillId="4" borderId="15" xfId="0" applyFont="1" applyFill="1" applyBorder="1" applyAlignment="1">
      <alignment horizontal="center" vertical="center" wrapText="1"/>
    </xf>
    <xf numFmtId="0" fontId="16" fillId="4" borderId="196" xfId="0" applyFont="1" applyFill="1" applyBorder="1" applyAlignment="1">
      <alignment horizontal="center" vertical="center" wrapText="1"/>
    </xf>
    <xf numFmtId="0" fontId="16" fillId="4" borderId="16" xfId="0" applyFont="1" applyFill="1" applyBorder="1" applyAlignment="1">
      <alignment horizontal="center" vertical="center" wrapText="1"/>
    </xf>
    <xf numFmtId="0" fontId="16" fillId="82" borderId="133" xfId="0" applyFont="1" applyFill="1" applyBorder="1" applyAlignment="1">
      <alignment horizontal="center" vertical="center" wrapText="1"/>
    </xf>
    <xf numFmtId="0" fontId="16" fillId="82" borderId="0" xfId="0" applyFont="1" applyFill="1" applyAlignment="1">
      <alignment horizontal="center" vertical="center" wrapText="1"/>
    </xf>
    <xf numFmtId="0" fontId="16" fillId="82" borderId="196" xfId="0" applyFont="1" applyFill="1" applyBorder="1" applyAlignment="1">
      <alignment horizontal="center" vertical="center" wrapText="1"/>
    </xf>
    <xf numFmtId="0" fontId="16" fillId="82" borderId="16" xfId="0" applyFont="1" applyFill="1" applyBorder="1" applyAlignment="1">
      <alignment horizontal="center" vertical="center" wrapText="1"/>
    </xf>
    <xf numFmtId="0" fontId="16" fillId="83" borderId="15" xfId="0" applyFont="1" applyFill="1" applyBorder="1" applyAlignment="1">
      <alignment horizontal="center" vertical="center" wrapText="1"/>
    </xf>
    <xf numFmtId="0" fontId="16" fillId="83" borderId="0" xfId="0" applyFont="1" applyFill="1" applyBorder="1" applyAlignment="1">
      <alignment horizontal="center" vertical="center" wrapText="1"/>
    </xf>
    <xf numFmtId="0" fontId="16" fillId="83" borderId="16" xfId="0" applyFont="1" applyFill="1" applyBorder="1" applyAlignment="1">
      <alignment horizontal="center" vertical="center" wrapText="1"/>
    </xf>
    <xf numFmtId="0" fontId="13" fillId="83" borderId="0" xfId="0" applyFont="1" applyFill="1" applyAlignment="1">
      <alignment horizontal="center" vertical="center" wrapText="1"/>
    </xf>
    <xf numFmtId="0" fontId="13" fillId="83" borderId="16" xfId="0" applyFont="1" applyFill="1" applyBorder="1" applyAlignment="1">
      <alignment horizontal="center" vertical="center" wrapText="1"/>
    </xf>
    <xf numFmtId="176" fontId="16" fillId="82" borderId="15" xfId="0" applyNumberFormat="1" applyFont="1" applyFill="1" applyBorder="1" applyAlignment="1">
      <alignment horizontal="left" vertical="center" wrapText="1"/>
    </xf>
    <xf numFmtId="176" fontId="16" fillId="82" borderId="204" xfId="0" applyNumberFormat="1" applyFont="1" applyFill="1" applyBorder="1" applyAlignment="1">
      <alignment horizontal="left" vertical="center" wrapText="1"/>
    </xf>
    <xf numFmtId="176" fontId="16" fillId="82" borderId="16" xfId="0" applyNumberFormat="1" applyFont="1" applyFill="1" applyBorder="1" applyAlignment="1">
      <alignment horizontal="left" vertical="center" wrapText="1"/>
    </xf>
    <xf numFmtId="176" fontId="16" fillId="82" borderId="96" xfId="0" applyNumberFormat="1" applyFont="1" applyFill="1" applyBorder="1" applyAlignment="1">
      <alignment horizontal="left" vertical="center" wrapText="1"/>
    </xf>
    <xf numFmtId="0" fontId="16" fillId="8" borderId="185" xfId="0" applyFont="1" applyFill="1" applyBorder="1" applyAlignment="1">
      <alignment horizontal="center" vertical="center"/>
    </xf>
    <xf numFmtId="0" fontId="16" fillId="8" borderId="186" xfId="0" applyFont="1" applyFill="1" applyBorder="1" applyAlignment="1">
      <alignment horizontal="center" vertical="center"/>
    </xf>
    <xf numFmtId="0" fontId="16" fillId="8" borderId="186" xfId="0" applyFont="1" applyFill="1" applyBorder="1" applyAlignment="1" applyProtection="1">
      <alignment horizontal="right" vertical="center"/>
      <protection locked="0"/>
    </xf>
    <xf numFmtId="0" fontId="16" fillId="8" borderId="153" xfId="0" applyFont="1" applyFill="1" applyBorder="1" applyAlignment="1" applyProtection="1">
      <alignment horizontal="right" vertical="center"/>
      <protection locked="0"/>
    </xf>
    <xf numFmtId="189" fontId="16" fillId="8" borderId="193" xfId="0" applyNumberFormat="1" applyFont="1" applyFill="1" applyBorder="1" applyAlignment="1" applyProtection="1">
      <alignment horizontal="left" vertical="center"/>
      <protection locked="0"/>
    </xf>
    <xf numFmtId="189" fontId="16" fillId="8" borderId="186" xfId="0" applyNumberFormat="1" applyFont="1" applyFill="1" applyBorder="1" applyAlignment="1" applyProtection="1">
      <alignment horizontal="left" vertical="center"/>
      <protection locked="0"/>
    </xf>
    <xf numFmtId="0" fontId="16" fillId="8" borderId="193" xfId="0" applyFont="1" applyFill="1" applyBorder="1" applyAlignment="1" applyProtection="1">
      <alignment horizontal="left" vertical="center"/>
      <protection locked="0"/>
    </xf>
    <xf numFmtId="0" fontId="16" fillId="8" borderId="186" xfId="0" applyFont="1" applyFill="1" applyBorder="1" applyAlignment="1" applyProtection="1">
      <alignment horizontal="left" vertical="center"/>
      <protection locked="0"/>
    </xf>
    <xf numFmtId="49" fontId="16" fillId="8" borderId="186" xfId="0" applyNumberFormat="1" applyFont="1" applyFill="1" applyBorder="1" applyAlignment="1" applyProtection="1">
      <alignment horizontal="center" vertical="center"/>
      <protection locked="0"/>
    </xf>
    <xf numFmtId="49" fontId="16" fillId="8" borderId="154" xfId="0" applyNumberFormat="1" applyFont="1" applyFill="1" applyBorder="1" applyAlignment="1" applyProtection="1">
      <alignment horizontal="center" vertical="center"/>
      <protection locked="0"/>
    </xf>
    <xf numFmtId="0" fontId="16" fillId="8" borderId="186" xfId="0" applyNumberFormat="1" applyFont="1" applyFill="1" applyBorder="1" applyAlignment="1">
      <alignment horizontal="center" vertical="center"/>
    </xf>
    <xf numFmtId="0" fontId="16" fillId="0" borderId="186" xfId="0" applyNumberFormat="1" applyFont="1" applyFill="1" applyBorder="1" applyAlignment="1">
      <alignment horizontal="center" vertical="center"/>
    </xf>
    <xf numFmtId="0" fontId="16" fillId="0" borderId="153" xfId="0" applyNumberFormat="1" applyFont="1" applyFill="1" applyBorder="1" applyAlignment="1">
      <alignment horizontal="center" vertical="center"/>
    </xf>
    <xf numFmtId="0" fontId="160" fillId="8" borderId="186" xfId="0" applyNumberFormat="1" applyFont="1" applyFill="1" applyBorder="1" applyAlignment="1">
      <alignment horizontal="center" vertical="center"/>
    </xf>
    <xf numFmtId="0" fontId="160" fillId="8" borderId="154" xfId="0" applyNumberFormat="1" applyFont="1" applyFill="1" applyBorder="1" applyAlignment="1">
      <alignment horizontal="center" vertical="center"/>
    </xf>
    <xf numFmtId="0" fontId="114" fillId="0" borderId="0" xfId="0" applyFont="1" applyFill="1" applyAlignment="1">
      <alignment horizontal="right"/>
    </xf>
    <xf numFmtId="182" fontId="114" fillId="0" borderId="0" xfId="0" applyNumberFormat="1" applyFont="1" applyFill="1" applyAlignment="1">
      <alignment horizontal="left"/>
    </xf>
    <xf numFmtId="190" fontId="155" fillId="0" borderId="0" xfId="0" applyNumberFormat="1" applyFont="1" applyFill="1" applyAlignment="1">
      <alignment horizontal="center" vertical="center"/>
    </xf>
    <xf numFmtId="191" fontId="155" fillId="0" borderId="16" xfId="0" applyNumberFormat="1" applyFont="1" applyFill="1" applyBorder="1" applyAlignment="1">
      <alignment horizontal="center" vertical="center"/>
    </xf>
    <xf numFmtId="191" fontId="155" fillId="0" borderId="0" xfId="0" applyNumberFormat="1" applyFont="1" applyFill="1" applyAlignment="1">
      <alignment horizontal="center" vertical="center"/>
    </xf>
    <xf numFmtId="192" fontId="155" fillId="0" borderId="0" xfId="0" applyNumberFormat="1" applyFont="1" applyFill="1" applyAlignment="1">
      <alignment horizontal="center" vertical="center"/>
    </xf>
    <xf numFmtId="192" fontId="155" fillId="0" borderId="16" xfId="0" applyNumberFormat="1" applyFont="1" applyFill="1" applyBorder="1" applyAlignment="1">
      <alignment horizontal="center" vertical="center"/>
    </xf>
    <xf numFmtId="178" fontId="155" fillId="0" borderId="16" xfId="0" applyNumberFormat="1" applyFont="1" applyFill="1" applyBorder="1" applyAlignment="1">
      <alignment horizontal="center" vertical="center"/>
    </xf>
    <xf numFmtId="178" fontId="155" fillId="0" borderId="0" xfId="0" applyNumberFormat="1" applyFont="1" applyFill="1" applyAlignment="1">
      <alignment horizontal="center" vertical="center"/>
    </xf>
    <xf numFmtId="183" fontId="13" fillId="9" borderId="194" xfId="0" applyNumberFormat="1" applyFont="1" applyFill="1" applyBorder="1" applyAlignment="1">
      <alignment horizontal="center" vertical="center" wrapText="1"/>
    </xf>
    <xf numFmtId="183" fontId="13" fillId="9" borderId="15" xfId="0" applyNumberFormat="1" applyFont="1" applyFill="1" applyBorder="1" applyAlignment="1">
      <alignment horizontal="center" vertical="center" wrapText="1"/>
    </xf>
    <xf numFmtId="183" fontId="13" fillId="4" borderId="194" xfId="0" applyNumberFormat="1" applyFont="1" applyFill="1" applyBorder="1" applyAlignment="1">
      <alignment horizontal="center" vertical="center"/>
    </xf>
    <xf numFmtId="183" fontId="13" fillId="4" borderId="138" xfId="0" applyNumberFormat="1" applyFont="1" applyFill="1" applyBorder="1" applyAlignment="1">
      <alignment horizontal="center" vertical="center"/>
    </xf>
    <xf numFmtId="0" fontId="161" fillId="82" borderId="15" xfId="0" applyFont="1" applyFill="1" applyBorder="1" applyAlignment="1">
      <alignment vertical="center" wrapText="1"/>
    </xf>
    <xf numFmtId="0" fontId="161" fillId="82" borderId="205" xfId="0" applyFont="1" applyFill="1" applyBorder="1" applyAlignment="1">
      <alignment vertical="center" wrapText="1"/>
    </xf>
    <xf numFmtId="177" fontId="13" fillId="83" borderId="78" xfId="0" applyNumberFormat="1" applyFont="1" applyFill="1" applyBorder="1" applyAlignment="1">
      <alignment horizontal="center" vertical="center"/>
    </xf>
    <xf numFmtId="177" fontId="13" fillId="83" borderId="0" xfId="0" applyNumberFormat="1" applyFont="1" applyFill="1" applyAlignment="1">
      <alignment horizontal="center" vertical="center"/>
    </xf>
    <xf numFmtId="0" fontId="16" fillId="0" borderId="27" xfId="0" applyNumberFormat="1" applyFont="1" applyFill="1" applyBorder="1" applyAlignment="1" applyProtection="1">
      <alignment horizontal="center" vertical="center"/>
      <protection locked="0"/>
    </xf>
    <xf numFmtId="0" fontId="16" fillId="0" borderId="189" xfId="0" applyNumberFormat="1" applyFont="1" applyFill="1" applyBorder="1" applyAlignment="1">
      <alignment horizontal="center" vertical="center"/>
    </xf>
    <xf numFmtId="0" fontId="16" fillId="8" borderId="97" xfId="0" applyNumberFormat="1" applyFont="1" applyFill="1" applyBorder="1" applyAlignment="1">
      <alignment horizontal="center" vertical="center"/>
    </xf>
    <xf numFmtId="0" fontId="16" fillId="0" borderId="27" xfId="0" applyNumberFormat="1" applyFont="1" applyFill="1" applyBorder="1" applyAlignment="1">
      <alignment horizontal="center" vertical="center"/>
    </xf>
    <xf numFmtId="0" fontId="1" fillId="8" borderId="97" xfId="0" applyNumberFormat="1" applyFont="1" applyFill="1" applyBorder="1" applyAlignment="1" applyProtection="1">
      <alignment horizontal="center" vertical="center"/>
      <protection locked="0"/>
    </xf>
    <xf numFmtId="0" fontId="16" fillId="8" borderId="97" xfId="0" applyNumberFormat="1" applyFont="1" applyFill="1" applyBorder="1" applyAlignment="1" applyProtection="1">
      <alignment horizontal="center" vertical="center"/>
      <protection locked="0"/>
    </xf>
    <xf numFmtId="0" fontId="16" fillId="8" borderId="27" xfId="0" applyNumberFormat="1" applyFont="1" applyFill="1" applyBorder="1" applyAlignment="1" applyProtection="1">
      <alignment horizontal="center" vertical="center"/>
      <protection locked="0"/>
    </xf>
    <xf numFmtId="0" fontId="16" fillId="0" borderId="91" xfId="0" applyNumberFormat="1" applyFont="1" applyFill="1" applyBorder="1" applyAlignment="1">
      <alignment horizontal="center" vertical="center"/>
    </xf>
    <xf numFmtId="0" fontId="16" fillId="0" borderId="26" xfId="0" applyNumberFormat="1" applyFont="1" applyFill="1" applyBorder="1" applyAlignment="1">
      <alignment horizontal="center" vertical="center"/>
    </xf>
    <xf numFmtId="0" fontId="16" fillId="8" borderId="189" xfId="0" applyNumberFormat="1" applyFont="1" applyFill="1" applyBorder="1" applyAlignment="1">
      <alignment horizontal="center" vertical="center"/>
    </xf>
    <xf numFmtId="0" fontId="160" fillId="8" borderId="97" xfId="0" applyNumberFormat="1" applyFont="1" applyFill="1" applyBorder="1" applyAlignment="1">
      <alignment horizontal="center" vertical="center"/>
    </xf>
    <xf numFmtId="0" fontId="160" fillId="8" borderId="27" xfId="0" applyNumberFormat="1" applyFont="1" applyFill="1" applyBorder="1" applyAlignment="1">
      <alignment horizontal="center" vertical="center"/>
    </xf>
    <xf numFmtId="0" fontId="16" fillId="0" borderId="91" xfId="0" applyFont="1" applyFill="1" applyBorder="1" applyAlignment="1">
      <alignment horizontal="center" vertical="center" wrapText="1"/>
    </xf>
    <xf numFmtId="0" fontId="16" fillId="0" borderId="84" xfId="0" applyFont="1" applyFill="1" applyBorder="1" applyAlignment="1">
      <alignment horizontal="center" vertical="center" wrapText="1"/>
    </xf>
    <xf numFmtId="0" fontId="16" fillId="0" borderId="91" xfId="0" applyFont="1" applyFill="1" applyBorder="1" applyAlignment="1" applyProtection="1">
      <alignment horizontal="center" vertical="center" wrapText="1"/>
      <protection locked="0"/>
    </xf>
    <xf numFmtId="0" fontId="152" fillId="0" borderId="0" xfId="0" applyFont="1" applyFill="1" applyAlignment="1">
      <alignment horizontal="center" vertical="center"/>
    </xf>
    <xf numFmtId="0" fontId="157" fillId="68" borderId="198" xfId="0" applyFont="1" applyFill="1" applyBorder="1" applyAlignment="1">
      <alignment horizontal="center" vertical="center"/>
    </xf>
    <xf numFmtId="0" fontId="157" fillId="68" borderId="199" xfId="0" applyFont="1" applyFill="1" applyBorder="1" applyAlignment="1">
      <alignment horizontal="center" vertical="center"/>
    </xf>
    <xf numFmtId="182" fontId="158" fillId="68" borderId="199" xfId="0" applyNumberFormat="1" applyFont="1" applyFill="1" applyBorder="1" applyAlignment="1">
      <alignment horizontal="center" vertical="center"/>
    </xf>
    <xf numFmtId="0" fontId="159" fillId="68" borderId="199" xfId="0" applyFont="1" applyFill="1" applyBorder="1" applyAlignment="1">
      <alignment horizontal="center" vertical="center"/>
    </xf>
    <xf numFmtId="0" fontId="157" fillId="68" borderId="199" xfId="0" applyFont="1" applyFill="1" applyBorder="1" applyAlignment="1">
      <alignment horizontal="right" vertical="center"/>
    </xf>
    <xf numFmtId="182" fontId="157" fillId="68" borderId="199" xfId="0" applyNumberFormat="1" applyFont="1" applyFill="1" applyBorder="1" applyAlignment="1">
      <alignment horizontal="center" vertical="center"/>
    </xf>
    <xf numFmtId="182" fontId="157" fillId="68" borderId="207" xfId="0" applyNumberFormat="1" applyFont="1" applyFill="1" applyBorder="1" applyAlignment="1">
      <alignment horizontal="center" vertical="center"/>
    </xf>
    <xf numFmtId="0" fontId="16" fillId="8" borderId="25" xfId="0" applyNumberFormat="1" applyFont="1" applyFill="1" applyBorder="1" applyAlignment="1">
      <alignment horizontal="center" vertical="center"/>
    </xf>
    <xf numFmtId="0" fontId="16" fillId="8" borderId="97" xfId="0" applyFont="1" applyFill="1" applyBorder="1" applyAlignment="1" applyProtection="1">
      <alignment horizontal="center" vertical="center"/>
      <protection locked="0"/>
    </xf>
    <xf numFmtId="0" fontId="16" fillId="8" borderId="27" xfId="0" applyNumberFormat="1" applyFont="1" applyFill="1" applyBorder="1" applyAlignment="1">
      <alignment horizontal="center" vertical="center"/>
    </xf>
    <xf numFmtId="0" fontId="1" fillId="8" borderId="27" xfId="0" applyFont="1" applyFill="1" applyBorder="1" applyAlignment="1" applyProtection="1">
      <alignment horizontal="center" vertical="center" wrapText="1"/>
      <protection locked="0"/>
    </xf>
    <xf numFmtId="0" fontId="98" fillId="8" borderId="0" xfId="0" applyFont="1" applyFill="1" applyBorder="1" applyAlignment="1">
      <alignment horizontal="left" vertical="center" wrapText="1"/>
    </xf>
    <xf numFmtId="0" fontId="98" fillId="8" borderId="12" xfId="0" applyFont="1" applyFill="1" applyBorder="1" applyAlignment="1">
      <alignment horizontal="left" vertical="center" wrapText="1"/>
    </xf>
    <xf numFmtId="0" fontId="98" fillId="0" borderId="0" xfId="0" applyFont="1" applyFill="1" applyBorder="1" applyAlignment="1">
      <alignment horizontal="left" vertical="center" wrapText="1"/>
    </xf>
    <xf numFmtId="0" fontId="98" fillId="0" borderId="12" xfId="0" applyFont="1" applyFill="1" applyBorder="1" applyAlignment="1">
      <alignment horizontal="left" vertical="center" wrapText="1"/>
    </xf>
    <xf numFmtId="0" fontId="98" fillId="0" borderId="16" xfId="0" applyFont="1" applyFill="1" applyBorder="1" applyAlignment="1">
      <alignment horizontal="left" vertical="center" wrapText="1"/>
    </xf>
    <xf numFmtId="0" fontId="98" fillId="0" borderId="14" xfId="0" applyFont="1" applyFill="1" applyBorder="1" applyAlignment="1">
      <alignment horizontal="left" vertical="center" wrapText="1"/>
    </xf>
    <xf numFmtId="0" fontId="98" fillId="0" borderId="11" xfId="0" applyFont="1" applyFill="1" applyBorder="1" applyAlignment="1">
      <alignment horizontal="center" vertical="center" wrapText="1"/>
    </xf>
    <xf numFmtId="0" fontId="98" fillId="0" borderId="0" xfId="0" applyFont="1" applyFill="1" applyBorder="1" applyAlignment="1">
      <alignment horizontal="center" vertical="center" wrapText="1"/>
    </xf>
    <xf numFmtId="0" fontId="13" fillId="0" borderId="187" xfId="0" applyFont="1" applyBorder="1" applyAlignment="1" applyProtection="1">
      <alignment horizontal="left" vertical="center" wrapText="1"/>
      <protection locked="0"/>
    </xf>
    <xf numFmtId="20" fontId="16" fillId="0" borderId="189" xfId="0" applyNumberFormat="1" applyFont="1" applyFill="1" applyBorder="1" applyAlignment="1">
      <alignment horizontal="center" vertical="center"/>
    </xf>
    <xf numFmtId="20" fontId="16" fillId="0" borderId="12" xfId="0" applyNumberFormat="1" applyFont="1" applyFill="1" applyBorder="1" applyAlignment="1">
      <alignment horizontal="center" vertical="center"/>
    </xf>
    <xf numFmtId="20" fontId="16" fillId="0" borderId="98" xfId="0" applyNumberFormat="1" applyFont="1" applyFill="1" applyBorder="1" applyAlignment="1">
      <alignment horizontal="center" vertical="center"/>
    </xf>
    <xf numFmtId="20" fontId="16" fillId="0" borderId="14" xfId="0" applyNumberFormat="1" applyFont="1" applyFill="1" applyBorder="1" applyAlignment="1">
      <alignment horizontal="center" vertical="center"/>
    </xf>
    <xf numFmtId="0" fontId="98" fillId="9" borderId="11" xfId="0" applyFont="1" applyFill="1" applyBorder="1" applyAlignment="1">
      <alignment horizontal="center" vertical="center" wrapText="1"/>
    </xf>
    <xf numFmtId="0" fontId="98" fillId="9" borderId="0" xfId="0" applyFont="1" applyFill="1" applyBorder="1" applyAlignment="1">
      <alignment horizontal="center" vertical="center" wrapText="1"/>
    </xf>
    <xf numFmtId="0" fontId="150" fillId="0" borderId="0" xfId="0" applyFont="1" applyBorder="1" applyAlignment="1">
      <alignment horizontal="center" vertical="center" wrapText="1"/>
    </xf>
    <xf numFmtId="0" fontId="150" fillId="0" borderId="0" xfId="0" applyFont="1" applyAlignment="1">
      <alignment horizontal="center" vertical="center" wrapText="1"/>
    </xf>
    <xf numFmtId="0" fontId="29" fillId="0" borderId="0" xfId="0" applyFont="1" applyBorder="1" applyAlignment="1">
      <alignment vertical="center" wrapText="1"/>
    </xf>
    <xf numFmtId="0" fontId="29" fillId="0" borderId="0" xfId="0" applyFont="1" applyBorder="1">
      <alignment vertical="center"/>
    </xf>
    <xf numFmtId="0" fontId="115" fillId="8" borderId="7" xfId="0" applyFont="1" applyFill="1" applyBorder="1" applyAlignment="1">
      <alignment horizontal="center" vertical="center"/>
    </xf>
    <xf numFmtId="0" fontId="115" fillId="8" borderId="15" xfId="0" applyFont="1" applyFill="1" applyBorder="1" applyAlignment="1">
      <alignment horizontal="center" vertical="center"/>
    </xf>
    <xf numFmtId="0" fontId="115" fillId="8" borderId="8" xfId="0" applyFont="1" applyFill="1" applyBorder="1" applyAlignment="1">
      <alignment horizontal="center" vertical="center"/>
    </xf>
    <xf numFmtId="0" fontId="115" fillId="8" borderId="13" xfId="0" applyFont="1" applyFill="1" applyBorder="1" applyAlignment="1">
      <alignment horizontal="center" vertical="center"/>
    </xf>
    <xf numFmtId="0" fontId="115" fillId="8" borderId="16" xfId="0" applyFont="1" applyFill="1" applyBorder="1" applyAlignment="1">
      <alignment horizontal="center" vertical="center"/>
    </xf>
    <xf numFmtId="0" fontId="115" fillId="8" borderId="14" xfId="0" applyFont="1" applyFill="1" applyBorder="1" applyAlignment="1">
      <alignment horizontal="center" vertical="center"/>
    </xf>
    <xf numFmtId="0" fontId="3" fillId="0" borderId="15" xfId="0" applyFont="1" applyFill="1" applyBorder="1" applyAlignment="1">
      <alignment horizontal="right" vertical="center"/>
    </xf>
    <xf numFmtId="0" fontId="3" fillId="0" borderId="0" xfId="0" applyFont="1" applyFill="1" applyBorder="1" applyAlignment="1">
      <alignment horizontal="right" vertical="center"/>
    </xf>
    <xf numFmtId="176" fontId="3" fillId="0" borderId="15" xfId="0" applyNumberFormat="1" applyFont="1" applyFill="1" applyBorder="1" applyAlignment="1">
      <alignment horizontal="left" vertical="center"/>
    </xf>
    <xf numFmtId="176" fontId="3" fillId="0" borderId="0" xfId="0" applyNumberFormat="1" applyFont="1" applyFill="1" applyBorder="1" applyAlignment="1">
      <alignment horizontal="left" vertical="center"/>
    </xf>
    <xf numFmtId="0" fontId="3" fillId="4" borderId="0" xfId="0" applyFont="1" applyFill="1" applyBorder="1" applyAlignment="1">
      <alignment horizontal="center" vertical="center"/>
    </xf>
    <xf numFmtId="0" fontId="3" fillId="9" borderId="0" xfId="0" applyFont="1" applyFill="1" applyBorder="1" applyAlignment="1">
      <alignment horizontal="center" vertical="center"/>
    </xf>
    <xf numFmtId="0" fontId="3" fillId="9" borderId="16" xfId="0" applyFont="1" applyFill="1" applyBorder="1" applyAlignment="1">
      <alignment horizontal="center" vertical="center"/>
    </xf>
    <xf numFmtId="0" fontId="16" fillId="9" borderId="15" xfId="0" applyFont="1" applyFill="1" applyBorder="1" applyAlignment="1">
      <alignment horizontal="center" vertical="center"/>
    </xf>
    <xf numFmtId="0" fontId="16" fillId="9" borderId="0" xfId="0" applyFont="1" applyFill="1" applyBorder="1" applyAlignment="1">
      <alignment horizontal="center" vertical="center"/>
    </xf>
    <xf numFmtId="182" fontId="3" fillId="4" borderId="0" xfId="0" applyNumberFormat="1" applyFont="1" applyFill="1" applyBorder="1" applyAlignment="1">
      <alignment horizontal="center" vertical="center"/>
    </xf>
    <xf numFmtId="182" fontId="3" fillId="9" borderId="0" xfId="0" applyNumberFormat="1" applyFont="1" applyFill="1" applyBorder="1" applyAlignment="1">
      <alignment horizontal="center" vertical="center"/>
    </xf>
    <xf numFmtId="182" fontId="3" fillId="9" borderId="16" xfId="0" applyNumberFormat="1" applyFont="1" applyFill="1" applyBorder="1" applyAlignment="1">
      <alignment horizontal="center" vertical="center"/>
    </xf>
    <xf numFmtId="0" fontId="24" fillId="0" borderId="0" xfId="0" applyFont="1" applyBorder="1">
      <alignment vertical="center"/>
    </xf>
    <xf numFmtId="0" fontId="16" fillId="0" borderId="11" xfId="0" applyFont="1" applyBorder="1" applyAlignment="1">
      <alignment horizontal="center" vertical="center"/>
    </xf>
    <xf numFmtId="0" fontId="16" fillId="0" borderId="0" xfId="0" applyFont="1" applyAlignment="1">
      <alignment horizontal="center" vertical="center"/>
    </xf>
    <xf numFmtId="0" fontId="16" fillId="0" borderId="12" xfId="0" applyFont="1" applyBorder="1" applyAlignment="1">
      <alignment horizontal="center" vertical="center"/>
    </xf>
    <xf numFmtId="0" fontId="16" fillId="0" borderId="13" xfId="0" applyFont="1" applyBorder="1" applyAlignment="1">
      <alignment horizontal="center" vertical="center"/>
    </xf>
    <xf numFmtId="0" fontId="16" fillId="0" borderId="16" xfId="0" applyFont="1" applyBorder="1" applyAlignment="1">
      <alignment horizontal="center" vertical="center"/>
    </xf>
    <xf numFmtId="0" fontId="16" fillId="0" borderId="14" xfId="0" applyFont="1" applyBorder="1" applyAlignment="1">
      <alignment horizontal="center" vertical="center"/>
    </xf>
    <xf numFmtId="0" fontId="98" fillId="0" borderId="13" xfId="0" applyFont="1" applyFill="1" applyBorder="1" applyAlignment="1">
      <alignment horizontal="center" vertical="center" wrapText="1"/>
    </xf>
    <xf numFmtId="0" fontId="98" fillId="0" borderId="16" xfId="0" applyFont="1" applyFill="1" applyBorder="1" applyAlignment="1">
      <alignment horizontal="center" vertical="center" wrapText="1"/>
    </xf>
    <xf numFmtId="0" fontId="3" fillId="9" borderId="0" xfId="0" applyFont="1" applyFill="1" applyAlignment="1">
      <alignment horizontal="center" vertical="center"/>
    </xf>
    <xf numFmtId="0" fontId="3" fillId="9" borderId="12" xfId="0" applyFont="1" applyFill="1" applyBorder="1" applyAlignment="1">
      <alignment horizontal="center" vertical="center"/>
    </xf>
    <xf numFmtId="0" fontId="3" fillId="9" borderId="14" xfId="0" applyFont="1" applyFill="1" applyBorder="1" applyAlignment="1">
      <alignment horizontal="center" vertical="center"/>
    </xf>
    <xf numFmtId="0" fontId="3" fillId="0" borderId="0" xfId="0" applyFont="1" applyFill="1" applyAlignment="1">
      <alignment horizontal="center" vertical="center"/>
    </xf>
    <xf numFmtId="0" fontId="3" fillId="0" borderId="16" xfId="0" applyFont="1" applyFill="1" applyBorder="1" applyAlignment="1">
      <alignment horizontal="center" vertical="center"/>
    </xf>
    <xf numFmtId="0" fontId="98" fillId="8" borderId="0" xfId="0" applyFont="1" applyFill="1" applyBorder="1" applyAlignment="1">
      <alignment horizontal="center" vertical="center" wrapText="1"/>
    </xf>
    <xf numFmtId="0" fontId="103" fillId="9" borderId="0" xfId="0" applyFont="1" applyFill="1" applyBorder="1" applyAlignment="1">
      <alignment horizontal="center" vertical="center" wrapText="1"/>
    </xf>
    <xf numFmtId="0" fontId="98" fillId="9" borderId="0" xfId="0" applyFont="1" applyFill="1" applyBorder="1" applyAlignment="1">
      <alignment horizontal="left" vertical="center" wrapText="1"/>
    </xf>
    <xf numFmtId="0" fontId="98" fillId="9" borderId="12" xfId="0" applyFont="1" applyFill="1" applyBorder="1" applyAlignment="1">
      <alignment horizontal="left" vertical="center" wrapText="1"/>
    </xf>
    <xf numFmtId="0" fontId="13" fillId="0" borderId="166" xfId="0" applyFont="1" applyFill="1" applyBorder="1" applyAlignment="1">
      <alignment horizontal="center" vertical="center"/>
    </xf>
    <xf numFmtId="0" fontId="13" fillId="0" borderId="166" xfId="0" applyFont="1" applyFill="1" applyBorder="1">
      <alignment vertical="center"/>
    </xf>
    <xf numFmtId="0" fontId="13" fillId="0" borderId="172" xfId="0" applyFont="1" applyFill="1" applyBorder="1">
      <alignment vertical="center"/>
    </xf>
    <xf numFmtId="0" fontId="3" fillId="9" borderId="15" xfId="0" applyFont="1" applyFill="1" applyBorder="1" applyAlignment="1">
      <alignment horizontal="center" vertical="center"/>
    </xf>
    <xf numFmtId="0" fontId="3" fillId="9" borderId="8" xfId="0" applyFont="1" applyFill="1" applyBorder="1" applyAlignment="1">
      <alignment horizontal="center" vertical="center"/>
    </xf>
    <xf numFmtId="0" fontId="151" fillId="7" borderId="11" xfId="0" applyFont="1" applyFill="1" applyBorder="1" applyAlignment="1">
      <alignment vertical="center" wrapText="1"/>
    </xf>
    <xf numFmtId="0" fontId="151" fillId="7" borderId="0" xfId="0" applyFont="1" applyFill="1" applyBorder="1" applyAlignment="1">
      <alignment vertical="center" wrapText="1"/>
    </xf>
    <xf numFmtId="0" fontId="151" fillId="7" borderId="0" xfId="0" applyFont="1" applyFill="1" applyBorder="1" applyAlignment="1">
      <alignment horizontal="center" vertical="center" wrapText="1"/>
    </xf>
    <xf numFmtId="0" fontId="151" fillId="7" borderId="0" xfId="0" applyFont="1" applyFill="1" applyBorder="1" applyAlignment="1">
      <alignment horizontal="left" vertical="center" wrapText="1"/>
    </xf>
    <xf numFmtId="0" fontId="151" fillId="7" borderId="12" xfId="0" applyFont="1" applyFill="1" applyBorder="1" applyAlignment="1">
      <alignment horizontal="left" vertical="center" wrapText="1"/>
    </xf>
    <xf numFmtId="0" fontId="3" fillId="9" borderId="11" xfId="0" applyFont="1" applyFill="1" applyBorder="1" applyAlignment="1">
      <alignment horizontal="center" vertical="center"/>
    </xf>
    <xf numFmtId="0" fontId="3" fillId="4" borderId="11" xfId="0" applyFont="1" applyFill="1" applyBorder="1" applyAlignment="1">
      <alignment horizontal="center" vertical="center"/>
    </xf>
    <xf numFmtId="0" fontId="3" fillId="4" borderId="13" xfId="0" applyFont="1" applyFill="1" applyBorder="1" applyAlignment="1">
      <alignment horizontal="center" vertical="center"/>
    </xf>
    <xf numFmtId="0" fontId="3" fillId="0" borderId="7" xfId="0" applyFont="1" applyFill="1" applyBorder="1" applyAlignment="1">
      <alignment horizontal="center" vertical="center"/>
    </xf>
    <xf numFmtId="0" fontId="3" fillId="0" borderId="11" xfId="0" applyFont="1" applyFill="1" applyBorder="1" applyAlignment="1">
      <alignment horizontal="center" vertical="center"/>
    </xf>
    <xf numFmtId="0" fontId="3" fillId="0" borderId="13" xfId="0" applyFont="1" applyFill="1" applyBorder="1" applyAlignment="1">
      <alignment horizontal="center" vertical="center"/>
    </xf>
    <xf numFmtId="182" fontId="3" fillId="4" borderId="16" xfId="0" applyNumberFormat="1" applyFont="1" applyFill="1" applyBorder="1" applyAlignment="1">
      <alignment horizontal="center" vertical="center"/>
    </xf>
    <xf numFmtId="176" fontId="3" fillId="0" borderId="0" xfId="0" applyNumberFormat="1" applyFont="1" applyFill="1" applyAlignment="1">
      <alignment horizontal="left" vertical="center"/>
    </xf>
    <xf numFmtId="0" fontId="3" fillId="9" borderId="15" xfId="0" applyFont="1" applyFill="1" applyBorder="1" applyAlignment="1">
      <alignment horizontal="right" vertical="center"/>
    </xf>
    <xf numFmtId="0" fontId="3" fillId="9" borderId="0" xfId="0" applyFont="1" applyFill="1" applyBorder="1" applyAlignment="1">
      <alignment horizontal="right" vertical="center"/>
    </xf>
    <xf numFmtId="176" fontId="3" fillId="9" borderId="15" xfId="0" applyNumberFormat="1" applyFont="1" applyFill="1" applyBorder="1" applyAlignment="1">
      <alignment horizontal="left" vertical="center"/>
    </xf>
    <xf numFmtId="176" fontId="3" fillId="9" borderId="0" xfId="0" applyNumberFormat="1" applyFont="1" applyFill="1" applyBorder="1" applyAlignment="1">
      <alignment horizontal="left" vertical="center"/>
    </xf>
    <xf numFmtId="0" fontId="3" fillId="4" borderId="16" xfId="0" applyFont="1" applyFill="1" applyBorder="1" applyAlignment="1">
      <alignment horizontal="center" vertical="center"/>
    </xf>
    <xf numFmtId="0" fontId="3" fillId="0" borderId="15" xfId="0" applyFont="1" applyFill="1" applyBorder="1" applyAlignment="1">
      <alignment horizontal="center" vertical="center"/>
    </xf>
    <xf numFmtId="0" fontId="3" fillId="0" borderId="0" xfId="0" applyFont="1" applyFill="1" applyBorder="1" applyAlignment="1">
      <alignment horizontal="center" vertical="center"/>
    </xf>
    <xf numFmtId="0" fontId="16" fillId="0" borderId="191" xfId="0" applyFont="1" applyBorder="1" applyAlignment="1">
      <alignment horizontal="center" vertical="center"/>
    </xf>
    <xf numFmtId="0" fontId="16" fillId="0" borderId="166" xfId="0" applyFont="1" applyBorder="1" applyAlignment="1">
      <alignment horizontal="center" vertical="center"/>
    </xf>
    <xf numFmtId="0" fontId="16" fillId="0" borderId="166" xfId="0" applyFont="1" applyBorder="1">
      <alignment vertical="center"/>
    </xf>
    <xf numFmtId="0" fontId="16" fillId="0" borderId="192" xfId="0" applyFont="1" applyBorder="1">
      <alignment vertical="center"/>
    </xf>
    <xf numFmtId="0" fontId="13" fillId="0" borderId="166" xfId="0" applyFont="1" applyFill="1" applyBorder="1" applyAlignment="1">
      <alignment horizontal="left" vertical="center"/>
    </xf>
    <xf numFmtId="0" fontId="13" fillId="0" borderId="192" xfId="0" applyFont="1" applyFill="1" applyBorder="1" applyAlignment="1">
      <alignment horizontal="left" vertical="center"/>
    </xf>
    <xf numFmtId="0" fontId="150" fillId="0" borderId="166" xfId="0" applyFont="1" applyFill="1" applyBorder="1" applyAlignment="1">
      <alignment horizontal="center" vertical="center"/>
    </xf>
    <xf numFmtId="0" fontId="13" fillId="9" borderId="173" xfId="0" applyFont="1" applyFill="1" applyBorder="1" applyAlignment="1">
      <alignment horizontal="center" vertical="center"/>
    </xf>
    <xf numFmtId="0" fontId="13" fillId="9" borderId="0" xfId="0" applyFont="1" applyFill="1" applyBorder="1" applyAlignment="1">
      <alignment horizontal="center" vertical="center"/>
    </xf>
    <xf numFmtId="0" fontId="13" fillId="9" borderId="0" xfId="0" applyFont="1" applyFill="1" applyBorder="1">
      <alignment vertical="center"/>
    </xf>
    <xf numFmtId="0" fontId="13" fillId="9" borderId="34" xfId="0" applyFont="1" applyFill="1" applyBorder="1">
      <alignment vertical="center"/>
    </xf>
    <xf numFmtId="0" fontId="13" fillId="9" borderId="0" xfId="0" applyFont="1" applyFill="1" applyBorder="1" applyAlignment="1">
      <alignment horizontal="left" vertical="center"/>
    </xf>
    <xf numFmtId="0" fontId="13" fillId="9" borderId="34" xfId="0" applyFont="1" applyFill="1" applyBorder="1" applyAlignment="1">
      <alignment horizontal="left" vertical="center"/>
    </xf>
    <xf numFmtId="0" fontId="16" fillId="9" borderId="173" xfId="0" applyFont="1" applyFill="1" applyBorder="1" applyAlignment="1">
      <alignment horizontal="center" vertical="center"/>
    </xf>
    <xf numFmtId="0" fontId="16" fillId="9" borderId="34" xfId="0" applyFont="1" applyFill="1" applyBorder="1">
      <alignment vertical="center"/>
    </xf>
    <xf numFmtId="0" fontId="16" fillId="9" borderId="0" xfId="0" applyFont="1" applyFill="1" applyBorder="1">
      <alignment vertical="center"/>
    </xf>
    <xf numFmtId="0" fontId="13" fillId="9" borderId="171" xfId="0" applyFont="1" applyFill="1" applyBorder="1">
      <alignment vertical="center"/>
    </xf>
    <xf numFmtId="0" fontId="13" fillId="0" borderId="173" xfId="0" applyFont="1" applyFill="1" applyBorder="1" applyAlignment="1">
      <alignment horizontal="center" vertical="center"/>
    </xf>
    <xf numFmtId="0" fontId="13" fillId="0" borderId="0" xfId="0" applyFont="1" applyFill="1" applyBorder="1" applyAlignment="1">
      <alignment horizontal="center" vertical="center"/>
    </xf>
    <xf numFmtId="0" fontId="13" fillId="0" borderId="0" xfId="0" applyFont="1" applyFill="1" applyBorder="1">
      <alignment vertical="center"/>
    </xf>
    <xf numFmtId="0" fontId="13" fillId="0" borderId="34" xfId="0" applyFont="1" applyFill="1" applyBorder="1">
      <alignment vertical="center"/>
    </xf>
    <xf numFmtId="0" fontId="150" fillId="0" borderId="0" xfId="0" applyFont="1" applyFill="1" applyBorder="1" applyAlignment="1">
      <alignment horizontal="center" vertical="center"/>
    </xf>
    <xf numFmtId="0" fontId="13" fillId="0" borderId="0" xfId="0" applyFont="1" applyFill="1" applyBorder="1" applyAlignment="1">
      <alignment horizontal="left" vertical="center"/>
    </xf>
    <xf numFmtId="0" fontId="13" fillId="0" borderId="34" xfId="0" applyFont="1" applyFill="1" applyBorder="1" applyAlignment="1">
      <alignment horizontal="left" vertical="center"/>
    </xf>
    <xf numFmtId="0" fontId="16" fillId="0" borderId="0" xfId="0" applyFont="1" applyBorder="1" applyAlignment="1">
      <alignment horizontal="center" vertical="center"/>
    </xf>
    <xf numFmtId="0" fontId="16" fillId="0" borderId="0" xfId="0" applyFont="1" applyBorder="1">
      <alignment vertical="center"/>
    </xf>
    <xf numFmtId="0" fontId="16" fillId="0" borderId="171" xfId="0" applyFont="1" applyBorder="1">
      <alignment vertical="center"/>
    </xf>
    <xf numFmtId="0" fontId="17" fillId="9" borderId="0" xfId="0" applyFont="1" applyFill="1" applyBorder="1">
      <alignment vertical="center"/>
    </xf>
    <xf numFmtId="0" fontId="17" fillId="9" borderId="171" xfId="0" applyFont="1" applyFill="1" applyBorder="1">
      <alignment vertical="center"/>
    </xf>
    <xf numFmtId="0" fontId="16" fillId="0" borderId="173" xfId="0" applyFont="1" applyBorder="1" applyAlignment="1">
      <alignment horizontal="center" vertical="center"/>
    </xf>
    <xf numFmtId="0" fontId="16" fillId="0" borderId="34" xfId="0" applyFont="1" applyBorder="1">
      <alignment vertical="center"/>
    </xf>
    <xf numFmtId="0" fontId="16" fillId="0" borderId="0" xfId="0" applyFont="1" applyBorder="1" applyAlignment="1">
      <alignment horizontal="left" vertical="center"/>
    </xf>
    <xf numFmtId="0" fontId="16" fillId="0" borderId="171" xfId="0" applyFont="1" applyBorder="1" applyAlignment="1">
      <alignment horizontal="left" vertical="center"/>
    </xf>
    <xf numFmtId="0" fontId="16" fillId="0" borderId="34" xfId="0" applyFont="1" applyBorder="1" applyAlignment="1">
      <alignment horizontal="left" vertical="center"/>
    </xf>
    <xf numFmtId="0" fontId="16" fillId="0" borderId="171" xfId="0" applyFont="1" applyBorder="1" applyAlignment="1">
      <alignment horizontal="center" vertical="center"/>
    </xf>
    <xf numFmtId="0" fontId="16" fillId="9" borderId="0" xfId="0" applyFont="1" applyFill="1" applyBorder="1" applyAlignment="1">
      <alignment horizontal="left" vertical="center"/>
    </xf>
    <xf numFmtId="0" fontId="16" fillId="9" borderId="34" xfId="0" applyFont="1" applyFill="1" applyBorder="1" applyAlignment="1">
      <alignment horizontal="left" vertical="center"/>
    </xf>
    <xf numFmtId="0" fontId="150" fillId="9" borderId="0" xfId="0" applyFont="1" applyFill="1" applyBorder="1" applyAlignment="1">
      <alignment horizontal="center" vertical="center"/>
    </xf>
    <xf numFmtId="0" fontId="16" fillId="9" borderId="171" xfId="0" applyFont="1" applyFill="1" applyBorder="1" applyAlignment="1">
      <alignment horizontal="center" vertical="center"/>
    </xf>
    <xf numFmtId="0" fontId="13" fillId="0" borderId="171" xfId="0" applyFont="1" applyFill="1" applyBorder="1" applyAlignment="1">
      <alignment horizontal="left" vertical="center"/>
    </xf>
    <xf numFmtId="0" fontId="53" fillId="69" borderId="11" xfId="0" applyFont="1" applyFill="1" applyBorder="1" applyAlignment="1">
      <alignment horizontal="center" vertical="center"/>
    </xf>
    <xf numFmtId="0" fontId="53" fillId="69" borderId="0" xfId="0" applyFont="1" applyFill="1" applyBorder="1" applyAlignment="1">
      <alignment horizontal="center" vertical="center"/>
    </xf>
    <xf numFmtId="0" fontId="53" fillId="69" borderId="12" xfId="0" applyFont="1" applyFill="1" applyBorder="1" applyAlignment="1">
      <alignment horizontal="center" vertical="center"/>
    </xf>
    <xf numFmtId="0" fontId="13" fillId="4" borderId="11" xfId="0" applyFont="1" applyFill="1" applyBorder="1" applyAlignment="1">
      <alignment horizontal="center" vertical="center"/>
    </xf>
    <xf numFmtId="0" fontId="13" fillId="4" borderId="0" xfId="0" applyFont="1" applyFill="1" applyBorder="1" applyAlignment="1">
      <alignment horizontal="center" vertical="center"/>
    </xf>
    <xf numFmtId="0" fontId="13" fillId="4" borderId="12" xfId="0" applyFont="1" applyFill="1" applyBorder="1" applyAlignment="1">
      <alignment horizontal="center" vertical="center"/>
    </xf>
    <xf numFmtId="0" fontId="53" fillId="69" borderId="7" xfId="0" applyFont="1" applyFill="1" applyBorder="1" applyAlignment="1">
      <alignment horizontal="center" vertical="center"/>
    </xf>
    <xf numFmtId="0" fontId="53" fillId="69" borderId="15" xfId="0" applyFont="1" applyFill="1" applyBorder="1" applyAlignment="1">
      <alignment horizontal="center" vertical="center"/>
    </xf>
    <xf numFmtId="0" fontId="53" fillId="69" borderId="8" xfId="0" applyFont="1" applyFill="1" applyBorder="1" applyAlignment="1">
      <alignment horizontal="center" vertical="center"/>
    </xf>
    <xf numFmtId="0" fontId="146" fillId="0" borderId="0" xfId="0" applyFont="1" applyBorder="1">
      <alignment vertical="center"/>
    </xf>
    <xf numFmtId="0" fontId="53" fillId="69" borderId="188" xfId="0" applyFont="1" applyFill="1" applyBorder="1" applyAlignment="1">
      <alignment horizontal="center" vertical="center"/>
    </xf>
    <xf numFmtId="0" fontId="53" fillId="69" borderId="176" xfId="0" applyFont="1" applyFill="1" applyBorder="1" applyAlignment="1">
      <alignment horizontal="center" vertical="center"/>
    </xf>
    <xf numFmtId="0" fontId="53" fillId="69" borderId="190" xfId="0" applyFont="1" applyFill="1" applyBorder="1" applyAlignment="1">
      <alignment horizontal="center" vertical="center"/>
    </xf>
    <xf numFmtId="0" fontId="16" fillId="7" borderId="173" xfId="0" applyFont="1" applyFill="1" applyBorder="1" applyAlignment="1">
      <alignment horizontal="left" vertical="center"/>
    </xf>
    <xf numFmtId="0" fontId="16" fillId="7" borderId="0" xfId="0" applyFont="1" applyFill="1" applyBorder="1" applyAlignment="1">
      <alignment horizontal="left" vertical="center"/>
    </xf>
    <xf numFmtId="0" fontId="16" fillId="7" borderId="0" xfId="0" applyFont="1" applyFill="1" applyBorder="1" applyAlignment="1">
      <alignment horizontal="center" vertical="center"/>
    </xf>
    <xf numFmtId="0" fontId="16" fillId="7" borderId="171" xfId="0" applyFont="1" applyFill="1" applyBorder="1" applyAlignment="1">
      <alignment horizontal="center" vertical="center"/>
    </xf>
    <xf numFmtId="0" fontId="149" fillId="0" borderId="0" xfId="0" applyFont="1" applyBorder="1" applyAlignment="1">
      <alignment vertical="center" wrapText="1"/>
    </xf>
    <xf numFmtId="0" fontId="149" fillId="0" borderId="0" xfId="0" applyFont="1" applyBorder="1">
      <alignment vertical="center"/>
    </xf>
    <xf numFmtId="182" fontId="16" fillId="9" borderId="98" xfId="0" applyNumberFormat="1" applyFont="1" applyFill="1" applyBorder="1" applyAlignment="1">
      <alignment horizontal="center" vertical="center"/>
    </xf>
    <xf numFmtId="182" fontId="16" fillId="9" borderId="16" xfId="0" applyNumberFormat="1" applyFont="1" applyFill="1" applyBorder="1" applyAlignment="1">
      <alignment horizontal="center" vertical="center"/>
    </xf>
    <xf numFmtId="182" fontId="16" fillId="9" borderId="96" xfId="0" applyNumberFormat="1" applyFont="1" applyFill="1" applyBorder="1" applyAlignment="1">
      <alignment horizontal="center" vertical="center"/>
    </xf>
    <xf numFmtId="0" fontId="114" fillId="0" borderId="0" xfId="0" applyFont="1" applyFill="1" applyBorder="1">
      <alignment vertical="center"/>
    </xf>
    <xf numFmtId="0" fontId="148" fillId="0" borderId="0" xfId="0" applyFont="1" applyBorder="1">
      <alignment vertical="center"/>
    </xf>
    <xf numFmtId="0" fontId="19" fillId="0" borderId="0" xfId="0" applyFont="1" applyAlignment="1">
      <alignment horizontal="left" vertical="top" wrapText="1"/>
    </xf>
    <xf numFmtId="0" fontId="19" fillId="0" borderId="12" xfId="0" applyFont="1" applyBorder="1" applyAlignment="1">
      <alignment horizontal="left" vertical="top" wrapText="1"/>
    </xf>
    <xf numFmtId="0" fontId="19" fillId="0" borderId="16" xfId="0" applyFont="1" applyBorder="1" applyAlignment="1">
      <alignment horizontal="left" vertical="top" wrapText="1"/>
    </xf>
    <xf numFmtId="0" fontId="19" fillId="0" borderId="14" xfId="0" applyFont="1" applyBorder="1" applyAlignment="1">
      <alignment horizontal="left" vertical="top" wrapText="1"/>
    </xf>
    <xf numFmtId="182" fontId="16" fillId="0" borderId="78" xfId="0" applyNumberFormat="1" applyFont="1" applyBorder="1" applyAlignment="1">
      <alignment horizontal="center" vertical="center"/>
    </xf>
    <xf numFmtId="182" fontId="16" fillId="0" borderId="0" xfId="0" applyNumberFormat="1" applyFont="1" applyAlignment="1">
      <alignment horizontal="center" vertical="center"/>
    </xf>
    <xf numFmtId="182" fontId="3" fillId="9" borderId="0" xfId="0" applyNumberFormat="1" applyFont="1" applyFill="1" applyAlignment="1">
      <alignment horizontal="center" vertical="center"/>
    </xf>
    <xf numFmtId="182" fontId="3" fillId="4" borderId="0" xfId="0" applyNumberFormat="1" applyFont="1" applyFill="1" applyAlignment="1">
      <alignment horizontal="center" vertical="center"/>
    </xf>
    <xf numFmtId="182" fontId="16" fillId="9" borderId="82" xfId="0" applyNumberFormat="1" applyFont="1" applyFill="1" applyBorder="1" applyAlignment="1">
      <alignment horizontal="center" vertical="center"/>
    </xf>
    <xf numFmtId="182" fontId="16" fillId="9" borderId="83" xfId="0" applyNumberFormat="1" applyFont="1" applyFill="1" applyBorder="1" applyAlignment="1">
      <alignment horizontal="center" vertical="center"/>
    </xf>
    <xf numFmtId="182" fontId="16" fillId="9" borderId="94" xfId="0" applyNumberFormat="1" applyFont="1" applyFill="1" applyBorder="1" applyAlignment="1">
      <alignment horizontal="center" vertical="center"/>
    </xf>
    <xf numFmtId="182" fontId="16" fillId="9" borderId="78" xfId="0" applyNumberFormat="1" applyFont="1" applyFill="1" applyBorder="1" applyAlignment="1">
      <alignment horizontal="center" vertical="center"/>
    </xf>
    <xf numFmtId="182" fontId="16" fillId="9" borderId="0" xfId="0" applyNumberFormat="1" applyFont="1" applyFill="1" applyAlignment="1">
      <alignment horizontal="center" vertical="center"/>
    </xf>
    <xf numFmtId="182" fontId="3" fillId="9" borderId="11" xfId="0" applyNumberFormat="1" applyFont="1" applyFill="1" applyBorder="1" applyAlignment="1">
      <alignment horizontal="center" vertical="center"/>
    </xf>
    <xf numFmtId="182" fontId="16" fillId="9" borderId="11" xfId="0" applyNumberFormat="1" applyFont="1" applyFill="1" applyBorder="1" applyAlignment="1">
      <alignment horizontal="center" vertical="center"/>
    </xf>
    <xf numFmtId="182" fontId="16" fillId="9" borderId="0" xfId="0" applyNumberFormat="1" applyFont="1" applyFill="1" applyBorder="1" applyAlignment="1">
      <alignment horizontal="center" vertical="center"/>
    </xf>
    <xf numFmtId="182" fontId="16" fillId="9" borderId="12" xfId="0" applyNumberFormat="1" applyFont="1" applyFill="1" applyBorder="1" applyAlignment="1">
      <alignment horizontal="center" vertical="center"/>
    </xf>
    <xf numFmtId="0" fontId="3" fillId="7" borderId="158" xfId="0" applyFont="1" applyFill="1" applyBorder="1" applyAlignment="1">
      <alignment horizontal="center" vertical="center"/>
    </xf>
    <xf numFmtId="0" fontId="3" fillId="7" borderId="159" xfId="0" applyFont="1" applyFill="1" applyBorder="1" applyAlignment="1">
      <alignment horizontal="center" vertical="center"/>
    </xf>
    <xf numFmtId="0" fontId="3" fillId="7" borderId="164" xfId="0" applyFont="1" applyFill="1" applyBorder="1" applyAlignment="1">
      <alignment horizontal="center" vertical="center"/>
    </xf>
    <xf numFmtId="182" fontId="16" fillId="0" borderId="13" xfId="0" applyNumberFormat="1" applyFont="1" applyBorder="1" applyAlignment="1">
      <alignment horizontal="center" vertical="center"/>
    </xf>
    <xf numFmtId="182" fontId="16" fillId="0" borderId="16" xfId="0" applyNumberFormat="1" applyFont="1" applyBorder="1" applyAlignment="1">
      <alignment horizontal="center" vertical="center"/>
    </xf>
    <xf numFmtId="182" fontId="16" fillId="0" borderId="14" xfId="0" applyNumberFormat="1" applyFont="1" applyBorder="1" applyAlignment="1">
      <alignment horizontal="center" vertical="center"/>
    </xf>
    <xf numFmtId="182" fontId="16" fillId="0" borderId="11" xfId="0" applyNumberFormat="1" applyFont="1" applyBorder="1" applyAlignment="1">
      <alignment horizontal="center" vertical="center"/>
    </xf>
    <xf numFmtId="182" fontId="16" fillId="0" borderId="12" xfId="0" applyNumberFormat="1" applyFont="1" applyBorder="1" applyAlignment="1">
      <alignment horizontal="center" vertical="center"/>
    </xf>
    <xf numFmtId="0" fontId="19" fillId="0" borderId="13" xfId="0" applyFont="1" applyBorder="1" applyAlignment="1">
      <alignment horizontal="left" vertical="center"/>
    </xf>
    <xf numFmtId="0" fontId="19" fillId="0" borderId="16" xfId="0" applyFont="1" applyBorder="1" applyAlignment="1">
      <alignment horizontal="left" vertical="center"/>
    </xf>
    <xf numFmtId="0" fontId="19" fillId="0" borderId="14" xfId="0" applyFont="1" applyBorder="1" applyAlignment="1">
      <alignment horizontal="left" vertical="center"/>
    </xf>
    <xf numFmtId="0" fontId="3" fillId="7" borderId="7" xfId="0" applyFont="1" applyFill="1" applyBorder="1" applyAlignment="1">
      <alignment horizontal="center" vertical="center"/>
    </xf>
    <xf numFmtId="0" fontId="3" fillId="7" borderId="15" xfId="0" applyFont="1" applyFill="1" applyBorder="1" applyAlignment="1">
      <alignment horizontal="center" vertical="center"/>
    </xf>
    <xf numFmtId="0" fontId="3" fillId="7" borderId="8" xfId="0" applyFont="1" applyFill="1" applyBorder="1" applyAlignment="1">
      <alignment horizontal="center" vertical="center"/>
    </xf>
    <xf numFmtId="0" fontId="16" fillId="7" borderId="7" xfId="0" applyFont="1" applyFill="1" applyBorder="1" applyAlignment="1">
      <alignment horizontal="center" vertical="center"/>
    </xf>
    <xf numFmtId="0" fontId="16" fillId="7" borderId="15" xfId="0" applyFont="1" applyFill="1" applyBorder="1" applyAlignment="1">
      <alignment horizontal="center" vertical="center"/>
    </xf>
    <xf numFmtId="0" fontId="16" fillId="7" borderId="8" xfId="0" applyFont="1" applyFill="1" applyBorder="1" applyAlignment="1">
      <alignment horizontal="center" vertical="center"/>
    </xf>
    <xf numFmtId="0" fontId="16" fillId="4" borderId="11" xfId="0" applyFont="1" applyFill="1" applyBorder="1" applyAlignment="1">
      <alignment horizontal="center" vertical="center"/>
    </xf>
    <xf numFmtId="0" fontId="16" fillId="4" borderId="0" xfId="0" applyFont="1" applyFill="1" applyAlignment="1">
      <alignment horizontal="center" vertical="center"/>
    </xf>
    <xf numFmtId="0" fontId="16" fillId="4" borderId="12" xfId="0" applyFont="1" applyFill="1" applyBorder="1" applyAlignment="1">
      <alignment horizontal="center" vertical="center"/>
    </xf>
    <xf numFmtId="0" fontId="91" fillId="4" borderId="11" xfId="0" applyFont="1" applyFill="1" applyBorder="1" applyAlignment="1">
      <alignment horizontal="center" vertical="center"/>
    </xf>
    <xf numFmtId="0" fontId="91" fillId="4" borderId="0" xfId="0" applyFont="1" applyFill="1" applyBorder="1" applyAlignment="1">
      <alignment horizontal="center" vertical="center"/>
    </xf>
    <xf numFmtId="0" fontId="16" fillId="9" borderId="11" xfId="0" applyFont="1" applyFill="1" applyBorder="1" applyAlignment="1">
      <alignment horizontal="center" vertical="center"/>
    </xf>
    <xf numFmtId="0" fontId="16" fillId="9" borderId="0" xfId="0" applyFont="1" applyFill="1" applyAlignment="1">
      <alignment horizontal="center" vertical="center"/>
    </xf>
    <xf numFmtId="182" fontId="91" fillId="9" borderId="11" xfId="0" applyNumberFormat="1" applyFont="1" applyFill="1" applyBorder="1" applyAlignment="1">
      <alignment horizontal="center" vertical="center"/>
    </xf>
    <xf numFmtId="182" fontId="91" fillId="9" borderId="0" xfId="0" applyNumberFormat="1" applyFont="1" applyFill="1" applyAlignment="1">
      <alignment horizontal="center" vertical="center"/>
    </xf>
    <xf numFmtId="182" fontId="91" fillId="9" borderId="12" xfId="0" applyNumberFormat="1" applyFont="1" applyFill="1" applyBorder="1" applyAlignment="1">
      <alignment horizontal="center" vertical="center"/>
    </xf>
    <xf numFmtId="182" fontId="91" fillId="9" borderId="82" xfId="0" applyNumberFormat="1" applyFont="1" applyFill="1" applyBorder="1" applyAlignment="1">
      <alignment horizontal="center" vertical="center"/>
    </xf>
    <xf numFmtId="182" fontId="91" fillId="9" borderId="83" xfId="0" applyNumberFormat="1" applyFont="1" applyFill="1" applyBorder="1" applyAlignment="1">
      <alignment horizontal="center" vertical="center"/>
    </xf>
    <xf numFmtId="182" fontId="91" fillId="9" borderId="94" xfId="0" applyNumberFormat="1" applyFont="1" applyFill="1" applyBorder="1" applyAlignment="1">
      <alignment horizontal="center" vertical="center"/>
    </xf>
    <xf numFmtId="0" fontId="16" fillId="7" borderId="158" xfId="0" applyFont="1" applyFill="1" applyBorder="1" applyAlignment="1">
      <alignment horizontal="center" vertical="center"/>
    </xf>
    <xf numFmtId="0" fontId="16" fillId="7" borderId="159" xfId="0" applyFont="1" applyFill="1" applyBorder="1" applyAlignment="1">
      <alignment horizontal="center" vertical="center"/>
    </xf>
    <xf numFmtId="0" fontId="16" fillId="7" borderId="164" xfId="0" applyFont="1" applyFill="1" applyBorder="1" applyAlignment="1">
      <alignment horizontal="center" vertical="center"/>
    </xf>
    <xf numFmtId="0" fontId="16" fillId="0" borderId="16" xfId="0" applyFont="1" applyFill="1" applyBorder="1" applyAlignment="1">
      <alignment horizontal="center" vertical="center"/>
    </xf>
    <xf numFmtId="49" fontId="16" fillId="4" borderId="11" xfId="0" applyNumberFormat="1" applyFont="1" applyFill="1" applyBorder="1" applyAlignment="1">
      <alignment horizontal="center" vertical="top" wrapText="1"/>
    </xf>
    <xf numFmtId="49" fontId="16" fillId="4" borderId="0" xfId="0" applyNumberFormat="1" applyFont="1" applyFill="1" applyBorder="1" applyAlignment="1">
      <alignment horizontal="center" vertical="top" wrapText="1"/>
    </xf>
    <xf numFmtId="49" fontId="16" fillId="4" borderId="12" xfId="0" applyNumberFormat="1" applyFont="1" applyFill="1" applyBorder="1" applyAlignment="1">
      <alignment horizontal="center" vertical="top" wrapText="1"/>
    </xf>
    <xf numFmtId="0" fontId="16" fillId="0" borderId="11" xfId="0" applyFont="1" applyFill="1" applyBorder="1" applyAlignment="1">
      <alignment horizontal="center" vertical="center"/>
    </xf>
    <xf numFmtId="0" fontId="16" fillId="0" borderId="13" xfId="0" applyFont="1" applyFill="1" applyBorder="1" applyAlignment="1">
      <alignment horizontal="center" vertical="center"/>
    </xf>
    <xf numFmtId="49" fontId="145" fillId="0" borderId="0" xfId="0" applyNumberFormat="1" applyFont="1" applyFill="1" applyBorder="1" applyAlignment="1">
      <alignment horizontal="left" vertical="center"/>
    </xf>
    <xf numFmtId="0" fontId="145" fillId="0" borderId="0" xfId="0" applyFont="1" applyFill="1" applyBorder="1" applyAlignment="1">
      <alignment horizontal="left" vertical="center"/>
    </xf>
    <xf numFmtId="0" fontId="141" fillId="0" borderId="11" xfId="0" applyFont="1" applyFill="1" applyBorder="1" applyAlignment="1">
      <alignment horizontal="center" vertical="center" wrapText="1" readingOrder="1"/>
    </xf>
    <xf numFmtId="0" fontId="69" fillId="0" borderId="0" xfId="0" applyFont="1" applyFill="1" applyAlignment="1">
      <alignment horizontal="left" vertical="center" wrapText="1"/>
    </xf>
    <xf numFmtId="0" fontId="28" fillId="0" borderId="0" xfId="0" applyFont="1" applyFill="1" applyAlignment="1">
      <alignment horizontal="left" vertical="center" wrapText="1" indent="1"/>
    </xf>
    <xf numFmtId="0" fontId="143" fillId="0" borderId="0" xfId="0" applyFont="1" applyFill="1" applyAlignment="1">
      <alignment horizontal="center" vertical="center" wrapText="1"/>
    </xf>
    <xf numFmtId="0" fontId="144" fillId="0" borderId="0" xfId="0" applyFont="1" applyFill="1" applyAlignment="1">
      <alignment horizontal="center" vertical="center" wrapText="1"/>
    </xf>
    <xf numFmtId="0" fontId="121" fillId="0" borderId="0" xfId="0" applyFont="1" applyFill="1" applyAlignment="1">
      <alignment horizontal="left" vertical="center" wrapText="1"/>
    </xf>
    <xf numFmtId="0" fontId="28" fillId="0" borderId="0" xfId="0" applyFont="1" applyFill="1" applyAlignment="1">
      <alignment horizontal="center" vertical="center" wrapText="1"/>
    </xf>
    <xf numFmtId="49" fontId="142" fillId="81" borderId="0" xfId="0" applyNumberFormat="1" applyFont="1" applyFill="1" applyBorder="1" applyAlignment="1">
      <alignment horizontal="left" vertical="center"/>
    </xf>
    <xf numFmtId="49" fontId="142" fillId="0" borderId="0" xfId="0" applyNumberFormat="1" applyFont="1" applyFill="1" applyBorder="1" applyAlignment="1">
      <alignment horizontal="left" vertical="center"/>
    </xf>
    <xf numFmtId="49" fontId="142" fillId="81" borderId="16" xfId="0" applyNumberFormat="1" applyFont="1" applyFill="1" applyBorder="1" applyAlignment="1">
      <alignment horizontal="left" vertical="center"/>
    </xf>
    <xf numFmtId="49" fontId="142" fillId="0" borderId="15" xfId="0" applyNumberFormat="1" applyFont="1" applyFill="1" applyBorder="1" applyAlignment="1">
      <alignment horizontal="left" vertical="center"/>
    </xf>
    <xf numFmtId="0" fontId="142" fillId="0" borderId="0" xfId="0" applyFont="1" applyFill="1" applyBorder="1" applyAlignment="1">
      <alignment horizontal="left" vertical="center"/>
    </xf>
    <xf numFmtId="0" fontId="142" fillId="81" borderId="0" xfId="0" applyFont="1" applyFill="1" applyBorder="1" applyAlignment="1">
      <alignment horizontal="left" vertical="center"/>
    </xf>
    <xf numFmtId="0" fontId="142" fillId="81" borderId="0" xfId="0" applyFont="1" applyFill="1" applyAlignment="1">
      <alignment horizontal="left" vertical="center"/>
    </xf>
    <xf numFmtId="0" fontId="142" fillId="0" borderId="16" xfId="0" applyFont="1" applyFill="1" applyBorder="1" applyAlignment="1">
      <alignment horizontal="left" vertical="center"/>
    </xf>
    <xf numFmtId="0" fontId="89" fillId="9" borderId="185" xfId="0" applyFont="1" applyFill="1" applyBorder="1" applyAlignment="1">
      <alignment horizontal="center" vertical="center" wrapText="1"/>
    </xf>
    <xf numFmtId="0" fontId="89" fillId="9" borderId="186" xfId="0" applyFont="1" applyFill="1" applyBorder="1" applyAlignment="1">
      <alignment horizontal="center" vertical="center" wrapText="1"/>
    </xf>
    <xf numFmtId="0" fontId="142" fillId="81" borderId="16" xfId="0" applyFont="1" applyFill="1" applyBorder="1" applyAlignment="1">
      <alignment horizontal="left" vertical="center"/>
    </xf>
    <xf numFmtId="0" fontId="89" fillId="0" borderId="146" xfId="0" applyFont="1" applyFill="1" applyBorder="1" applyAlignment="1">
      <alignment horizontal="center" vertical="center" wrapText="1"/>
    </xf>
    <xf numFmtId="0" fontId="89" fillId="0" borderId="97" xfId="0" applyFont="1" applyFill="1" applyBorder="1" applyAlignment="1">
      <alignment horizontal="center" vertical="center" wrapText="1"/>
    </xf>
    <xf numFmtId="0" fontId="89" fillId="9" borderId="146" xfId="0" applyFont="1" applyFill="1" applyBorder="1" applyAlignment="1">
      <alignment horizontal="center" vertical="center" wrapText="1"/>
    </xf>
    <xf numFmtId="0" fontId="89" fillId="9" borderId="97" xfId="0" applyFont="1" applyFill="1" applyBorder="1" applyAlignment="1">
      <alignment horizontal="center" vertical="center" wrapText="1"/>
    </xf>
    <xf numFmtId="0" fontId="69" fillId="7" borderId="144" xfId="0" applyFont="1" applyFill="1" applyBorder="1" applyAlignment="1">
      <alignment horizontal="center" vertical="center" wrapText="1"/>
    </xf>
    <xf numFmtId="0" fontId="69" fillId="7" borderId="145" xfId="0" applyFont="1" applyFill="1" applyBorder="1" applyAlignment="1">
      <alignment horizontal="center" vertical="center" wrapText="1"/>
    </xf>
    <xf numFmtId="0" fontId="142" fillId="81" borderId="15" xfId="0" applyFont="1" applyFill="1" applyBorder="1" applyAlignment="1">
      <alignment horizontal="left" vertical="center"/>
    </xf>
    <xf numFmtId="0" fontId="97" fillId="0" borderId="0" xfId="0" applyFont="1" applyFill="1" applyBorder="1" applyAlignment="1">
      <alignment horizontal="left" vertical="center" wrapText="1"/>
    </xf>
    <xf numFmtId="0" fontId="121" fillId="32" borderId="0" xfId="0" applyFont="1" applyFill="1" applyAlignment="1">
      <alignment horizontal="left" vertical="center"/>
    </xf>
    <xf numFmtId="0" fontId="97" fillId="8" borderId="0" xfId="0" applyFont="1" applyFill="1" applyBorder="1" applyAlignment="1">
      <alignment horizontal="left" vertical="center" wrapText="1"/>
    </xf>
    <xf numFmtId="0" fontId="97" fillId="8" borderId="16" xfId="0" applyFont="1" applyFill="1" applyBorder="1" applyAlignment="1">
      <alignment horizontal="left" vertical="center" wrapText="1"/>
    </xf>
    <xf numFmtId="0" fontId="142" fillId="0" borderId="15" xfId="0" applyFont="1" applyFill="1" applyBorder="1" applyAlignment="1">
      <alignment horizontal="left" vertical="center"/>
    </xf>
    <xf numFmtId="0" fontId="33" fillId="0" borderId="13" xfId="0" applyFont="1" applyFill="1" applyBorder="1" applyAlignment="1" applyProtection="1">
      <alignment horizontal="center" vertical="center" wrapText="1"/>
      <protection locked="0"/>
    </xf>
    <xf numFmtId="0" fontId="33" fillId="0" borderId="16" xfId="0" applyFont="1" applyFill="1" applyBorder="1" applyAlignment="1" applyProtection="1">
      <alignment horizontal="center" vertical="center" wrapText="1"/>
      <protection locked="0"/>
    </xf>
    <xf numFmtId="0" fontId="33" fillId="0" borderId="14" xfId="0" applyFont="1" applyFill="1" applyBorder="1" applyAlignment="1" applyProtection="1">
      <alignment horizontal="center" vertical="center" wrapText="1"/>
      <protection locked="0"/>
    </xf>
    <xf numFmtId="0" fontId="90" fillId="38" borderId="7" xfId="0" applyFont="1" applyFill="1" applyBorder="1" applyAlignment="1">
      <alignment horizontal="center" vertical="center" wrapText="1"/>
    </xf>
    <xf numFmtId="0" fontId="90" fillId="38" borderId="15" xfId="0" applyFont="1" applyFill="1" applyBorder="1" applyAlignment="1">
      <alignment horizontal="center" vertical="center" wrapText="1"/>
    </xf>
    <xf numFmtId="0" fontId="90" fillId="38" borderId="8" xfId="0" applyFont="1" applyFill="1" applyBorder="1" applyAlignment="1">
      <alignment horizontal="center" vertical="center" wrapText="1"/>
    </xf>
    <xf numFmtId="0" fontId="51" fillId="80" borderId="7" xfId="3" applyFont="1" applyFill="1" applyBorder="1" applyAlignment="1" applyProtection="1">
      <alignment horizontal="center" vertical="center" wrapText="1"/>
    </xf>
    <xf numFmtId="0" fontId="51" fillId="80" borderId="15" xfId="3" applyFont="1" applyFill="1" applyBorder="1" applyAlignment="1" applyProtection="1">
      <alignment horizontal="center" vertical="center" wrapText="1"/>
    </xf>
    <xf numFmtId="0" fontId="51" fillId="80" borderId="8" xfId="3" applyFont="1" applyFill="1" applyBorder="1" applyAlignment="1" applyProtection="1">
      <alignment horizontal="center" vertical="center" wrapText="1"/>
    </xf>
    <xf numFmtId="0" fontId="97" fillId="41" borderId="148" xfId="0" applyFont="1" applyFill="1" applyBorder="1" applyAlignment="1" applyProtection="1">
      <alignment horizontal="center" vertical="center" wrapText="1"/>
      <protection locked="0"/>
    </xf>
    <xf numFmtId="0" fontId="97" fillId="41" borderId="70" xfId="0" applyFont="1" applyFill="1" applyBorder="1" applyAlignment="1" applyProtection="1">
      <alignment horizontal="center" vertical="center" wrapText="1"/>
      <protection locked="0"/>
    </xf>
    <xf numFmtId="0" fontId="140" fillId="2" borderId="15" xfId="0" applyFont="1" applyFill="1" applyBorder="1" applyAlignment="1">
      <alignment horizontal="center" vertical="center" wrapText="1"/>
    </xf>
    <xf numFmtId="0" fontId="140" fillId="2" borderId="0" xfId="0" applyFont="1" applyFill="1" applyAlignment="1">
      <alignment horizontal="center" vertical="center"/>
    </xf>
    <xf numFmtId="0" fontId="141" fillId="0" borderId="0" xfId="0" applyFont="1" applyFill="1" applyBorder="1" applyAlignment="1">
      <alignment horizontal="center" vertical="center" wrapText="1"/>
    </xf>
    <xf numFmtId="0" fontId="141" fillId="0" borderId="12" xfId="0" applyFont="1" applyFill="1" applyBorder="1" applyAlignment="1">
      <alignment horizontal="center" vertical="center" wrapText="1"/>
    </xf>
    <xf numFmtId="0" fontId="123" fillId="80" borderId="155" xfId="3" applyFont="1" applyFill="1" applyBorder="1" applyAlignment="1" applyProtection="1">
      <alignment horizontal="center" vertical="center" wrapText="1"/>
    </xf>
    <xf numFmtId="0" fontId="123" fillId="80" borderId="161" xfId="3" applyFont="1" applyFill="1" applyBorder="1" applyAlignment="1" applyProtection="1">
      <alignment horizontal="center" vertical="center" wrapText="1"/>
    </xf>
    <xf numFmtId="0" fontId="139" fillId="0" borderId="0" xfId="0" applyNumberFormat="1" applyFont="1" applyFill="1" applyBorder="1" applyAlignment="1" applyProtection="1">
      <alignment horizontal="center" vertical="center"/>
      <protection locked="0"/>
    </xf>
    <xf numFmtId="0" fontId="16" fillId="0" borderId="0" xfId="0" applyFont="1" applyAlignment="1">
      <alignment horizontal="center" vertical="center" wrapText="1"/>
    </xf>
    <xf numFmtId="0" fontId="16" fillId="0" borderId="15" xfId="0" applyNumberFormat="1" applyFont="1" applyFill="1" applyBorder="1" applyAlignment="1">
      <alignment horizontal="center" vertical="center" wrapText="1"/>
    </xf>
    <xf numFmtId="0" fontId="16" fillId="0" borderId="8" xfId="0" applyNumberFormat="1" applyFont="1" applyFill="1" applyBorder="1" applyAlignment="1">
      <alignment horizontal="center" vertical="center" wrapText="1"/>
    </xf>
    <xf numFmtId="0" fontId="16" fillId="0" borderId="0" xfId="0" applyNumberFormat="1" applyFont="1" applyFill="1" applyAlignment="1">
      <alignment horizontal="center" vertical="center" wrapText="1"/>
    </xf>
    <xf numFmtId="0" fontId="16" fillId="0" borderId="12" xfId="0" applyNumberFormat="1" applyFont="1" applyFill="1" applyBorder="1" applyAlignment="1">
      <alignment horizontal="center" vertical="center" wrapText="1"/>
    </xf>
    <xf numFmtId="0" fontId="16" fillId="0" borderId="16" xfId="0" applyNumberFormat="1" applyFont="1" applyFill="1" applyBorder="1" applyAlignment="1">
      <alignment horizontal="center" vertical="center" wrapText="1"/>
    </xf>
    <xf numFmtId="0" fontId="16" fillId="0" borderId="14" xfId="0" applyNumberFormat="1" applyFont="1" applyFill="1" applyBorder="1" applyAlignment="1">
      <alignment horizontal="center" vertical="center" wrapText="1"/>
    </xf>
    <xf numFmtId="0" fontId="16" fillId="0" borderId="0" xfId="0" applyFont="1" applyFill="1" applyBorder="1" applyAlignment="1" applyProtection="1">
      <alignment horizontal="center" vertical="center" wrapText="1"/>
      <protection locked="0"/>
    </xf>
    <xf numFmtId="0" fontId="120" fillId="0" borderId="80" xfId="0" applyFont="1" applyFill="1" applyBorder="1" applyAlignment="1">
      <alignment horizontal="center" vertical="center" wrapText="1"/>
    </xf>
    <xf numFmtId="0" fontId="120" fillId="0" borderId="81" xfId="0" applyFont="1" applyFill="1" applyBorder="1" applyAlignment="1">
      <alignment horizontal="center" vertical="center" wrapText="1"/>
    </xf>
    <xf numFmtId="0" fontId="120" fillId="0" borderId="165" xfId="0" applyFont="1" applyFill="1" applyBorder="1" applyAlignment="1">
      <alignment horizontal="center" vertical="center" wrapText="1"/>
    </xf>
    <xf numFmtId="0" fontId="120" fillId="0" borderId="11" xfId="0" applyFont="1" applyFill="1" applyBorder="1" applyAlignment="1">
      <alignment horizontal="center" vertical="center" wrapText="1"/>
    </xf>
    <xf numFmtId="0" fontId="120" fillId="0" borderId="0" xfId="0" applyFont="1" applyFill="1" applyAlignment="1">
      <alignment horizontal="center" vertical="center" wrapText="1"/>
    </xf>
    <xf numFmtId="0" fontId="120" fillId="0" borderId="90" xfId="0" applyFont="1" applyFill="1" applyBorder="1" applyAlignment="1">
      <alignment horizontal="center" vertical="center" wrapText="1"/>
    </xf>
    <xf numFmtId="0" fontId="120" fillId="0" borderId="13" xfId="0" applyFont="1" applyFill="1" applyBorder="1" applyAlignment="1">
      <alignment horizontal="center" vertical="center" wrapText="1"/>
    </xf>
    <xf numFmtId="0" fontId="120" fillId="0" borderId="16" xfId="0" applyFont="1" applyFill="1" applyBorder="1" applyAlignment="1">
      <alignment horizontal="center" vertical="center" wrapText="1"/>
    </xf>
    <xf numFmtId="0" fontId="120" fillId="0" borderId="96" xfId="0" applyFont="1" applyFill="1" applyBorder="1" applyAlignment="1">
      <alignment horizontal="center" vertical="center" wrapText="1"/>
    </xf>
    <xf numFmtId="184" fontId="24" fillId="0" borderId="84" xfId="0" applyNumberFormat="1" applyFont="1" applyFill="1" applyBorder="1" applyAlignment="1">
      <alignment horizontal="center" vertical="center"/>
    </xf>
    <xf numFmtId="184" fontId="24" fillId="0" borderId="92" xfId="0" applyNumberFormat="1" applyFont="1" applyFill="1" applyBorder="1" applyAlignment="1">
      <alignment horizontal="center" vertical="center"/>
    </xf>
    <xf numFmtId="184" fontId="24" fillId="0" borderId="78" xfId="0" applyNumberFormat="1" applyFont="1" applyFill="1" applyBorder="1" applyAlignment="1">
      <alignment horizontal="center" vertical="center"/>
    </xf>
    <xf numFmtId="184" fontId="24" fillId="0" borderId="12" xfId="0" applyNumberFormat="1" applyFont="1" applyFill="1" applyBorder="1" applyAlignment="1">
      <alignment horizontal="center" vertical="center"/>
    </xf>
    <xf numFmtId="184" fontId="24" fillId="0" borderId="98" xfId="0" applyNumberFormat="1" applyFont="1" applyFill="1" applyBorder="1" applyAlignment="1">
      <alignment horizontal="center" vertical="center"/>
    </xf>
    <xf numFmtId="184" fontId="24" fillId="0" borderId="14" xfId="0" applyNumberFormat="1" applyFont="1" applyFill="1" applyBorder="1" applyAlignment="1">
      <alignment horizontal="center" vertical="center"/>
    </xf>
    <xf numFmtId="0" fontId="16" fillId="0" borderId="0" xfId="0" applyFont="1" applyBorder="1" applyAlignment="1">
      <alignment vertical="center" wrapText="1"/>
    </xf>
    <xf numFmtId="0" fontId="16" fillId="51" borderId="179" xfId="0" applyNumberFormat="1" applyFont="1" applyFill="1" applyBorder="1" applyAlignment="1">
      <alignment horizontal="center" vertical="center"/>
    </xf>
    <xf numFmtId="0" fontId="16" fillId="51" borderId="181" xfId="0" applyNumberFormat="1" applyFont="1" applyFill="1" applyBorder="1" applyAlignment="1">
      <alignment horizontal="center" vertical="center"/>
    </xf>
    <xf numFmtId="0" fontId="16" fillId="8" borderId="183" xfId="0" applyNumberFormat="1" applyFont="1" applyFill="1" applyBorder="1" applyAlignment="1" applyProtection="1">
      <alignment horizontal="center" vertical="center"/>
      <protection locked="0"/>
    </xf>
    <xf numFmtId="0" fontId="16" fillId="8" borderId="184" xfId="0" applyNumberFormat="1" applyFont="1" applyFill="1" applyBorder="1" applyAlignment="1" applyProtection="1">
      <alignment horizontal="center" vertical="center"/>
      <protection locked="0"/>
    </xf>
    <xf numFmtId="0" fontId="7" fillId="6" borderId="149" xfId="0" applyFont="1" applyFill="1" applyBorder="1" applyAlignment="1" applyProtection="1">
      <alignment horizontal="center" vertical="center"/>
      <protection locked="0"/>
    </xf>
    <xf numFmtId="0" fontId="7" fillId="6" borderId="15" xfId="0" applyFont="1" applyFill="1" applyBorder="1" applyAlignment="1" applyProtection="1">
      <alignment horizontal="center" vertical="center"/>
      <protection locked="0"/>
    </xf>
    <xf numFmtId="0" fontId="7" fillId="69" borderId="149" xfId="0" applyFont="1" applyFill="1" applyBorder="1" applyAlignment="1" applyProtection="1">
      <alignment horizontal="center" vertical="center"/>
      <protection locked="0"/>
    </xf>
    <xf numFmtId="0" fontId="7" fillId="69" borderId="8" xfId="0" applyFont="1" applyFill="1" applyBorder="1" applyAlignment="1" applyProtection="1">
      <alignment horizontal="center" vertical="center"/>
      <protection locked="0"/>
    </xf>
    <xf numFmtId="0" fontId="7" fillId="69" borderId="15" xfId="0" applyFont="1" applyFill="1" applyBorder="1" applyAlignment="1" applyProtection="1">
      <alignment horizontal="center" vertical="center"/>
      <protection locked="0"/>
    </xf>
    <xf numFmtId="0" fontId="7" fillId="6" borderId="7" xfId="0" applyFont="1" applyFill="1" applyBorder="1" applyAlignment="1" applyProtection="1">
      <alignment horizontal="center" vertical="center"/>
      <protection locked="0"/>
    </xf>
    <xf numFmtId="0" fontId="7" fillId="6" borderId="8" xfId="0" applyFont="1" applyFill="1" applyBorder="1" applyAlignment="1" applyProtection="1">
      <alignment horizontal="center" vertical="center"/>
      <protection locked="0"/>
    </xf>
    <xf numFmtId="0" fontId="16" fillId="7" borderId="0" xfId="0" applyNumberFormat="1" applyFont="1" applyFill="1" applyBorder="1" applyAlignment="1">
      <alignment horizontal="center" vertical="center"/>
    </xf>
    <xf numFmtId="0" fontId="16" fillId="0" borderId="7" xfId="0" applyNumberFormat="1" applyFont="1" applyBorder="1" applyAlignment="1">
      <alignment horizontal="center" vertical="center"/>
    </xf>
    <xf numFmtId="0" fontId="16" fillId="0" borderId="15" xfId="0" applyNumberFormat="1" applyFont="1" applyBorder="1" applyAlignment="1">
      <alignment horizontal="center" vertical="center"/>
    </xf>
    <xf numFmtId="0" fontId="16" fillId="69" borderId="7" xfId="0" applyNumberFormat="1" applyFont="1" applyFill="1" applyBorder="1" applyAlignment="1">
      <alignment horizontal="center" vertical="center"/>
    </xf>
    <xf numFmtId="0" fontId="16" fillId="69" borderId="15" xfId="0" applyNumberFormat="1" applyFont="1" applyFill="1" applyBorder="1" applyAlignment="1">
      <alignment horizontal="center" vertical="center"/>
    </xf>
    <xf numFmtId="0" fontId="16" fillId="69" borderId="8" xfId="0" applyNumberFormat="1" applyFont="1" applyFill="1" applyBorder="1" applyAlignment="1">
      <alignment horizontal="center" vertical="center"/>
    </xf>
    <xf numFmtId="49" fontId="97" fillId="0" borderId="0" xfId="6" applyNumberFormat="1" applyFont="1" applyFill="1" applyBorder="1" applyAlignment="1" applyProtection="1">
      <alignment horizontal="left" vertical="center" wrapText="1"/>
    </xf>
    <xf numFmtId="49" fontId="97" fillId="0" borderId="12" xfId="6" applyNumberFormat="1" applyFont="1" applyFill="1" applyBorder="1" applyAlignment="1" applyProtection="1">
      <alignment horizontal="left" vertical="center" wrapText="1"/>
    </xf>
    <xf numFmtId="0" fontId="16" fillId="70" borderId="7" xfId="0" applyNumberFormat="1" applyFont="1" applyFill="1" applyBorder="1" applyAlignment="1">
      <alignment horizontal="center" vertical="center"/>
    </xf>
    <xf numFmtId="0" fontId="16" fillId="70" borderId="15" xfId="0" applyNumberFormat="1" applyFont="1" applyFill="1" applyBorder="1" applyAlignment="1">
      <alignment horizontal="center" vertical="center"/>
    </xf>
    <xf numFmtId="0" fontId="16" fillId="70" borderId="8" xfId="0" applyNumberFormat="1" applyFont="1" applyFill="1" applyBorder="1" applyAlignment="1">
      <alignment horizontal="center" vertical="center"/>
    </xf>
    <xf numFmtId="0" fontId="53" fillId="6" borderId="7" xfId="0" applyFont="1" applyFill="1" applyBorder="1" applyAlignment="1">
      <alignment horizontal="center" vertical="center"/>
    </xf>
    <xf numFmtId="0" fontId="53" fillId="6" borderId="15" xfId="0" applyFont="1" applyFill="1" applyBorder="1" applyAlignment="1">
      <alignment horizontal="center" vertical="center"/>
    </xf>
    <xf numFmtId="0" fontId="53" fillId="6" borderId="8" xfId="0" applyFont="1" applyFill="1" applyBorder="1" applyAlignment="1">
      <alignment horizontal="center" vertical="center"/>
    </xf>
    <xf numFmtId="0" fontId="16" fillId="0" borderId="75" xfId="0" applyFont="1" applyBorder="1" applyAlignment="1">
      <alignment horizontal="center" vertical="center" wrapText="1"/>
    </xf>
    <xf numFmtId="0" fontId="16" fillId="0" borderId="76"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11" xfId="0" applyFont="1" applyBorder="1" applyAlignment="1">
      <alignment horizontal="center" vertical="center" wrapText="1"/>
    </xf>
    <xf numFmtId="0" fontId="16" fillId="0" borderId="149" xfId="0" applyFont="1" applyFill="1" applyBorder="1" applyAlignment="1">
      <alignment horizontal="center" vertical="center" wrapText="1"/>
    </xf>
    <xf numFmtId="0" fontId="16" fillId="0" borderId="39" xfId="0" applyFont="1" applyFill="1" applyBorder="1" applyAlignment="1">
      <alignment horizontal="center" vertical="center" wrapText="1"/>
    </xf>
    <xf numFmtId="0" fontId="16" fillId="7" borderId="0" xfId="0" applyFont="1" applyFill="1" applyAlignment="1">
      <alignment horizontal="center" vertical="center"/>
    </xf>
    <xf numFmtId="0" fontId="16" fillId="0" borderId="0" xfId="0" applyFont="1" applyAlignment="1">
      <alignment vertical="center" wrapText="1"/>
    </xf>
    <xf numFmtId="0" fontId="16" fillId="51" borderId="81" xfId="0" applyNumberFormat="1" applyFont="1" applyFill="1" applyBorder="1" applyAlignment="1">
      <alignment horizontal="center" vertical="center"/>
    </xf>
    <xf numFmtId="0" fontId="16" fillId="8" borderId="180" xfId="0" applyNumberFormat="1" applyFont="1" applyFill="1" applyBorder="1" applyAlignment="1">
      <alignment horizontal="center" vertical="center"/>
    </xf>
    <xf numFmtId="0" fontId="16" fillId="8" borderId="84" xfId="0" applyNumberFormat="1" applyFont="1" applyFill="1" applyBorder="1" applyAlignment="1">
      <alignment horizontal="center" vertical="center"/>
    </xf>
    <xf numFmtId="0" fontId="16" fillId="51" borderId="11" xfId="0" applyNumberFormat="1" applyFont="1" applyFill="1" applyBorder="1" applyAlignment="1">
      <alignment horizontal="center" vertical="center"/>
    </xf>
    <xf numFmtId="0" fontId="16" fillId="51" borderId="0" xfId="0" applyNumberFormat="1" applyFont="1" applyFill="1" applyAlignment="1">
      <alignment horizontal="center" vertical="center"/>
    </xf>
    <xf numFmtId="0" fontId="16" fillId="8" borderId="11" xfId="0" applyNumberFormat="1" applyFont="1" applyFill="1" applyBorder="1" applyAlignment="1">
      <alignment horizontal="center" vertical="center"/>
    </xf>
    <xf numFmtId="0" fontId="16" fillId="8" borderId="0" xfId="0" applyNumberFormat="1" applyFont="1" applyFill="1" applyAlignment="1">
      <alignment horizontal="center" vertical="center"/>
    </xf>
    <xf numFmtId="0" fontId="16" fillId="51" borderId="82" xfId="0" applyNumberFormat="1" applyFont="1" applyFill="1" applyBorder="1" applyAlignment="1">
      <alignment horizontal="center" vertical="center"/>
    </xf>
    <xf numFmtId="0" fontId="16" fillId="51" borderId="83" xfId="0" applyNumberFormat="1" applyFont="1" applyFill="1" applyBorder="1" applyAlignment="1">
      <alignment horizontal="center" vertical="center"/>
    </xf>
    <xf numFmtId="0" fontId="16" fillId="8" borderId="82" xfId="0" applyNumberFormat="1" applyFont="1" applyFill="1" applyBorder="1" applyAlignment="1" applyProtection="1">
      <alignment horizontal="center" vertical="center"/>
      <protection locked="0"/>
    </xf>
    <xf numFmtId="0" fontId="16" fillId="8" borderId="83" xfId="0" applyNumberFormat="1" applyFont="1" applyFill="1" applyBorder="1" applyAlignment="1" applyProtection="1">
      <alignment horizontal="center" vertical="center"/>
      <protection locked="0"/>
    </xf>
    <xf numFmtId="0" fontId="16" fillId="51" borderId="146" xfId="0" applyNumberFormat="1" applyFont="1" applyFill="1" applyBorder="1" applyAlignment="1">
      <alignment horizontal="center" vertical="center"/>
    </xf>
    <xf numFmtId="0" fontId="16" fillId="8" borderId="11" xfId="0" applyNumberFormat="1" applyFont="1" applyFill="1" applyBorder="1" applyAlignment="1" applyProtection="1">
      <alignment horizontal="center" vertical="center"/>
      <protection locked="0"/>
    </xf>
    <xf numFmtId="0" fontId="16" fillId="8" borderId="182" xfId="0" applyNumberFormat="1" applyFont="1" applyFill="1" applyBorder="1" applyAlignment="1" applyProtection="1">
      <alignment horizontal="center" vertical="center"/>
      <protection locked="0"/>
    </xf>
    <xf numFmtId="49" fontId="97" fillId="0" borderId="16" xfId="6" applyNumberFormat="1" applyFont="1" applyFill="1" applyBorder="1" applyAlignment="1" applyProtection="1">
      <alignment horizontal="left" vertical="center" wrapText="1"/>
    </xf>
    <xf numFmtId="49" fontId="97" fillId="0" borderId="14" xfId="6" applyNumberFormat="1" applyFont="1" applyFill="1" applyBorder="1" applyAlignment="1" applyProtection="1">
      <alignment horizontal="left" vertical="center" wrapText="1"/>
    </xf>
    <xf numFmtId="0" fontId="90" fillId="0" borderId="16" xfId="0" applyFont="1" applyFill="1" applyBorder="1" applyAlignment="1">
      <alignment vertical="center" wrapText="1"/>
    </xf>
    <xf numFmtId="0" fontId="90" fillId="0" borderId="14" xfId="0" applyFont="1" applyFill="1" applyBorder="1" applyAlignment="1">
      <alignment vertical="center" wrapText="1"/>
    </xf>
    <xf numFmtId="0" fontId="90" fillId="0" borderId="0" xfId="0" applyFont="1" applyFill="1" applyBorder="1" applyAlignment="1">
      <alignment vertical="center" wrapText="1"/>
    </xf>
    <xf numFmtId="0" fontId="90" fillId="0" borderId="12" xfId="0" applyFont="1" applyFill="1" applyBorder="1" applyAlignment="1">
      <alignment vertical="center" wrapText="1"/>
    </xf>
    <xf numFmtId="0" fontId="53" fillId="68" borderId="158" xfId="0" applyFont="1" applyFill="1" applyBorder="1" applyAlignment="1">
      <alignment horizontal="center" vertical="center"/>
    </xf>
    <xf numFmtId="0" fontId="53" fillId="68" borderId="159" xfId="0" applyFont="1" applyFill="1" applyBorder="1" applyAlignment="1">
      <alignment horizontal="center" vertical="center"/>
    </xf>
    <xf numFmtId="0" fontId="119" fillId="68" borderId="160" xfId="0" applyFont="1" applyFill="1" applyBorder="1" applyAlignment="1">
      <alignment horizontal="center" vertical="center"/>
    </xf>
    <xf numFmtId="0" fontId="119" fillId="68" borderId="163" xfId="0" applyFont="1" applyFill="1" applyBorder="1" applyAlignment="1">
      <alignment horizontal="center" vertical="center"/>
    </xf>
    <xf numFmtId="0" fontId="53" fillId="68" borderId="164" xfId="0" applyFont="1" applyFill="1" applyBorder="1" applyAlignment="1">
      <alignment horizontal="center" vertical="center"/>
    </xf>
    <xf numFmtId="49" fontId="125" fillId="71" borderId="15" xfId="6" applyNumberFormat="1" applyFont="1" applyFill="1" applyBorder="1" applyAlignment="1" applyProtection="1">
      <alignment horizontal="center" vertical="top" wrapText="1"/>
    </xf>
    <xf numFmtId="49" fontId="125" fillId="71" borderId="8" xfId="6" applyNumberFormat="1" applyFont="1" applyFill="1" applyBorder="1" applyAlignment="1" applyProtection="1">
      <alignment horizontal="center" vertical="top" wrapText="1"/>
    </xf>
    <xf numFmtId="0" fontId="78" fillId="49" borderId="0" xfId="6" applyFont="1" applyFill="1" applyBorder="1" applyAlignment="1">
      <alignment horizontal="center" vertical="center"/>
      <protection locked="0"/>
    </xf>
    <xf numFmtId="0" fontId="13" fillId="7" borderId="150" xfId="0" applyFont="1" applyFill="1" applyBorder="1" applyAlignment="1">
      <alignment horizontal="center" vertical="center"/>
    </xf>
    <xf numFmtId="0" fontId="13" fillId="7" borderId="151" xfId="0" applyFont="1" applyFill="1" applyBorder="1" applyAlignment="1">
      <alignment horizontal="center" vertical="center"/>
    </xf>
    <xf numFmtId="0" fontId="13" fillId="7" borderId="152" xfId="0" applyFont="1" applyFill="1" applyBorder="1" applyAlignment="1">
      <alignment horizontal="center" vertical="center"/>
    </xf>
    <xf numFmtId="0" fontId="16" fillId="4" borderId="15" xfId="0" applyFont="1" applyFill="1" applyBorder="1" applyAlignment="1">
      <alignment horizontal="center" vertical="center"/>
    </xf>
    <xf numFmtId="0" fontId="16" fillId="4" borderId="8" xfId="0" applyFont="1" applyFill="1" applyBorder="1" applyAlignment="1">
      <alignment horizontal="center" vertical="center"/>
    </xf>
    <xf numFmtId="0" fontId="16" fillId="0" borderId="15" xfId="0" applyFont="1" applyBorder="1" applyAlignment="1">
      <alignment horizontal="center" vertical="center"/>
    </xf>
    <xf numFmtId="0" fontId="16" fillId="0" borderId="8" xfId="0" applyFont="1" applyBorder="1" applyAlignment="1">
      <alignment horizontal="center" vertical="center"/>
    </xf>
    <xf numFmtId="0" fontId="16" fillId="7" borderId="170" xfId="0" applyFont="1" applyFill="1" applyBorder="1">
      <alignment vertical="center"/>
    </xf>
    <xf numFmtId="0" fontId="16" fillId="0" borderId="0" xfId="0" applyFont="1" applyBorder="1" applyAlignment="1">
      <alignment horizontal="center" vertical="center" wrapText="1"/>
    </xf>
    <xf numFmtId="0" fontId="123" fillId="0" borderId="0" xfId="3" applyFont="1" applyFill="1" applyBorder="1" applyAlignment="1" applyProtection="1">
      <alignment horizontal="center" vertical="center" wrapText="1"/>
    </xf>
    <xf numFmtId="0" fontId="16" fillId="0" borderId="151" xfId="0" applyFont="1" applyBorder="1" applyAlignment="1">
      <alignment horizontal="center" vertical="center"/>
    </xf>
    <xf numFmtId="0" fontId="16" fillId="0" borderId="152" xfId="0" applyFont="1" applyBorder="1" applyAlignment="1">
      <alignment horizontal="center" vertical="center"/>
    </xf>
    <xf numFmtId="0" fontId="16" fillId="0" borderId="7" xfId="0" applyFont="1" applyBorder="1" applyAlignment="1">
      <alignment horizontal="center" vertical="center"/>
    </xf>
    <xf numFmtId="0" fontId="16" fillId="7" borderId="150" xfId="0" applyFont="1" applyFill="1" applyBorder="1" applyAlignment="1">
      <alignment horizontal="center" vertical="center"/>
    </xf>
    <xf numFmtId="0" fontId="16" fillId="7" borderId="151" xfId="0" applyFont="1" applyFill="1" applyBorder="1" applyAlignment="1">
      <alignment horizontal="center" vertical="center"/>
    </xf>
    <xf numFmtId="0" fontId="16" fillId="7" borderId="152" xfId="0" applyFont="1" applyFill="1" applyBorder="1" applyAlignment="1">
      <alignment horizontal="center" vertical="center"/>
    </xf>
    <xf numFmtId="0" fontId="15" fillId="0" borderId="0" xfId="0" applyFont="1" applyFill="1" applyAlignment="1">
      <alignment horizontal="center" vertical="center" wrapText="1"/>
    </xf>
    <xf numFmtId="0" fontId="15" fillId="0" borderId="12" xfId="0" applyFont="1" applyFill="1" applyBorder="1" applyAlignment="1">
      <alignment horizontal="center" vertical="center" wrapText="1"/>
    </xf>
    <xf numFmtId="0" fontId="15" fillId="0" borderId="35" xfId="0" applyFont="1" applyFill="1" applyBorder="1" applyAlignment="1">
      <alignment horizontal="center" vertical="center" wrapText="1"/>
    </xf>
    <xf numFmtId="0" fontId="15" fillId="0" borderId="37" xfId="0" applyFont="1" applyFill="1" applyBorder="1" applyAlignment="1">
      <alignment horizontal="center" vertical="center" wrapText="1"/>
    </xf>
    <xf numFmtId="0" fontId="24" fillId="8" borderId="7" xfId="0" applyFont="1" applyFill="1" applyBorder="1" applyAlignment="1">
      <alignment horizontal="center" vertical="center"/>
    </xf>
    <xf numFmtId="0" fontId="24" fillId="8" borderId="15" xfId="0" applyFont="1" applyFill="1" applyBorder="1" applyAlignment="1">
      <alignment horizontal="center" vertical="center"/>
    </xf>
    <xf numFmtId="0" fontId="24" fillId="8" borderId="8" xfId="0" applyFont="1" applyFill="1" applyBorder="1" applyAlignment="1">
      <alignment horizontal="center" vertical="center"/>
    </xf>
    <xf numFmtId="0" fontId="24" fillId="8" borderId="11" xfId="0" applyFont="1" applyFill="1" applyBorder="1" applyAlignment="1">
      <alignment horizontal="center" vertical="center"/>
    </xf>
    <xf numFmtId="0" fontId="24" fillId="8" borderId="0" xfId="0" applyFont="1" applyFill="1" applyAlignment="1">
      <alignment horizontal="center" vertical="center"/>
    </xf>
    <xf numFmtId="0" fontId="24" fillId="8" borderId="12" xfId="0" applyFont="1" applyFill="1" applyBorder="1" applyAlignment="1">
      <alignment horizontal="center" vertical="center"/>
    </xf>
    <xf numFmtId="0" fontId="24" fillId="8" borderId="13" xfId="0" applyFont="1" applyFill="1" applyBorder="1" applyAlignment="1">
      <alignment horizontal="center" vertical="center"/>
    </xf>
    <xf numFmtId="0" fontId="24" fillId="8" borderId="16" xfId="0" applyFont="1" applyFill="1" applyBorder="1" applyAlignment="1">
      <alignment horizontal="center" vertical="center"/>
    </xf>
    <xf numFmtId="0" fontId="24" fillId="8" borderId="14" xfId="0" applyFont="1" applyFill="1" applyBorder="1" applyAlignment="1">
      <alignment horizontal="center" vertical="center"/>
    </xf>
    <xf numFmtId="0" fontId="15" fillId="0" borderId="11" xfId="0" applyFont="1" applyFill="1" applyBorder="1" applyAlignment="1">
      <alignment horizontal="center" vertical="center" wrapText="1"/>
    </xf>
    <xf numFmtId="0" fontId="15" fillId="0" borderId="148" xfId="0" applyFont="1" applyFill="1" applyBorder="1" applyAlignment="1">
      <alignment horizontal="center" vertical="center" wrapText="1"/>
    </xf>
    <xf numFmtId="0" fontId="15" fillId="0" borderId="1" xfId="0" applyFont="1" applyFill="1" applyBorder="1" applyAlignment="1">
      <alignment horizontal="center" vertical="center"/>
    </xf>
    <xf numFmtId="0" fontId="15" fillId="0" borderId="148" xfId="0" applyFont="1" applyFill="1" applyBorder="1" applyAlignment="1">
      <alignment horizontal="center" vertical="center"/>
    </xf>
    <xf numFmtId="0" fontId="15" fillId="0" borderId="13" xfId="0" applyFont="1" applyFill="1" applyBorder="1" applyAlignment="1">
      <alignment horizontal="center" vertical="center" wrapText="1"/>
    </xf>
    <xf numFmtId="0" fontId="15" fillId="0" borderId="16" xfId="0" applyFont="1" applyFill="1" applyBorder="1" applyAlignment="1">
      <alignment horizontal="center" vertical="center" wrapText="1"/>
    </xf>
    <xf numFmtId="0" fontId="15" fillId="0" borderId="14" xfId="0" applyFont="1" applyFill="1" applyBorder="1" applyAlignment="1">
      <alignment horizontal="center" vertical="center" wrapText="1"/>
    </xf>
    <xf numFmtId="0" fontId="115" fillId="8" borderId="11" xfId="0" applyFont="1" applyFill="1" applyBorder="1" applyAlignment="1">
      <alignment horizontal="center" vertical="center"/>
    </xf>
    <xf numFmtId="0" fontId="115" fillId="8" borderId="0" xfId="0" applyFont="1" applyFill="1" applyAlignment="1">
      <alignment horizontal="center" vertical="center"/>
    </xf>
    <xf numFmtId="0" fontId="115" fillId="8" borderId="12" xfId="0" applyFont="1" applyFill="1" applyBorder="1" applyAlignment="1">
      <alignment horizontal="center" vertical="center"/>
    </xf>
    <xf numFmtId="0" fontId="15" fillId="0" borderId="31" xfId="0" applyFont="1" applyFill="1" applyBorder="1" applyAlignment="1">
      <alignment horizontal="center" vertical="center" wrapText="1"/>
    </xf>
    <xf numFmtId="0" fontId="15" fillId="0" borderId="33" xfId="0" applyFont="1" applyFill="1" applyBorder="1" applyAlignment="1">
      <alignment horizontal="center" vertical="center" wrapText="1"/>
    </xf>
    <xf numFmtId="0" fontId="54" fillId="0" borderId="11" xfId="0" applyFont="1" applyFill="1" applyBorder="1" applyAlignment="1">
      <alignment horizontal="center" vertical="center"/>
    </xf>
    <xf numFmtId="0" fontId="54" fillId="0" borderId="0" xfId="0" applyFont="1" applyFill="1" applyAlignment="1">
      <alignment horizontal="center" vertical="center"/>
    </xf>
    <xf numFmtId="0" fontId="54" fillId="0" borderId="12" xfId="0" applyFont="1" applyFill="1" applyBorder="1" applyAlignment="1">
      <alignment horizontal="center" vertical="center"/>
    </xf>
    <xf numFmtId="0" fontId="21" fillId="0" borderId="11" xfId="0" applyFont="1" applyFill="1" applyBorder="1" applyAlignment="1">
      <alignment horizontal="center" vertical="center" wrapText="1"/>
    </xf>
    <xf numFmtId="0" fontId="21" fillId="0" borderId="0" xfId="0" applyFont="1" applyFill="1" applyAlignment="1">
      <alignment horizontal="center" vertical="center" wrapText="1"/>
    </xf>
    <xf numFmtId="0" fontId="21" fillId="0" borderId="12" xfId="0" applyFont="1" applyFill="1" applyBorder="1" applyAlignment="1">
      <alignment horizontal="center" vertical="center" wrapText="1"/>
    </xf>
    <xf numFmtId="0" fontId="3" fillId="0" borderId="11" xfId="0" applyFont="1" applyFill="1" applyBorder="1" applyAlignment="1">
      <alignment horizontal="center" vertical="top" wrapText="1"/>
    </xf>
    <xf numFmtId="0" fontId="3" fillId="0" borderId="0" xfId="0" applyFont="1" applyFill="1" applyAlignment="1">
      <alignment horizontal="center" vertical="top"/>
    </xf>
    <xf numFmtId="0" fontId="3" fillId="0" borderId="47" xfId="0" applyFont="1" applyFill="1" applyBorder="1" applyAlignment="1">
      <alignment horizontal="center" vertical="top"/>
    </xf>
    <xf numFmtId="0" fontId="3" fillId="0" borderId="28" xfId="0" applyFont="1" applyFill="1" applyBorder="1" applyAlignment="1">
      <alignment horizontal="center" vertical="top"/>
    </xf>
    <xf numFmtId="0" fontId="3" fillId="0" borderId="29" xfId="0" applyFont="1" applyFill="1" applyBorder="1" applyAlignment="1">
      <alignment horizontal="center" vertical="top"/>
    </xf>
    <xf numFmtId="0" fontId="3" fillId="0" borderId="50" xfId="0" applyFont="1" applyFill="1" applyBorder="1" applyAlignment="1">
      <alignment horizontal="center" vertical="top"/>
    </xf>
    <xf numFmtId="0" fontId="3" fillId="0" borderId="17"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6" xfId="0" applyFont="1" applyFill="1" applyBorder="1" applyAlignment="1">
      <alignment horizontal="center" vertical="center" wrapText="1"/>
    </xf>
    <xf numFmtId="0" fontId="3" fillId="0" borderId="14" xfId="0" applyFont="1" applyFill="1" applyBorder="1" applyAlignment="1">
      <alignment horizontal="center" vertical="center" wrapText="1"/>
    </xf>
    <xf numFmtId="0" fontId="21" fillId="0" borderId="13" xfId="0" applyFont="1" applyFill="1" applyBorder="1" applyAlignment="1">
      <alignment horizontal="center" vertical="center" wrapText="1"/>
    </xf>
    <xf numFmtId="0" fontId="21" fillId="0" borderId="16" xfId="0" applyFont="1" applyFill="1" applyBorder="1" applyAlignment="1">
      <alignment horizontal="center" vertical="center" wrapText="1"/>
    </xf>
    <xf numFmtId="0" fontId="21" fillId="0" borderId="14" xfId="0" applyFont="1" applyFill="1" applyBorder="1" applyAlignment="1">
      <alignment horizontal="center" vertical="center" wrapText="1"/>
    </xf>
    <xf numFmtId="0" fontId="83" fillId="0" borderId="11" xfId="0" applyFont="1" applyFill="1" applyBorder="1" applyAlignment="1">
      <alignment horizontal="center" vertical="center" wrapText="1"/>
    </xf>
    <xf numFmtId="0" fontId="83" fillId="0" borderId="0" xfId="0" applyFont="1" applyFill="1" applyAlignment="1">
      <alignment horizontal="center" vertical="center" wrapText="1"/>
    </xf>
    <xf numFmtId="0" fontId="83" fillId="0" borderId="12" xfId="0" applyFont="1" applyFill="1" applyBorder="1" applyAlignment="1">
      <alignment horizontal="center" vertical="center" wrapText="1"/>
    </xf>
    <xf numFmtId="0" fontId="117" fillId="0" borderId="11" xfId="0" applyFont="1" applyFill="1" applyBorder="1" applyAlignment="1">
      <alignment horizontal="center" vertical="center"/>
    </xf>
    <xf numFmtId="0" fontId="117" fillId="0" borderId="0" xfId="0" applyFont="1" applyFill="1" applyAlignment="1">
      <alignment horizontal="center" vertical="center"/>
    </xf>
    <xf numFmtId="0" fontId="117" fillId="0" borderId="12" xfId="0" applyFont="1" applyFill="1" applyBorder="1" applyAlignment="1">
      <alignment horizontal="center" vertical="center"/>
    </xf>
    <xf numFmtId="182" fontId="90" fillId="0" borderId="97" xfId="0" applyNumberFormat="1" applyFont="1" applyFill="1" applyBorder="1" applyAlignment="1">
      <alignment horizontal="left" vertical="top" wrapText="1" indent="1"/>
    </xf>
    <xf numFmtId="182" fontId="90" fillId="0" borderId="89" xfId="0" applyNumberFormat="1" applyFont="1" applyFill="1" applyBorder="1" applyAlignment="1">
      <alignment horizontal="left" vertical="top" wrapText="1" indent="1"/>
    </xf>
    <xf numFmtId="182" fontId="90" fillId="0" borderId="27" xfId="0" applyNumberFormat="1" applyFont="1" applyFill="1" applyBorder="1" applyAlignment="1">
      <alignment horizontal="left" vertical="top" wrapText="1" indent="1"/>
    </xf>
    <xf numFmtId="0" fontId="21" fillId="0" borderId="47" xfId="0" applyFont="1" applyFill="1" applyBorder="1" applyAlignment="1">
      <alignment horizontal="center" vertical="center" wrapText="1"/>
    </xf>
    <xf numFmtId="0" fontId="21" fillId="0" borderId="0" xfId="0" applyFont="1" applyFill="1" applyBorder="1" applyAlignment="1">
      <alignment horizontal="center" vertical="center" wrapText="1"/>
    </xf>
    <xf numFmtId="0" fontId="15" fillId="0" borderId="1" xfId="0" applyFont="1" applyFill="1" applyBorder="1" applyAlignment="1">
      <alignment horizontal="center" vertical="center" wrapText="1"/>
    </xf>
    <xf numFmtId="0" fontId="15" fillId="0" borderId="70" xfId="0" applyFont="1" applyFill="1" applyBorder="1" applyAlignment="1">
      <alignment horizontal="center" vertical="center"/>
    </xf>
    <xf numFmtId="182" fontId="89" fillId="0" borderId="97" xfId="0" applyNumberFormat="1" applyFont="1" applyFill="1" applyBorder="1" applyAlignment="1">
      <alignment horizontal="left" vertical="center" wrapText="1" indent="1"/>
    </xf>
    <xf numFmtId="182" fontId="89" fillId="0" borderId="89" xfId="0" applyNumberFormat="1" applyFont="1" applyFill="1" applyBorder="1" applyAlignment="1">
      <alignment horizontal="left" vertical="center" wrapText="1" indent="1"/>
    </xf>
    <xf numFmtId="182" fontId="89" fillId="0" borderId="27" xfId="0" applyNumberFormat="1" applyFont="1" applyFill="1" applyBorder="1" applyAlignment="1">
      <alignment horizontal="left" vertical="center" wrapText="1" indent="1"/>
    </xf>
    <xf numFmtId="0" fontId="3" fillId="0" borderId="14" xfId="0" applyFont="1" applyFill="1" applyBorder="1" applyAlignment="1">
      <alignment horizontal="center" vertical="center"/>
    </xf>
    <xf numFmtId="0" fontId="116" fillId="8" borderId="11" xfId="0" applyFont="1" applyFill="1" applyBorder="1" applyAlignment="1">
      <alignment horizontal="center" vertical="center" wrapText="1"/>
    </xf>
    <xf numFmtId="0" fontId="116" fillId="8" borderId="0" xfId="0" applyFont="1" applyFill="1" applyBorder="1" applyAlignment="1">
      <alignment horizontal="center" vertical="center" wrapText="1"/>
    </xf>
    <xf numFmtId="0" fontId="116" fillId="8" borderId="12" xfId="0" applyFont="1" applyFill="1" applyBorder="1" applyAlignment="1">
      <alignment horizontal="center" vertical="center" wrapText="1"/>
    </xf>
    <xf numFmtId="0" fontId="116" fillId="8" borderId="0" xfId="0" applyFont="1" applyFill="1" applyAlignment="1">
      <alignment horizontal="center" vertical="center" wrapText="1"/>
    </xf>
    <xf numFmtId="0" fontId="12" fillId="0" borderId="0" xfId="0" applyFont="1" applyAlignment="1">
      <alignment horizontal="left" vertical="center" wrapText="1"/>
    </xf>
    <xf numFmtId="0" fontId="12" fillId="0" borderId="0" xfId="0" applyFont="1" applyAlignment="1">
      <alignment horizontal="left" vertical="center"/>
    </xf>
    <xf numFmtId="49" fontId="1" fillId="0" borderId="11" xfId="0" applyNumberFormat="1" applyFont="1" applyFill="1" applyBorder="1" applyAlignment="1">
      <alignment horizontal="left" vertical="center" wrapText="1"/>
    </xf>
    <xf numFmtId="0" fontId="104" fillId="69" borderId="144" xfId="0" applyFont="1" applyFill="1" applyBorder="1" applyAlignment="1">
      <alignment horizontal="center" vertical="center"/>
    </xf>
    <xf numFmtId="0" fontId="104" fillId="69" borderId="145" xfId="0" applyFont="1" applyFill="1" applyBorder="1" applyAlignment="1">
      <alignment horizontal="center" vertical="center"/>
    </xf>
    <xf numFmtId="0" fontId="104" fillId="69" borderId="147" xfId="0" applyFont="1" applyFill="1" applyBorder="1" applyAlignment="1">
      <alignment horizontal="center" vertical="center"/>
    </xf>
    <xf numFmtId="0" fontId="7" fillId="69" borderId="7" xfId="0" applyFont="1" applyFill="1" applyBorder="1" applyAlignment="1">
      <alignment horizontal="center" vertical="center"/>
    </xf>
    <xf numFmtId="0" fontId="7" fillId="69" borderId="15" xfId="0" applyFont="1" applyFill="1" applyBorder="1" applyAlignment="1">
      <alignment horizontal="center" vertical="center"/>
    </xf>
    <xf numFmtId="0" fontId="7" fillId="69" borderId="8" xfId="0" applyFont="1" applyFill="1" applyBorder="1" applyAlignment="1">
      <alignment horizontal="center" vertical="center"/>
    </xf>
    <xf numFmtId="0" fontId="3" fillId="51" borderId="146" xfId="0" applyFont="1" applyFill="1" applyBorder="1" applyAlignment="1">
      <alignment horizontal="center" vertical="center"/>
    </xf>
    <xf numFmtId="0" fontId="3" fillId="51" borderId="97" xfId="0" applyFont="1" applyFill="1" applyBorder="1" applyAlignment="1">
      <alignment horizontal="center" vertical="center"/>
    </xf>
    <xf numFmtId="0" fontId="3" fillId="7" borderId="97" xfId="0" applyFont="1" applyFill="1" applyBorder="1" applyAlignment="1">
      <alignment horizontal="center" vertical="center"/>
    </xf>
    <xf numFmtId="0" fontId="3" fillId="7" borderId="27" xfId="0" applyFont="1" applyFill="1" applyBorder="1" applyAlignment="1">
      <alignment horizontal="center" vertical="center"/>
    </xf>
    <xf numFmtId="0" fontId="1" fillId="51" borderId="0" xfId="0" applyFont="1" applyFill="1" applyAlignment="1">
      <alignment horizontal="center" vertical="center"/>
    </xf>
    <xf numFmtId="0" fontId="1" fillId="51" borderId="12" xfId="0" applyFont="1" applyFill="1" applyBorder="1" applyAlignment="1">
      <alignment horizontal="center" vertical="center"/>
    </xf>
    <xf numFmtId="0" fontId="1" fillId="0" borderId="0" xfId="0" applyFont="1" applyFill="1" applyAlignment="1">
      <alignment horizontal="left" vertical="center" wrapText="1"/>
    </xf>
    <xf numFmtId="0" fontId="1" fillId="0" borderId="0" xfId="0" applyFont="1" applyFill="1" applyAlignment="1">
      <alignment horizontal="left" vertical="center"/>
    </xf>
    <xf numFmtId="0" fontId="1" fillId="0" borderId="12" xfId="0" applyFont="1" applyFill="1" applyBorder="1" applyAlignment="1">
      <alignment horizontal="left" vertical="center"/>
    </xf>
    <xf numFmtId="182" fontId="90" fillId="0" borderId="146" xfId="0" applyNumberFormat="1" applyFont="1" applyFill="1" applyBorder="1" applyAlignment="1">
      <alignment horizontal="left" vertical="center" wrapText="1"/>
    </xf>
    <xf numFmtId="182" fontId="90" fillId="0" borderId="97" xfId="0" applyNumberFormat="1" applyFont="1" applyFill="1" applyBorder="1" applyAlignment="1">
      <alignment horizontal="left" vertical="center" wrapText="1"/>
    </xf>
    <xf numFmtId="182" fontId="90" fillId="0" borderId="88" xfId="0" applyNumberFormat="1" applyFont="1" applyFill="1" applyBorder="1" applyAlignment="1">
      <alignment horizontal="left" vertical="center" wrapText="1"/>
    </xf>
    <xf numFmtId="49" fontId="1" fillId="0" borderId="0" xfId="0" applyNumberFormat="1" applyFont="1" applyFill="1" applyAlignment="1">
      <alignment horizontal="left" vertical="center" wrapText="1"/>
    </xf>
    <xf numFmtId="49" fontId="1" fillId="0" borderId="12" xfId="0" applyNumberFormat="1" applyFont="1" applyFill="1" applyBorder="1" applyAlignment="1">
      <alignment horizontal="left" vertical="center" wrapText="1"/>
    </xf>
    <xf numFmtId="49" fontId="111" fillId="0" borderId="97" xfId="0" applyNumberFormat="1" applyFont="1" applyFill="1" applyBorder="1" applyAlignment="1">
      <alignment horizontal="center" vertical="center"/>
    </xf>
    <xf numFmtId="182" fontId="112" fillId="0" borderId="97" xfId="0" applyNumberFormat="1" applyFont="1" applyFill="1" applyBorder="1" applyAlignment="1">
      <alignment horizontal="center" vertical="center" wrapText="1"/>
    </xf>
    <xf numFmtId="0" fontId="3" fillId="51" borderId="88" xfId="0" applyFont="1" applyFill="1" applyBorder="1" applyAlignment="1">
      <alignment horizontal="center" vertical="center"/>
    </xf>
    <xf numFmtId="0" fontId="3" fillId="51" borderId="89" xfId="0" applyFont="1" applyFill="1" applyBorder="1" applyAlignment="1">
      <alignment horizontal="center" vertical="center"/>
    </xf>
    <xf numFmtId="0" fontId="3" fillId="51" borderId="27" xfId="0" applyFont="1" applyFill="1" applyBorder="1" applyAlignment="1">
      <alignment horizontal="center" vertical="center"/>
    </xf>
    <xf numFmtId="0" fontId="21" fillId="0" borderId="17" xfId="0" applyFont="1" applyFill="1" applyBorder="1" applyAlignment="1">
      <alignment horizontal="center" vertical="center" wrapText="1"/>
    </xf>
    <xf numFmtId="0" fontId="21" fillId="0" borderId="46" xfId="0" applyFont="1" applyFill="1" applyBorder="1" applyAlignment="1">
      <alignment horizontal="center" vertical="center" wrapText="1"/>
    </xf>
    <xf numFmtId="0" fontId="21" fillId="0" borderId="57" xfId="0" applyFont="1" applyFill="1" applyBorder="1" applyAlignment="1">
      <alignment horizontal="center" vertical="center" wrapText="1"/>
    </xf>
    <xf numFmtId="0" fontId="21" fillId="0" borderId="18" xfId="0" applyFont="1" applyFill="1" applyBorder="1" applyAlignment="1">
      <alignment horizontal="center" vertical="center" wrapText="1"/>
    </xf>
    <xf numFmtId="0" fontId="21" fillId="0" borderId="48" xfId="0" applyFont="1" applyFill="1" applyBorder="1" applyAlignment="1">
      <alignment horizontal="center" vertical="center" wrapText="1"/>
    </xf>
    <xf numFmtId="0" fontId="3" fillId="0" borderId="0" xfId="0" applyFont="1" applyFill="1" applyBorder="1" applyAlignment="1">
      <alignment horizontal="center" vertical="top" wrapText="1"/>
    </xf>
    <xf numFmtId="0" fontId="3" fillId="0" borderId="12" xfId="0" applyFont="1" applyFill="1" applyBorder="1" applyAlignment="1">
      <alignment horizontal="center" vertical="top"/>
    </xf>
    <xf numFmtId="0" fontId="3" fillId="0" borderId="32" xfId="0" applyFont="1" applyFill="1" applyBorder="1" applyAlignment="1">
      <alignment horizontal="center" vertical="top"/>
    </xf>
    <xf numFmtId="0" fontId="25" fillId="8" borderId="11" xfId="0" applyFont="1" applyFill="1" applyBorder="1" applyAlignment="1">
      <alignment horizontal="center" vertical="center"/>
    </xf>
    <xf numFmtId="0" fontId="25" fillId="8" borderId="0" xfId="0" applyFont="1" applyFill="1" applyBorder="1" applyAlignment="1">
      <alignment horizontal="center" vertical="center"/>
    </xf>
    <xf numFmtId="0" fontId="25" fillId="8" borderId="12" xfId="0" applyFont="1" applyFill="1" applyBorder="1" applyAlignment="1">
      <alignment horizontal="center" vertical="center"/>
    </xf>
    <xf numFmtId="0" fontId="25" fillId="8" borderId="28" xfId="0" applyFont="1" applyFill="1" applyBorder="1" applyAlignment="1">
      <alignment horizontal="center" vertical="center"/>
    </xf>
    <xf numFmtId="0" fontId="25" fillId="8" borderId="29" xfId="0" applyFont="1" applyFill="1" applyBorder="1" applyAlignment="1">
      <alignment horizontal="center" vertical="center"/>
    </xf>
    <xf numFmtId="0" fontId="25" fillId="8" borderId="32" xfId="0" applyFont="1" applyFill="1" applyBorder="1" applyAlignment="1">
      <alignment horizontal="center" vertical="center"/>
    </xf>
    <xf numFmtId="49" fontId="1" fillId="0" borderId="0" xfId="0" applyNumberFormat="1" applyFont="1" applyFill="1" applyAlignment="1">
      <alignment horizontal="left" vertical="center"/>
    </xf>
    <xf numFmtId="49" fontId="1" fillId="0" borderId="12" xfId="0" applyNumberFormat="1" applyFont="1" applyFill="1" applyBorder="1" applyAlignment="1">
      <alignment horizontal="left" vertical="center"/>
    </xf>
    <xf numFmtId="182" fontId="89" fillId="0" borderId="80" xfId="0" applyNumberFormat="1" applyFont="1" applyFill="1" applyBorder="1" applyAlignment="1">
      <alignment horizontal="left" vertical="top" wrapText="1"/>
    </xf>
    <xf numFmtId="182" fontId="89" fillId="0" borderId="81" xfId="0" applyNumberFormat="1" applyFont="1" applyFill="1" applyBorder="1" applyAlignment="1">
      <alignment horizontal="left" vertical="top" wrapText="1"/>
    </xf>
    <xf numFmtId="182" fontId="89" fillId="0" borderId="92" xfId="0" applyNumberFormat="1" applyFont="1" applyFill="1" applyBorder="1" applyAlignment="1">
      <alignment horizontal="left" vertical="top" wrapText="1"/>
    </xf>
    <xf numFmtId="182" fontId="89" fillId="0" borderId="11" xfId="0" applyNumberFormat="1" applyFont="1" applyFill="1" applyBorder="1" applyAlignment="1">
      <alignment horizontal="left" vertical="top" wrapText="1"/>
    </xf>
    <xf numFmtId="182" fontId="89" fillId="0" borderId="0" xfId="0" applyNumberFormat="1" applyFont="1" applyFill="1" applyAlignment="1">
      <alignment horizontal="left" vertical="top" wrapText="1"/>
    </xf>
    <xf numFmtId="182" fontId="89" fillId="0" borderId="12" xfId="0" applyNumberFormat="1" applyFont="1" applyFill="1" applyBorder="1" applyAlignment="1">
      <alignment horizontal="left" vertical="top" wrapText="1"/>
    </xf>
    <xf numFmtId="182" fontId="89" fillId="0" borderId="13" xfId="0" applyNumberFormat="1" applyFont="1" applyFill="1" applyBorder="1" applyAlignment="1">
      <alignment horizontal="left" vertical="top" wrapText="1"/>
    </xf>
    <xf numFmtId="182" fontId="89" fillId="0" borderId="16" xfId="0" applyNumberFormat="1" applyFont="1" applyFill="1" applyBorder="1" applyAlignment="1">
      <alignment horizontal="left" vertical="top" wrapText="1"/>
    </xf>
    <xf numFmtId="182" fontId="89" fillId="0" borderId="14" xfId="0" applyNumberFormat="1" applyFont="1" applyFill="1" applyBorder="1" applyAlignment="1">
      <alignment horizontal="left" vertical="top" wrapText="1"/>
    </xf>
    <xf numFmtId="0" fontId="25" fillId="8" borderId="7" xfId="0" applyFont="1" applyFill="1" applyBorder="1" applyAlignment="1">
      <alignment horizontal="center" vertical="center"/>
    </xf>
    <xf numFmtId="0" fontId="25" fillId="8" borderId="15" xfId="0" applyFont="1" applyFill="1" applyBorder="1" applyAlignment="1">
      <alignment horizontal="center" vertical="center"/>
    </xf>
    <xf numFmtId="0" fontId="25" fillId="8" borderId="8" xfId="0" applyFont="1" applyFill="1" applyBorder="1" applyAlignment="1">
      <alignment horizontal="center" vertical="center"/>
    </xf>
    <xf numFmtId="0" fontId="25" fillId="8" borderId="0" xfId="0" applyFont="1" applyFill="1" applyAlignment="1">
      <alignment horizontal="center" vertical="center"/>
    </xf>
    <xf numFmtId="49" fontId="1" fillId="0" borderId="16" xfId="0" applyNumberFormat="1" applyFont="1" applyFill="1" applyBorder="1" applyAlignment="1">
      <alignment horizontal="left" vertical="center" wrapText="1"/>
    </xf>
    <xf numFmtId="49" fontId="1" fillId="0" borderId="14" xfId="0" applyNumberFormat="1" applyFont="1" applyFill="1" applyBorder="1" applyAlignment="1">
      <alignment horizontal="left" vertical="center" wrapText="1"/>
    </xf>
    <xf numFmtId="0" fontId="114" fillId="0" borderId="0" xfId="0" applyFont="1" applyFill="1" applyAlignment="1">
      <alignment horizontal="center" vertical="center"/>
    </xf>
    <xf numFmtId="0" fontId="3" fillId="0" borderId="0" xfId="0" applyFont="1" applyFill="1" applyBorder="1" applyAlignment="1">
      <alignment horizontal="center" vertical="top"/>
    </xf>
    <xf numFmtId="0" fontId="3" fillId="0" borderId="48" xfId="0" applyFont="1" applyFill="1" applyBorder="1" applyAlignment="1">
      <alignment horizontal="center" vertical="top" wrapText="1"/>
    </xf>
    <xf numFmtId="0" fontId="3" fillId="0" borderId="49" xfId="0" applyFont="1" applyFill="1" applyBorder="1" applyAlignment="1">
      <alignment horizontal="center" vertical="top"/>
    </xf>
    <xf numFmtId="49" fontId="1" fillId="0" borderId="0" xfId="0" applyNumberFormat="1" applyFont="1" applyFill="1" applyAlignment="1">
      <alignment horizontal="left" vertical="top" wrapText="1"/>
    </xf>
    <xf numFmtId="49" fontId="1" fillId="0" borderId="12" xfId="0" applyNumberFormat="1" applyFont="1" applyFill="1" applyBorder="1" applyAlignment="1">
      <alignment horizontal="left" vertical="top" wrapText="1"/>
    </xf>
    <xf numFmtId="182" fontId="2" fillId="0" borderId="80" xfId="0" applyNumberFormat="1" applyFont="1" applyFill="1" applyBorder="1" applyAlignment="1" applyProtection="1">
      <alignment horizontal="center" vertical="center" wrapText="1"/>
      <protection locked="0"/>
    </xf>
    <xf numFmtId="182" fontId="2" fillId="0" borderId="81" xfId="0" applyNumberFormat="1" applyFont="1" applyFill="1" applyBorder="1" applyAlignment="1" applyProtection="1">
      <alignment horizontal="center" vertical="center" wrapText="1"/>
      <protection locked="0"/>
    </xf>
    <xf numFmtId="182" fontId="2" fillId="0" borderId="11" xfId="0" applyNumberFormat="1" applyFont="1" applyFill="1" applyBorder="1" applyAlignment="1" applyProtection="1">
      <alignment horizontal="center" vertical="center" wrapText="1"/>
      <protection locked="0"/>
    </xf>
    <xf numFmtId="182" fontId="2" fillId="0" borderId="0" xfId="0" applyNumberFormat="1" applyFont="1" applyFill="1" applyAlignment="1" applyProtection="1">
      <alignment horizontal="center" vertical="center" wrapText="1"/>
      <protection locked="0"/>
    </xf>
    <xf numFmtId="182" fontId="33" fillId="0" borderId="97" xfId="0" applyNumberFormat="1" applyFont="1" applyFill="1" applyBorder="1" applyAlignment="1">
      <alignment horizontal="left" vertical="center" wrapText="1"/>
    </xf>
    <xf numFmtId="182" fontId="33" fillId="0" borderId="81" xfId="0" applyNumberFormat="1" applyFont="1" applyFill="1" applyBorder="1" applyAlignment="1">
      <alignment horizontal="left" vertical="center" wrapText="1"/>
    </xf>
    <xf numFmtId="182" fontId="33" fillId="0" borderId="92" xfId="0" applyNumberFormat="1" applyFont="1" applyFill="1" applyBorder="1" applyAlignment="1">
      <alignment horizontal="left" vertical="center" wrapText="1"/>
    </xf>
    <xf numFmtId="182" fontId="33" fillId="0" borderId="0" xfId="0" applyNumberFormat="1" applyFont="1" applyFill="1" applyAlignment="1">
      <alignment horizontal="left" vertical="center" wrapText="1"/>
    </xf>
    <xf numFmtId="182" fontId="33" fillId="0" borderId="12" xfId="0" applyNumberFormat="1" applyFont="1" applyFill="1" applyBorder="1" applyAlignment="1">
      <alignment horizontal="left" vertical="center" wrapText="1"/>
    </xf>
    <xf numFmtId="0" fontId="98" fillId="8" borderId="0" xfId="0" applyFont="1" applyFill="1" applyAlignment="1">
      <alignment horizontal="center" vertical="center" wrapText="1"/>
    </xf>
    <xf numFmtId="0" fontId="98" fillId="8" borderId="12" xfId="0" applyFont="1" applyFill="1" applyBorder="1" applyAlignment="1">
      <alignment horizontal="center" vertical="center" wrapText="1"/>
    </xf>
    <xf numFmtId="0" fontId="95" fillId="0" borderId="39" xfId="0" applyFont="1" applyFill="1" applyBorder="1" applyAlignment="1">
      <alignment horizontal="center" vertical="center" wrapText="1"/>
    </xf>
    <xf numFmtId="0" fontId="95" fillId="0" borderId="0" xfId="0" applyFont="1" applyFill="1" applyBorder="1" applyAlignment="1">
      <alignment horizontal="center" vertical="center" wrapText="1"/>
    </xf>
    <xf numFmtId="0" fontId="95" fillId="0" borderId="34" xfId="0" applyFont="1" applyFill="1" applyBorder="1" applyAlignment="1">
      <alignment horizontal="center" vertical="center" wrapText="1"/>
    </xf>
    <xf numFmtId="0" fontId="95" fillId="0" borderId="0" xfId="0" applyFont="1" applyFill="1" applyAlignment="1">
      <alignment horizontal="center" vertical="center" wrapText="1"/>
    </xf>
    <xf numFmtId="0" fontId="95" fillId="0" borderId="40" xfId="0" applyFont="1" applyFill="1" applyBorder="1" applyAlignment="1">
      <alignment horizontal="center" vertical="center" wrapText="1"/>
    </xf>
    <xf numFmtId="0" fontId="95" fillId="0" borderId="35" xfId="0" applyFont="1" applyFill="1" applyBorder="1" applyAlignment="1">
      <alignment horizontal="center" vertical="center" wrapText="1"/>
    </xf>
    <xf numFmtId="0" fontId="95" fillId="0" borderId="36" xfId="0" applyFont="1" applyFill="1" applyBorder="1" applyAlignment="1">
      <alignment horizontal="center" vertical="center" wrapText="1"/>
    </xf>
    <xf numFmtId="0" fontId="98" fillId="0" borderId="0" xfId="0" applyFont="1" applyFill="1" applyAlignment="1">
      <alignment horizontal="center" vertical="center" wrapText="1"/>
    </xf>
    <xf numFmtId="0" fontId="98" fillId="8" borderId="0" xfId="0" applyFont="1" applyFill="1" applyAlignment="1">
      <alignment horizontal="center" vertical="center"/>
    </xf>
    <xf numFmtId="0" fontId="98" fillId="0" borderId="0" xfId="0" applyFont="1" applyFill="1" applyAlignment="1">
      <alignment horizontal="center" vertical="center"/>
    </xf>
    <xf numFmtId="0" fontId="98" fillId="0" borderId="16" xfId="0" applyFont="1" applyFill="1" applyBorder="1" applyAlignment="1">
      <alignment horizontal="center" vertical="center"/>
    </xf>
    <xf numFmtId="0" fontId="95" fillId="56" borderId="0" xfId="0" applyFont="1" applyFill="1" applyBorder="1" applyAlignment="1">
      <alignment horizontal="center" vertical="center" wrapText="1"/>
    </xf>
    <xf numFmtId="0" fontId="3" fillId="0" borderId="57" xfId="0" applyFont="1" applyFill="1" applyBorder="1" applyAlignment="1">
      <alignment horizontal="center" vertical="center" wrapText="1"/>
    </xf>
    <xf numFmtId="0" fontId="3" fillId="0" borderId="46" xfId="0" applyFont="1" applyFill="1" applyBorder="1" applyAlignment="1">
      <alignment horizontal="center" vertical="center"/>
    </xf>
    <xf numFmtId="0" fontId="3" fillId="0" borderId="18" xfId="0" applyFont="1" applyFill="1" applyBorder="1" applyAlignment="1">
      <alignment horizontal="center" vertical="center"/>
    </xf>
    <xf numFmtId="0" fontId="3" fillId="0" borderId="49" xfId="0" applyFont="1" applyFill="1" applyBorder="1" applyAlignment="1">
      <alignment horizontal="center" vertical="center"/>
    </xf>
    <xf numFmtId="0" fontId="3" fillId="0" borderId="29" xfId="0" applyFont="1" applyFill="1" applyBorder="1" applyAlignment="1">
      <alignment horizontal="center" vertical="center"/>
    </xf>
    <xf numFmtId="0" fontId="3" fillId="0" borderId="32" xfId="0" applyFont="1" applyFill="1" applyBorder="1" applyAlignment="1">
      <alignment horizontal="center" vertical="center"/>
    </xf>
    <xf numFmtId="0" fontId="99" fillId="4" borderId="0" xfId="0" applyFont="1" applyFill="1" applyAlignment="1">
      <alignment horizontal="center" vertical="center" wrapText="1"/>
    </xf>
    <xf numFmtId="0" fontId="99" fillId="4" borderId="0" xfId="0" applyFont="1" applyFill="1" applyAlignment="1">
      <alignment horizontal="center" vertical="center"/>
    </xf>
    <xf numFmtId="0" fontId="99" fillId="4" borderId="138" xfId="0" applyFont="1" applyFill="1" applyBorder="1" applyAlignment="1">
      <alignment horizontal="center" vertical="center"/>
    </xf>
    <xf numFmtId="0" fontId="99" fillId="8" borderId="0" xfId="0" applyFont="1" applyFill="1" applyAlignment="1">
      <alignment horizontal="center" vertical="center" wrapText="1"/>
    </xf>
    <xf numFmtId="0" fontId="99" fillId="8" borderId="0" xfId="0" applyFont="1" applyFill="1" applyAlignment="1">
      <alignment horizontal="center" vertical="center"/>
    </xf>
    <xf numFmtId="0" fontId="99" fillId="8" borderId="138" xfId="0" applyFont="1" applyFill="1" applyBorder="1" applyAlignment="1">
      <alignment horizontal="center" vertical="center"/>
    </xf>
    <xf numFmtId="0" fontId="95" fillId="55" borderId="0" xfId="0" applyFont="1" applyFill="1" applyAlignment="1">
      <alignment horizontal="center" vertical="center"/>
    </xf>
    <xf numFmtId="0" fontId="95" fillId="57" borderId="0" xfId="0" applyFont="1" applyFill="1" applyAlignment="1">
      <alignment horizontal="center" vertical="center"/>
    </xf>
    <xf numFmtId="0" fontId="95" fillId="59" borderId="0" xfId="0" applyFont="1" applyFill="1" applyAlignment="1">
      <alignment horizontal="center" vertical="center"/>
    </xf>
    <xf numFmtId="0" fontId="95" fillId="60" borderId="0" xfId="0" applyFont="1" applyFill="1" applyAlignment="1">
      <alignment horizontal="center" vertical="center"/>
    </xf>
    <xf numFmtId="0" fontId="95" fillId="61" borderId="0" xfId="0" applyFont="1" applyFill="1" applyAlignment="1">
      <alignment horizontal="center" vertical="center"/>
    </xf>
    <xf numFmtId="0" fontId="95" fillId="0" borderId="1" xfId="0" applyFont="1" applyFill="1" applyBorder="1" applyAlignment="1">
      <alignment horizontal="center" vertical="center" wrapText="1"/>
    </xf>
    <xf numFmtId="0" fontId="22" fillId="0" borderId="57" xfId="0" applyFont="1" applyFill="1" applyBorder="1" applyAlignment="1">
      <alignment horizontal="center" vertical="center"/>
    </xf>
    <xf numFmtId="0" fontId="22" fillId="0" borderId="46" xfId="0" applyFont="1" applyFill="1" applyBorder="1" applyAlignment="1">
      <alignment horizontal="center" vertical="center"/>
    </xf>
    <xf numFmtId="0" fontId="22" fillId="0" borderId="18" xfId="0" applyFont="1" applyFill="1" applyBorder="1" applyAlignment="1">
      <alignment horizontal="center" vertical="center"/>
    </xf>
    <xf numFmtId="0" fontId="22" fillId="0" borderId="49" xfId="0" applyFont="1" applyFill="1" applyBorder="1" applyAlignment="1">
      <alignment horizontal="center" vertical="center"/>
    </xf>
    <xf numFmtId="0" fontId="22" fillId="0" borderId="29" xfId="0" applyFont="1" applyFill="1" applyBorder="1" applyAlignment="1">
      <alignment horizontal="center" vertical="center"/>
    </xf>
    <xf numFmtId="0" fontId="22" fillId="0" borderId="32" xfId="0" applyFont="1" applyFill="1" applyBorder="1" applyAlignment="1">
      <alignment horizontal="center" vertical="center"/>
    </xf>
    <xf numFmtId="0" fontId="3" fillId="0" borderId="136" xfId="0" applyFont="1" applyFill="1" applyBorder="1" applyAlignment="1">
      <alignment horizontal="center" vertical="center"/>
    </xf>
    <xf numFmtId="0" fontId="3" fillId="0" borderId="137" xfId="0" applyFont="1" applyFill="1" applyBorder="1" applyAlignment="1">
      <alignment horizontal="center" vertical="center"/>
    </xf>
    <xf numFmtId="0" fontId="3" fillId="0" borderId="140" xfId="0" applyFont="1" applyFill="1" applyBorder="1" applyAlignment="1">
      <alignment horizontal="center" vertical="center"/>
    </xf>
    <xf numFmtId="0" fontId="3" fillId="0" borderId="48" xfId="0" applyFont="1" applyFill="1" applyBorder="1" applyAlignment="1">
      <alignment horizontal="center" vertical="center"/>
    </xf>
    <xf numFmtId="0" fontId="3" fillId="0" borderId="12" xfId="0" applyFont="1" applyFill="1" applyBorder="1" applyAlignment="1">
      <alignment horizontal="center" vertical="center"/>
    </xf>
    <xf numFmtId="0" fontId="3" fillId="0" borderId="60" xfId="0" applyFont="1" applyFill="1" applyBorder="1" applyAlignment="1">
      <alignment horizontal="center" vertical="center"/>
    </xf>
    <xf numFmtId="0" fontId="99" fillId="4" borderId="133" xfId="0" applyFont="1" applyFill="1" applyBorder="1" applyAlignment="1">
      <alignment horizontal="center" vertical="center"/>
    </xf>
    <xf numFmtId="0" fontId="99" fillId="8" borderId="133" xfId="0" applyFont="1" applyFill="1" applyBorder="1" applyAlignment="1">
      <alignment horizontal="center" vertical="center"/>
    </xf>
    <xf numFmtId="0" fontId="99" fillId="8" borderId="134" xfId="0" applyFont="1" applyFill="1" applyBorder="1" applyAlignment="1">
      <alignment horizontal="center" vertical="center"/>
    </xf>
    <xf numFmtId="0" fontId="99" fillId="8" borderId="135" xfId="0" applyFont="1" applyFill="1" applyBorder="1" applyAlignment="1">
      <alignment horizontal="center" vertical="center"/>
    </xf>
    <xf numFmtId="0" fontId="99" fillId="8" borderId="139" xfId="0" applyFont="1" applyFill="1" applyBorder="1" applyAlignment="1">
      <alignment horizontal="center" vertical="center"/>
    </xf>
    <xf numFmtId="0" fontId="95" fillId="3" borderId="0" xfId="0" applyFont="1" applyFill="1" applyBorder="1" applyAlignment="1">
      <alignment horizontal="center" vertical="center" wrapText="1"/>
    </xf>
    <xf numFmtId="0" fontId="95" fillId="3" borderId="0" xfId="0" applyFont="1" applyFill="1" applyBorder="1" applyAlignment="1">
      <alignment horizontal="center" vertical="center"/>
    </xf>
    <xf numFmtId="0" fontId="98" fillId="49" borderId="0" xfId="0" applyFont="1" applyFill="1" applyBorder="1" applyAlignment="1">
      <alignment horizontal="center" vertical="center" wrapText="1"/>
    </xf>
    <xf numFmtId="0" fontId="98" fillId="0" borderId="12" xfId="0" applyFont="1" applyFill="1" applyBorder="1" applyAlignment="1">
      <alignment horizontal="center" vertical="center" wrapText="1"/>
    </xf>
    <xf numFmtId="0" fontId="98" fillId="0" borderId="14" xfId="0" applyFont="1" applyFill="1" applyBorder="1" applyAlignment="1">
      <alignment horizontal="center" vertical="center" wrapText="1"/>
    </xf>
    <xf numFmtId="0" fontId="2" fillId="8" borderId="7" xfId="0" applyFont="1" applyFill="1" applyBorder="1" applyAlignment="1">
      <alignment horizontal="center" vertical="center"/>
    </xf>
    <xf numFmtId="0" fontId="2" fillId="8" borderId="15" xfId="0" applyFont="1" applyFill="1" applyBorder="1" applyAlignment="1">
      <alignment horizontal="center" vertical="center"/>
    </xf>
    <xf numFmtId="0" fontId="2" fillId="8" borderId="8" xfId="0" applyFont="1" applyFill="1" applyBorder="1" applyAlignment="1">
      <alignment horizontal="center" vertical="center"/>
    </xf>
    <xf numFmtId="0" fontId="2" fillId="8" borderId="11" xfId="0" applyFont="1" applyFill="1" applyBorder="1" applyAlignment="1">
      <alignment horizontal="center" vertical="center"/>
    </xf>
    <xf numFmtId="0" fontId="2" fillId="8" borderId="0" xfId="0" applyFont="1" applyFill="1" applyAlignment="1">
      <alignment horizontal="center" vertical="center"/>
    </xf>
    <xf numFmtId="0" fontId="2" fillId="8" borderId="0" xfId="0" applyFont="1" applyFill="1" applyBorder="1" applyAlignment="1">
      <alignment horizontal="center" vertical="center"/>
    </xf>
    <xf numFmtId="0" fontId="2" fillId="8" borderId="12" xfId="0" applyFont="1" applyFill="1" applyBorder="1" applyAlignment="1">
      <alignment horizontal="center" vertical="center"/>
    </xf>
    <xf numFmtId="0" fontId="96" fillId="64" borderId="0" xfId="0" applyFont="1" applyFill="1" applyAlignment="1">
      <alignment horizontal="center" vertical="center" wrapText="1"/>
    </xf>
    <xf numFmtId="0" fontId="95" fillId="54" borderId="0" xfId="0" applyFont="1" applyFill="1" applyAlignment="1">
      <alignment horizontal="center" vertical="center" wrapText="1"/>
    </xf>
    <xf numFmtId="0" fontId="95" fillId="65" borderId="0" xfId="0" applyFont="1" applyFill="1" applyBorder="1" applyAlignment="1">
      <alignment horizontal="center" vertical="center"/>
    </xf>
    <xf numFmtId="0" fontId="99" fillId="0" borderId="0" xfId="0" applyFont="1" applyFill="1" applyAlignment="1">
      <alignment horizontal="center" vertical="center"/>
    </xf>
    <xf numFmtId="0" fontId="99" fillId="0" borderId="132" xfId="0" applyFont="1" applyFill="1" applyBorder="1" applyAlignment="1">
      <alignment horizontal="center" vertical="center"/>
    </xf>
    <xf numFmtId="0" fontId="1" fillId="0" borderId="11" xfId="0" applyFont="1" applyFill="1" applyBorder="1" applyAlignment="1">
      <alignment horizontal="center" vertical="center" wrapText="1"/>
    </xf>
    <xf numFmtId="0" fontId="1" fillId="0" borderId="0" xfId="0" applyFont="1" applyFill="1" applyAlignment="1">
      <alignment horizontal="center" vertical="center" wrapText="1"/>
    </xf>
    <xf numFmtId="0" fontId="1" fillId="0" borderId="12" xfId="0" applyFont="1" applyFill="1" applyBorder="1" applyAlignment="1">
      <alignment horizontal="center" vertical="center" wrapText="1"/>
    </xf>
    <xf numFmtId="0" fontId="109" fillId="0" borderId="11" xfId="0" applyFont="1" applyFill="1" applyBorder="1" applyAlignment="1">
      <alignment horizontal="center" vertical="center" wrapText="1"/>
    </xf>
    <xf numFmtId="0" fontId="109" fillId="0" borderId="0" xfId="0" applyFont="1" applyFill="1" applyAlignment="1">
      <alignment horizontal="center" vertical="center" wrapText="1"/>
    </xf>
    <xf numFmtId="0" fontId="109" fillId="0" borderId="12" xfId="0" applyFont="1" applyFill="1" applyBorder="1" applyAlignment="1">
      <alignment horizontal="center" vertical="center" wrapText="1"/>
    </xf>
    <xf numFmtId="0" fontId="109" fillId="0" borderId="13" xfId="0" applyFont="1" applyFill="1" applyBorder="1" applyAlignment="1">
      <alignment horizontal="center" vertical="center" wrapText="1"/>
    </xf>
    <xf numFmtId="0" fontId="109" fillId="0" borderId="16" xfId="0" applyFont="1" applyFill="1" applyBorder="1" applyAlignment="1">
      <alignment horizontal="center" vertical="center" wrapText="1"/>
    </xf>
    <xf numFmtId="0" fontId="109" fillId="0" borderId="14" xfId="0" applyFont="1" applyFill="1" applyBorder="1" applyAlignment="1">
      <alignment horizontal="center" vertical="center" wrapText="1"/>
    </xf>
    <xf numFmtId="0" fontId="95" fillId="62" borderId="0" xfId="0" applyFont="1" applyFill="1" applyAlignment="1">
      <alignment horizontal="center" vertical="center" wrapText="1"/>
    </xf>
    <xf numFmtId="0" fontId="95" fillId="0" borderId="2" xfId="0" applyFont="1" applyFill="1" applyBorder="1" applyAlignment="1">
      <alignment horizontal="center" vertical="center" wrapText="1"/>
    </xf>
    <xf numFmtId="0" fontId="99" fillId="4" borderId="119" xfId="0" applyFont="1" applyFill="1" applyBorder="1" applyAlignment="1">
      <alignment horizontal="center" vertical="center"/>
    </xf>
    <xf numFmtId="0" fontId="98" fillId="8" borderId="12" xfId="0" applyFont="1" applyFill="1" applyBorder="1" applyAlignment="1">
      <alignment horizontal="center" vertical="center"/>
    </xf>
    <xf numFmtId="0" fontId="95" fillId="8" borderId="0" xfId="0" applyFont="1" applyFill="1" applyBorder="1" applyAlignment="1">
      <alignment horizontal="center" vertical="center"/>
    </xf>
    <xf numFmtId="0" fontId="16" fillId="0" borderId="78" xfId="0" applyFont="1" applyFill="1" applyBorder="1" applyAlignment="1">
      <alignment horizontal="center" vertical="center" wrapText="1"/>
    </xf>
    <xf numFmtId="0" fontId="16" fillId="0" borderId="0" xfId="0" applyFont="1" applyFill="1" applyAlignment="1">
      <alignment horizontal="center" vertical="center" wrapText="1"/>
    </xf>
    <xf numFmtId="0" fontId="16" fillId="0" borderId="12" xfId="0" applyFont="1" applyFill="1" applyBorder="1" applyAlignment="1">
      <alignment horizontal="center" vertical="center" wrapText="1"/>
    </xf>
    <xf numFmtId="0" fontId="16" fillId="0" borderId="88" xfId="0" applyFont="1" applyFill="1" applyBorder="1" applyAlignment="1">
      <alignment horizontal="center" vertical="center" wrapText="1"/>
    </xf>
    <xf numFmtId="0" fontId="16" fillId="0" borderId="87" xfId="0" applyFont="1" applyFill="1" applyBorder="1" applyAlignment="1">
      <alignment horizontal="center" vertical="center" wrapText="1"/>
    </xf>
    <xf numFmtId="0" fontId="16" fillId="0" borderId="89" xfId="0" applyFont="1" applyFill="1" applyBorder="1" applyAlignment="1">
      <alignment horizontal="center" vertical="center" wrapText="1"/>
    </xf>
    <xf numFmtId="0" fontId="16" fillId="0" borderId="94" xfId="0" applyFont="1" applyFill="1" applyBorder="1" applyAlignment="1">
      <alignment horizontal="center" vertical="center" wrapText="1"/>
    </xf>
    <xf numFmtId="0" fontId="16" fillId="0" borderId="0" xfId="0" applyFont="1" applyFill="1" applyBorder="1" applyAlignment="1">
      <alignment horizontal="center" vertical="center" wrapText="1"/>
    </xf>
    <xf numFmtId="0" fontId="16" fillId="0" borderId="142" xfId="0" applyFont="1" applyFill="1" applyBorder="1" applyAlignment="1">
      <alignment horizontal="center" vertical="center" wrapText="1"/>
    </xf>
    <xf numFmtId="0" fontId="16" fillId="0" borderId="143" xfId="0" applyFont="1" applyFill="1" applyBorder="1" applyAlignment="1">
      <alignment horizontal="center" vertical="center" wrapText="1"/>
    </xf>
    <xf numFmtId="0" fontId="1" fillId="0" borderId="82" xfId="0" applyFont="1" applyFill="1" applyBorder="1" applyAlignment="1">
      <alignment horizontal="center" vertical="center" wrapText="1"/>
    </xf>
    <xf numFmtId="0" fontId="1" fillId="0" borderId="83" xfId="0" applyFont="1" applyFill="1" applyBorder="1" applyAlignment="1">
      <alignment horizontal="center" vertical="center" wrapText="1"/>
    </xf>
    <xf numFmtId="0" fontId="2" fillId="8" borderId="82" xfId="0" applyFont="1" applyFill="1" applyBorder="1" applyAlignment="1">
      <alignment horizontal="center" vertical="center"/>
    </xf>
    <xf numFmtId="0" fontId="2" fillId="8" borderId="83" xfId="0" applyFont="1" applyFill="1" applyBorder="1" applyAlignment="1">
      <alignment horizontal="center" vertical="center"/>
    </xf>
    <xf numFmtId="0" fontId="2" fillId="8" borderId="94"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46" xfId="0" applyFont="1" applyFill="1" applyBorder="1" applyAlignment="1">
      <alignment horizontal="center" vertical="center"/>
    </xf>
    <xf numFmtId="0" fontId="1" fillId="0" borderId="57" xfId="0" applyFont="1" applyFill="1" applyBorder="1" applyAlignment="1">
      <alignment horizontal="center" vertical="center"/>
    </xf>
    <xf numFmtId="0" fontId="1" fillId="0" borderId="51" xfId="0" applyFont="1" applyFill="1" applyBorder="1" applyAlignment="1">
      <alignment horizontal="center" vertical="center"/>
    </xf>
    <xf numFmtId="0" fontId="1" fillId="0" borderId="18" xfId="0" applyFont="1" applyFill="1" applyBorder="1" applyAlignment="1">
      <alignment horizontal="center" vertical="center"/>
    </xf>
    <xf numFmtId="0" fontId="23" fillId="0" borderId="78" xfId="0" applyFont="1" applyFill="1" applyBorder="1" applyAlignment="1">
      <alignment horizontal="center" vertical="center"/>
    </xf>
    <xf numFmtId="0" fontId="23" fillId="0" borderId="0" xfId="0" applyFont="1" applyFill="1" applyAlignment="1">
      <alignment horizontal="center" vertical="center"/>
    </xf>
    <xf numFmtId="0" fontId="23" fillId="0" borderId="12" xfId="0" applyFont="1" applyFill="1" applyBorder="1" applyAlignment="1">
      <alignment horizontal="center" vertical="center"/>
    </xf>
    <xf numFmtId="0" fontId="23" fillId="0" borderId="0" xfId="0" applyFont="1" applyFill="1" applyBorder="1" applyAlignment="1">
      <alignment horizontal="center" vertical="center"/>
    </xf>
    <xf numFmtId="0" fontId="23" fillId="0" borderId="84" xfId="0" applyFont="1" applyFill="1" applyBorder="1" applyAlignment="1">
      <alignment horizontal="center" vertical="center"/>
    </xf>
    <xf numFmtId="0" fontId="23" fillId="0" borderId="81" xfId="0" applyFont="1" applyFill="1" applyBorder="1" applyAlignment="1">
      <alignment horizontal="center" vertical="center"/>
    </xf>
    <xf numFmtId="0" fontId="23" fillId="0" borderId="92" xfId="0" applyFont="1" applyFill="1" applyBorder="1" applyAlignment="1">
      <alignment horizontal="center" vertical="center"/>
    </xf>
    <xf numFmtId="0" fontId="3" fillId="0" borderId="57" xfId="0" applyFont="1" applyFill="1" applyBorder="1" applyAlignment="1">
      <alignment horizontal="center" vertical="center"/>
    </xf>
    <xf numFmtId="0" fontId="95" fillId="0" borderId="5" xfId="0" applyFont="1" applyFill="1" applyBorder="1" applyAlignment="1">
      <alignment horizontal="center" vertical="center" wrapText="1"/>
    </xf>
    <xf numFmtId="0" fontId="95" fillId="0" borderId="38" xfId="0" applyFont="1" applyFill="1" applyBorder="1" applyAlignment="1">
      <alignment horizontal="center" vertical="center"/>
    </xf>
    <xf numFmtId="0" fontId="95" fillId="0" borderId="31" xfId="0" applyFont="1" applyFill="1" applyBorder="1" applyAlignment="1">
      <alignment horizontal="center" vertical="center"/>
    </xf>
    <xf numFmtId="0" fontId="95" fillId="0" borderId="6" xfId="0" applyFont="1" applyFill="1" applyBorder="1" applyAlignment="1">
      <alignment horizontal="center" vertical="center"/>
    </xf>
    <xf numFmtId="0" fontId="95" fillId="0" borderId="39" xfId="0" applyFont="1" applyFill="1" applyBorder="1" applyAlignment="1">
      <alignment horizontal="center" vertical="center"/>
    </xf>
    <xf numFmtId="0" fontId="95" fillId="0" borderId="0" xfId="0" applyFont="1" applyFill="1" applyAlignment="1">
      <alignment horizontal="center" vertical="center"/>
    </xf>
    <xf numFmtId="0" fontId="95" fillId="0" borderId="34" xfId="0" applyFont="1" applyFill="1" applyBorder="1" applyAlignment="1">
      <alignment horizontal="center" vertical="center"/>
    </xf>
    <xf numFmtId="0" fontId="95" fillId="0" borderId="40" xfId="0" applyFont="1" applyFill="1" applyBorder="1" applyAlignment="1">
      <alignment horizontal="center" vertical="center"/>
    </xf>
    <xf numFmtId="0" fontId="95" fillId="0" borderId="35" xfId="0" applyFont="1" applyFill="1" applyBorder="1" applyAlignment="1">
      <alignment horizontal="center" vertical="center"/>
    </xf>
    <xf numFmtId="0" fontId="95" fillId="0" borderId="36" xfId="0" applyFont="1" applyFill="1" applyBorder="1" applyAlignment="1">
      <alignment horizontal="center" vertical="center"/>
    </xf>
    <xf numFmtId="0" fontId="99" fillId="8" borderId="119" xfId="0" applyFont="1" applyFill="1" applyBorder="1" applyAlignment="1">
      <alignment horizontal="center" vertical="center"/>
    </xf>
    <xf numFmtId="0" fontId="99" fillId="8" borderId="120" xfId="0" applyFont="1" applyFill="1" applyBorder="1" applyAlignment="1">
      <alignment horizontal="center" vertical="center"/>
    </xf>
    <xf numFmtId="0" fontId="59" fillId="0" borderId="0" xfId="0" applyFont="1" applyFill="1" applyBorder="1" applyAlignment="1">
      <alignment horizontal="center" vertical="center"/>
    </xf>
    <xf numFmtId="0" fontId="107" fillId="4" borderId="0" xfId="0" applyFont="1" applyFill="1" applyAlignment="1">
      <alignment horizontal="center" vertical="center"/>
    </xf>
    <xf numFmtId="0" fontId="108" fillId="4" borderId="0" xfId="0" applyFont="1" applyFill="1" applyAlignment="1">
      <alignment horizontal="center" vertical="center"/>
    </xf>
    <xf numFmtId="0" fontId="108" fillId="4" borderId="138" xfId="0" applyFont="1" applyFill="1" applyBorder="1" applyAlignment="1">
      <alignment horizontal="center" vertical="center"/>
    </xf>
    <xf numFmtId="0" fontId="95" fillId="0" borderId="0" xfId="0" applyFont="1" applyFill="1" applyBorder="1" applyAlignment="1">
      <alignment horizontal="center" vertical="center"/>
    </xf>
    <xf numFmtId="0" fontId="95" fillId="63" borderId="0" xfId="0" applyFont="1" applyFill="1" applyAlignment="1">
      <alignment horizontal="center" vertical="center"/>
    </xf>
    <xf numFmtId="0" fontId="95" fillId="66" borderId="0" xfId="0" applyFont="1" applyFill="1" applyAlignment="1">
      <alignment horizontal="center" vertical="center"/>
    </xf>
    <xf numFmtId="0" fontId="95" fillId="8" borderId="11" xfId="0" applyFont="1" applyFill="1" applyBorder="1" applyAlignment="1">
      <alignment horizontal="center" vertical="center"/>
    </xf>
    <xf numFmtId="0" fontId="95" fillId="8" borderId="13" xfId="0" applyFont="1" applyFill="1" applyBorder="1" applyAlignment="1">
      <alignment horizontal="center" vertical="center"/>
    </xf>
    <xf numFmtId="0" fontId="95" fillId="8" borderId="16" xfId="0" applyFont="1" applyFill="1" applyBorder="1" applyAlignment="1">
      <alignment horizontal="center" vertical="center"/>
    </xf>
    <xf numFmtId="0" fontId="95" fillId="8" borderId="97" xfId="0" applyFont="1" applyFill="1" applyBorder="1" applyAlignment="1">
      <alignment horizontal="center" vertical="center"/>
    </xf>
    <xf numFmtId="0" fontId="95" fillId="8" borderId="98" xfId="0" applyFont="1" applyFill="1" applyBorder="1" applyAlignment="1">
      <alignment horizontal="center" vertical="center"/>
    </xf>
    <xf numFmtId="0" fontId="95" fillId="0" borderId="78" xfId="0" applyFont="1" applyFill="1" applyBorder="1" applyAlignment="1">
      <alignment horizontal="center" vertical="center"/>
    </xf>
    <xf numFmtId="0" fontId="95" fillId="0" borderId="90" xfId="0" applyFont="1" applyFill="1" applyBorder="1" applyAlignment="1">
      <alignment horizontal="center" vertical="center"/>
    </xf>
    <xf numFmtId="0" fontId="95" fillId="0" borderId="98" xfId="0" applyFont="1" applyFill="1" applyBorder="1" applyAlignment="1">
      <alignment horizontal="center" vertical="center"/>
    </xf>
    <xf numFmtId="0" fontId="95" fillId="0" borderId="16" xfId="0" applyFont="1" applyFill="1" applyBorder="1" applyAlignment="1">
      <alignment horizontal="center" vertical="center"/>
    </xf>
    <xf numFmtId="0" fontId="95" fillId="0" borderId="96" xfId="0" applyFont="1" applyFill="1" applyBorder="1" applyAlignment="1">
      <alignment horizontal="center" vertical="center"/>
    </xf>
    <xf numFmtId="0" fontId="95" fillId="8" borderId="93" xfId="0" applyFont="1" applyFill="1" applyBorder="1" applyAlignment="1">
      <alignment horizontal="center" vertical="center"/>
    </xf>
    <xf numFmtId="0" fontId="95" fillId="8" borderId="121" xfId="0" applyFont="1" applyFill="1" applyBorder="1" applyAlignment="1">
      <alignment horizontal="center" vertical="center"/>
    </xf>
    <xf numFmtId="0" fontId="95" fillId="8" borderId="78" xfId="0" applyFont="1" applyFill="1" applyBorder="1" applyAlignment="1">
      <alignment horizontal="center" vertical="center"/>
    </xf>
    <xf numFmtId="0" fontId="95" fillId="0" borderId="12" xfId="0" applyFont="1" applyFill="1" applyBorder="1" applyAlignment="1">
      <alignment horizontal="center" vertical="center"/>
    </xf>
    <xf numFmtId="0" fontId="95" fillId="0" borderId="14" xfId="0" applyFont="1" applyFill="1" applyBorder="1" applyAlignment="1">
      <alignment horizontal="center" vertical="center"/>
    </xf>
    <xf numFmtId="0" fontId="95" fillId="63" borderId="0" xfId="0" applyFont="1" applyFill="1" applyBorder="1" applyAlignment="1">
      <alignment horizontal="center" vertical="center" wrapText="1"/>
    </xf>
    <xf numFmtId="0" fontId="98" fillId="0" borderId="12" xfId="0" applyFont="1" applyFill="1" applyBorder="1" applyAlignment="1">
      <alignment horizontal="center" vertical="center"/>
    </xf>
    <xf numFmtId="0" fontId="1" fillId="0" borderId="78"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90" xfId="0" applyFont="1" applyFill="1" applyBorder="1" applyAlignment="1">
      <alignment horizontal="center" vertical="center" wrapText="1"/>
    </xf>
    <xf numFmtId="0" fontId="1" fillId="0" borderId="85" xfId="0" applyFont="1" applyFill="1" applyBorder="1" applyAlignment="1">
      <alignment horizontal="center" vertical="center" wrapText="1"/>
    </xf>
    <xf numFmtId="0" fontId="1" fillId="0" borderId="141" xfId="0" applyFont="1" applyFill="1" applyBorder="1" applyAlignment="1">
      <alignment horizontal="center" vertical="center" wrapText="1"/>
    </xf>
    <xf numFmtId="0" fontId="99" fillId="8" borderId="120" xfId="0" applyFont="1" applyFill="1" applyBorder="1" applyAlignment="1">
      <alignment horizontal="center" vertical="center" wrapText="1"/>
    </xf>
    <xf numFmtId="0" fontId="99" fillId="8" borderId="127" xfId="0" applyFont="1" applyFill="1" applyBorder="1" applyAlignment="1">
      <alignment horizontal="center" vertical="center"/>
    </xf>
    <xf numFmtId="0" fontId="95" fillId="59" borderId="0" xfId="0" applyFont="1" applyFill="1" applyBorder="1" applyAlignment="1">
      <alignment horizontal="center" vertical="center"/>
    </xf>
    <xf numFmtId="0" fontId="95" fillId="59" borderId="112" xfId="0" applyFont="1" applyFill="1" applyBorder="1" applyAlignment="1">
      <alignment horizontal="center" vertical="center"/>
    </xf>
    <xf numFmtId="0" fontId="95" fillId="61" borderId="0" xfId="0" applyFont="1" applyFill="1" applyBorder="1" applyAlignment="1">
      <alignment horizontal="center" vertical="center" wrapText="1"/>
    </xf>
    <xf numFmtId="0" fontId="95" fillId="66" borderId="0" xfId="0" applyFont="1" applyFill="1" applyBorder="1" applyAlignment="1">
      <alignment horizontal="center" vertical="center" wrapText="1"/>
    </xf>
    <xf numFmtId="0" fontId="98" fillId="8" borderId="11" xfId="0" applyFont="1" applyFill="1" applyBorder="1" applyAlignment="1">
      <alignment horizontal="center" vertical="center"/>
    </xf>
    <xf numFmtId="0" fontId="98" fillId="0" borderId="11" xfId="0" applyFont="1" applyFill="1" applyBorder="1" applyAlignment="1">
      <alignment horizontal="center" vertical="center"/>
    </xf>
    <xf numFmtId="0" fontId="98" fillId="0" borderId="13" xfId="0" applyFont="1" applyFill="1" applyBorder="1" applyAlignment="1">
      <alignment horizontal="center" vertical="center"/>
    </xf>
    <xf numFmtId="0" fontId="105" fillId="8" borderId="11" xfId="0" applyFont="1" applyFill="1" applyBorder="1" applyAlignment="1">
      <alignment horizontal="center" vertical="center"/>
    </xf>
    <xf numFmtId="0" fontId="105" fillId="8" borderId="0" xfId="0" applyFont="1" applyFill="1" applyAlignment="1">
      <alignment horizontal="center" vertical="center"/>
    </xf>
    <xf numFmtId="49" fontId="1" fillId="9" borderId="0" xfId="0" applyNumberFormat="1" applyFont="1" applyFill="1" applyBorder="1" applyAlignment="1">
      <alignment horizontal="center" vertical="center"/>
    </xf>
    <xf numFmtId="0" fontId="106" fillId="4" borderId="11" xfId="0" applyFont="1" applyFill="1" applyBorder="1" applyAlignment="1">
      <alignment horizontal="center" vertical="center"/>
    </xf>
    <xf numFmtId="0" fontId="106" fillId="4" borderId="0" xfId="0" applyFont="1" applyFill="1" applyAlignment="1">
      <alignment horizontal="center" vertical="center"/>
    </xf>
    <xf numFmtId="49" fontId="1" fillId="0" borderId="0" xfId="0" applyNumberFormat="1" applyFont="1" applyFill="1" applyBorder="1" applyAlignment="1">
      <alignment horizontal="center" vertical="center"/>
    </xf>
    <xf numFmtId="49" fontId="1" fillId="4" borderId="0" xfId="0" applyNumberFormat="1" applyFont="1" applyFill="1" applyBorder="1" applyAlignment="1">
      <alignment horizontal="center" vertical="center"/>
    </xf>
    <xf numFmtId="0" fontId="99" fillId="0" borderId="1" xfId="0" applyFont="1" applyFill="1" applyBorder="1" applyAlignment="1">
      <alignment horizontal="center" vertical="center" wrapText="1"/>
    </xf>
    <xf numFmtId="0" fontId="100" fillId="0" borderId="1" xfId="0" applyFont="1" applyFill="1" applyBorder="1" applyAlignment="1">
      <alignment horizontal="center" vertical="center" wrapText="1"/>
    </xf>
    <xf numFmtId="0" fontId="99" fillId="0" borderId="2" xfId="0" applyFont="1" applyFill="1" applyBorder="1" applyAlignment="1">
      <alignment horizontal="center" vertical="center" wrapText="1"/>
    </xf>
    <xf numFmtId="0" fontId="99" fillId="0" borderId="61" xfId="0" applyFont="1" applyFill="1" applyBorder="1" applyAlignment="1">
      <alignment horizontal="center" vertical="center" wrapText="1"/>
    </xf>
    <xf numFmtId="0" fontId="99" fillId="0" borderId="3" xfId="0" applyFont="1" applyFill="1" applyBorder="1" applyAlignment="1">
      <alignment horizontal="center" vertical="center" wrapText="1"/>
    </xf>
    <xf numFmtId="0" fontId="1" fillId="67" borderId="15" xfId="0" applyFont="1" applyFill="1" applyBorder="1" applyAlignment="1">
      <alignment horizontal="center" vertical="center"/>
    </xf>
    <xf numFmtId="0" fontId="103" fillId="0" borderId="0" xfId="0" applyFont="1" applyFill="1" applyAlignment="1">
      <alignment horizontal="center" vertical="center" wrapText="1"/>
    </xf>
    <xf numFmtId="0" fontId="95" fillId="49" borderId="0" xfId="0" applyFont="1" applyFill="1" applyBorder="1" applyAlignment="1">
      <alignment horizontal="center" vertical="center" wrapText="1"/>
    </xf>
    <xf numFmtId="0" fontId="98" fillId="56" borderId="0" xfId="0" applyFont="1" applyFill="1" applyBorder="1" applyAlignment="1">
      <alignment horizontal="center" vertical="center"/>
    </xf>
    <xf numFmtId="0" fontId="95" fillId="58" borderId="0" xfId="0" applyFont="1" applyFill="1" applyAlignment="1">
      <alignment horizontal="center" vertical="center" wrapText="1"/>
    </xf>
    <xf numFmtId="0" fontId="95" fillId="58" borderId="0" xfId="0" applyFont="1" applyFill="1" applyAlignment="1">
      <alignment horizontal="center" vertical="center"/>
    </xf>
    <xf numFmtId="0" fontId="7" fillId="67" borderId="7" xfId="0" applyFont="1" applyFill="1" applyBorder="1" applyAlignment="1">
      <alignment horizontal="center" vertical="center" wrapText="1"/>
    </xf>
    <xf numFmtId="0" fontId="7" fillId="67" borderId="15" xfId="0" applyFont="1" applyFill="1" applyBorder="1" applyAlignment="1">
      <alignment horizontal="center" vertical="center" wrapText="1"/>
    </xf>
    <xf numFmtId="0" fontId="7" fillId="67" borderId="11" xfId="0" applyFont="1" applyFill="1" applyBorder="1" applyAlignment="1">
      <alignment horizontal="center" vertical="center" wrapText="1"/>
    </xf>
    <xf numFmtId="0" fontId="7" fillId="67" borderId="0" xfId="0" applyFont="1" applyFill="1" applyBorder="1" applyAlignment="1">
      <alignment horizontal="center" vertical="center" wrapText="1"/>
    </xf>
    <xf numFmtId="0" fontId="7" fillId="67" borderId="13" xfId="0" applyFont="1" applyFill="1" applyBorder="1" applyAlignment="1">
      <alignment horizontal="center" vertical="center" wrapText="1"/>
    </xf>
    <xf numFmtId="0" fontId="7" fillId="67" borderId="16" xfId="0" applyFont="1" applyFill="1" applyBorder="1" applyAlignment="1">
      <alignment horizontal="center" vertical="center" wrapText="1"/>
    </xf>
    <xf numFmtId="0" fontId="3" fillId="0" borderId="11" xfId="0" applyFont="1" applyFill="1" applyBorder="1" applyAlignment="1">
      <alignment horizontal="left" vertical="center" wrapText="1"/>
    </xf>
    <xf numFmtId="0" fontId="3" fillId="0" borderId="0" xfId="0" applyFont="1" applyFill="1" applyAlignment="1">
      <alignment horizontal="left" vertical="center" wrapText="1"/>
    </xf>
    <xf numFmtId="0" fontId="3" fillId="0" borderId="82" xfId="0" applyFont="1" applyFill="1" applyBorder="1" applyAlignment="1">
      <alignment horizontal="left" vertical="center" wrapText="1"/>
    </xf>
    <xf numFmtId="0" fontId="3" fillId="0" borderId="83" xfId="0" applyFont="1" applyFill="1" applyBorder="1" applyAlignment="1">
      <alignment horizontal="left" vertical="center" wrapText="1"/>
    </xf>
    <xf numFmtId="0" fontId="1" fillId="0" borderId="98" xfId="0" applyFont="1" applyFill="1" applyBorder="1" applyAlignment="1">
      <alignment horizontal="center" vertical="center" wrapText="1"/>
    </xf>
    <xf numFmtId="0" fontId="1" fillId="0" borderId="16" xfId="0" applyFont="1" applyFill="1" applyBorder="1" applyAlignment="1">
      <alignment horizontal="center" vertical="center" wrapText="1"/>
    </xf>
    <xf numFmtId="0" fontId="1" fillId="0" borderId="14" xfId="0" applyFont="1" applyFill="1" applyBorder="1" applyAlignment="1">
      <alignment horizontal="center" vertical="center" wrapText="1"/>
    </xf>
    <xf numFmtId="0" fontId="3" fillId="0" borderId="13"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105" fillId="0" borderId="11" xfId="0" applyFont="1" applyFill="1" applyBorder="1" applyAlignment="1">
      <alignment horizontal="center" vertical="center"/>
    </xf>
    <xf numFmtId="0" fontId="105" fillId="0" borderId="0" xfId="0" applyFont="1" applyFill="1" applyAlignment="1">
      <alignment horizontal="center" vertical="center"/>
    </xf>
    <xf numFmtId="49" fontId="1" fillId="9" borderId="16" xfId="0" applyNumberFormat="1" applyFont="1" applyFill="1" applyBorder="1" applyAlignment="1">
      <alignment horizontal="center" vertical="center"/>
    </xf>
    <xf numFmtId="0" fontId="105" fillId="0" borderId="13" xfId="0" applyFont="1" applyFill="1" applyBorder="1" applyAlignment="1">
      <alignment horizontal="center" vertical="center"/>
    </xf>
    <xf numFmtId="0" fontId="105" fillId="0" borderId="16" xfId="0" applyFont="1" applyFill="1" applyBorder="1" applyAlignment="1">
      <alignment horizontal="center" vertical="center"/>
    </xf>
    <xf numFmtId="0" fontId="1" fillId="0" borderId="94" xfId="0" applyFont="1" applyFill="1" applyBorder="1" applyAlignment="1">
      <alignment horizontal="center" vertical="center" wrapText="1"/>
    </xf>
    <xf numFmtId="0" fontId="96" fillId="53" borderId="7" xfId="0" applyFont="1" applyFill="1" applyBorder="1" applyAlignment="1">
      <alignment horizontal="center" vertical="center"/>
    </xf>
    <xf numFmtId="0" fontId="96" fillId="53" borderId="15" xfId="0" applyFont="1" applyFill="1" applyBorder="1" applyAlignment="1">
      <alignment horizontal="center" vertical="center"/>
    </xf>
    <xf numFmtId="0" fontId="96" fillId="53" borderId="8" xfId="0" applyFont="1" applyFill="1" applyBorder="1" applyAlignment="1">
      <alignment horizontal="center" vertical="center"/>
    </xf>
    <xf numFmtId="0" fontId="97" fillId="7" borderId="11" xfId="0" applyFont="1" applyFill="1" applyBorder="1" applyAlignment="1">
      <alignment horizontal="center" vertical="center" wrapText="1"/>
    </xf>
    <xf numFmtId="0" fontId="97" fillId="7" borderId="0" xfId="0" applyFont="1" applyFill="1" applyAlignment="1">
      <alignment horizontal="center" vertical="center" wrapText="1"/>
    </xf>
    <xf numFmtId="0" fontId="97" fillId="7" borderId="0" xfId="0" applyFont="1" applyFill="1" applyAlignment="1">
      <alignment horizontal="center" vertical="center"/>
    </xf>
    <xf numFmtId="0" fontId="97" fillId="7" borderId="12" xfId="0" applyFont="1" applyFill="1" applyBorder="1" applyAlignment="1">
      <alignment horizontal="center" vertical="center"/>
    </xf>
    <xf numFmtId="0" fontId="95" fillId="0" borderId="38" xfId="0" applyFont="1" applyFill="1" applyBorder="1" applyAlignment="1">
      <alignment horizontal="center" vertical="center" wrapText="1"/>
    </xf>
    <xf numFmtId="0" fontId="95" fillId="0" borderId="122" xfId="0" applyFont="1" applyFill="1" applyBorder="1" applyAlignment="1">
      <alignment horizontal="center" vertical="center"/>
    </xf>
    <xf numFmtId="0" fontId="95" fillId="0" borderId="31" xfId="0" applyFont="1" applyFill="1" applyBorder="1" applyAlignment="1">
      <alignment horizontal="center" vertical="center" wrapText="1"/>
    </xf>
    <xf numFmtId="0" fontId="97" fillId="7" borderId="82" xfId="0" applyFont="1" applyFill="1" applyBorder="1" applyAlignment="1">
      <alignment horizontal="center" vertical="center" wrapText="1"/>
    </xf>
    <xf numFmtId="0" fontId="97" fillId="7" borderId="83" xfId="0" applyFont="1" applyFill="1" applyBorder="1" applyAlignment="1">
      <alignment horizontal="center" vertical="center" wrapText="1"/>
    </xf>
    <xf numFmtId="0" fontId="97" fillId="7" borderId="83" xfId="0" applyFont="1" applyFill="1" applyBorder="1" applyAlignment="1">
      <alignment horizontal="center" vertical="center"/>
    </xf>
    <xf numFmtId="0" fontId="97" fillId="7" borderId="94" xfId="0" applyFont="1" applyFill="1" applyBorder="1" applyAlignment="1">
      <alignment horizontal="center" vertical="center"/>
    </xf>
    <xf numFmtId="0" fontId="16" fillId="0" borderId="0" xfId="0" applyFont="1" applyFill="1" applyAlignment="1">
      <alignment horizontal="left" vertical="center" wrapText="1"/>
    </xf>
    <xf numFmtId="0" fontId="14" fillId="0" borderId="0" xfId="0" applyFont="1" applyFill="1" applyAlignment="1">
      <alignment horizontal="center" vertical="center" wrapText="1"/>
    </xf>
    <xf numFmtId="0" fontId="16" fillId="0" borderId="11" xfId="0" applyFont="1" applyFill="1" applyBorder="1" applyAlignment="1">
      <alignment horizontal="left" vertical="center" wrapText="1"/>
    </xf>
    <xf numFmtId="0" fontId="16" fillId="0" borderId="12" xfId="0" applyFont="1" applyFill="1" applyBorder="1" applyAlignment="1">
      <alignment horizontal="left" vertical="center" wrapText="1"/>
    </xf>
    <xf numFmtId="0" fontId="90" fillId="0" borderId="11" xfId="0" applyFont="1" applyBorder="1" applyAlignment="1">
      <alignment horizontal="center" vertical="center" wrapText="1"/>
    </xf>
    <xf numFmtId="0" fontId="90" fillId="0" borderId="0" xfId="0" applyFont="1" applyAlignment="1">
      <alignment horizontal="center" vertical="center" wrapText="1"/>
    </xf>
    <xf numFmtId="0" fontId="90" fillId="0" borderId="12" xfId="0" applyFont="1" applyBorder="1" applyAlignment="1">
      <alignment horizontal="center" vertical="center" wrapText="1"/>
    </xf>
    <xf numFmtId="0" fontId="90" fillId="0" borderId="13" xfId="0" applyFont="1" applyBorder="1" applyAlignment="1">
      <alignment horizontal="center" vertical="center" wrapText="1"/>
    </xf>
    <xf numFmtId="0" fontId="90" fillId="0" borderId="16" xfId="0" applyFont="1" applyBorder="1" applyAlignment="1">
      <alignment horizontal="center" vertical="center" wrapText="1"/>
    </xf>
    <xf numFmtId="0" fontId="90" fillId="0" borderId="14" xfId="0" applyFont="1" applyBorder="1" applyAlignment="1">
      <alignment horizontal="center" vertical="center" wrapText="1"/>
    </xf>
    <xf numFmtId="0" fontId="90" fillId="0" borderId="11" xfId="0" applyNumberFormat="1" applyFont="1" applyBorder="1" applyAlignment="1" applyProtection="1">
      <alignment horizontal="left" vertical="center" indent="1"/>
      <protection locked="0"/>
    </xf>
    <xf numFmtId="0" fontId="90" fillId="0" borderId="0" xfId="0" applyNumberFormat="1" applyFont="1" applyBorder="1" applyAlignment="1" applyProtection="1">
      <alignment horizontal="left" vertical="center" indent="1"/>
      <protection locked="0"/>
    </xf>
    <xf numFmtId="0" fontId="33" fillId="9" borderId="13" xfId="0" applyNumberFormat="1" applyFont="1" applyFill="1" applyBorder="1" applyAlignment="1" applyProtection="1">
      <alignment horizontal="left" vertical="center" indent="1"/>
      <protection locked="0"/>
    </xf>
    <xf numFmtId="0" fontId="33" fillId="9" borderId="16" xfId="0" applyNumberFormat="1" applyFont="1" applyFill="1" applyBorder="1" applyAlignment="1" applyProtection="1">
      <alignment horizontal="left" vertical="center" indent="1"/>
      <protection locked="0"/>
    </xf>
    <xf numFmtId="0" fontId="90" fillId="9" borderId="11" xfId="0" applyNumberFormat="1" applyFont="1" applyFill="1" applyBorder="1" applyAlignment="1" applyProtection="1">
      <alignment horizontal="left" vertical="center" indent="1"/>
      <protection locked="0"/>
    </xf>
    <xf numFmtId="0" fontId="90" fillId="9" borderId="0" xfId="0" applyNumberFormat="1" applyFont="1" applyFill="1" applyBorder="1" applyAlignment="1" applyProtection="1">
      <alignment horizontal="left" vertical="center" indent="1"/>
      <protection locked="0"/>
    </xf>
    <xf numFmtId="0" fontId="90" fillId="0" borderId="0" xfId="0" applyNumberFormat="1" applyFont="1" applyAlignment="1" applyProtection="1">
      <alignment horizontal="left" vertical="center" indent="1"/>
      <protection locked="0"/>
    </xf>
    <xf numFmtId="0" fontId="33" fillId="9" borderId="11" xfId="0" applyNumberFormat="1" applyFont="1" applyFill="1" applyBorder="1" applyAlignment="1" applyProtection="1">
      <alignment horizontal="left" vertical="center" indent="1"/>
      <protection locked="0"/>
    </xf>
    <xf numFmtId="0" fontId="33" fillId="9" borderId="0" xfId="0" applyNumberFormat="1" applyFont="1" applyFill="1" applyAlignment="1" applyProtection="1">
      <alignment horizontal="left" vertical="center" indent="1"/>
      <protection locked="0"/>
    </xf>
    <xf numFmtId="0" fontId="33" fillId="0" borderId="11" xfId="0" applyNumberFormat="1" applyFont="1" applyBorder="1" applyAlignment="1" applyProtection="1">
      <alignment horizontal="left" vertical="center"/>
      <protection locked="0"/>
    </xf>
    <xf numFmtId="0" fontId="33" fillId="0" borderId="0" xfId="0" applyNumberFormat="1" applyFont="1" applyAlignment="1" applyProtection="1">
      <alignment horizontal="left" vertical="center"/>
      <protection locked="0"/>
    </xf>
    <xf numFmtId="0" fontId="89" fillId="7" borderId="7" xfId="0" applyNumberFormat="1" applyFont="1" applyFill="1" applyBorder="1" applyAlignment="1">
      <alignment horizontal="center" vertical="center"/>
    </xf>
    <xf numFmtId="0" fontId="89" fillId="7" borderId="15" xfId="0" applyNumberFormat="1" applyFont="1" applyFill="1" applyBorder="1" applyAlignment="1">
      <alignment horizontal="center" vertical="center"/>
    </xf>
    <xf numFmtId="0" fontId="89" fillId="7" borderId="8" xfId="0" applyNumberFormat="1" applyFont="1" applyFill="1" applyBorder="1" applyAlignment="1">
      <alignment horizontal="center" vertical="center"/>
    </xf>
    <xf numFmtId="0" fontId="90" fillId="9" borderId="11" xfId="0" applyNumberFormat="1" applyFont="1" applyFill="1" applyBorder="1" applyAlignment="1" applyProtection="1">
      <alignment horizontal="left" vertical="center"/>
      <protection locked="0"/>
    </xf>
    <xf numFmtId="0" fontId="90" fillId="9" borderId="0" xfId="0" applyNumberFormat="1" applyFont="1" applyFill="1" applyAlignment="1" applyProtection="1">
      <alignment horizontal="left" vertical="center"/>
      <protection locked="0"/>
    </xf>
    <xf numFmtId="0" fontId="90" fillId="4" borderId="11" xfId="0" applyNumberFormat="1" applyFont="1" applyFill="1" applyBorder="1" applyAlignment="1">
      <alignment horizontal="center" vertical="center"/>
    </xf>
    <xf numFmtId="0" fontId="90" fillId="4" borderId="0" xfId="0" applyNumberFormat="1" applyFont="1" applyFill="1" applyAlignment="1">
      <alignment horizontal="center" vertical="center"/>
    </xf>
    <xf numFmtId="0" fontId="90" fillId="0" borderId="11" xfId="0" applyNumberFormat="1" applyFont="1" applyBorder="1" applyAlignment="1" applyProtection="1">
      <alignment horizontal="left" vertical="center"/>
      <protection locked="0"/>
    </xf>
    <xf numFmtId="0" fontId="90" fillId="0" borderId="0" xfId="0" applyNumberFormat="1" applyFont="1" applyAlignment="1" applyProtection="1">
      <alignment horizontal="left" vertical="center"/>
      <protection locked="0"/>
    </xf>
    <xf numFmtId="0" fontId="90" fillId="9" borderId="0" xfId="0" applyNumberFormat="1" applyFont="1" applyFill="1" applyAlignment="1" applyProtection="1">
      <alignment horizontal="left" vertical="center" indent="1"/>
      <protection locked="0"/>
    </xf>
    <xf numFmtId="0" fontId="90" fillId="0" borderId="13" xfId="0" applyNumberFormat="1" applyFont="1" applyBorder="1" applyAlignment="1" applyProtection="1">
      <alignment horizontal="left" vertical="center" indent="1"/>
      <protection locked="0"/>
    </xf>
    <xf numFmtId="0" fontId="90" fillId="0" borderId="16" xfId="0" applyNumberFormat="1" applyFont="1" applyBorder="1" applyAlignment="1" applyProtection="1">
      <alignment horizontal="left" vertical="center" indent="1"/>
      <protection locked="0"/>
    </xf>
    <xf numFmtId="0" fontId="33" fillId="0" borderId="12" xfId="0" applyNumberFormat="1" applyFont="1" applyBorder="1" applyAlignment="1" applyProtection="1">
      <alignment horizontal="center" vertical="center"/>
      <protection locked="0"/>
    </xf>
    <xf numFmtId="0" fontId="33" fillId="0" borderId="12" xfId="0" applyNumberFormat="1" applyFont="1" applyFill="1" applyBorder="1" applyAlignment="1" applyProtection="1">
      <alignment horizontal="center" vertical="center"/>
      <protection locked="0"/>
    </xf>
    <xf numFmtId="0" fontId="90" fillId="0" borderId="12" xfId="0" applyNumberFormat="1" applyFont="1" applyBorder="1" applyAlignment="1" applyProtection="1">
      <alignment horizontal="center" vertical="center"/>
      <protection locked="0"/>
    </xf>
    <xf numFmtId="0" fontId="90" fillId="0" borderId="12" xfId="0" applyNumberFormat="1" applyFont="1" applyFill="1" applyBorder="1" applyAlignment="1" applyProtection="1">
      <alignment horizontal="center" vertical="center"/>
      <protection locked="0"/>
    </xf>
    <xf numFmtId="0" fontId="89" fillId="7" borderId="11" xfId="0" applyNumberFormat="1" applyFont="1" applyFill="1" applyBorder="1" applyAlignment="1">
      <alignment horizontal="center" vertical="center"/>
    </xf>
    <xf numFmtId="0" fontId="89" fillId="7" borderId="0" xfId="0" applyNumberFormat="1" applyFont="1" applyFill="1" applyBorder="1" applyAlignment="1">
      <alignment horizontal="center" vertical="center"/>
    </xf>
    <xf numFmtId="0" fontId="89" fillId="7" borderId="12" xfId="0" applyNumberFormat="1" applyFont="1" applyFill="1" applyBorder="1" applyAlignment="1">
      <alignment horizontal="center" vertical="center"/>
    </xf>
    <xf numFmtId="0" fontId="33" fillId="0" borderId="11" xfId="0" applyNumberFormat="1" applyFont="1" applyBorder="1" applyAlignment="1" applyProtection="1">
      <alignment horizontal="left" vertical="center" indent="1"/>
      <protection locked="0"/>
    </xf>
    <xf numFmtId="0" fontId="33" fillId="0" borderId="0" xfId="0" applyNumberFormat="1" applyFont="1" applyAlignment="1" applyProtection="1">
      <alignment horizontal="left" vertical="center" indent="1"/>
      <protection locked="0"/>
    </xf>
    <xf numFmtId="0" fontId="92" fillId="9" borderId="11" xfId="0" applyNumberFormat="1" applyFont="1" applyFill="1" applyBorder="1" applyAlignment="1" applyProtection="1">
      <alignment horizontal="left" vertical="center" indent="1"/>
      <protection locked="0"/>
    </xf>
    <xf numFmtId="0" fontId="92" fillId="9" borderId="0" xfId="0" applyNumberFormat="1" applyFont="1" applyFill="1" applyAlignment="1" applyProtection="1">
      <alignment horizontal="left" vertical="center" indent="1"/>
      <protection locked="0"/>
    </xf>
    <xf numFmtId="0" fontId="92" fillId="0" borderId="11" xfId="0" applyNumberFormat="1" applyFont="1" applyBorder="1" applyAlignment="1" applyProtection="1">
      <alignment horizontal="left" vertical="center"/>
      <protection locked="0"/>
    </xf>
    <xf numFmtId="0" fontId="92" fillId="0" borderId="0" xfId="0" applyNumberFormat="1" applyFont="1" applyBorder="1" applyAlignment="1" applyProtection="1">
      <alignment horizontal="left" vertical="center"/>
      <protection locked="0"/>
    </xf>
    <xf numFmtId="0" fontId="90" fillId="4" borderId="0" xfId="0" applyNumberFormat="1" applyFont="1" applyFill="1" applyBorder="1" applyAlignment="1">
      <alignment horizontal="center" vertical="center"/>
    </xf>
    <xf numFmtId="0" fontId="90" fillId="0" borderId="11" xfId="0" applyNumberFormat="1" applyFont="1" applyBorder="1" applyProtection="1">
      <alignment vertical="center"/>
      <protection locked="0"/>
    </xf>
    <xf numFmtId="0" fontId="90" fillId="0" borderId="0" xfId="0" applyNumberFormat="1" applyFont="1" applyProtection="1">
      <alignment vertical="center"/>
      <protection locked="0"/>
    </xf>
    <xf numFmtId="0" fontId="90" fillId="9" borderId="11" xfId="0" applyNumberFormat="1" applyFont="1" applyFill="1" applyBorder="1" applyProtection="1">
      <alignment vertical="center"/>
      <protection locked="0"/>
    </xf>
    <xf numFmtId="0" fontId="90" fillId="9" borderId="0" xfId="0" applyNumberFormat="1" applyFont="1" applyFill="1" applyProtection="1">
      <alignment vertical="center"/>
      <protection locked="0"/>
    </xf>
    <xf numFmtId="0" fontId="33" fillId="0" borderId="0" xfId="0" applyNumberFormat="1" applyFont="1" applyBorder="1" applyAlignment="1" applyProtection="1">
      <alignment horizontal="left" vertical="center"/>
      <protection locked="0"/>
    </xf>
    <xf numFmtId="0" fontId="90" fillId="0" borderId="13" xfId="0" applyNumberFormat="1" applyFont="1" applyBorder="1" applyProtection="1">
      <alignment vertical="center"/>
      <protection locked="0"/>
    </xf>
    <xf numFmtId="0" fontId="90" fillId="0" borderId="16" xfId="0" applyNumberFormat="1" applyFont="1" applyBorder="1" applyProtection="1">
      <alignment vertical="center"/>
      <protection locked="0"/>
    </xf>
    <xf numFmtId="0" fontId="33" fillId="9" borderId="11" xfId="0" applyNumberFormat="1" applyFont="1" applyFill="1" applyBorder="1" applyAlignment="1" applyProtection="1">
      <alignment horizontal="left" vertical="center"/>
      <protection locked="0"/>
    </xf>
    <xf numFmtId="0" fontId="33" fillId="9" borderId="0" xfId="0" applyNumberFormat="1" applyFont="1" applyFill="1" applyBorder="1" applyAlignment="1" applyProtection="1">
      <alignment horizontal="left" vertical="center"/>
      <protection locked="0"/>
    </xf>
    <xf numFmtId="0" fontId="33" fillId="9" borderId="11" xfId="0" applyNumberFormat="1" applyFont="1" applyFill="1" applyBorder="1" applyProtection="1">
      <alignment vertical="center"/>
      <protection locked="0"/>
    </xf>
    <xf numFmtId="0" fontId="33" fillId="9" borderId="0" xfId="0" applyNumberFormat="1" applyFont="1" applyFill="1" applyProtection="1">
      <alignment vertical="center"/>
      <protection locked="0"/>
    </xf>
    <xf numFmtId="0" fontId="90" fillId="9" borderId="13" xfId="0" applyNumberFormat="1" applyFont="1" applyFill="1" applyBorder="1" applyAlignment="1" applyProtection="1">
      <alignment horizontal="left" vertical="center" indent="1"/>
      <protection locked="0"/>
    </xf>
    <xf numFmtId="0" fontId="90" fillId="9" borderId="16" xfId="0" applyNumberFormat="1" applyFont="1" applyFill="1" applyBorder="1" applyAlignment="1" applyProtection="1">
      <alignment horizontal="left" vertical="center" indent="1"/>
      <protection locked="0"/>
    </xf>
    <xf numFmtId="0" fontId="33" fillId="9" borderId="0" xfId="0" applyNumberFormat="1" applyFont="1" applyFill="1" applyBorder="1" applyAlignment="1" applyProtection="1">
      <alignment horizontal="left" vertical="center" indent="1"/>
      <protection locked="0"/>
    </xf>
    <xf numFmtId="0" fontId="33" fillId="0" borderId="0" xfId="0" applyNumberFormat="1" applyFont="1" applyBorder="1" applyAlignment="1" applyProtection="1">
      <alignment horizontal="left" vertical="center" indent="1"/>
      <protection locked="0"/>
    </xf>
    <xf numFmtId="0" fontId="90" fillId="9" borderId="13" xfId="0" applyNumberFormat="1" applyFont="1" applyFill="1" applyBorder="1" applyProtection="1">
      <alignment vertical="center"/>
      <protection locked="0"/>
    </xf>
    <xf numFmtId="0" fontId="90" fillId="9" borderId="16" xfId="0" applyNumberFormat="1" applyFont="1" applyFill="1" applyBorder="1" applyProtection="1">
      <alignment vertical="center"/>
      <protection locked="0"/>
    </xf>
    <xf numFmtId="0" fontId="90" fillId="9" borderId="0" xfId="0" applyNumberFormat="1" applyFont="1" applyFill="1" applyBorder="1" applyAlignment="1" applyProtection="1">
      <alignment horizontal="left" vertical="center"/>
      <protection locked="0"/>
    </xf>
    <xf numFmtId="0" fontId="92" fillId="0" borderId="11" xfId="0" applyNumberFormat="1" applyFont="1" applyBorder="1" applyAlignment="1" applyProtection="1">
      <alignment horizontal="left" vertical="center" indent="1"/>
      <protection locked="0"/>
    </xf>
    <xf numFmtId="0" fontId="92" fillId="0" borderId="0" xfId="0" applyNumberFormat="1" applyFont="1" applyBorder="1" applyAlignment="1" applyProtection="1">
      <alignment horizontal="left" vertical="center" indent="1"/>
      <protection locked="0"/>
    </xf>
    <xf numFmtId="0" fontId="42" fillId="0" borderId="11" xfId="0" applyNumberFormat="1" applyFont="1" applyBorder="1" applyAlignment="1" applyProtection="1">
      <alignment horizontal="left" vertical="center" wrapText="1"/>
      <protection locked="0"/>
    </xf>
    <xf numFmtId="0" fontId="42" fillId="0" borderId="0" xfId="0" applyNumberFormat="1" applyFont="1" applyBorder="1" applyAlignment="1" applyProtection="1">
      <alignment horizontal="left" vertical="center"/>
      <protection locked="0"/>
    </xf>
    <xf numFmtId="0" fontId="90" fillId="0" borderId="0" xfId="0" applyNumberFormat="1" applyFont="1" applyBorder="1" applyAlignment="1" applyProtection="1">
      <alignment horizontal="left" vertical="center"/>
      <protection locked="0"/>
    </xf>
    <xf numFmtId="0" fontId="42" fillId="9" borderId="11" xfId="0" applyNumberFormat="1" applyFont="1" applyFill="1" applyBorder="1" applyAlignment="1" applyProtection="1">
      <alignment horizontal="left" vertical="center"/>
      <protection locked="0"/>
    </xf>
    <xf numFmtId="0" fontId="42" fillId="9" borderId="0" xfId="0" applyNumberFormat="1" applyFont="1" applyFill="1" applyAlignment="1" applyProtection="1">
      <alignment horizontal="left" vertical="center"/>
      <protection locked="0"/>
    </xf>
    <xf numFmtId="0" fontId="33" fillId="0" borderId="13" xfId="0" applyNumberFormat="1" applyFont="1" applyBorder="1" applyAlignment="1" applyProtection="1">
      <alignment horizontal="left" vertical="center" indent="1"/>
      <protection locked="0"/>
    </xf>
    <xf numFmtId="0" fontId="33" fillId="0" borderId="16" xfId="0" applyNumberFormat="1" applyFont="1" applyBorder="1" applyAlignment="1" applyProtection="1">
      <alignment horizontal="left" vertical="center" indent="1"/>
      <protection locked="0"/>
    </xf>
    <xf numFmtId="0" fontId="33" fillId="9" borderId="0" xfId="0" applyNumberFormat="1" applyFont="1" applyFill="1" applyAlignment="1" applyProtection="1">
      <alignment horizontal="left" vertical="center"/>
      <protection locked="0"/>
    </xf>
    <xf numFmtId="0" fontId="90" fillId="9" borderId="11" xfId="0" applyNumberFormat="1" applyFont="1" applyFill="1" applyBorder="1" applyAlignment="1" applyProtection="1">
      <alignment horizontal="left" vertical="center" wrapText="1" indent="1"/>
      <protection locked="0"/>
    </xf>
    <xf numFmtId="0" fontId="90" fillId="9" borderId="0" xfId="0" applyNumberFormat="1" applyFont="1" applyFill="1" applyAlignment="1" applyProtection="1">
      <alignment horizontal="left" vertical="center" wrapText="1" indent="1"/>
      <protection locked="0"/>
    </xf>
    <xf numFmtId="0" fontId="90" fillId="0" borderId="11" xfId="0" applyNumberFormat="1" applyFont="1" applyBorder="1" applyAlignment="1" applyProtection="1">
      <alignment horizontal="left" vertical="center" wrapText="1" indent="1"/>
      <protection locked="0"/>
    </xf>
    <xf numFmtId="0" fontId="90" fillId="0" borderId="0" xfId="0" applyNumberFormat="1" applyFont="1" applyAlignment="1" applyProtection="1">
      <alignment horizontal="left" vertical="center" wrapText="1" indent="1"/>
      <protection locked="0"/>
    </xf>
    <xf numFmtId="0" fontId="90" fillId="9" borderId="13" xfId="0" applyNumberFormat="1" applyFont="1" applyFill="1" applyBorder="1" applyAlignment="1" applyProtection="1">
      <alignment horizontal="left" vertical="center" wrapText="1" indent="1"/>
      <protection locked="0"/>
    </xf>
    <xf numFmtId="0" fontId="90" fillId="9" borderId="16" xfId="0" applyNumberFormat="1" applyFont="1" applyFill="1" applyBorder="1" applyAlignment="1" applyProtection="1">
      <alignment horizontal="left" vertical="center" wrapText="1" indent="1"/>
      <protection locked="0"/>
    </xf>
    <xf numFmtId="0" fontId="90" fillId="4" borderId="11" xfId="0" applyNumberFormat="1" applyFont="1" applyFill="1" applyBorder="1" applyAlignment="1">
      <alignment horizontal="center" vertical="center" wrapText="1"/>
    </xf>
    <xf numFmtId="0" fontId="90" fillId="4" borderId="0" xfId="0" applyNumberFormat="1" applyFont="1" applyFill="1" applyAlignment="1">
      <alignment horizontal="center" vertical="center" wrapText="1"/>
    </xf>
    <xf numFmtId="0" fontId="92" fillId="52" borderId="11" xfId="0" applyNumberFormat="1" applyFont="1" applyFill="1" applyBorder="1" applyProtection="1">
      <alignment vertical="center"/>
      <protection locked="0"/>
    </xf>
    <xf numFmtId="0" fontId="92" fillId="52" borderId="0" xfId="0" applyNumberFormat="1" applyFont="1" applyFill="1" applyProtection="1">
      <alignment vertical="center"/>
      <protection locked="0"/>
    </xf>
    <xf numFmtId="0" fontId="33" fillId="52" borderId="11" xfId="0" applyNumberFormat="1" applyFont="1" applyFill="1" applyBorder="1" applyProtection="1">
      <alignment vertical="center"/>
      <protection locked="0"/>
    </xf>
    <xf numFmtId="0" fontId="33" fillId="52" borderId="0" xfId="0" applyNumberFormat="1" applyFont="1" applyFill="1" applyProtection="1">
      <alignment vertical="center"/>
      <protection locked="0"/>
    </xf>
    <xf numFmtId="0" fontId="90" fillId="52" borderId="11" xfId="0" applyNumberFormat="1" applyFont="1" applyFill="1" applyBorder="1" applyProtection="1">
      <alignment vertical="center"/>
      <protection locked="0"/>
    </xf>
    <xf numFmtId="0" fontId="90" fillId="52" borderId="0" xfId="0" applyNumberFormat="1" applyFont="1" applyFill="1" applyProtection="1">
      <alignment vertical="center"/>
      <protection locked="0"/>
    </xf>
    <xf numFmtId="0" fontId="90" fillId="4" borderId="11" xfId="0" applyFont="1" applyFill="1" applyBorder="1" applyAlignment="1">
      <alignment horizontal="center" vertical="center"/>
    </xf>
    <xf numFmtId="0" fontId="90" fillId="4" borderId="0" xfId="0" applyFont="1" applyFill="1" applyAlignment="1">
      <alignment horizontal="center" vertical="center"/>
    </xf>
    <xf numFmtId="0" fontId="89" fillId="7" borderId="7" xfId="0" applyFont="1" applyFill="1" applyBorder="1" applyAlignment="1">
      <alignment horizontal="center" vertical="center"/>
    </xf>
    <xf numFmtId="0" fontId="89" fillId="7" borderId="15" xfId="0" applyFont="1" applyFill="1" applyBorder="1" applyAlignment="1">
      <alignment horizontal="center" vertical="center"/>
    </xf>
    <xf numFmtId="0" fontId="89" fillId="7" borderId="8" xfId="0" applyFont="1" applyFill="1" applyBorder="1" applyAlignment="1">
      <alignment horizontal="center" vertical="center"/>
    </xf>
    <xf numFmtId="0" fontId="90" fillId="0" borderId="0" xfId="0" applyNumberFormat="1" applyFont="1" applyBorder="1" applyProtection="1">
      <alignment vertical="center"/>
      <protection locked="0"/>
    </xf>
    <xf numFmtId="0" fontId="92" fillId="9" borderId="0" xfId="0" applyNumberFormat="1" applyFont="1" applyFill="1" applyBorder="1" applyAlignment="1" applyProtection="1">
      <alignment horizontal="left" vertical="center" indent="1"/>
      <protection locked="0"/>
    </xf>
    <xf numFmtId="0" fontId="90" fillId="9" borderId="0" xfId="0" applyNumberFormat="1" applyFont="1" applyFill="1" applyBorder="1" applyProtection="1">
      <alignment vertical="center"/>
      <protection locked="0"/>
    </xf>
    <xf numFmtId="0" fontId="42" fillId="9" borderId="11" xfId="0" applyNumberFormat="1" applyFont="1" applyFill="1" applyBorder="1" applyProtection="1">
      <alignment vertical="center"/>
      <protection locked="0"/>
    </xf>
    <xf numFmtId="0" fontId="42" fillId="9" borderId="0" xfId="0" applyNumberFormat="1" applyFont="1" applyFill="1" applyBorder="1" applyProtection="1">
      <alignment vertical="center"/>
      <protection locked="0"/>
    </xf>
    <xf numFmtId="0" fontId="42" fillId="0" borderId="11" xfId="0" applyNumberFormat="1" applyFont="1" applyBorder="1" applyProtection="1">
      <alignment vertical="center"/>
      <protection locked="0"/>
    </xf>
    <xf numFmtId="0" fontId="42" fillId="0" borderId="0" xfId="0" applyNumberFormat="1" applyFont="1" applyBorder="1" applyProtection="1">
      <alignment vertical="center"/>
      <protection locked="0"/>
    </xf>
    <xf numFmtId="0" fontId="92" fillId="0" borderId="0" xfId="0" applyNumberFormat="1" applyFont="1" applyAlignment="1" applyProtection="1">
      <alignment horizontal="left" vertical="center"/>
      <protection locked="0"/>
    </xf>
    <xf numFmtId="0" fontId="33" fillId="0" borderId="13" xfId="0" applyNumberFormat="1" applyFont="1" applyBorder="1" applyProtection="1">
      <alignment vertical="center"/>
      <protection locked="0"/>
    </xf>
    <xf numFmtId="0" fontId="33" fillId="0" borderId="16" xfId="0" applyNumberFormat="1" applyFont="1" applyBorder="1" applyProtection="1">
      <alignment vertical="center"/>
      <protection locked="0"/>
    </xf>
    <xf numFmtId="0" fontId="42" fillId="0" borderId="11" xfId="0" applyNumberFormat="1" applyFont="1" applyBorder="1" applyAlignment="1" applyProtection="1">
      <alignment horizontal="left" vertical="center"/>
      <protection locked="0"/>
    </xf>
    <xf numFmtId="0" fontId="42" fillId="0" borderId="0" xfId="0" applyNumberFormat="1" applyFont="1" applyAlignment="1" applyProtection="1">
      <alignment horizontal="left" vertical="center"/>
      <protection locked="0"/>
    </xf>
    <xf numFmtId="0" fontId="33" fillId="0" borderId="11" xfId="0" applyNumberFormat="1" applyFont="1" applyBorder="1" applyProtection="1">
      <alignment vertical="center"/>
      <protection locked="0"/>
    </xf>
    <xf numFmtId="0" fontId="33" fillId="0" borderId="0" xfId="0" applyNumberFormat="1" applyFont="1" applyProtection="1">
      <alignment vertical="center"/>
      <protection locked="0"/>
    </xf>
    <xf numFmtId="0" fontId="92" fillId="9" borderId="11" xfId="0" applyNumberFormat="1" applyFont="1" applyFill="1" applyBorder="1" applyProtection="1">
      <alignment vertical="center"/>
      <protection locked="0"/>
    </xf>
    <xf numFmtId="0" fontId="92" fillId="9" borderId="0" xfId="0" applyNumberFormat="1" applyFont="1" applyFill="1" applyProtection="1">
      <alignment vertical="center"/>
      <protection locked="0"/>
    </xf>
    <xf numFmtId="0" fontId="92" fillId="0" borderId="11" xfId="0" applyNumberFormat="1" applyFont="1" applyBorder="1" applyProtection="1">
      <alignment vertical="center"/>
      <protection locked="0"/>
    </xf>
    <xf numFmtId="0" fontId="92" fillId="0" borderId="0" xfId="0" applyNumberFormat="1" applyFont="1" applyProtection="1">
      <alignment vertical="center"/>
      <protection locked="0"/>
    </xf>
    <xf numFmtId="0" fontId="33" fillId="9" borderId="11" xfId="0" applyNumberFormat="1" applyFont="1" applyFill="1" applyBorder="1" applyAlignment="1" applyProtection="1">
      <alignment vertical="center" wrapText="1"/>
      <protection locked="0"/>
    </xf>
    <xf numFmtId="0" fontId="29" fillId="0" borderId="0" xfId="0" applyFont="1" applyAlignment="1">
      <alignment horizontal="center" vertical="center"/>
    </xf>
    <xf numFmtId="0" fontId="90" fillId="0" borderId="11" xfId="0" applyFont="1" applyBorder="1" applyAlignment="1" applyProtection="1">
      <alignment horizontal="left" vertical="center" indent="1"/>
      <protection locked="0"/>
    </xf>
    <xf numFmtId="0" fontId="90" fillId="0" borderId="0" xfId="0" applyFont="1" applyBorder="1" applyAlignment="1" applyProtection="1">
      <alignment horizontal="left" vertical="center" indent="1"/>
      <protection locked="0"/>
    </xf>
    <xf numFmtId="0" fontId="90" fillId="9" borderId="13" xfId="0" applyFont="1" applyFill="1" applyBorder="1" applyAlignment="1" applyProtection="1">
      <alignment horizontal="left" vertical="center" indent="1"/>
      <protection locked="0"/>
    </xf>
    <xf numFmtId="0" fontId="90" fillId="9" borderId="16" xfId="0" applyFont="1" applyFill="1" applyBorder="1" applyAlignment="1" applyProtection="1">
      <alignment horizontal="left" vertical="center" indent="1"/>
      <protection locked="0"/>
    </xf>
    <xf numFmtId="0" fontId="90" fillId="0" borderId="13" xfId="0" applyNumberFormat="1" applyFont="1" applyBorder="1" applyAlignment="1" applyProtection="1">
      <alignment horizontal="left" vertical="center"/>
      <protection locked="0"/>
    </xf>
    <xf numFmtId="0" fontId="90" fillId="0" borderId="16" xfId="0" applyNumberFormat="1" applyFont="1" applyBorder="1" applyAlignment="1" applyProtection="1">
      <alignment horizontal="left" vertical="center"/>
      <protection locked="0"/>
    </xf>
    <xf numFmtId="0" fontId="90" fillId="9" borderId="11" xfId="0" applyFont="1" applyFill="1" applyBorder="1" applyAlignment="1" applyProtection="1">
      <alignment horizontal="left" vertical="center" indent="1"/>
      <protection locked="0"/>
    </xf>
    <xf numFmtId="0" fontId="90" fillId="9" borderId="0" xfId="0" applyFont="1" applyFill="1" applyBorder="1" applyAlignment="1" applyProtection="1">
      <alignment horizontal="left" vertical="center" indent="1"/>
      <protection locked="0"/>
    </xf>
    <xf numFmtId="0" fontId="90" fillId="4" borderId="0" xfId="0" applyFont="1" applyFill="1" applyBorder="1" applyAlignment="1">
      <alignment horizontal="center" vertical="center"/>
    </xf>
    <xf numFmtId="0" fontId="90" fillId="0" borderId="0" xfId="0" applyFont="1" applyAlignment="1" applyProtection="1">
      <alignment horizontal="left" vertical="center" indent="1"/>
      <protection locked="0"/>
    </xf>
    <xf numFmtId="0" fontId="90" fillId="9" borderId="12" xfId="0" applyNumberFormat="1" applyFont="1" applyFill="1" applyBorder="1" applyAlignment="1" applyProtection="1">
      <alignment horizontal="left" vertical="center" indent="1"/>
      <protection locked="0"/>
    </xf>
    <xf numFmtId="0" fontId="90" fillId="0" borderId="14" xfId="0" applyNumberFormat="1" applyFont="1" applyBorder="1" applyAlignment="1" applyProtection="1">
      <alignment horizontal="left" vertical="center" indent="1"/>
      <protection locked="0"/>
    </xf>
    <xf numFmtId="0" fontId="90" fillId="9" borderId="0" xfId="0" applyFont="1" applyFill="1" applyAlignment="1" applyProtection="1">
      <alignment horizontal="left" vertical="center" indent="1"/>
      <protection locked="0"/>
    </xf>
    <xf numFmtId="0" fontId="90" fillId="0" borderId="12" xfId="0" applyNumberFormat="1" applyFont="1" applyBorder="1" applyAlignment="1" applyProtection="1">
      <alignment horizontal="left" vertical="center" indent="1"/>
      <protection locked="0"/>
    </xf>
    <xf numFmtId="0" fontId="90" fillId="7" borderId="7" xfId="0" applyNumberFormat="1" applyFont="1" applyFill="1" applyBorder="1" applyAlignment="1">
      <alignment horizontal="center" vertical="center"/>
    </xf>
    <xf numFmtId="0" fontId="90" fillId="7" borderId="15" xfId="0" applyNumberFormat="1" applyFont="1" applyFill="1" applyBorder="1" applyAlignment="1">
      <alignment horizontal="center" vertical="center"/>
    </xf>
    <xf numFmtId="0" fontId="90" fillId="7" borderId="8" xfId="0" applyNumberFormat="1" applyFont="1" applyFill="1" applyBorder="1" applyAlignment="1">
      <alignment horizontal="center" vertical="center"/>
    </xf>
    <xf numFmtId="0" fontId="90" fillId="52" borderId="0" xfId="0" applyNumberFormat="1" applyFont="1" applyFill="1" applyAlignment="1" applyProtection="1">
      <alignment horizontal="left" vertical="center" indent="1"/>
      <protection locked="0"/>
    </xf>
    <xf numFmtId="0" fontId="90" fillId="52" borderId="12" xfId="0" applyNumberFormat="1" applyFont="1" applyFill="1" applyBorder="1" applyAlignment="1" applyProtection="1">
      <alignment horizontal="left" vertical="center" indent="1"/>
      <protection locked="0"/>
    </xf>
    <xf numFmtId="0" fontId="90" fillId="9" borderId="13" xfId="0" applyNumberFormat="1" applyFont="1" applyFill="1" applyBorder="1" applyAlignment="1" applyProtection="1">
      <alignment horizontal="left" vertical="center"/>
      <protection locked="0"/>
    </xf>
    <xf numFmtId="0" fontId="90" fillId="9" borderId="16" xfId="0" applyNumberFormat="1" applyFont="1" applyFill="1" applyBorder="1" applyAlignment="1" applyProtection="1">
      <alignment horizontal="left" vertical="center"/>
      <protection locked="0"/>
    </xf>
    <xf numFmtId="0" fontId="90" fillId="4" borderId="12" xfId="0" applyNumberFormat="1" applyFont="1" applyFill="1" applyBorder="1" applyAlignment="1">
      <alignment horizontal="center" vertical="center"/>
    </xf>
    <xf numFmtId="0" fontId="90" fillId="9" borderId="11" xfId="0" applyNumberFormat="1" applyFont="1" applyFill="1" applyBorder="1" applyAlignment="1" applyProtection="1">
      <alignment horizontal="left" vertical="top" indent="1"/>
      <protection locked="0"/>
    </xf>
    <xf numFmtId="0" fontId="90" fillId="9" borderId="0" xfId="0" applyNumberFormat="1" applyFont="1" applyFill="1" applyAlignment="1" applyProtection="1">
      <alignment horizontal="left" vertical="top" indent="1"/>
      <protection locked="0"/>
    </xf>
    <xf numFmtId="0" fontId="90" fillId="0" borderId="13" xfId="0" applyNumberFormat="1" applyFont="1" applyBorder="1" applyAlignment="1" applyProtection="1">
      <alignment horizontal="left" vertical="top" indent="1"/>
      <protection locked="0"/>
    </xf>
    <xf numFmtId="0" fontId="90" fillId="0" borderId="16" xfId="0" applyNumberFormat="1" applyFont="1" applyBorder="1" applyAlignment="1" applyProtection="1">
      <alignment horizontal="left" vertical="top" indent="1"/>
      <protection locked="0"/>
    </xf>
    <xf numFmtId="0" fontId="90" fillId="0" borderId="11" xfId="0" applyNumberFormat="1" applyFont="1" applyBorder="1" applyAlignment="1" applyProtection="1">
      <alignment horizontal="left" vertical="top" indent="1"/>
      <protection locked="0"/>
    </xf>
    <xf numFmtId="0" fontId="90" fillId="0" borderId="0" xfId="0" applyNumberFormat="1" applyFont="1" applyAlignment="1" applyProtection="1">
      <alignment horizontal="left" vertical="top" indent="1"/>
      <protection locked="0"/>
    </xf>
    <xf numFmtId="0" fontId="90" fillId="0" borderId="13" xfId="0" applyNumberFormat="1" applyFont="1" applyBorder="1" applyAlignment="1" applyProtection="1">
      <alignment horizontal="left" vertical="center" wrapText="1" indent="1"/>
      <protection locked="0"/>
    </xf>
    <xf numFmtId="0" fontId="90" fillId="0" borderId="16" xfId="0" applyNumberFormat="1" applyFont="1" applyBorder="1" applyAlignment="1" applyProtection="1">
      <alignment horizontal="left" vertical="center" wrapText="1" indent="1"/>
      <protection locked="0"/>
    </xf>
    <xf numFmtId="0" fontId="29" fillId="0" borderId="0" xfId="0" applyFont="1" applyAlignment="1" applyProtection="1">
      <alignment horizontal="center" vertical="center"/>
      <protection locked="0"/>
    </xf>
    <xf numFmtId="0" fontId="90" fillId="9" borderId="11" xfId="0" applyNumberFormat="1" applyFont="1" applyFill="1" applyBorder="1" applyAlignment="1" applyProtection="1">
      <alignment horizontal="left" vertical="top" wrapText="1" indent="1"/>
      <protection locked="0"/>
    </xf>
    <xf numFmtId="0" fontId="90" fillId="9" borderId="0" xfId="0" applyNumberFormat="1" applyFont="1" applyFill="1" applyAlignment="1" applyProtection="1">
      <alignment horizontal="left" vertical="top" wrapText="1" indent="1"/>
      <protection locked="0"/>
    </xf>
    <xf numFmtId="0" fontId="33" fillId="9" borderId="11" xfId="0" applyNumberFormat="1" applyFont="1" applyFill="1" applyBorder="1" applyAlignment="1" applyProtection="1">
      <alignment horizontal="left" vertical="top" indent="1"/>
      <protection locked="0"/>
    </xf>
    <xf numFmtId="0" fontId="33" fillId="9" borderId="0" xfId="0" applyNumberFormat="1" applyFont="1" applyFill="1" applyAlignment="1" applyProtection="1">
      <alignment horizontal="left" vertical="top" indent="1"/>
      <protection locked="0"/>
    </xf>
    <xf numFmtId="0" fontId="33" fillId="0" borderId="11" xfId="0" applyNumberFormat="1" applyFont="1" applyBorder="1" applyAlignment="1" applyProtection="1">
      <alignment horizontal="left" vertical="top" wrapText="1" indent="1"/>
      <protection locked="0"/>
    </xf>
    <xf numFmtId="0" fontId="33" fillId="0" borderId="0" xfId="0" applyNumberFormat="1" applyFont="1" applyAlignment="1" applyProtection="1">
      <alignment horizontal="left" vertical="top" wrapText="1" indent="1"/>
      <protection locked="0"/>
    </xf>
    <xf numFmtId="0" fontId="16" fillId="51" borderId="11" xfId="0" applyFont="1" applyFill="1" applyBorder="1" applyAlignment="1">
      <alignment horizontal="center" vertical="center"/>
    </xf>
    <xf numFmtId="0" fontId="16" fillId="51" borderId="0" xfId="0" applyFont="1" applyFill="1" applyBorder="1" applyAlignment="1">
      <alignment horizontal="center" vertical="center"/>
    </xf>
    <xf numFmtId="0" fontId="16" fillId="51" borderId="12" xfId="0" applyFont="1" applyFill="1" applyBorder="1" applyAlignment="1">
      <alignment horizontal="center" vertical="center"/>
    </xf>
    <xf numFmtId="0" fontId="16" fillId="0" borderId="13" xfId="0" applyFont="1" applyFill="1" applyBorder="1" applyAlignment="1">
      <alignment horizontal="left" vertical="center" wrapText="1"/>
    </xf>
    <xf numFmtId="0" fontId="16" fillId="0" borderId="16" xfId="0" applyFont="1" applyFill="1" applyBorder="1" applyAlignment="1">
      <alignment horizontal="left" vertical="center" wrapText="1"/>
    </xf>
    <xf numFmtId="0" fontId="16" fillId="0" borderId="14" xfId="0" applyFont="1" applyFill="1" applyBorder="1" applyAlignment="1">
      <alignment horizontal="left" vertical="center" wrapText="1"/>
    </xf>
    <xf numFmtId="0" fontId="87" fillId="0" borderId="0" xfId="0" applyFont="1" applyAlignment="1">
      <alignment horizontal="left" vertical="center" indent="4"/>
    </xf>
    <xf numFmtId="0" fontId="88" fillId="0" borderId="0" xfId="0" applyFont="1" applyAlignment="1">
      <alignment horizontal="left" vertical="center" indent="4"/>
    </xf>
    <xf numFmtId="0" fontId="16" fillId="0" borderId="0" xfId="0" applyFont="1" applyFill="1" applyBorder="1" applyAlignment="1">
      <alignment horizontal="left" vertical="center" wrapText="1"/>
    </xf>
    <xf numFmtId="0" fontId="16" fillId="51" borderId="7" xfId="0" applyFont="1" applyFill="1" applyBorder="1" applyAlignment="1">
      <alignment horizontal="center" vertical="center"/>
    </xf>
    <xf numFmtId="0" fontId="16" fillId="51" borderId="15" xfId="0" applyFont="1" applyFill="1" applyBorder="1" applyAlignment="1">
      <alignment horizontal="center" vertical="center"/>
    </xf>
    <xf numFmtId="0" fontId="16" fillId="51" borderId="8" xfId="0" applyFont="1" applyFill="1" applyBorder="1" applyAlignment="1">
      <alignment horizontal="center" vertical="center"/>
    </xf>
    <xf numFmtId="0" fontId="23" fillId="51" borderId="7" xfId="0" applyFont="1" applyFill="1" applyBorder="1" applyAlignment="1">
      <alignment horizontal="center" vertical="center"/>
    </xf>
    <xf numFmtId="0" fontId="23" fillId="51" borderId="15" xfId="0" applyFont="1" applyFill="1" applyBorder="1" applyAlignment="1">
      <alignment horizontal="center" vertical="center"/>
    </xf>
    <xf numFmtId="0" fontId="23" fillId="51" borderId="8" xfId="0" applyFont="1" applyFill="1" applyBorder="1" applyAlignment="1">
      <alignment horizontal="center" vertical="center"/>
    </xf>
    <xf numFmtId="0" fontId="16" fillId="0" borderId="0" xfId="0" applyNumberFormat="1" applyFont="1" applyFill="1" applyBorder="1" applyAlignment="1">
      <alignment horizontal="center" vertical="center" wrapText="1"/>
    </xf>
    <xf numFmtId="0" fontId="16" fillId="8" borderId="16" xfId="0" applyNumberFormat="1" applyFont="1" applyFill="1" applyBorder="1" applyAlignment="1">
      <alignment horizontal="center" vertical="center"/>
    </xf>
    <xf numFmtId="0" fontId="16" fillId="8" borderId="0" xfId="0" applyNumberFormat="1" applyFont="1" applyFill="1" applyBorder="1" applyAlignment="1">
      <alignment horizontal="center" vertical="center" wrapText="1"/>
    </xf>
    <xf numFmtId="0" fontId="16" fillId="0" borderId="0" xfId="0" applyNumberFormat="1" applyFont="1" applyFill="1" applyBorder="1" applyAlignment="1">
      <alignment horizontal="center" vertical="center"/>
    </xf>
    <xf numFmtId="0" fontId="53" fillId="6" borderId="7" xfId="0" applyNumberFormat="1" applyFont="1" applyFill="1" applyBorder="1" applyAlignment="1">
      <alignment horizontal="center" vertical="center"/>
    </xf>
    <xf numFmtId="0" fontId="53" fillId="6" borderId="15" xfId="0" applyNumberFormat="1" applyFont="1" applyFill="1" applyBorder="1" applyAlignment="1">
      <alignment horizontal="center" vertical="center"/>
    </xf>
    <xf numFmtId="0" fontId="53" fillId="6" borderId="8" xfId="0" applyNumberFormat="1" applyFont="1" applyFill="1" applyBorder="1" applyAlignment="1">
      <alignment horizontal="center" vertical="center"/>
    </xf>
    <xf numFmtId="0" fontId="16" fillId="51" borderId="0" xfId="0" applyNumberFormat="1" applyFont="1" applyFill="1" applyBorder="1" applyAlignment="1">
      <alignment horizontal="center" vertical="center"/>
    </xf>
    <xf numFmtId="0" fontId="12" fillId="0" borderId="16" xfId="0" applyFont="1" applyFill="1" applyBorder="1" applyAlignment="1">
      <alignment horizontal="center" vertical="center"/>
    </xf>
    <xf numFmtId="0" fontId="12" fillId="0" borderId="0" xfId="0" applyFont="1" applyFill="1" applyBorder="1" applyAlignment="1">
      <alignment horizontal="center" vertical="center"/>
    </xf>
    <xf numFmtId="0" fontId="10" fillId="0" borderId="69" xfId="6" applyFont="1" applyBorder="1" applyAlignment="1" applyProtection="1">
      <alignment horizontal="left" vertical="center" wrapText="1"/>
    </xf>
    <xf numFmtId="0" fontId="10" fillId="0" borderId="0" xfId="6" applyFont="1" applyAlignment="1" applyProtection="1">
      <alignment horizontal="left" vertical="center" wrapText="1"/>
    </xf>
    <xf numFmtId="0" fontId="10" fillId="0" borderId="12" xfId="6" applyFont="1" applyBorder="1" applyAlignment="1" applyProtection="1">
      <alignment horizontal="left" vertical="center" wrapText="1"/>
    </xf>
    <xf numFmtId="0" fontId="10" fillId="0" borderId="67" xfId="6" applyFont="1" applyBorder="1" applyAlignment="1" applyProtection="1">
      <alignment horizontal="left" vertical="center" wrapText="1"/>
    </xf>
    <xf numFmtId="0" fontId="10" fillId="0" borderId="68" xfId="6" applyFont="1" applyBorder="1" applyAlignment="1" applyProtection="1">
      <alignment horizontal="left" vertical="center" wrapText="1"/>
    </xf>
    <xf numFmtId="0" fontId="10" fillId="0" borderId="74" xfId="6" applyFont="1" applyBorder="1" applyAlignment="1" applyProtection="1">
      <alignment horizontal="left" vertical="center" wrapText="1"/>
    </xf>
    <xf numFmtId="0" fontId="28" fillId="4" borderId="1" xfId="6" applyFill="1" applyBorder="1" applyAlignment="1" applyProtection="1">
      <alignment horizontal="center" vertical="center" wrapText="1"/>
    </xf>
    <xf numFmtId="49" fontId="13" fillId="8" borderId="0" xfId="6" applyNumberFormat="1" applyFont="1" applyFill="1" applyAlignment="1" applyProtection="1">
      <alignment horizontal="center" vertical="center"/>
    </xf>
    <xf numFmtId="49" fontId="13" fillId="8" borderId="16" xfId="6" applyNumberFormat="1" applyFont="1" applyFill="1" applyBorder="1" applyAlignment="1" applyProtection="1">
      <alignment horizontal="center" vertical="center"/>
    </xf>
    <xf numFmtId="0" fontId="13" fillId="0" borderId="11" xfId="6" applyFont="1" applyBorder="1" applyAlignment="1" applyProtection="1">
      <alignment horizontal="center" vertical="center" wrapText="1"/>
    </xf>
    <xf numFmtId="0" fontId="13" fillId="0" borderId="0" xfId="6" applyFont="1" applyAlignment="1" applyProtection="1">
      <alignment horizontal="center" vertical="center" wrapText="1"/>
    </xf>
    <xf numFmtId="0" fontId="13" fillId="0" borderId="12" xfId="6" applyFont="1" applyBorder="1" applyAlignment="1" applyProtection="1">
      <alignment horizontal="center" vertical="center" wrapText="1"/>
    </xf>
    <xf numFmtId="0" fontId="13" fillId="0" borderId="13" xfId="6" applyFont="1" applyBorder="1" applyAlignment="1" applyProtection="1">
      <alignment horizontal="center" vertical="center" wrapText="1"/>
    </xf>
    <xf numFmtId="0" fontId="13" fillId="0" borderId="16" xfId="6" applyFont="1" applyBorder="1" applyAlignment="1" applyProtection="1">
      <alignment horizontal="center" vertical="center" wrapText="1"/>
    </xf>
    <xf numFmtId="0" fontId="13" fillId="0" borderId="14" xfId="6" applyFont="1" applyBorder="1" applyAlignment="1" applyProtection="1">
      <alignment horizontal="center" vertical="center" wrapText="1"/>
    </xf>
    <xf numFmtId="0" fontId="6" fillId="0" borderId="7" xfId="6" applyFont="1" applyBorder="1" applyAlignment="1" applyProtection="1">
      <alignment horizontal="center" vertical="center" wrapText="1"/>
    </xf>
    <xf numFmtId="0" fontId="6" fillId="0" borderId="15" xfId="6" applyFont="1" applyBorder="1" applyAlignment="1" applyProtection="1">
      <alignment horizontal="center" vertical="center" wrapText="1"/>
    </xf>
    <xf numFmtId="0" fontId="6" fillId="0" borderId="8" xfId="6" applyFont="1" applyBorder="1" applyAlignment="1" applyProtection="1">
      <alignment horizontal="center" vertical="center" wrapText="1"/>
    </xf>
    <xf numFmtId="0" fontId="6" fillId="0" borderId="11" xfId="6" applyFont="1" applyBorder="1" applyAlignment="1" applyProtection="1">
      <alignment horizontal="center" vertical="center" wrapText="1"/>
    </xf>
    <xf numFmtId="0" fontId="6" fillId="0" borderId="0" xfId="6" applyFont="1" applyAlignment="1" applyProtection="1">
      <alignment horizontal="center" vertical="center" wrapText="1"/>
    </xf>
    <xf numFmtId="0" fontId="6" fillId="0" borderId="12" xfId="6" applyFont="1" applyBorder="1" applyAlignment="1" applyProtection="1">
      <alignment horizontal="center" vertical="center" wrapText="1"/>
    </xf>
    <xf numFmtId="0" fontId="6" fillId="0" borderId="13" xfId="6" applyFont="1" applyBorder="1" applyAlignment="1" applyProtection="1">
      <alignment horizontal="center" vertical="center" wrapText="1"/>
    </xf>
    <xf numFmtId="0" fontId="6" fillId="0" borderId="16" xfId="6" applyFont="1" applyBorder="1" applyAlignment="1" applyProtection="1">
      <alignment horizontal="center" vertical="center" wrapText="1"/>
    </xf>
    <xf numFmtId="0" fontId="6" fillId="0" borderId="14" xfId="6" applyFont="1" applyBorder="1" applyAlignment="1" applyProtection="1">
      <alignment horizontal="center" vertical="center" wrapText="1"/>
    </xf>
    <xf numFmtId="0" fontId="83" fillId="0" borderId="7" xfId="6" applyFont="1" applyBorder="1" applyAlignment="1" applyProtection="1">
      <alignment horizontal="center" vertical="center" wrapText="1"/>
    </xf>
    <xf numFmtId="0" fontId="15" fillId="0" borderId="8" xfId="6" applyFont="1" applyBorder="1" applyAlignment="1" applyProtection="1">
      <alignment horizontal="center" vertical="center"/>
    </xf>
    <xf numFmtId="0" fontId="15" fillId="0" borderId="11" xfId="6" applyFont="1" applyBorder="1" applyAlignment="1" applyProtection="1">
      <alignment horizontal="center" vertical="center"/>
    </xf>
    <xf numFmtId="0" fontId="15" fillId="0" borderId="12" xfId="6" applyFont="1" applyBorder="1" applyAlignment="1" applyProtection="1">
      <alignment horizontal="center" vertical="center"/>
    </xf>
    <xf numFmtId="0" fontId="15" fillId="0" borderId="13" xfId="6" applyFont="1" applyBorder="1" applyAlignment="1" applyProtection="1">
      <alignment horizontal="center" vertical="center"/>
    </xf>
    <xf numFmtId="0" fontId="15" fillId="0" borderId="14" xfId="6" applyFont="1" applyBorder="1" applyAlignment="1" applyProtection="1">
      <alignment horizontal="center" vertical="center"/>
    </xf>
    <xf numFmtId="0" fontId="80" fillId="0" borderId="0" xfId="6" applyFont="1" applyAlignment="1" applyProtection="1">
      <alignment horizontal="center"/>
    </xf>
    <xf numFmtId="49" fontId="10" fillId="0" borderId="0" xfId="6" applyNumberFormat="1" applyFont="1" applyAlignment="1" applyProtection="1">
      <alignment horizontal="center" vertical="center" wrapText="1"/>
    </xf>
    <xf numFmtId="49" fontId="10" fillId="0" borderId="12" xfId="6" applyNumberFormat="1" applyFont="1" applyBorder="1" applyAlignment="1" applyProtection="1">
      <alignment horizontal="center" vertical="center" wrapText="1"/>
    </xf>
    <xf numFmtId="49" fontId="61" fillId="8" borderId="7" xfId="6" applyNumberFormat="1" applyFont="1" applyFill="1" applyBorder="1" applyAlignment="1" applyProtection="1">
      <alignment horizontal="center" vertical="center"/>
    </xf>
    <xf numFmtId="49" fontId="61" fillId="8" borderId="15" xfId="6" applyNumberFormat="1" applyFont="1" applyFill="1" applyBorder="1" applyAlignment="1" applyProtection="1">
      <alignment horizontal="center" vertical="center"/>
    </xf>
    <xf numFmtId="49" fontId="61" fillId="8" borderId="8" xfId="6" applyNumberFormat="1" applyFont="1" applyFill="1" applyBorder="1" applyAlignment="1" applyProtection="1">
      <alignment horizontal="center" vertical="center"/>
    </xf>
    <xf numFmtId="49" fontId="61" fillId="8" borderId="11" xfId="6" applyNumberFormat="1" applyFont="1" applyFill="1" applyBorder="1" applyAlignment="1" applyProtection="1">
      <alignment horizontal="center" vertical="center"/>
    </xf>
    <xf numFmtId="49" fontId="61" fillId="8" borderId="0" xfId="6" applyNumberFormat="1" applyFont="1" applyFill="1" applyAlignment="1" applyProtection="1">
      <alignment horizontal="center" vertical="center"/>
    </xf>
    <xf numFmtId="49" fontId="61" fillId="8" borderId="12" xfId="6" applyNumberFormat="1" applyFont="1" applyFill="1" applyBorder="1" applyAlignment="1" applyProtection="1">
      <alignment horizontal="center" vertical="center"/>
    </xf>
    <xf numFmtId="49" fontId="61" fillId="8" borderId="13" xfId="6" applyNumberFormat="1" applyFont="1" applyFill="1" applyBorder="1" applyAlignment="1" applyProtection="1">
      <alignment horizontal="center" vertical="center"/>
    </xf>
    <xf numFmtId="49" fontId="61" fillId="8" borderId="16" xfId="6" applyNumberFormat="1" applyFont="1" applyFill="1" applyBorder="1" applyAlignment="1" applyProtection="1">
      <alignment horizontal="center" vertical="center"/>
    </xf>
    <xf numFmtId="49" fontId="61" fillId="8" borderId="14" xfId="6" applyNumberFormat="1" applyFont="1" applyFill="1" applyBorder="1" applyAlignment="1" applyProtection="1">
      <alignment horizontal="center" vertical="center"/>
    </xf>
    <xf numFmtId="0" fontId="53" fillId="45" borderId="15" xfId="6" applyFont="1" applyFill="1" applyBorder="1" applyAlignment="1" applyProtection="1">
      <alignment horizontal="center" vertical="center"/>
    </xf>
    <xf numFmtId="0" fontId="53" fillId="45" borderId="8" xfId="6" applyFont="1" applyFill="1" applyBorder="1" applyAlignment="1" applyProtection="1">
      <alignment horizontal="center" vertical="center"/>
    </xf>
    <xf numFmtId="0" fontId="53" fillId="45" borderId="0" xfId="6" applyFont="1" applyFill="1" applyAlignment="1" applyProtection="1">
      <alignment horizontal="center" vertical="center"/>
    </xf>
    <xf numFmtId="0" fontId="53" fillId="45" borderId="12" xfId="6" applyFont="1" applyFill="1" applyBorder="1" applyAlignment="1" applyProtection="1">
      <alignment horizontal="center" vertical="center"/>
    </xf>
    <xf numFmtId="49" fontId="13" fillId="0" borderId="0" xfId="6" applyNumberFormat="1" applyFont="1" applyAlignment="1" applyProtection="1">
      <alignment horizontal="center" vertical="center"/>
    </xf>
    <xf numFmtId="0" fontId="13" fillId="0" borderId="78" xfId="6" applyFont="1" applyBorder="1" applyAlignment="1" applyProtection="1">
      <alignment horizontal="center" vertical="center" wrapText="1"/>
    </xf>
    <xf numFmtId="0" fontId="13" fillId="0" borderId="79" xfId="6" applyFont="1" applyBorder="1" applyAlignment="1" applyProtection="1">
      <alignment horizontal="center" vertical="center" wrapText="1"/>
    </xf>
    <xf numFmtId="0" fontId="13" fillId="0" borderId="35" xfId="6" applyFont="1" applyBorder="1" applyAlignment="1" applyProtection="1">
      <alignment horizontal="center" vertical="center" wrapText="1"/>
    </xf>
    <xf numFmtId="0" fontId="13" fillId="0" borderId="37" xfId="6" applyFont="1" applyBorder="1" applyAlignment="1" applyProtection="1">
      <alignment horizontal="center" vertical="center" wrapText="1"/>
    </xf>
    <xf numFmtId="0" fontId="10" fillId="0" borderId="11" xfId="6" quotePrefix="1" applyFont="1" applyFill="1" applyBorder="1" applyAlignment="1" applyProtection="1">
      <alignment horizontal="center" vertical="center" wrapText="1"/>
    </xf>
    <xf numFmtId="0" fontId="10" fillId="0" borderId="0" xfId="6" applyFont="1" applyFill="1" applyAlignment="1" applyProtection="1">
      <alignment horizontal="center" vertical="center" wrapText="1"/>
    </xf>
    <xf numFmtId="0" fontId="10" fillId="0" borderId="90" xfId="6" applyFont="1" applyFill="1" applyBorder="1" applyAlignment="1" applyProtection="1">
      <alignment horizontal="center" vertical="center" wrapText="1"/>
    </xf>
    <xf numFmtId="0" fontId="10" fillId="0" borderId="11" xfId="6" applyFont="1" applyFill="1" applyBorder="1" applyAlignment="1" applyProtection="1">
      <alignment horizontal="center" vertical="center" wrapText="1"/>
    </xf>
    <xf numFmtId="0" fontId="10" fillId="0" borderId="13" xfId="6" applyFont="1" applyFill="1" applyBorder="1" applyAlignment="1" applyProtection="1">
      <alignment horizontal="center" vertical="center" wrapText="1"/>
    </xf>
    <xf numFmtId="0" fontId="10" fillId="0" borderId="16" xfId="6" applyFont="1" applyFill="1" applyBorder="1" applyAlignment="1" applyProtection="1">
      <alignment horizontal="center" vertical="center" wrapText="1"/>
    </xf>
    <xf numFmtId="0" fontId="10" fillId="0" borderId="96" xfId="6" applyFont="1" applyFill="1" applyBorder="1" applyAlignment="1" applyProtection="1">
      <alignment horizontal="center" vertical="center" wrapText="1"/>
    </xf>
    <xf numFmtId="0" fontId="81" fillId="0" borderId="7" xfId="6" applyFont="1" applyBorder="1" applyAlignment="1" applyProtection="1">
      <alignment horizontal="center" vertical="center" wrapText="1"/>
    </xf>
    <xf numFmtId="0" fontId="81" fillId="0" borderId="8" xfId="6" applyFont="1" applyBorder="1" applyAlignment="1" applyProtection="1">
      <alignment horizontal="center" vertical="center" wrapText="1"/>
    </xf>
    <xf numFmtId="0" fontId="81" fillId="0" borderId="11" xfId="6" applyFont="1" applyBorder="1" applyAlignment="1" applyProtection="1">
      <alignment horizontal="center" vertical="center" wrapText="1"/>
    </xf>
    <xf numFmtId="0" fontId="81" fillId="0" borderId="12" xfId="6" applyFont="1" applyBorder="1" applyAlignment="1" applyProtection="1">
      <alignment horizontal="center" vertical="center" wrapText="1"/>
    </xf>
    <xf numFmtId="0" fontId="81" fillId="0" borderId="13" xfId="6" applyFont="1" applyBorder="1" applyAlignment="1" applyProtection="1">
      <alignment horizontal="center" vertical="center" wrapText="1"/>
    </xf>
    <xf numFmtId="0" fontId="81" fillId="0" borderId="14" xfId="6" applyFont="1" applyBorder="1" applyAlignment="1" applyProtection="1">
      <alignment horizontal="center" vertical="center" wrapText="1"/>
    </xf>
    <xf numFmtId="0" fontId="13" fillId="0" borderId="0" xfId="6" applyFont="1" applyAlignment="1" applyProtection="1">
      <alignment horizontal="center" vertical="center"/>
    </xf>
    <xf numFmtId="0" fontId="13" fillId="0" borderId="11" xfId="6" applyFont="1" applyBorder="1" applyAlignment="1" applyProtection="1">
      <alignment horizontal="center" vertical="center"/>
    </xf>
    <xf numFmtId="0" fontId="28" fillId="36" borderId="38" xfId="6" applyFill="1" applyBorder="1" applyAlignment="1" applyProtection="1">
      <alignment horizontal="center" vertical="center" wrapText="1"/>
    </xf>
    <xf numFmtId="0" fontId="28" fillId="36" borderId="31" xfId="6" applyFill="1" applyBorder="1" applyAlignment="1" applyProtection="1">
      <alignment horizontal="center" vertical="center" wrapText="1"/>
    </xf>
    <xf numFmtId="0" fontId="28" fillId="36" borderId="6" xfId="6" applyFill="1" applyBorder="1" applyAlignment="1" applyProtection="1">
      <alignment horizontal="center" vertical="center" wrapText="1"/>
    </xf>
    <xf numFmtId="0" fontId="28" fillId="36" borderId="39" xfId="6" applyFill="1" applyBorder="1" applyAlignment="1" applyProtection="1">
      <alignment horizontal="center" vertical="center" wrapText="1"/>
    </xf>
    <xf numFmtId="0" fontId="28" fillId="36" borderId="0" xfId="6" applyFill="1" applyAlignment="1" applyProtection="1">
      <alignment horizontal="center" vertical="center" wrapText="1"/>
    </xf>
    <xf numFmtId="0" fontId="28" fillId="36" borderId="34" xfId="6" applyFill="1" applyBorder="1" applyAlignment="1" applyProtection="1">
      <alignment horizontal="center" vertical="center" wrapText="1"/>
    </xf>
    <xf numFmtId="0" fontId="28" fillId="36" borderId="40" xfId="6" applyFill="1" applyBorder="1" applyAlignment="1" applyProtection="1">
      <alignment horizontal="center" vertical="center" wrapText="1"/>
    </xf>
    <xf numFmtId="0" fontId="28" fillId="36" borderId="35" xfId="6" applyFill="1" applyBorder="1" applyAlignment="1" applyProtection="1">
      <alignment horizontal="center" vertical="center" wrapText="1"/>
    </xf>
    <xf numFmtId="0" fontId="28" fillId="36" borderId="36" xfId="6" applyFill="1" applyBorder="1" applyAlignment="1" applyProtection="1">
      <alignment horizontal="center" vertical="center" wrapText="1"/>
    </xf>
    <xf numFmtId="0" fontId="62" fillId="8" borderId="7" xfId="6" applyFont="1" applyFill="1" applyBorder="1" applyAlignment="1" applyProtection="1">
      <alignment horizontal="center" vertical="center"/>
    </xf>
    <xf numFmtId="0" fontId="62" fillId="8" borderId="15" xfId="6" applyFont="1" applyFill="1" applyBorder="1" applyAlignment="1" applyProtection="1">
      <alignment horizontal="center" vertical="center"/>
    </xf>
    <xf numFmtId="0" fontId="62" fillId="8" borderId="8" xfId="6" applyFont="1" applyFill="1" applyBorder="1" applyAlignment="1" applyProtection="1">
      <alignment horizontal="center" vertical="center"/>
    </xf>
    <xf numFmtId="0" fontId="62" fillId="8" borderId="11" xfId="6" applyFont="1" applyFill="1" applyBorder="1" applyAlignment="1" applyProtection="1">
      <alignment horizontal="center" vertical="center"/>
    </xf>
    <xf numFmtId="0" fontId="62" fillId="8" borderId="0" xfId="6" applyFont="1" applyFill="1" applyAlignment="1" applyProtection="1">
      <alignment horizontal="center" vertical="center"/>
    </xf>
    <xf numFmtId="0" fontId="62" fillId="8" borderId="12" xfId="6" applyFont="1" applyFill="1" applyBorder="1" applyAlignment="1" applyProtection="1">
      <alignment horizontal="center" vertical="center"/>
    </xf>
    <xf numFmtId="0" fontId="10" fillId="0" borderId="12" xfId="6" applyFont="1" applyFill="1" applyBorder="1" applyAlignment="1" applyProtection="1">
      <alignment horizontal="center" vertical="center" wrapText="1"/>
    </xf>
    <xf numFmtId="0" fontId="10" fillId="0" borderId="14" xfId="6" applyFont="1" applyFill="1" applyBorder="1" applyAlignment="1" applyProtection="1">
      <alignment horizontal="center" vertical="center" wrapText="1"/>
    </xf>
    <xf numFmtId="0" fontId="10" fillId="0" borderId="7" xfId="6" applyFont="1" applyBorder="1" applyAlignment="1" applyProtection="1">
      <alignment horizontal="center" vertical="center" wrapText="1"/>
    </xf>
    <xf numFmtId="0" fontId="10" fillId="0" borderId="15" xfId="6" applyFont="1" applyBorder="1" applyAlignment="1" applyProtection="1">
      <alignment horizontal="center" vertical="center" wrapText="1"/>
    </xf>
    <xf numFmtId="0" fontId="10" fillId="0" borderId="8" xfId="6" applyFont="1" applyBorder="1" applyAlignment="1" applyProtection="1">
      <alignment horizontal="center" vertical="center" wrapText="1"/>
    </xf>
    <xf numFmtId="0" fontId="10" fillId="0" borderId="11" xfId="6" applyFont="1" applyBorder="1" applyAlignment="1" applyProtection="1">
      <alignment horizontal="center" vertical="center" wrapText="1"/>
    </xf>
    <xf numFmtId="0" fontId="10" fillId="0" borderId="0" xfId="6" applyFont="1" applyAlignment="1" applyProtection="1">
      <alignment horizontal="center" vertical="center" wrapText="1"/>
    </xf>
    <xf numFmtId="0" fontId="10" fillId="0" borderId="12" xfId="6" applyFont="1" applyBorder="1" applyAlignment="1" applyProtection="1">
      <alignment horizontal="center" vertical="center" wrapText="1"/>
    </xf>
    <xf numFmtId="0" fontId="10" fillId="0" borderId="13" xfId="6" applyFont="1" applyBorder="1" applyAlignment="1" applyProtection="1">
      <alignment horizontal="center" vertical="center" wrapText="1"/>
    </xf>
    <xf numFmtId="0" fontId="10" fillId="0" borderId="16" xfId="6" applyFont="1" applyBorder="1" applyAlignment="1" applyProtection="1">
      <alignment horizontal="center" vertical="center" wrapText="1"/>
    </xf>
    <xf numFmtId="0" fontId="10" fillId="0" borderId="14" xfId="6" applyFont="1" applyBorder="1" applyAlignment="1" applyProtection="1">
      <alignment horizontal="center" vertical="center" wrapText="1"/>
    </xf>
    <xf numFmtId="0" fontId="10" fillId="0" borderId="15" xfId="6" applyFont="1" applyBorder="1" applyAlignment="1" applyProtection="1">
      <alignment horizontal="center" vertical="center"/>
    </xf>
    <xf numFmtId="0" fontId="10" fillId="0" borderId="8" xfId="6" applyFont="1" applyBorder="1" applyAlignment="1" applyProtection="1">
      <alignment horizontal="center" vertical="center"/>
    </xf>
    <xf numFmtId="0" fontId="10" fillId="0" borderId="13" xfId="6" applyFont="1" applyBorder="1" applyAlignment="1" applyProtection="1">
      <alignment horizontal="center" vertical="center"/>
    </xf>
    <xf numFmtId="0" fontId="10" fillId="0" borderId="16" xfId="6" applyFont="1" applyBorder="1" applyAlignment="1" applyProtection="1">
      <alignment horizontal="center" vertical="center"/>
    </xf>
    <xf numFmtId="0" fontId="10" fillId="0" borderId="14" xfId="6" applyFont="1" applyBorder="1" applyAlignment="1" applyProtection="1">
      <alignment horizontal="center" vertical="center"/>
    </xf>
    <xf numFmtId="0" fontId="81" fillId="0" borderId="15" xfId="6" applyFont="1" applyBorder="1" applyAlignment="1" applyProtection="1">
      <alignment horizontal="center" vertical="center" wrapText="1"/>
    </xf>
    <xf numFmtId="0" fontId="81" fillId="0" borderId="0" xfId="6" applyFont="1" applyBorder="1" applyAlignment="1" applyProtection="1">
      <alignment horizontal="center" vertical="center" wrapText="1"/>
    </xf>
    <xf numFmtId="0" fontId="81" fillId="0" borderId="16" xfId="6" applyFont="1" applyBorder="1" applyAlignment="1" applyProtection="1">
      <alignment horizontal="center" vertical="center" wrapText="1"/>
    </xf>
    <xf numFmtId="0" fontId="13" fillId="0" borderId="1" xfId="6" applyFont="1" applyBorder="1" applyAlignment="1" applyProtection="1">
      <alignment horizontal="center" vertical="center" wrapText="1"/>
    </xf>
    <xf numFmtId="0" fontId="13" fillId="0" borderId="70" xfId="6" applyFont="1" applyBorder="1" applyAlignment="1" applyProtection="1">
      <alignment horizontal="center" vertical="center"/>
    </xf>
    <xf numFmtId="0" fontId="13" fillId="0" borderId="1" xfId="6" applyFont="1" applyBorder="1" applyAlignment="1" applyProtection="1">
      <alignment horizontal="center" vertical="center"/>
    </xf>
    <xf numFmtId="0" fontId="81" fillId="0" borderId="0" xfId="6" applyFont="1" applyAlignment="1" applyProtection="1">
      <alignment horizontal="center" vertical="center" wrapText="1"/>
    </xf>
    <xf numFmtId="0" fontId="10" fillId="0" borderId="0" xfId="6" applyFont="1" applyAlignment="1" applyProtection="1">
      <alignment horizontal="center" vertical="center"/>
    </xf>
    <xf numFmtId="0" fontId="28" fillId="8" borderId="2" xfId="6" applyFont="1" applyFill="1" applyBorder="1" applyAlignment="1" applyProtection="1">
      <alignment horizontal="center" vertical="center" wrapText="1"/>
    </xf>
    <xf numFmtId="0" fontId="28" fillId="8" borderId="61" xfId="6" applyFont="1" applyFill="1" applyBorder="1" applyAlignment="1" applyProtection="1">
      <alignment horizontal="center" vertical="center" wrapText="1"/>
    </xf>
    <xf numFmtId="0" fontId="28" fillId="8" borderId="3" xfId="6" applyFont="1" applyFill="1" applyBorder="1" applyAlignment="1" applyProtection="1">
      <alignment horizontal="center" vertical="center" wrapText="1"/>
    </xf>
    <xf numFmtId="0" fontId="15" fillId="0" borderId="0" xfId="6" applyFont="1" applyAlignment="1" applyProtection="1">
      <alignment horizontal="center" vertical="center" wrapText="1"/>
    </xf>
    <xf numFmtId="0" fontId="27" fillId="8" borderId="2" xfId="6" applyFont="1" applyFill="1" applyBorder="1" applyAlignment="1" applyProtection="1">
      <alignment horizontal="center" vertical="center" wrapText="1"/>
    </xf>
    <xf numFmtId="0" fontId="27" fillId="8" borderId="61" xfId="6" applyFont="1" applyFill="1" applyBorder="1" applyAlignment="1" applyProtection="1">
      <alignment horizontal="center" vertical="center" wrapText="1"/>
    </xf>
    <xf numFmtId="0" fontId="27" fillId="8" borderId="3" xfId="6" applyFont="1" applyFill="1" applyBorder="1" applyAlignment="1" applyProtection="1">
      <alignment horizontal="center" vertical="center" wrapText="1"/>
    </xf>
    <xf numFmtId="0" fontId="85" fillId="0" borderId="0" xfId="6" applyFont="1" applyAlignment="1" applyProtection="1">
      <alignment horizontal="center" vertical="center"/>
    </xf>
    <xf numFmtId="0" fontId="15" fillId="0" borderId="11" xfId="6" applyFont="1" applyBorder="1" applyAlignment="1">
      <alignment horizontal="center" vertical="center" wrapText="1"/>
      <protection locked="0"/>
    </xf>
    <xf numFmtId="0" fontId="15" fillId="0" borderId="0" xfId="6" applyFont="1" applyAlignment="1">
      <alignment horizontal="center" vertical="center" wrapText="1"/>
      <protection locked="0"/>
    </xf>
    <xf numFmtId="0" fontId="6" fillId="50" borderId="78" xfId="6" applyFont="1" applyFill="1" applyBorder="1" applyAlignment="1" applyProtection="1">
      <alignment horizontal="center" vertical="center"/>
    </xf>
    <xf numFmtId="0" fontId="6" fillId="50" borderId="90" xfId="6" applyFont="1" applyFill="1" applyBorder="1" applyAlignment="1" applyProtection="1">
      <alignment horizontal="center" vertical="center"/>
    </xf>
    <xf numFmtId="0" fontId="1" fillId="0" borderId="78" xfId="0" applyFont="1" applyBorder="1" applyAlignment="1">
      <alignment horizontal="center" vertical="center" wrapText="1"/>
    </xf>
    <xf numFmtId="0" fontId="1" fillId="0" borderId="90" xfId="0" applyFont="1" applyBorder="1" applyAlignment="1">
      <alignment horizontal="center" vertical="center" wrapText="1"/>
    </xf>
    <xf numFmtId="0" fontId="21" fillId="50" borderId="0" xfId="0" applyFont="1" applyFill="1" applyAlignment="1">
      <alignment horizontal="center" vertical="center"/>
    </xf>
    <xf numFmtId="0" fontId="21" fillId="50" borderId="12" xfId="0" applyFont="1" applyFill="1" applyBorder="1" applyAlignment="1">
      <alignment horizontal="center" vertical="center"/>
    </xf>
    <xf numFmtId="0" fontId="29" fillId="8" borderId="12" xfId="0" applyFont="1" applyFill="1" applyBorder="1" applyAlignment="1">
      <alignment horizontal="center" vertical="center" wrapText="1"/>
    </xf>
    <xf numFmtId="0" fontId="36" fillId="0" borderId="4" xfId="6" applyFont="1" applyBorder="1" applyAlignment="1" applyProtection="1">
      <alignment horizontal="center" vertical="center" wrapText="1"/>
    </xf>
    <xf numFmtId="0" fontId="28" fillId="0" borderId="4" xfId="6" applyBorder="1" applyAlignment="1" applyProtection="1">
      <alignment horizontal="center" vertical="center" wrapText="1"/>
    </xf>
    <xf numFmtId="0" fontId="28" fillId="35" borderId="31" xfId="6" applyFill="1" applyBorder="1" applyAlignment="1" applyProtection="1">
      <alignment horizontal="center" vertical="center" wrapText="1"/>
    </xf>
    <xf numFmtId="0" fontId="28" fillId="35" borderId="6" xfId="6" applyFill="1" applyBorder="1" applyAlignment="1" applyProtection="1">
      <alignment horizontal="center" vertical="center" wrapText="1"/>
    </xf>
    <xf numFmtId="0" fontId="28" fillId="35" borderId="0" xfId="6" applyFill="1" applyBorder="1" applyAlignment="1" applyProtection="1">
      <alignment horizontal="center" vertical="center" wrapText="1"/>
    </xf>
    <xf numFmtId="0" fontId="28" fillId="35" borderId="0" xfId="6" applyFill="1" applyAlignment="1" applyProtection="1">
      <alignment horizontal="center" vertical="center" wrapText="1"/>
    </xf>
    <xf numFmtId="0" fontId="28" fillId="35" borderId="34" xfId="6" applyFill="1" applyBorder="1" applyAlignment="1" applyProtection="1">
      <alignment horizontal="center" vertical="center" wrapText="1"/>
    </xf>
    <xf numFmtId="0" fontId="17" fillId="0" borderId="11" xfId="6" applyFont="1" applyBorder="1" applyAlignment="1" applyProtection="1">
      <alignment horizontal="left" vertical="center" wrapText="1"/>
    </xf>
    <xf numFmtId="0" fontId="17" fillId="0" borderId="0" xfId="6" applyFont="1" applyAlignment="1" applyProtection="1">
      <alignment horizontal="left" vertical="center" wrapText="1"/>
    </xf>
    <xf numFmtId="0" fontId="17" fillId="0" borderId="12" xfId="6" applyFont="1" applyBorder="1" applyAlignment="1" applyProtection="1">
      <alignment horizontal="left" vertical="center" wrapText="1"/>
    </xf>
    <xf numFmtId="0" fontId="17" fillId="0" borderId="13" xfId="6" applyFont="1" applyBorder="1" applyAlignment="1" applyProtection="1">
      <alignment horizontal="left" vertical="center" wrapText="1"/>
    </xf>
    <xf numFmtId="0" fontId="17" fillId="0" borderId="16" xfId="6" applyFont="1" applyBorder="1" applyAlignment="1" applyProtection="1">
      <alignment horizontal="left" vertical="center" wrapText="1"/>
    </xf>
    <xf numFmtId="0" fontId="17" fillId="0" borderId="14" xfId="6" applyFont="1" applyBorder="1" applyAlignment="1" applyProtection="1">
      <alignment horizontal="left" vertical="center" wrapText="1"/>
    </xf>
    <xf numFmtId="0" fontId="13" fillId="0" borderId="70" xfId="6" applyFont="1" applyBorder="1" applyAlignment="1" applyProtection="1">
      <alignment horizontal="center" vertical="center" wrapText="1"/>
    </xf>
    <xf numFmtId="0" fontId="13" fillId="0" borderId="71" xfId="6" applyFont="1" applyBorder="1" applyAlignment="1" applyProtection="1">
      <alignment horizontal="center" vertical="center" wrapText="1"/>
    </xf>
    <xf numFmtId="0" fontId="13" fillId="0" borderId="72" xfId="6" applyFont="1" applyBorder="1" applyAlignment="1" applyProtection="1">
      <alignment horizontal="center" vertical="center" wrapText="1"/>
    </xf>
    <xf numFmtId="0" fontId="57" fillId="0" borderId="38" xfId="6" applyFont="1" applyBorder="1" applyAlignment="1" applyProtection="1">
      <alignment horizontal="center" vertical="center" wrapText="1"/>
    </xf>
    <xf numFmtId="0" fontId="57" fillId="0" borderId="6" xfId="6" applyFont="1" applyBorder="1" applyAlignment="1" applyProtection="1">
      <alignment horizontal="center" vertical="center" wrapText="1"/>
    </xf>
    <xf numFmtId="0" fontId="57" fillId="0" borderId="39" xfId="6" applyFont="1" applyBorder="1" applyAlignment="1" applyProtection="1">
      <alignment horizontal="center" vertical="center" wrapText="1"/>
    </xf>
    <xf numFmtId="0" fontId="57" fillId="0" borderId="34" xfId="6" applyFont="1" applyBorder="1" applyAlignment="1" applyProtection="1">
      <alignment horizontal="center" vertical="center" wrapText="1"/>
    </xf>
    <xf numFmtId="0" fontId="57" fillId="0" borderId="40" xfId="6" applyFont="1" applyBorder="1" applyAlignment="1" applyProtection="1">
      <alignment horizontal="center" vertical="center" wrapText="1"/>
    </xf>
    <xf numFmtId="0" fontId="57" fillId="0" borderId="36" xfId="6" applyFont="1" applyBorder="1" applyAlignment="1" applyProtection="1">
      <alignment horizontal="center" vertical="center" wrapText="1"/>
    </xf>
    <xf numFmtId="0" fontId="6" fillId="0" borderId="38" xfId="6" applyFont="1" applyBorder="1" applyAlignment="1" applyProtection="1">
      <alignment horizontal="center" vertical="center" wrapText="1"/>
    </xf>
    <xf numFmtId="0" fontId="6" fillId="0" borderId="6" xfId="6" applyFont="1" applyBorder="1" applyAlignment="1" applyProtection="1">
      <alignment horizontal="center" vertical="center" wrapText="1"/>
    </xf>
    <xf numFmtId="0" fontId="6" fillId="0" borderId="39" xfId="6" applyFont="1" applyBorder="1" applyAlignment="1" applyProtection="1">
      <alignment horizontal="center" vertical="center" wrapText="1"/>
    </xf>
    <xf numFmtId="0" fontId="6" fillId="0" borderId="34" xfId="6" applyFont="1" applyBorder="1" applyAlignment="1" applyProtection="1">
      <alignment horizontal="center" vertical="center" wrapText="1"/>
    </xf>
    <xf numFmtId="0" fontId="6" fillId="0" borderId="40" xfId="6" applyFont="1" applyBorder="1" applyAlignment="1" applyProtection="1">
      <alignment horizontal="center" vertical="center" wrapText="1"/>
    </xf>
    <xf numFmtId="0" fontId="6" fillId="0" borderId="36" xfId="6" applyFont="1" applyBorder="1" applyAlignment="1" applyProtection="1">
      <alignment horizontal="center" vertical="center" wrapText="1"/>
    </xf>
    <xf numFmtId="0" fontId="15" fillId="0" borderId="7" xfId="6" applyFont="1" applyBorder="1" applyAlignment="1" applyProtection="1">
      <alignment horizontal="left" vertical="center" wrapText="1" indent="1"/>
    </xf>
    <xf numFmtId="0" fontId="15" fillId="0" borderId="15" xfId="6" applyFont="1" applyBorder="1" applyAlignment="1" applyProtection="1">
      <alignment horizontal="left" vertical="center" wrapText="1" indent="1"/>
    </xf>
    <xf numFmtId="0" fontId="15" fillId="0" borderId="8" xfId="6" applyFont="1" applyBorder="1" applyAlignment="1" applyProtection="1">
      <alignment horizontal="left" vertical="center" wrapText="1" indent="1"/>
    </xf>
    <xf numFmtId="0" fontId="15" fillId="0" borderId="11" xfId="6" applyFont="1" applyBorder="1" applyAlignment="1" applyProtection="1">
      <alignment horizontal="left" vertical="center" wrapText="1" indent="1"/>
    </xf>
    <xf numFmtId="0" fontId="15" fillId="0" borderId="0" xfId="6" applyFont="1" applyBorder="1" applyAlignment="1" applyProtection="1">
      <alignment horizontal="left" vertical="center" wrapText="1" indent="1"/>
    </xf>
    <xf numFmtId="0" fontId="15" fillId="0" borderId="12" xfId="6" applyFont="1" applyBorder="1" applyAlignment="1" applyProtection="1">
      <alignment horizontal="left" vertical="center" wrapText="1" indent="1"/>
    </xf>
    <xf numFmtId="0" fontId="15" fillId="0" borderId="13" xfId="6" applyFont="1" applyBorder="1" applyAlignment="1" applyProtection="1">
      <alignment horizontal="left" vertical="center" wrapText="1" indent="1"/>
    </xf>
    <xf numFmtId="0" fontId="15" fillId="0" borderId="16" xfId="6" applyFont="1" applyBorder="1" applyAlignment="1" applyProtection="1">
      <alignment horizontal="left" vertical="center" wrapText="1" indent="1"/>
    </xf>
    <xf numFmtId="0" fontId="15" fillId="0" borderId="14" xfId="6" applyFont="1" applyBorder="1" applyAlignment="1" applyProtection="1">
      <alignment horizontal="left" vertical="center" wrapText="1" indent="1"/>
    </xf>
    <xf numFmtId="0" fontId="82" fillId="0" borderId="7" xfId="6" applyFont="1" applyBorder="1" applyAlignment="1" applyProtection="1">
      <alignment horizontal="center" vertical="center" wrapText="1"/>
    </xf>
    <xf numFmtId="0" fontId="6" fillId="0" borderId="15" xfId="6" applyFont="1" applyBorder="1" applyAlignment="1" applyProtection="1">
      <alignment horizontal="center" vertical="center"/>
    </xf>
    <xf numFmtId="0" fontId="6" fillId="0" borderId="8" xfId="6" applyFont="1" applyBorder="1" applyAlignment="1" applyProtection="1">
      <alignment horizontal="center" vertical="center"/>
    </xf>
    <xf numFmtId="0" fontId="6" fillId="0" borderId="11" xfId="6" applyFont="1" applyBorder="1" applyAlignment="1" applyProtection="1">
      <alignment horizontal="center" vertical="center"/>
    </xf>
    <xf numFmtId="0" fontId="6" fillId="0" borderId="0" xfId="6" applyFont="1" applyAlignment="1" applyProtection="1">
      <alignment horizontal="center" vertical="center"/>
    </xf>
    <xf numFmtId="0" fontId="6" fillId="0" borderId="12" xfId="6" applyFont="1" applyBorder="1" applyAlignment="1" applyProtection="1">
      <alignment horizontal="center" vertical="center"/>
    </xf>
    <xf numFmtId="0" fontId="6" fillId="0" borderId="13" xfId="6" applyFont="1" applyBorder="1" applyAlignment="1" applyProtection="1">
      <alignment horizontal="center" vertical="center"/>
    </xf>
    <xf numFmtId="0" fontId="6" fillId="0" borderId="16" xfId="6" applyFont="1" applyBorder="1" applyAlignment="1" applyProtection="1">
      <alignment horizontal="center" vertical="center"/>
    </xf>
    <xf numFmtId="0" fontId="6" fillId="0" borderId="14" xfId="6" applyFont="1" applyBorder="1" applyAlignment="1" applyProtection="1">
      <alignment horizontal="center" vertical="center"/>
    </xf>
    <xf numFmtId="0" fontId="62" fillId="38" borderId="7" xfId="6" applyFont="1" applyFill="1" applyBorder="1" applyAlignment="1" applyProtection="1">
      <alignment horizontal="center" vertical="center"/>
    </xf>
    <xf numFmtId="0" fontId="62" fillId="38" borderId="15" xfId="6" applyFont="1" applyFill="1" applyBorder="1" applyAlignment="1" applyProtection="1">
      <alignment horizontal="center" vertical="center"/>
    </xf>
    <xf numFmtId="0" fontId="62" fillId="38" borderId="8" xfId="6" applyFont="1" applyFill="1" applyBorder="1" applyAlignment="1" applyProtection="1">
      <alignment horizontal="center" vertical="center"/>
    </xf>
    <xf numFmtId="0" fontId="62" fillId="38" borderId="11" xfId="6" applyFont="1" applyFill="1" applyBorder="1" applyAlignment="1" applyProtection="1">
      <alignment horizontal="center" vertical="center"/>
    </xf>
    <xf numFmtId="0" fontId="62" fillId="38" borderId="0" xfId="6" applyFont="1" applyFill="1" applyAlignment="1" applyProtection="1">
      <alignment horizontal="center" vertical="center"/>
    </xf>
    <xf numFmtId="0" fontId="62" fillId="38" borderId="12" xfId="6" applyFont="1" applyFill="1" applyBorder="1" applyAlignment="1" applyProtection="1">
      <alignment horizontal="center" vertical="center"/>
    </xf>
    <xf numFmtId="0" fontId="10" fillId="0" borderId="7" xfId="6" applyFont="1" applyBorder="1" applyAlignment="1" applyProtection="1">
      <alignment horizontal="center" vertical="center"/>
    </xf>
    <xf numFmtId="0" fontId="86" fillId="0" borderId="7" xfId="6" applyFont="1" applyBorder="1" applyAlignment="1" applyProtection="1">
      <alignment horizontal="center" vertical="center" wrapText="1"/>
    </xf>
    <xf numFmtId="0" fontId="86" fillId="0" borderId="8" xfId="6" applyFont="1" applyBorder="1" applyAlignment="1" applyProtection="1">
      <alignment horizontal="center" vertical="center" wrapText="1"/>
    </xf>
    <xf numFmtId="0" fontId="86" fillId="0" borderId="11" xfId="6" applyFont="1" applyBorder="1" applyAlignment="1" applyProtection="1">
      <alignment horizontal="center" vertical="center" wrapText="1"/>
    </xf>
    <xf numFmtId="0" fontId="86" fillId="0" borderId="12" xfId="6" applyFont="1" applyBorder="1" applyAlignment="1" applyProtection="1">
      <alignment horizontal="center" vertical="center" wrapText="1"/>
    </xf>
    <xf numFmtId="0" fontId="86" fillId="0" borderId="13" xfId="6" applyFont="1" applyBorder="1" applyAlignment="1" applyProtection="1">
      <alignment horizontal="center" vertical="center" wrapText="1"/>
    </xf>
    <xf numFmtId="0" fontId="86" fillId="0" borderId="14" xfId="6" applyFont="1" applyBorder="1" applyAlignment="1" applyProtection="1">
      <alignment horizontal="center" vertical="center" wrapText="1"/>
    </xf>
    <xf numFmtId="0" fontId="15" fillId="0" borderId="7" xfId="6" applyFont="1" applyBorder="1" applyAlignment="1" applyProtection="1">
      <alignment horizontal="center" vertical="center" wrapText="1"/>
    </xf>
    <xf numFmtId="0" fontId="15" fillId="0" borderId="8" xfId="6" applyFont="1" applyBorder="1" applyAlignment="1" applyProtection="1">
      <alignment horizontal="center" vertical="center" wrapText="1"/>
    </xf>
    <xf numFmtId="0" fontId="15" fillId="0" borderId="11" xfId="6" applyFont="1" applyBorder="1" applyAlignment="1" applyProtection="1">
      <alignment horizontal="center" vertical="center" wrapText="1"/>
    </xf>
    <xf numFmtId="0" fontId="15" fillId="0" borderId="12" xfId="6" applyFont="1" applyBorder="1" applyAlignment="1" applyProtection="1">
      <alignment horizontal="center" vertical="center" wrapText="1"/>
    </xf>
    <xf numFmtId="0" fontId="15" fillId="0" borderId="13" xfId="6" applyFont="1" applyBorder="1" applyAlignment="1" applyProtection="1">
      <alignment horizontal="center" vertical="center" wrapText="1"/>
    </xf>
    <xf numFmtId="0" fontId="15" fillId="0" borderId="14" xfId="6" applyFont="1" applyBorder="1" applyAlignment="1" applyProtection="1">
      <alignment horizontal="center" vertical="center" wrapText="1"/>
    </xf>
    <xf numFmtId="0" fontId="28" fillId="38" borderId="38" xfId="6" applyFill="1" applyBorder="1" applyAlignment="1" applyProtection="1">
      <alignment horizontal="center" vertical="center" wrapText="1"/>
    </xf>
    <xf numFmtId="0" fontId="28" fillId="38" borderId="6" xfId="6" applyFill="1" applyBorder="1" applyAlignment="1" applyProtection="1">
      <alignment horizontal="center" vertical="center" wrapText="1"/>
    </xf>
    <xf numFmtId="0" fontId="28" fillId="38" borderId="39" xfId="6" applyFill="1" applyBorder="1" applyAlignment="1" applyProtection="1">
      <alignment horizontal="center" vertical="center" wrapText="1"/>
    </xf>
    <xf numFmtId="0" fontId="28" fillId="38" borderId="34" xfId="6" applyFill="1" applyBorder="1" applyAlignment="1" applyProtection="1">
      <alignment horizontal="center" vertical="center" wrapText="1"/>
    </xf>
    <xf numFmtId="0" fontId="21" fillId="50" borderId="11" xfId="0" applyFont="1" applyFill="1" applyBorder="1" applyAlignment="1">
      <alignment horizontal="center" vertical="center" wrapText="1"/>
    </xf>
    <xf numFmtId="0" fontId="21" fillId="50" borderId="0" xfId="0" applyFont="1" applyFill="1" applyAlignment="1">
      <alignment horizontal="center" vertical="center" wrapText="1"/>
    </xf>
    <xf numFmtId="0" fontId="21" fillId="50" borderId="12" xfId="0" applyFont="1" applyFill="1" applyBorder="1" applyAlignment="1">
      <alignment horizontal="center" vertical="center" wrapText="1"/>
    </xf>
    <xf numFmtId="0" fontId="21" fillId="50" borderId="13" xfId="0" applyFont="1" applyFill="1" applyBorder="1" applyAlignment="1">
      <alignment horizontal="center" vertical="center" wrapText="1"/>
    </xf>
    <xf numFmtId="0" fontId="21" fillId="50" borderId="16" xfId="0" applyFont="1" applyFill="1" applyBorder="1" applyAlignment="1">
      <alignment horizontal="center" vertical="center" wrapText="1"/>
    </xf>
    <xf numFmtId="0" fontId="21" fillId="50" borderId="14" xfId="0" applyFont="1" applyFill="1" applyBorder="1" applyAlignment="1">
      <alignment horizontal="center" vertical="center" wrapText="1"/>
    </xf>
    <xf numFmtId="0" fontId="10" fillId="0" borderId="11" xfId="6" applyFont="1" applyBorder="1" applyAlignment="1" applyProtection="1">
      <alignment horizontal="left" vertical="center" wrapText="1"/>
    </xf>
    <xf numFmtId="0" fontId="10" fillId="0" borderId="0" xfId="6" applyFont="1" applyBorder="1" applyAlignment="1" applyProtection="1">
      <alignment horizontal="left" vertical="center" wrapText="1"/>
    </xf>
    <xf numFmtId="0" fontId="10" fillId="0" borderId="13" xfId="6" applyFont="1" applyBorder="1" applyAlignment="1" applyProtection="1">
      <alignment horizontal="left" vertical="center" wrapText="1"/>
    </xf>
    <xf numFmtId="0" fontId="10" fillId="0" borderId="16" xfId="6" applyFont="1" applyBorder="1" applyAlignment="1" applyProtection="1">
      <alignment horizontal="left" vertical="center" wrapText="1"/>
    </xf>
    <xf numFmtId="0" fontId="10" fillId="0" borderId="14" xfId="6" applyFont="1" applyBorder="1" applyAlignment="1" applyProtection="1">
      <alignment horizontal="left" vertical="center" wrapText="1"/>
    </xf>
    <xf numFmtId="0" fontId="77" fillId="8" borderId="7" xfId="6" applyFont="1" applyFill="1" applyBorder="1" applyAlignment="1" applyProtection="1">
      <alignment horizontal="center" vertical="center"/>
    </xf>
    <xf numFmtId="0" fontId="77" fillId="8" borderId="15" xfId="6" applyFont="1" applyFill="1" applyBorder="1" applyAlignment="1" applyProtection="1">
      <alignment horizontal="center" vertical="center"/>
    </xf>
    <xf numFmtId="0" fontId="77" fillId="8" borderId="8" xfId="6" applyFont="1" applyFill="1" applyBorder="1" applyAlignment="1" applyProtection="1">
      <alignment horizontal="center" vertical="center"/>
    </xf>
    <xf numFmtId="0" fontId="77" fillId="8" borderId="11" xfId="6" applyFont="1" applyFill="1" applyBorder="1" applyAlignment="1" applyProtection="1">
      <alignment horizontal="center" vertical="center"/>
    </xf>
    <xf numFmtId="0" fontId="77" fillId="8" borderId="0" xfId="6" applyFont="1" applyFill="1" applyAlignment="1" applyProtection="1">
      <alignment horizontal="center" vertical="center"/>
    </xf>
    <xf numFmtId="0" fontId="77" fillId="8" borderId="12" xfId="6" applyFont="1" applyFill="1" applyBorder="1" applyAlignment="1" applyProtection="1">
      <alignment horizontal="center" vertical="center"/>
    </xf>
    <xf numFmtId="0" fontId="28" fillId="43" borderId="39" xfId="6" applyFill="1" applyBorder="1" applyAlignment="1" applyProtection="1">
      <alignment horizontal="center" vertical="center" wrapText="1"/>
    </xf>
    <xf numFmtId="0" fontId="28" fillId="43" borderId="34" xfId="6" applyFill="1" applyBorder="1" applyAlignment="1" applyProtection="1">
      <alignment horizontal="center" vertical="center" wrapText="1"/>
    </xf>
    <xf numFmtId="0" fontId="28" fillId="43" borderId="40" xfId="6" applyFill="1" applyBorder="1" applyAlignment="1" applyProtection="1">
      <alignment horizontal="center" vertical="center" wrapText="1"/>
    </xf>
    <xf numFmtId="0" fontId="28" fillId="43" borderId="36" xfId="6" applyFill="1" applyBorder="1" applyAlignment="1" applyProtection="1">
      <alignment horizontal="center" vertical="center" wrapText="1"/>
    </xf>
    <xf numFmtId="49" fontId="62" fillId="8" borderId="7" xfId="6" applyNumberFormat="1" applyFont="1" applyFill="1" applyBorder="1" applyAlignment="1" applyProtection="1">
      <alignment horizontal="center" vertical="center"/>
    </xf>
    <xf numFmtId="49" fontId="62" fillId="8" borderId="15" xfId="6" applyNumberFormat="1" applyFont="1" applyFill="1" applyBorder="1" applyAlignment="1" applyProtection="1">
      <alignment horizontal="center" vertical="center"/>
    </xf>
    <xf numFmtId="49" fontId="62" fillId="8" borderId="11" xfId="6" applyNumberFormat="1" applyFont="1" applyFill="1" applyBorder="1" applyAlignment="1" applyProtection="1">
      <alignment horizontal="center" vertical="center"/>
    </xf>
    <xf numFmtId="49" fontId="62" fillId="8" borderId="0" xfId="6" applyNumberFormat="1" applyFont="1" applyFill="1" applyAlignment="1" applyProtection="1">
      <alignment horizontal="center" vertical="center"/>
    </xf>
    <xf numFmtId="0" fontId="79" fillId="0" borderId="7" xfId="6" applyFont="1" applyBorder="1" applyAlignment="1" applyProtection="1">
      <alignment horizontal="center" vertical="center"/>
    </xf>
    <xf numFmtId="0" fontId="79" fillId="0" borderId="15" xfId="6" applyFont="1" applyBorder="1" applyAlignment="1" applyProtection="1">
      <alignment horizontal="center" vertical="center"/>
    </xf>
    <xf numFmtId="0" fontId="79" fillId="0" borderId="8" xfId="6" applyFont="1" applyBorder="1" applyAlignment="1" applyProtection="1">
      <alignment horizontal="center" vertical="center"/>
    </xf>
    <xf numFmtId="0" fontId="79" fillId="0" borderId="13" xfId="6" applyFont="1" applyBorder="1" applyAlignment="1" applyProtection="1">
      <alignment horizontal="center" vertical="center"/>
    </xf>
    <xf numFmtId="0" fontId="79" fillId="0" borderId="16" xfId="6" applyFont="1" applyBorder="1" applyAlignment="1" applyProtection="1">
      <alignment horizontal="center" vertical="center"/>
    </xf>
    <xf numFmtId="0" fontId="79" fillId="0" borderId="14" xfId="6" applyFont="1" applyBorder="1" applyAlignment="1" applyProtection="1">
      <alignment horizontal="center" vertical="center"/>
    </xf>
    <xf numFmtId="0" fontId="78" fillId="49" borderId="7" xfId="6" applyFont="1" applyFill="1" applyBorder="1" applyAlignment="1" applyProtection="1">
      <alignment horizontal="center" vertical="center"/>
    </xf>
    <xf numFmtId="0" fontId="78" fillId="49" borderId="15" xfId="6" applyFont="1" applyFill="1" applyBorder="1" applyAlignment="1" applyProtection="1">
      <alignment horizontal="center" vertical="center"/>
    </xf>
    <xf numFmtId="0" fontId="78" fillId="49" borderId="8" xfId="6" applyFont="1" applyFill="1" applyBorder="1" applyAlignment="1" applyProtection="1">
      <alignment horizontal="center" vertical="center"/>
    </xf>
    <xf numFmtId="0" fontId="78" fillId="49" borderId="82" xfId="6" applyFont="1" applyFill="1" applyBorder="1" applyAlignment="1" applyProtection="1">
      <alignment horizontal="center" vertical="center"/>
    </xf>
    <xf numFmtId="0" fontId="78" fillId="49" borderId="83" xfId="6" applyFont="1" applyFill="1" applyBorder="1" applyAlignment="1" applyProtection="1">
      <alignment horizontal="center" vertical="center"/>
    </xf>
    <xf numFmtId="0" fontId="78" fillId="49" borderId="94" xfId="6" applyFont="1" applyFill="1" applyBorder="1" applyAlignment="1" applyProtection="1">
      <alignment horizontal="center" vertical="center"/>
    </xf>
    <xf numFmtId="0" fontId="10" fillId="0" borderId="11" xfId="6" applyFont="1" applyBorder="1" applyAlignment="1" applyProtection="1">
      <alignment horizontal="center" vertical="center"/>
    </xf>
    <xf numFmtId="0" fontId="28" fillId="43" borderId="38" xfId="6" applyFill="1" applyBorder="1" applyAlignment="1" applyProtection="1">
      <alignment horizontal="center" vertical="center" wrapText="1"/>
    </xf>
    <xf numFmtId="0" fontId="28" fillId="43" borderId="6" xfId="6" applyFill="1" applyBorder="1" applyAlignment="1" applyProtection="1">
      <alignment horizontal="center" vertical="center" wrapText="1"/>
    </xf>
    <xf numFmtId="49" fontId="10" fillId="0" borderId="11" xfId="6" applyNumberFormat="1" applyFont="1" applyBorder="1" applyAlignment="1" applyProtection="1">
      <alignment horizontal="left" vertical="center" wrapText="1"/>
    </xf>
    <xf numFmtId="49" fontId="10" fillId="0" borderId="12" xfId="6" applyNumberFormat="1" applyFont="1" applyBorder="1" applyAlignment="1" applyProtection="1">
      <alignment horizontal="left" vertical="center" wrapText="1"/>
    </xf>
    <xf numFmtId="49" fontId="10" fillId="0" borderId="13" xfId="6" applyNumberFormat="1" applyFont="1" applyBorder="1" applyAlignment="1" applyProtection="1">
      <alignment horizontal="left" vertical="center" wrapText="1"/>
    </xf>
    <xf numFmtId="49" fontId="10" fillId="0" borderId="14" xfId="6" applyNumberFormat="1" applyFont="1" applyBorder="1" applyAlignment="1" applyProtection="1">
      <alignment horizontal="left" vertical="center" wrapText="1"/>
    </xf>
    <xf numFmtId="0" fontId="10" fillId="9" borderId="64" xfId="6" applyFont="1" applyFill="1" applyBorder="1" applyAlignment="1" applyProtection="1">
      <alignment horizontal="left" vertical="center" wrapText="1"/>
    </xf>
    <xf numFmtId="0" fontId="10" fillId="9" borderId="65" xfId="6" applyFont="1" applyFill="1" applyBorder="1" applyAlignment="1" applyProtection="1">
      <alignment horizontal="left" vertical="center" wrapText="1"/>
    </xf>
    <xf numFmtId="0" fontId="10" fillId="9" borderId="73" xfId="6" applyFont="1" applyFill="1" applyBorder="1" applyAlignment="1" applyProtection="1">
      <alignment horizontal="left" vertical="center" wrapText="1"/>
    </xf>
    <xf numFmtId="0" fontId="10" fillId="9" borderId="67" xfId="6" applyFont="1" applyFill="1" applyBorder="1" applyAlignment="1" applyProtection="1">
      <alignment horizontal="left" vertical="center" wrapText="1"/>
    </xf>
    <xf numFmtId="0" fontId="10" fillId="9" borderId="68" xfId="6" applyFont="1" applyFill="1" applyBorder="1" applyAlignment="1" applyProtection="1">
      <alignment horizontal="left" vertical="center" wrapText="1"/>
    </xf>
    <xf numFmtId="0" fontId="10" fillId="9" borderId="74" xfId="6" applyFont="1" applyFill="1" applyBorder="1" applyAlignment="1" applyProtection="1">
      <alignment horizontal="left" vertical="center" wrapText="1"/>
    </xf>
    <xf numFmtId="49" fontId="10" fillId="0" borderId="0" xfId="6" applyNumberFormat="1" applyFont="1" applyAlignment="1" applyProtection="1">
      <alignment horizontal="left" vertical="center" wrapText="1"/>
    </xf>
    <xf numFmtId="49" fontId="10" fillId="0" borderId="16" xfId="6" applyNumberFormat="1" applyFont="1" applyBorder="1" applyAlignment="1" applyProtection="1">
      <alignment horizontal="left" vertical="center" wrapText="1"/>
    </xf>
    <xf numFmtId="0" fontId="13" fillId="0" borderId="7" xfId="6" applyFont="1" applyBorder="1" applyAlignment="1" applyProtection="1">
      <alignment horizontal="center" vertical="center" wrapText="1"/>
    </xf>
    <xf numFmtId="0" fontId="13" fillId="0" borderId="8" xfId="6" applyFont="1" applyBorder="1" applyAlignment="1" applyProtection="1">
      <alignment horizontal="center" vertical="center"/>
    </xf>
    <xf numFmtId="0" fontId="13" fillId="0" borderId="12" xfId="6" applyFont="1" applyBorder="1" applyAlignment="1" applyProtection="1">
      <alignment horizontal="center" vertical="center"/>
    </xf>
    <xf numFmtId="0" fontId="13" fillId="0" borderId="13" xfId="6" applyFont="1" applyBorder="1" applyAlignment="1" applyProtection="1">
      <alignment horizontal="center" vertical="center"/>
    </xf>
    <xf numFmtId="0" fontId="13" fillId="0" borderId="14" xfId="6" applyFont="1" applyBorder="1" applyAlignment="1" applyProtection="1">
      <alignment horizontal="center" vertical="center"/>
    </xf>
    <xf numFmtId="49" fontId="53" fillId="45" borderId="15" xfId="6" applyNumberFormat="1" applyFont="1" applyFill="1" applyBorder="1" applyAlignment="1" applyProtection="1">
      <alignment horizontal="center" vertical="center"/>
    </xf>
    <xf numFmtId="49" fontId="53" fillId="45" borderId="0" xfId="6" applyNumberFormat="1" applyFont="1" applyFill="1" applyAlignment="1" applyProtection="1">
      <alignment horizontal="center" vertical="center"/>
    </xf>
    <xf numFmtId="0" fontId="17" fillId="41" borderId="0" xfId="6" applyFont="1" applyFill="1" applyAlignment="1" applyProtection="1">
      <alignment horizontal="center" vertical="center" wrapText="1"/>
    </xf>
    <xf numFmtId="49" fontId="75" fillId="8" borderId="0" xfId="6" applyNumberFormat="1" applyFont="1" applyFill="1" applyAlignment="1" applyProtection="1">
      <alignment horizontal="center" vertical="center"/>
    </xf>
    <xf numFmtId="0" fontId="10" fillId="8" borderId="69" xfId="6" applyFont="1" applyFill="1" applyBorder="1" applyAlignment="1" applyProtection="1">
      <alignment horizontal="left" vertical="center" wrapText="1"/>
    </xf>
    <xf numFmtId="0" fontId="10" fillId="8" borderId="0" xfId="6" applyFont="1" applyFill="1" applyBorder="1" applyAlignment="1" applyProtection="1">
      <alignment horizontal="left" vertical="center" wrapText="1"/>
    </xf>
    <xf numFmtId="0" fontId="10" fillId="8" borderId="12" xfId="6" applyFont="1" applyFill="1" applyBorder="1" applyAlignment="1" applyProtection="1">
      <alignment horizontal="left" vertical="center" wrapText="1"/>
    </xf>
    <xf numFmtId="0" fontId="10" fillId="8" borderId="0" xfId="6" applyFont="1" applyFill="1" applyAlignment="1" applyProtection="1">
      <alignment horizontal="left" vertical="center" wrapText="1"/>
    </xf>
    <xf numFmtId="0" fontId="10" fillId="8" borderId="67" xfId="6" applyFont="1" applyFill="1" applyBorder="1" applyAlignment="1" applyProtection="1">
      <alignment horizontal="left" vertical="center" wrapText="1"/>
    </xf>
    <xf numFmtId="0" fontId="10" fillId="8" borderId="68" xfId="6" applyFont="1" applyFill="1" applyBorder="1" applyAlignment="1" applyProtection="1">
      <alignment horizontal="left" vertical="center" wrapText="1"/>
    </xf>
    <xf numFmtId="0" fontId="10" fillId="8" borderId="74" xfId="6" applyFont="1" applyFill="1" applyBorder="1" applyAlignment="1" applyProtection="1">
      <alignment horizontal="left" vertical="center" wrapText="1"/>
    </xf>
    <xf numFmtId="0" fontId="10" fillId="0" borderId="80" xfId="6" applyFont="1" applyBorder="1" applyAlignment="1" applyProtection="1">
      <alignment horizontal="center" vertical="center" wrapText="1"/>
    </xf>
    <xf numFmtId="0" fontId="10" fillId="0" borderId="81" xfId="6" applyFont="1" applyBorder="1" applyAlignment="1" applyProtection="1">
      <alignment horizontal="center" vertical="center" wrapText="1"/>
    </xf>
    <xf numFmtId="0" fontId="10" fillId="0" borderId="91" xfId="6" applyFont="1" applyBorder="1" applyAlignment="1" applyProtection="1">
      <alignment horizontal="center" vertical="center" wrapText="1"/>
    </xf>
    <xf numFmtId="0" fontId="10" fillId="0" borderId="82" xfId="6" applyFont="1" applyBorder="1" applyAlignment="1" applyProtection="1">
      <alignment horizontal="center" vertical="center" wrapText="1"/>
    </xf>
    <xf numFmtId="0" fontId="10" fillId="0" borderId="83" xfId="6" applyFont="1" applyBorder="1" applyAlignment="1" applyProtection="1">
      <alignment horizontal="center" vertical="center" wrapText="1"/>
    </xf>
    <xf numFmtId="0" fontId="10" fillId="0" borderId="0" xfId="6" applyFont="1" applyBorder="1" applyAlignment="1" applyProtection="1">
      <alignment horizontal="center" vertical="center" wrapText="1"/>
    </xf>
    <xf numFmtId="0" fontId="10" fillId="0" borderId="93" xfId="6" applyFont="1" applyBorder="1" applyAlignment="1" applyProtection="1">
      <alignment horizontal="center" vertical="center" wrapText="1"/>
    </xf>
    <xf numFmtId="0" fontId="84" fillId="0" borderId="0" xfId="6" applyFont="1" applyAlignment="1" applyProtection="1">
      <alignment horizontal="left" vertical="center"/>
    </xf>
    <xf numFmtId="0" fontId="13" fillId="0" borderId="30" xfId="6" applyFont="1" applyBorder="1" applyAlignment="1" applyProtection="1">
      <alignment horizontal="center" vertical="center"/>
    </xf>
    <xf numFmtId="0" fontId="13" fillId="0" borderId="31" xfId="6" applyFont="1" applyBorder="1" applyAlignment="1" applyProtection="1">
      <alignment horizontal="center" vertical="center"/>
    </xf>
    <xf numFmtId="49" fontId="10" fillId="0" borderId="0" xfId="6" applyNumberFormat="1" applyFont="1" applyAlignment="1" applyProtection="1">
      <alignment horizontal="center" vertical="center"/>
    </xf>
    <xf numFmtId="49" fontId="10" fillId="0" borderId="12" xfId="6" applyNumberFormat="1" applyFont="1" applyBorder="1" applyAlignment="1" applyProtection="1">
      <alignment horizontal="center" vertical="center"/>
    </xf>
    <xf numFmtId="49" fontId="10" fillId="0" borderId="76" xfId="6" applyNumberFormat="1" applyFont="1" applyBorder="1" applyAlignment="1" applyProtection="1">
      <alignment horizontal="center" vertical="center" wrapText="1"/>
    </xf>
    <xf numFmtId="49" fontId="13" fillId="0" borderId="76" xfId="6" applyNumberFormat="1" applyFont="1" applyBorder="1" applyAlignment="1" applyProtection="1">
      <alignment horizontal="center" vertical="center"/>
    </xf>
    <xf numFmtId="49" fontId="13" fillId="0" borderId="77" xfId="6" applyNumberFormat="1" applyFont="1" applyBorder="1" applyAlignment="1" applyProtection="1">
      <alignment horizontal="center" vertical="center"/>
    </xf>
    <xf numFmtId="0" fontId="84" fillId="0" borderId="0" xfId="6" applyFont="1" applyAlignment="1" applyProtection="1">
      <alignment horizontal="right" vertical="center"/>
    </xf>
    <xf numFmtId="0" fontId="15" fillId="0" borderId="15" xfId="6" applyFont="1" applyBorder="1" applyAlignment="1" applyProtection="1">
      <alignment horizontal="center" vertical="center" wrapText="1"/>
    </xf>
    <xf numFmtId="0" fontId="6" fillId="0" borderId="0" xfId="6" applyFont="1" applyBorder="1" applyAlignment="1" applyProtection="1">
      <alignment horizontal="center" vertical="center"/>
    </xf>
    <xf numFmtId="0" fontId="63" fillId="0" borderId="75" xfId="6" applyFont="1" applyBorder="1" applyAlignment="1" applyProtection="1">
      <alignment horizontal="center" vertical="center" wrapText="1"/>
    </xf>
    <xf numFmtId="0" fontId="6" fillId="0" borderId="76" xfId="6" applyFont="1" applyBorder="1" applyAlignment="1" applyProtection="1">
      <alignment horizontal="center" vertical="center"/>
    </xf>
    <xf numFmtId="0" fontId="6" fillId="0" borderId="77" xfId="6" applyFont="1" applyBorder="1" applyAlignment="1" applyProtection="1">
      <alignment horizontal="center" vertical="center"/>
    </xf>
    <xf numFmtId="0" fontId="15" fillId="38" borderId="80" xfId="6" applyFont="1" applyFill="1" applyBorder="1" applyAlignment="1" applyProtection="1">
      <alignment horizontal="center" vertical="center"/>
    </xf>
    <xf numFmtId="0" fontId="15" fillId="38" borderId="81" xfId="6" applyFont="1" applyFill="1" applyBorder="1" applyAlignment="1" applyProtection="1">
      <alignment horizontal="center" vertical="center"/>
    </xf>
    <xf numFmtId="0" fontId="15" fillId="38" borderId="92" xfId="6" applyFont="1" applyFill="1" applyBorder="1" applyAlignment="1" applyProtection="1">
      <alignment horizontal="center" vertical="center"/>
    </xf>
    <xf numFmtId="49" fontId="13" fillId="0" borderId="11" xfId="6" applyNumberFormat="1" applyFont="1" applyBorder="1" applyAlignment="1" applyProtection="1">
      <alignment horizontal="center" vertical="center" wrapText="1"/>
    </xf>
    <xf numFmtId="49" fontId="13" fillId="0" borderId="12" xfId="6" applyNumberFormat="1" applyFont="1" applyBorder="1" applyAlignment="1" applyProtection="1">
      <alignment horizontal="center" vertical="center" wrapText="1"/>
    </xf>
    <xf numFmtId="0" fontId="83" fillId="0" borderId="8" xfId="6" applyFont="1" applyBorder="1" applyAlignment="1" applyProtection="1">
      <alignment horizontal="center" vertical="center"/>
    </xf>
    <xf numFmtId="0" fontId="83" fillId="0" borderId="11" xfId="6" applyFont="1" applyBorder="1" applyAlignment="1" applyProtection="1">
      <alignment horizontal="center" vertical="center"/>
    </xf>
    <xf numFmtId="0" fontId="83" fillId="0" borderId="12" xfId="6" applyFont="1" applyBorder="1" applyAlignment="1" applyProtection="1">
      <alignment horizontal="center" vertical="center"/>
    </xf>
    <xf numFmtId="0" fontId="83" fillId="0" borderId="13" xfId="6" applyFont="1" applyBorder="1" applyAlignment="1" applyProtection="1">
      <alignment horizontal="center" vertical="center"/>
    </xf>
    <xf numFmtId="0" fontId="83" fillId="0" borderId="14" xfId="6" applyFont="1" applyBorder="1" applyAlignment="1" applyProtection="1">
      <alignment horizontal="center" vertical="center"/>
    </xf>
    <xf numFmtId="0" fontId="13" fillId="0" borderId="84" xfId="6" applyFont="1" applyBorder="1" applyAlignment="1" applyProtection="1">
      <alignment horizontal="center" vertical="center" wrapText="1"/>
    </xf>
    <xf numFmtId="0" fontId="13" fillId="0" borderId="81" xfId="6" applyFont="1" applyBorder="1" applyAlignment="1" applyProtection="1">
      <alignment horizontal="center" vertical="center" wrapText="1"/>
    </xf>
    <xf numFmtId="0" fontId="13" fillId="0" borderId="92" xfId="6" applyFont="1" applyBorder="1" applyAlignment="1" applyProtection="1">
      <alignment horizontal="center" vertical="center" wrapText="1"/>
    </xf>
    <xf numFmtId="0" fontId="63" fillId="0" borderId="7" xfId="6" applyFont="1" applyBorder="1" applyAlignment="1" applyProtection="1">
      <alignment horizontal="center" vertical="center" wrapText="1"/>
    </xf>
    <xf numFmtId="0" fontId="81" fillId="0" borderId="7" xfId="6" applyFont="1" applyBorder="1" applyAlignment="1" applyProtection="1">
      <alignment horizontal="center" vertical="center"/>
    </xf>
    <xf numFmtId="0" fontId="81" fillId="0" borderId="8" xfId="6" applyFont="1" applyBorder="1" applyAlignment="1" applyProtection="1">
      <alignment horizontal="center" vertical="center"/>
    </xf>
    <xf numFmtId="0" fontId="81" fillId="0" borderId="13" xfId="6" applyFont="1" applyBorder="1" applyAlignment="1" applyProtection="1">
      <alignment horizontal="center" vertical="center"/>
    </xf>
    <xf numFmtId="0" fontId="81" fillId="0" borderId="14" xfId="6" applyFont="1" applyBorder="1" applyAlignment="1" applyProtection="1">
      <alignment horizontal="center" vertical="center"/>
    </xf>
    <xf numFmtId="0" fontId="36" fillId="39" borderId="6" xfId="6" applyFont="1" applyFill="1" applyBorder="1" applyAlignment="1" applyProtection="1">
      <alignment horizontal="center" vertical="center" wrapText="1"/>
    </xf>
    <xf numFmtId="0" fontId="28" fillId="39" borderId="34" xfId="6" applyFill="1" applyBorder="1" applyAlignment="1" applyProtection="1">
      <alignment horizontal="center" vertical="center" wrapText="1"/>
    </xf>
    <xf numFmtId="0" fontId="28" fillId="39" borderId="36" xfId="6" applyFill="1" applyBorder="1" applyAlignment="1" applyProtection="1">
      <alignment horizontal="center" vertical="center" wrapText="1"/>
    </xf>
    <xf numFmtId="0" fontId="36" fillId="8" borderId="6" xfId="6" applyFont="1" applyFill="1" applyBorder="1" applyAlignment="1" applyProtection="1">
      <alignment horizontal="center" vertical="center" wrapText="1"/>
    </xf>
    <xf numFmtId="0" fontId="36" fillId="8" borderId="34" xfId="6" applyFont="1" applyFill="1" applyBorder="1" applyAlignment="1" applyProtection="1">
      <alignment horizontal="center" vertical="center" wrapText="1"/>
    </xf>
    <xf numFmtId="0" fontId="49" fillId="8" borderId="6" xfId="6" applyFont="1" applyFill="1" applyBorder="1" applyAlignment="1" applyProtection="1">
      <alignment horizontal="center" vertical="center" wrapText="1"/>
    </xf>
    <xf numFmtId="0" fontId="49" fillId="8" borderId="34" xfId="6" applyFont="1" applyFill="1" applyBorder="1" applyAlignment="1" applyProtection="1">
      <alignment horizontal="center" vertical="center" wrapText="1"/>
    </xf>
    <xf numFmtId="0" fontId="49" fillId="8" borderId="36" xfId="6" applyFont="1" applyFill="1" applyBorder="1" applyAlignment="1" applyProtection="1">
      <alignment horizontal="center" vertical="center" wrapText="1"/>
    </xf>
    <xf numFmtId="0" fontId="39" fillId="46" borderId="6" xfId="6" applyFont="1" applyFill="1" applyBorder="1" applyAlignment="1" applyProtection="1">
      <alignment horizontal="center" vertical="center" wrapText="1"/>
    </xf>
    <xf numFmtId="0" fontId="39" fillId="46" borderId="34" xfId="6" applyFont="1" applyFill="1" applyBorder="1" applyAlignment="1" applyProtection="1">
      <alignment horizontal="center" vertical="center" wrapText="1"/>
    </xf>
    <xf numFmtId="0" fontId="39" fillId="46" borderId="35" xfId="6" applyFont="1" applyFill="1" applyBorder="1" applyAlignment="1" applyProtection="1">
      <alignment horizontal="center" vertical="center" wrapText="1"/>
    </xf>
    <xf numFmtId="0" fontId="70" fillId="34" borderId="0" xfId="6" applyFont="1" applyFill="1" applyBorder="1" applyAlignment="1" applyProtection="1">
      <alignment horizontal="center" vertical="center" wrapText="1"/>
    </xf>
    <xf numFmtId="0" fontId="36" fillId="41" borderId="4" xfId="6" applyFont="1" applyFill="1" applyBorder="1" applyAlignment="1" applyProtection="1">
      <alignment horizontal="center" vertical="center" wrapText="1"/>
    </xf>
    <xf numFmtId="0" fontId="36" fillId="0" borderId="34" xfId="6" applyFont="1" applyBorder="1" applyAlignment="1" applyProtection="1">
      <alignment horizontal="center" vertical="center" wrapText="1"/>
    </xf>
    <xf numFmtId="0" fontId="36" fillId="0" borderId="36" xfId="6" applyFont="1" applyBorder="1" applyAlignment="1" applyProtection="1">
      <alignment horizontal="center" vertical="center" wrapText="1"/>
    </xf>
    <xf numFmtId="0" fontId="10" fillId="8" borderId="0" xfId="6" applyFont="1" applyFill="1" applyAlignment="1" applyProtection="1">
      <alignment horizontal="center" vertical="center" wrapText="1"/>
    </xf>
    <xf numFmtId="0" fontId="10" fillId="8" borderId="12" xfId="6" applyFont="1" applyFill="1" applyBorder="1" applyAlignment="1" applyProtection="1">
      <alignment horizontal="center" vertical="center" wrapText="1"/>
    </xf>
    <xf numFmtId="49" fontId="13" fillId="0" borderId="42" xfId="6" applyNumberFormat="1" applyFont="1" applyBorder="1" applyAlignment="1" applyProtection="1">
      <alignment horizontal="center" vertical="center"/>
    </xf>
    <xf numFmtId="49" fontId="13" fillId="0" borderId="43" xfId="6" applyNumberFormat="1" applyFont="1" applyBorder="1" applyAlignment="1" applyProtection="1">
      <alignment horizontal="center" vertical="center"/>
    </xf>
    <xf numFmtId="49" fontId="13" fillId="0" borderId="44" xfId="6" applyNumberFormat="1" applyFont="1" applyBorder="1" applyAlignment="1" applyProtection="1">
      <alignment horizontal="center" vertical="center"/>
    </xf>
    <xf numFmtId="49" fontId="13" fillId="0" borderId="13" xfId="6" applyNumberFormat="1" applyFont="1" applyBorder="1" applyAlignment="1" applyProtection="1">
      <alignment horizontal="center" vertical="center"/>
    </xf>
    <xf numFmtId="49" fontId="13" fillId="0" borderId="16" xfId="6" applyNumberFormat="1" applyFont="1" applyBorder="1" applyAlignment="1" applyProtection="1">
      <alignment horizontal="center" vertical="center"/>
    </xf>
    <xf numFmtId="49" fontId="13" fillId="0" borderId="14" xfId="6" applyNumberFormat="1" applyFont="1" applyBorder="1" applyAlignment="1" applyProtection="1">
      <alignment horizontal="center" vertical="center"/>
    </xf>
    <xf numFmtId="0" fontId="28" fillId="44" borderId="38" xfId="6" applyFill="1" applyBorder="1" applyAlignment="1" applyProtection="1">
      <alignment horizontal="left" vertical="center" wrapText="1"/>
    </xf>
    <xf numFmtId="0" fontId="28" fillId="44" borderId="31" xfId="6" applyFill="1" applyBorder="1" applyAlignment="1" applyProtection="1">
      <alignment horizontal="left" vertical="center" wrapText="1"/>
    </xf>
    <xf numFmtId="0" fontId="28" fillId="44" borderId="6" xfId="6" applyFill="1" applyBorder="1" applyAlignment="1" applyProtection="1">
      <alignment horizontal="left" vertical="center" wrapText="1"/>
    </xf>
    <xf numFmtId="0" fontId="28" fillId="44" borderId="39" xfId="6" applyFill="1" applyBorder="1" applyAlignment="1" applyProtection="1">
      <alignment horizontal="left" vertical="center" wrapText="1"/>
    </xf>
    <xf numFmtId="0" fontId="28" fillId="44" borderId="0" xfId="6" applyFill="1" applyAlignment="1" applyProtection="1">
      <alignment horizontal="left" vertical="center" wrapText="1"/>
    </xf>
    <xf numFmtId="0" fontId="28" fillId="44" borderId="34" xfId="6" applyFill="1" applyBorder="1" applyAlignment="1" applyProtection="1">
      <alignment horizontal="left" vertical="center" wrapText="1"/>
    </xf>
    <xf numFmtId="0" fontId="28" fillId="44" borderId="40" xfId="6" applyFill="1" applyBorder="1" applyAlignment="1" applyProtection="1">
      <alignment horizontal="left" vertical="center" wrapText="1"/>
    </xf>
    <xf numFmtId="0" fontId="28" fillId="44" borderId="35" xfId="6" applyFill="1" applyBorder="1" applyAlignment="1" applyProtection="1">
      <alignment horizontal="left" vertical="center" wrapText="1"/>
    </xf>
    <xf numFmtId="0" fontId="28" fillId="44" borderId="36" xfId="6" applyFill="1" applyBorder="1" applyAlignment="1" applyProtection="1">
      <alignment horizontal="left" vertical="center" wrapText="1"/>
    </xf>
    <xf numFmtId="0" fontId="10" fillId="0" borderId="7" xfId="6" applyFont="1" applyBorder="1" applyAlignment="1" applyProtection="1">
      <alignment horizontal="left" vertical="center" wrapText="1" indent="1"/>
    </xf>
    <xf numFmtId="0" fontId="10" fillId="0" borderId="15" xfId="6" applyFont="1" applyBorder="1" applyAlignment="1" applyProtection="1">
      <alignment horizontal="left" vertical="center" wrapText="1" indent="1"/>
    </xf>
    <xf numFmtId="0" fontId="10" fillId="0" borderId="8" xfId="6" applyFont="1" applyBorder="1" applyAlignment="1" applyProtection="1">
      <alignment horizontal="left" vertical="center" wrapText="1" indent="1"/>
    </xf>
    <xf numFmtId="0" fontId="10" fillId="0" borderId="11" xfId="6" applyFont="1" applyBorder="1" applyAlignment="1" applyProtection="1">
      <alignment horizontal="left" vertical="center" wrapText="1" indent="1"/>
    </xf>
    <xf numFmtId="0" fontId="10" fillId="0" borderId="0" xfId="6" applyFont="1" applyAlignment="1" applyProtection="1">
      <alignment horizontal="left" vertical="center" wrapText="1" indent="1"/>
    </xf>
    <xf numFmtId="0" fontId="10" fillId="0" borderId="12" xfId="6" applyFont="1" applyBorder="1" applyAlignment="1" applyProtection="1">
      <alignment horizontal="left" vertical="center" wrapText="1" indent="1"/>
    </xf>
    <xf numFmtId="0" fontId="10" fillId="0" borderId="13" xfId="6" applyFont="1" applyBorder="1" applyAlignment="1" applyProtection="1">
      <alignment horizontal="left" vertical="center" wrapText="1" indent="1"/>
    </xf>
    <xf numFmtId="0" fontId="10" fillId="0" borderId="16" xfId="6" applyFont="1" applyBorder="1" applyAlignment="1" applyProtection="1">
      <alignment horizontal="left" vertical="center" wrapText="1" indent="1"/>
    </xf>
    <xf numFmtId="0" fontId="10" fillId="0" borderId="14" xfId="6" applyFont="1" applyBorder="1" applyAlignment="1" applyProtection="1">
      <alignment horizontal="left" vertical="center" wrapText="1" indent="1"/>
    </xf>
    <xf numFmtId="0" fontId="80" fillId="0" borderId="0" xfId="6" applyFont="1" applyAlignment="1" applyProtection="1">
      <alignment horizontal="center" vertical="center"/>
    </xf>
    <xf numFmtId="49" fontId="15" fillId="0" borderId="11" xfId="6" applyNumberFormat="1" applyFont="1" applyBorder="1" applyAlignment="1" applyProtection="1">
      <alignment horizontal="center" vertical="center" wrapText="1"/>
    </xf>
    <xf numFmtId="49" fontId="15" fillId="0" borderId="0" xfId="6" applyNumberFormat="1" applyFont="1" applyAlignment="1" applyProtection="1">
      <alignment horizontal="center" vertical="center" wrapText="1"/>
    </xf>
    <xf numFmtId="49" fontId="15" fillId="0" borderId="13" xfId="6" applyNumberFormat="1" applyFont="1" applyBorder="1" applyAlignment="1" applyProtection="1">
      <alignment horizontal="center" vertical="center" wrapText="1"/>
    </xf>
    <xf numFmtId="49" fontId="15" fillId="0" borderId="16" xfId="6" applyNumberFormat="1" applyFont="1" applyBorder="1" applyAlignment="1" applyProtection="1">
      <alignment horizontal="center" vertical="center" wrapText="1"/>
    </xf>
    <xf numFmtId="0" fontId="81" fillId="0" borderId="0" xfId="6" applyFont="1" applyAlignment="1" applyProtection="1">
      <alignment horizontal="center" vertical="center"/>
    </xf>
    <xf numFmtId="0" fontId="82" fillId="0" borderId="0" xfId="6" applyFont="1" applyAlignment="1" applyProtection="1">
      <alignment horizontal="center" vertical="center" wrapText="1"/>
    </xf>
    <xf numFmtId="49" fontId="53" fillId="45" borderId="7" xfId="6" applyNumberFormat="1" applyFont="1" applyFill="1" applyBorder="1" applyAlignment="1" applyProtection="1">
      <alignment horizontal="center" vertical="center"/>
    </xf>
    <xf numFmtId="49" fontId="53" fillId="45" borderId="11" xfId="6" applyNumberFormat="1" applyFont="1" applyFill="1" applyBorder="1" applyAlignment="1" applyProtection="1">
      <alignment horizontal="center" vertical="center"/>
    </xf>
    <xf numFmtId="49" fontId="13" fillId="8" borderId="11" xfId="6" applyNumberFormat="1" applyFont="1" applyFill="1" applyBorder="1" applyAlignment="1" applyProtection="1">
      <alignment horizontal="center" vertical="center" wrapText="1"/>
    </xf>
    <xf numFmtId="49" fontId="13" fillId="8" borderId="11" xfId="6" applyNumberFormat="1" applyFont="1" applyFill="1" applyBorder="1" applyAlignment="1" applyProtection="1">
      <alignment horizontal="center" vertical="center"/>
    </xf>
    <xf numFmtId="49" fontId="75" fillId="8" borderId="11" xfId="6" applyNumberFormat="1" applyFont="1" applyFill="1" applyBorder="1" applyAlignment="1" applyProtection="1">
      <alignment horizontal="center" vertical="center"/>
    </xf>
    <xf numFmtId="49" fontId="13" fillId="0" borderId="11" xfId="6" applyNumberFormat="1" applyFont="1" applyBorder="1" applyAlignment="1" applyProtection="1">
      <alignment horizontal="center" vertical="center"/>
    </xf>
    <xf numFmtId="49" fontId="13" fillId="8" borderId="13" xfId="6" applyNumberFormat="1" applyFont="1" applyFill="1" applyBorder="1" applyAlignment="1" applyProtection="1">
      <alignment horizontal="center" vertical="center"/>
    </xf>
    <xf numFmtId="49" fontId="17" fillId="0" borderId="76" xfId="6" applyNumberFormat="1" applyFont="1" applyBorder="1" applyAlignment="1" applyProtection="1">
      <alignment horizontal="left" vertical="center" wrapText="1"/>
    </xf>
    <xf numFmtId="49" fontId="17" fillId="0" borderId="77" xfId="6" applyNumberFormat="1" applyFont="1" applyBorder="1" applyAlignment="1" applyProtection="1">
      <alignment horizontal="left" vertical="center" wrapText="1"/>
    </xf>
    <xf numFmtId="49" fontId="13" fillId="0" borderId="13" xfId="6" applyNumberFormat="1" applyFont="1" applyBorder="1" applyAlignment="1" applyProtection="1">
      <alignment horizontal="center" vertical="center" wrapText="1"/>
    </xf>
    <xf numFmtId="0" fontId="15" fillId="41" borderId="11" xfId="6" applyFont="1" applyFill="1" applyBorder="1" applyAlignment="1" applyProtection="1">
      <alignment horizontal="center" vertical="center"/>
    </xf>
    <xf numFmtId="49" fontId="62" fillId="8" borderId="8" xfId="6" applyNumberFormat="1" applyFont="1" applyFill="1" applyBorder="1" applyAlignment="1" applyProtection="1">
      <alignment horizontal="center" vertical="center"/>
    </xf>
    <xf numFmtId="49" fontId="62" fillId="8" borderId="12" xfId="6" applyNumberFormat="1" applyFont="1" applyFill="1" applyBorder="1" applyAlignment="1" applyProtection="1">
      <alignment horizontal="center" vertical="center"/>
    </xf>
    <xf numFmtId="0" fontId="15" fillId="41" borderId="45" xfId="6" applyFont="1" applyFill="1" applyBorder="1" applyAlignment="1" applyProtection="1">
      <alignment horizontal="center" vertical="center"/>
    </xf>
    <xf numFmtId="0" fontId="15" fillId="41" borderId="35" xfId="6" applyFont="1" applyFill="1" applyBorder="1" applyAlignment="1" applyProtection="1">
      <alignment horizontal="center" vertical="center"/>
    </xf>
    <xf numFmtId="0" fontId="13" fillId="0" borderId="0" xfId="6" applyFont="1" applyFill="1" applyAlignment="1" applyProtection="1">
      <alignment horizontal="center" vertical="center"/>
    </xf>
    <xf numFmtId="0" fontId="10" fillId="0" borderId="86" xfId="6" applyFont="1" applyFill="1" applyBorder="1" applyAlignment="1" applyProtection="1">
      <alignment horizontal="center" vertical="center" wrapText="1"/>
    </xf>
    <xf numFmtId="0" fontId="10" fillId="0" borderId="87" xfId="6" applyFont="1" applyFill="1" applyBorder="1" applyAlignment="1" applyProtection="1">
      <alignment horizontal="center" vertical="center" wrapText="1"/>
    </xf>
    <xf numFmtId="0" fontId="10" fillId="0" borderId="95" xfId="6" applyFont="1" applyFill="1" applyBorder="1" applyAlignment="1" applyProtection="1">
      <alignment horizontal="center" vertical="center" wrapText="1"/>
    </xf>
    <xf numFmtId="0" fontId="15" fillId="38" borderId="86" xfId="6" applyFont="1" applyFill="1" applyBorder="1" applyAlignment="1" applyProtection="1">
      <alignment horizontal="center" vertical="center"/>
    </xf>
    <xf numFmtId="0" fontId="15" fillId="38" borderId="87" xfId="6" applyFont="1" applyFill="1" applyBorder="1" applyAlignment="1" applyProtection="1">
      <alignment horizontal="center" vertical="center"/>
    </xf>
    <xf numFmtId="0" fontId="15" fillId="38" borderId="88" xfId="6" applyFont="1" applyFill="1" applyBorder="1" applyAlignment="1" applyProtection="1">
      <alignment horizontal="center" vertical="center"/>
    </xf>
    <xf numFmtId="0" fontId="15" fillId="38" borderId="89" xfId="6" applyFont="1" applyFill="1" applyBorder="1" applyAlignment="1" applyProtection="1">
      <alignment horizontal="center" vertical="center"/>
    </xf>
    <xf numFmtId="0" fontId="15" fillId="38" borderId="95" xfId="6" applyFont="1" applyFill="1" applyBorder="1" applyAlignment="1" applyProtection="1">
      <alignment horizontal="center" vertical="center"/>
    </xf>
    <xf numFmtId="0" fontId="13" fillId="41" borderId="0" xfId="6" applyFont="1" applyFill="1" applyAlignment="1" applyProtection="1">
      <alignment horizontal="center" vertical="center"/>
    </xf>
    <xf numFmtId="0" fontId="64" fillId="8" borderId="11" xfId="6" applyFont="1" applyFill="1" applyBorder="1" applyAlignment="1" applyProtection="1">
      <alignment horizontal="center" vertical="center" wrapText="1"/>
    </xf>
    <xf numFmtId="0" fontId="64" fillId="8" borderId="0" xfId="6" applyFont="1" applyFill="1" applyAlignment="1" applyProtection="1">
      <alignment horizontal="center" vertical="center" wrapText="1"/>
    </xf>
    <xf numFmtId="0" fontId="64" fillId="8" borderId="84" xfId="6" applyFont="1" applyFill="1" applyBorder="1" applyAlignment="1" applyProtection="1">
      <alignment horizontal="center" vertical="center" wrapText="1"/>
    </xf>
    <xf numFmtId="0" fontId="64" fillId="8" borderId="81" xfId="6" applyFont="1" applyFill="1" applyBorder="1" applyAlignment="1" applyProtection="1">
      <alignment horizontal="center" vertical="center" wrapText="1"/>
    </xf>
    <xf numFmtId="0" fontId="64" fillId="8" borderId="92" xfId="6" applyFont="1" applyFill="1" applyBorder="1" applyAlignment="1" applyProtection="1">
      <alignment horizontal="center" vertical="center" wrapText="1"/>
    </xf>
    <xf numFmtId="0" fontId="64" fillId="8" borderId="82" xfId="6" applyFont="1" applyFill="1" applyBorder="1" applyAlignment="1" applyProtection="1">
      <alignment horizontal="center" vertical="center" wrapText="1"/>
    </xf>
    <xf numFmtId="0" fontId="64" fillId="8" borderId="83" xfId="6" applyFont="1" applyFill="1" applyBorder="1" applyAlignment="1" applyProtection="1">
      <alignment horizontal="center" vertical="center" wrapText="1"/>
    </xf>
    <xf numFmtId="0" fontId="64" fillId="8" borderId="85" xfId="6" applyFont="1" applyFill="1" applyBorder="1" applyAlignment="1" applyProtection="1">
      <alignment horizontal="center" vertical="center" wrapText="1"/>
    </xf>
    <xf numFmtId="0" fontId="64" fillId="8" borderId="94" xfId="6" applyFont="1" applyFill="1" applyBorder="1" applyAlignment="1" applyProtection="1">
      <alignment horizontal="center" vertical="center" wrapText="1"/>
    </xf>
    <xf numFmtId="0" fontId="7" fillId="48" borderId="7" xfId="6" applyFont="1" applyFill="1" applyBorder="1" applyAlignment="1" applyProtection="1">
      <alignment horizontal="center" vertical="center"/>
    </xf>
    <xf numFmtId="0" fontId="71" fillId="48" borderId="15" xfId="6" applyFont="1" applyFill="1" applyBorder="1" applyAlignment="1" applyProtection="1">
      <alignment horizontal="center" vertical="center"/>
    </xf>
    <xf numFmtId="0" fontId="71" fillId="48" borderId="8" xfId="6" applyFont="1" applyFill="1" applyBorder="1" applyAlignment="1" applyProtection="1">
      <alignment horizontal="center" vertical="center"/>
    </xf>
    <xf numFmtId="49" fontId="10" fillId="0" borderId="30" xfId="6" applyNumberFormat="1" applyFont="1" applyBorder="1" applyAlignment="1" applyProtection="1">
      <alignment horizontal="center" vertical="center"/>
    </xf>
    <xf numFmtId="49" fontId="10" fillId="0" borderId="31" xfId="6" applyNumberFormat="1" applyFont="1" applyBorder="1" applyAlignment="1" applyProtection="1">
      <alignment horizontal="center" vertical="center"/>
    </xf>
    <xf numFmtId="49" fontId="10" fillId="0" borderId="33" xfId="6" applyNumberFormat="1" applyFont="1" applyBorder="1" applyAlignment="1" applyProtection="1">
      <alignment horizontal="center" vertical="center"/>
    </xf>
    <xf numFmtId="49" fontId="13" fillId="0" borderId="12" xfId="6" applyNumberFormat="1" applyFont="1" applyBorder="1" applyAlignment="1" applyProtection="1">
      <alignment horizontal="center" vertical="center"/>
    </xf>
    <xf numFmtId="49" fontId="13" fillId="0" borderId="30" xfId="6" applyNumberFormat="1" applyFont="1" applyBorder="1" applyAlignment="1" applyProtection="1">
      <alignment horizontal="center" vertical="center"/>
    </xf>
    <xf numFmtId="49" fontId="13" fillId="0" borderId="31" xfId="6" applyNumberFormat="1" applyFont="1" applyBorder="1" applyAlignment="1" applyProtection="1">
      <alignment horizontal="center" vertical="center"/>
    </xf>
    <xf numFmtId="49" fontId="13" fillId="0" borderId="33" xfId="6" applyNumberFormat="1" applyFont="1" applyBorder="1" applyAlignment="1" applyProtection="1">
      <alignment horizontal="center" vertical="center"/>
    </xf>
    <xf numFmtId="0" fontId="72" fillId="9" borderId="63" xfId="6" applyFont="1" applyFill="1" applyBorder="1" applyAlignment="1" applyProtection="1">
      <alignment horizontal="center" vertical="center"/>
    </xf>
    <xf numFmtId="0" fontId="72" fillId="9" borderId="66" xfId="6" applyFont="1" applyFill="1" applyBorder="1" applyAlignment="1" applyProtection="1">
      <alignment horizontal="center" vertical="center"/>
    </xf>
    <xf numFmtId="0" fontId="73" fillId="0" borderId="11" xfId="6" applyFont="1" applyBorder="1" applyAlignment="1" applyProtection="1">
      <alignment horizontal="center" vertical="center"/>
    </xf>
    <xf numFmtId="0" fontId="73" fillId="0" borderId="66" xfId="6" applyFont="1" applyBorder="1" applyAlignment="1" applyProtection="1">
      <alignment horizontal="center" vertical="center"/>
    </xf>
    <xf numFmtId="0" fontId="74" fillId="8" borderId="11" xfId="6" applyFont="1" applyFill="1" applyBorder="1" applyAlignment="1" applyProtection="1">
      <alignment horizontal="center" vertical="center"/>
    </xf>
    <xf numFmtId="0" fontId="74" fillId="8" borderId="66" xfId="6" applyFont="1" applyFill="1" applyBorder="1" applyAlignment="1" applyProtection="1">
      <alignment horizontal="center" vertical="center"/>
    </xf>
    <xf numFmtId="0" fontId="76" fillId="0" borderId="11" xfId="6" applyFont="1" applyBorder="1" applyAlignment="1" applyProtection="1">
      <alignment horizontal="center" vertical="center"/>
    </xf>
    <xf numFmtId="0" fontId="13" fillId="0" borderId="16" xfId="6" applyFont="1" applyBorder="1" applyAlignment="1" applyProtection="1">
      <alignment horizontal="center" vertical="center"/>
    </xf>
    <xf numFmtId="49" fontId="10" fillId="8" borderId="0" xfId="6" applyNumberFormat="1" applyFont="1" applyFill="1" applyAlignment="1" applyProtection="1">
      <alignment horizontal="center" vertical="center"/>
    </xf>
    <xf numFmtId="49" fontId="10" fillId="8" borderId="12" xfId="6" applyNumberFormat="1" applyFont="1" applyFill="1" applyBorder="1" applyAlignment="1" applyProtection="1">
      <alignment horizontal="center" vertical="center"/>
    </xf>
    <xf numFmtId="49" fontId="10" fillId="8" borderId="16" xfId="6" applyNumberFormat="1" applyFont="1" applyFill="1" applyBorder="1" applyAlignment="1" applyProtection="1">
      <alignment horizontal="center" vertical="center"/>
    </xf>
    <xf numFmtId="49" fontId="10" fillId="8" borderId="14" xfId="6" applyNumberFormat="1" applyFont="1" applyFill="1" applyBorder="1" applyAlignment="1" applyProtection="1">
      <alignment horizontal="center" vertical="center"/>
    </xf>
    <xf numFmtId="49" fontId="40" fillId="2" borderId="0" xfId="0" applyNumberFormat="1" applyFont="1" applyFill="1" applyAlignment="1">
      <alignment horizontal="center" vertical="center"/>
    </xf>
    <xf numFmtId="0" fontId="28" fillId="43" borderId="5" xfId="6" applyFill="1" applyBorder="1" applyAlignment="1" applyProtection="1">
      <alignment horizontal="center" vertical="center"/>
    </xf>
    <xf numFmtId="0" fontId="28" fillId="43" borderId="43" xfId="6" applyFill="1" applyBorder="1" applyAlignment="1" applyProtection="1">
      <alignment horizontal="center" vertical="center"/>
    </xf>
    <xf numFmtId="0" fontId="28" fillId="43" borderId="4" xfId="6" applyFill="1" applyBorder="1" applyAlignment="1" applyProtection="1">
      <alignment horizontal="center" vertical="center"/>
    </xf>
    <xf numFmtId="49" fontId="53" fillId="29" borderId="7" xfId="6" applyNumberFormat="1" applyFont="1" applyFill="1" applyBorder="1" applyAlignment="1" applyProtection="1">
      <alignment horizontal="center" vertical="center"/>
    </xf>
    <xf numFmtId="49" fontId="53" fillId="29" borderId="15" xfId="6" applyNumberFormat="1" applyFont="1" applyFill="1" applyBorder="1" applyAlignment="1" applyProtection="1">
      <alignment horizontal="center" vertical="center"/>
    </xf>
    <xf numFmtId="49" fontId="53" fillId="29" borderId="8" xfId="6" applyNumberFormat="1" applyFont="1" applyFill="1" applyBorder="1" applyAlignment="1" applyProtection="1">
      <alignment horizontal="center" vertical="center"/>
    </xf>
    <xf numFmtId="49" fontId="10" fillId="0" borderId="11" xfId="6" applyNumberFormat="1" applyFont="1" applyBorder="1" applyAlignment="1" applyProtection="1">
      <alignment horizontal="center" vertical="center" wrapText="1"/>
    </xf>
    <xf numFmtId="0" fontId="7" fillId="29" borderId="7" xfId="6" applyFont="1" applyFill="1" applyBorder="1" applyAlignment="1" applyProtection="1">
      <alignment horizontal="center" vertical="center"/>
    </xf>
    <xf numFmtId="0" fontId="7" fillId="29" borderId="15" xfId="6" applyFont="1" applyFill="1" applyBorder="1" applyAlignment="1" applyProtection="1">
      <alignment horizontal="center" vertical="center"/>
    </xf>
    <xf numFmtId="0" fontId="7" fillId="29" borderId="8" xfId="6" applyFont="1" applyFill="1" applyBorder="1" applyAlignment="1" applyProtection="1">
      <alignment horizontal="center" vertical="center"/>
    </xf>
    <xf numFmtId="49" fontId="13" fillId="0" borderId="0" xfId="6" applyNumberFormat="1" applyFont="1" applyAlignment="1" applyProtection="1">
      <alignment horizontal="center" vertical="center" wrapText="1"/>
    </xf>
    <xf numFmtId="0" fontId="10" fillId="7" borderId="11" xfId="6" applyFont="1" applyFill="1" applyBorder="1" applyAlignment="1" applyProtection="1">
      <alignment horizontal="center" vertical="center"/>
    </xf>
    <xf numFmtId="0" fontId="10" fillId="7" borderId="0" xfId="6" applyFont="1" applyFill="1" applyAlignment="1" applyProtection="1">
      <alignment horizontal="center" vertical="center"/>
    </xf>
    <xf numFmtId="0" fontId="10" fillId="7" borderId="12" xfId="6" applyFont="1" applyFill="1" applyBorder="1" applyAlignment="1" applyProtection="1">
      <alignment horizontal="center" vertical="center"/>
    </xf>
    <xf numFmtId="0" fontId="28" fillId="0" borderId="2" xfId="6" applyBorder="1" applyAlignment="1" applyProtection="1">
      <alignment horizontal="left" vertical="center" wrapText="1"/>
    </xf>
    <xf numFmtId="0" fontId="28" fillId="0" borderId="61" xfId="6" applyBorder="1" applyAlignment="1" applyProtection="1">
      <alignment horizontal="left" vertical="center" wrapText="1"/>
    </xf>
    <xf numFmtId="0" fontId="28" fillId="0" borderId="3" xfId="6" applyBorder="1" applyAlignment="1" applyProtection="1">
      <alignment horizontal="left" vertical="center" wrapText="1"/>
    </xf>
    <xf numFmtId="0" fontId="28" fillId="39" borderId="2" xfId="6" applyFill="1" applyBorder="1" applyAlignment="1" applyProtection="1">
      <alignment horizontal="left" vertical="center" wrapText="1"/>
    </xf>
    <xf numFmtId="0" fontId="28" fillId="39" borderId="61" xfId="6" applyFill="1" applyBorder="1" applyAlignment="1" applyProtection="1">
      <alignment horizontal="left" vertical="center" wrapText="1"/>
    </xf>
    <xf numFmtId="0" fontId="28" fillId="39" borderId="3" xfId="6" applyFill="1" applyBorder="1" applyAlignment="1" applyProtection="1">
      <alignment horizontal="left" vertical="center" wrapText="1"/>
    </xf>
    <xf numFmtId="0" fontId="28" fillId="8" borderId="6" xfId="6" applyFill="1" applyBorder="1" applyAlignment="1" applyProtection="1">
      <alignment horizontal="center" vertical="center" wrapText="1"/>
    </xf>
    <xf numFmtId="0" fontId="28" fillId="8" borderId="34" xfId="6" applyFill="1" applyBorder="1" applyAlignment="1" applyProtection="1">
      <alignment horizontal="center" vertical="center" wrapText="1"/>
    </xf>
    <xf numFmtId="0" fontId="27" fillId="8" borderId="6" xfId="6" applyFont="1" applyFill="1" applyBorder="1" applyAlignment="1" applyProtection="1">
      <alignment horizontal="center" vertical="center" wrapText="1"/>
    </xf>
    <xf numFmtId="0" fontId="28" fillId="46" borderId="34" xfId="6" applyFill="1" applyBorder="1" applyAlignment="1" applyProtection="1">
      <alignment horizontal="left" vertical="center" wrapText="1"/>
    </xf>
    <xf numFmtId="0" fontId="28" fillId="46" borderId="3" xfId="6" applyFill="1" applyBorder="1" applyAlignment="1" applyProtection="1">
      <alignment horizontal="left" vertical="center" wrapText="1"/>
    </xf>
    <xf numFmtId="0" fontId="28" fillId="47" borderId="2" xfId="6" applyFill="1" applyBorder="1" applyAlignment="1" applyProtection="1">
      <alignment horizontal="center" vertical="center" wrapText="1"/>
    </xf>
    <xf numFmtId="0" fontId="28" fillId="47" borderId="61" xfId="6" applyFill="1" applyBorder="1" applyAlignment="1" applyProtection="1">
      <alignment horizontal="center" vertical="center" wrapText="1"/>
    </xf>
    <xf numFmtId="0" fontId="28" fillId="47" borderId="3" xfId="6" applyFill="1" applyBorder="1" applyAlignment="1" applyProtection="1">
      <alignment horizontal="center" vertical="center" wrapText="1"/>
    </xf>
    <xf numFmtId="0" fontId="28" fillId="41" borderId="3" xfId="6" applyFill="1" applyBorder="1" applyAlignment="1" applyProtection="1">
      <alignment horizontal="center" vertical="center" wrapText="1"/>
    </xf>
    <xf numFmtId="0" fontId="28" fillId="41" borderId="1" xfId="6" applyFill="1" applyBorder="1" applyAlignment="1" applyProtection="1">
      <alignment horizontal="center" vertical="center" wrapText="1"/>
    </xf>
    <xf numFmtId="0" fontId="28" fillId="33" borderId="31" xfId="6" applyFill="1" applyBorder="1" applyAlignment="1" applyProtection="1">
      <alignment horizontal="center" vertical="center" wrapText="1"/>
    </xf>
    <xf numFmtId="0" fontId="28" fillId="33" borderId="0" xfId="6" applyFill="1" applyAlignment="1" applyProtection="1">
      <alignment horizontal="center" vertical="center" wrapText="1"/>
    </xf>
    <xf numFmtId="0" fontId="13" fillId="34" borderId="0" xfId="6" applyFont="1" applyFill="1" applyBorder="1" applyAlignment="1" applyProtection="1">
      <alignment horizontal="center" vertical="center" wrapText="1"/>
    </xf>
    <xf numFmtId="0" fontId="13" fillId="34" borderId="0" xfId="6" applyFont="1" applyFill="1" applyAlignment="1" applyProtection="1">
      <alignment horizontal="center" vertical="center" wrapText="1"/>
    </xf>
    <xf numFmtId="0" fontId="13" fillId="34" borderId="34" xfId="6" applyFont="1" applyFill="1" applyBorder="1" applyAlignment="1" applyProtection="1">
      <alignment horizontal="center" vertical="center" wrapText="1"/>
    </xf>
    <xf numFmtId="0" fontId="13" fillId="34" borderId="35" xfId="6" applyFont="1" applyFill="1" applyBorder="1" applyAlignment="1" applyProtection="1">
      <alignment horizontal="center" vertical="center" wrapText="1"/>
    </xf>
    <xf numFmtId="0" fontId="13" fillId="34" borderId="36" xfId="6" applyFont="1" applyFill="1" applyBorder="1" applyAlignment="1" applyProtection="1">
      <alignment horizontal="center" vertical="center" wrapText="1"/>
    </xf>
    <xf numFmtId="0" fontId="13" fillId="34" borderId="31" xfId="6" applyFont="1" applyFill="1" applyBorder="1" applyAlignment="1" applyProtection="1">
      <alignment horizontal="center" vertical="center" wrapText="1"/>
    </xf>
    <xf numFmtId="0" fontId="13" fillId="34" borderId="6" xfId="6" applyFont="1" applyFill="1" applyBorder="1" applyAlignment="1" applyProtection="1">
      <alignment horizontal="center" vertical="center" wrapText="1"/>
    </xf>
    <xf numFmtId="0" fontId="28" fillId="42" borderId="3" xfId="6" applyFill="1" applyBorder="1" applyAlignment="1" applyProtection="1">
      <alignment horizontal="center" vertical="center" wrapText="1"/>
    </xf>
    <xf numFmtId="0" fontId="28" fillId="42" borderId="5" xfId="6" applyFill="1" applyBorder="1" applyAlignment="1" applyProtection="1">
      <alignment horizontal="center" vertical="center" wrapText="1"/>
    </xf>
    <xf numFmtId="0" fontId="28" fillId="42" borderId="1" xfId="6" applyFill="1" applyBorder="1" applyAlignment="1" applyProtection="1">
      <alignment horizontal="center" vertical="center" wrapText="1"/>
    </xf>
    <xf numFmtId="0" fontId="28" fillId="42" borderId="38" xfId="6" applyFill="1" applyBorder="1" applyAlignment="1" applyProtection="1">
      <alignment horizontal="center" vertical="center" wrapText="1"/>
    </xf>
    <xf numFmtId="0" fontId="28" fillId="27" borderId="1" xfId="6" applyNumberFormat="1" applyFont="1" applyFill="1" applyBorder="1" applyAlignment="1" applyProtection="1">
      <alignment horizontal="left" vertical="center" wrapText="1"/>
    </xf>
    <xf numFmtId="0" fontId="10" fillId="31" borderId="0" xfId="6" applyFont="1" applyFill="1" applyAlignment="1" applyProtection="1">
      <alignment horizontal="center" vertical="center" wrapText="1"/>
    </xf>
    <xf numFmtId="0" fontId="10" fillId="31" borderId="0" xfId="6" applyFont="1" applyFill="1" applyAlignment="1" applyProtection="1">
      <alignment horizontal="center" vertical="center"/>
    </xf>
    <xf numFmtId="0" fontId="10" fillId="0" borderId="0" xfId="6" applyFont="1" applyFill="1" applyBorder="1" applyAlignment="1">
      <alignment horizontal="center" vertical="center" wrapText="1"/>
      <protection locked="0"/>
    </xf>
    <xf numFmtId="0" fontId="17" fillId="0" borderId="0" xfId="6" applyFont="1" applyFill="1" applyBorder="1" applyAlignment="1">
      <alignment horizontal="center" vertical="center" wrapText="1"/>
      <protection locked="0"/>
    </xf>
    <xf numFmtId="0" fontId="28" fillId="0" borderId="0" xfId="6" applyNumberFormat="1" applyFont="1" applyFill="1" applyBorder="1" applyAlignment="1" applyProtection="1">
      <alignment horizontal="center" vertical="center" wrapText="1"/>
    </xf>
    <xf numFmtId="0" fontId="15" fillId="0" borderId="48" xfId="0" applyFont="1" applyFill="1" applyBorder="1" applyAlignment="1">
      <alignment horizontal="center" vertical="center" wrapText="1"/>
    </xf>
    <xf numFmtId="0" fontId="15" fillId="0" borderId="58" xfId="0" applyFont="1" applyFill="1" applyBorder="1" applyAlignment="1">
      <alignment horizontal="center" vertical="center" wrapText="1"/>
    </xf>
    <xf numFmtId="0" fontId="15" fillId="0" borderId="59" xfId="0" applyFont="1" applyFill="1" applyBorder="1" applyAlignment="1">
      <alignment horizontal="center" vertical="center" wrapText="1"/>
    </xf>
    <xf numFmtId="0" fontId="15" fillId="0" borderId="54" xfId="0" applyFont="1" applyFill="1" applyBorder="1" applyAlignment="1">
      <alignment horizontal="center" vertical="center" wrapText="1"/>
    </xf>
    <xf numFmtId="0" fontId="65" fillId="0" borderId="0" xfId="0" applyFont="1" applyFill="1" applyBorder="1" applyAlignment="1" applyProtection="1">
      <alignment horizontal="center" vertical="center" wrapText="1"/>
      <protection locked="0"/>
    </xf>
    <xf numFmtId="49" fontId="55" fillId="0" borderId="11" xfId="6" applyNumberFormat="1" applyFont="1" applyBorder="1" applyAlignment="1" applyProtection="1">
      <alignment horizontal="center" vertical="center" wrapText="1"/>
    </xf>
    <xf numFmtId="49" fontId="55" fillId="0" borderId="0" xfId="6" applyNumberFormat="1" applyFont="1" applyAlignment="1" applyProtection="1">
      <alignment horizontal="center" vertical="center"/>
    </xf>
    <xf numFmtId="49" fontId="55" fillId="0" borderId="12" xfId="6" applyNumberFormat="1" applyFont="1" applyBorder="1" applyAlignment="1" applyProtection="1">
      <alignment horizontal="center" vertical="center"/>
    </xf>
    <xf numFmtId="49" fontId="55" fillId="0" borderId="13" xfId="6" applyNumberFormat="1" applyFont="1" applyBorder="1" applyAlignment="1" applyProtection="1">
      <alignment horizontal="center" vertical="center"/>
    </xf>
    <xf numFmtId="49" fontId="55" fillId="0" borderId="16" xfId="6" applyNumberFormat="1" applyFont="1" applyBorder="1" applyAlignment="1" applyProtection="1">
      <alignment horizontal="center" vertical="center"/>
    </xf>
    <xf numFmtId="49" fontId="55" fillId="0" borderId="14" xfId="6" applyNumberFormat="1" applyFont="1" applyBorder="1" applyAlignment="1" applyProtection="1">
      <alignment horizontal="center" vertical="center"/>
    </xf>
    <xf numFmtId="0" fontId="59" fillId="9" borderId="7" xfId="0" applyFont="1" applyFill="1" applyBorder="1" applyAlignment="1">
      <alignment horizontal="center" vertical="center"/>
    </xf>
    <xf numFmtId="0" fontId="59" fillId="9" borderId="15" xfId="0" applyFont="1" applyFill="1" applyBorder="1" applyAlignment="1">
      <alignment horizontal="center" vertical="center"/>
    </xf>
    <xf numFmtId="0" fontId="59" fillId="9" borderId="8" xfId="0" applyFont="1" applyFill="1" applyBorder="1" applyAlignment="1">
      <alignment horizontal="center" vertical="center"/>
    </xf>
    <xf numFmtId="0" fontId="59" fillId="9" borderId="11" xfId="0" applyFont="1" applyFill="1" applyBorder="1" applyAlignment="1">
      <alignment horizontal="center" vertical="center"/>
    </xf>
    <xf numFmtId="0" fontId="59" fillId="9" borderId="0" xfId="0" applyFont="1" applyFill="1" applyAlignment="1">
      <alignment horizontal="center" vertical="center"/>
    </xf>
    <xf numFmtId="0" fontId="59" fillId="9" borderId="29" xfId="0" applyFont="1" applyFill="1" applyBorder="1" applyAlignment="1">
      <alignment horizontal="center" vertical="center"/>
    </xf>
    <xf numFmtId="0" fontId="59" fillId="9" borderId="32" xfId="0" applyFont="1" applyFill="1" applyBorder="1" applyAlignment="1">
      <alignment horizontal="center" vertical="center"/>
    </xf>
    <xf numFmtId="49" fontId="55" fillId="0" borderId="0" xfId="6" applyNumberFormat="1" applyFont="1" applyAlignment="1" applyProtection="1">
      <alignment horizontal="center" vertical="center" wrapText="1"/>
    </xf>
    <xf numFmtId="49" fontId="55" fillId="0" borderId="12" xfId="6" applyNumberFormat="1" applyFont="1" applyBorder="1" applyAlignment="1" applyProtection="1">
      <alignment horizontal="center" vertical="center" wrapText="1"/>
    </xf>
    <xf numFmtId="0" fontId="61" fillId="0" borderId="0" xfId="0" applyFont="1" applyFill="1" applyBorder="1" applyAlignment="1" applyProtection="1">
      <alignment horizontal="center" vertical="center"/>
      <protection locked="0"/>
    </xf>
    <xf numFmtId="0" fontId="15" fillId="0" borderId="0" xfId="6" applyFont="1" applyFill="1" applyBorder="1" applyAlignment="1">
      <alignment horizontal="center" vertical="center"/>
      <protection locked="0"/>
    </xf>
    <xf numFmtId="49" fontId="55" fillId="0" borderId="30" xfId="6" applyNumberFormat="1" applyFont="1" applyBorder="1" applyAlignment="1" applyProtection="1">
      <alignment horizontal="center" vertical="center" wrapText="1"/>
    </xf>
    <xf numFmtId="49" fontId="55" fillId="0" borderId="31" xfId="6" applyNumberFormat="1" applyFont="1" applyBorder="1" applyAlignment="1" applyProtection="1">
      <alignment horizontal="center" vertical="center" wrapText="1"/>
    </xf>
    <xf numFmtId="49" fontId="55" fillId="0" borderId="33" xfId="6" applyNumberFormat="1" applyFont="1" applyBorder="1" applyAlignment="1" applyProtection="1">
      <alignment horizontal="center" vertical="center" wrapText="1"/>
    </xf>
    <xf numFmtId="49" fontId="55" fillId="0" borderId="45" xfId="6" applyNumberFormat="1" applyFont="1" applyBorder="1" applyAlignment="1" applyProtection="1">
      <alignment horizontal="center" vertical="center" wrapText="1"/>
    </xf>
    <xf numFmtId="49" fontId="55" fillId="0" borderId="35" xfId="6" applyNumberFormat="1" applyFont="1" applyBorder="1" applyAlignment="1" applyProtection="1">
      <alignment horizontal="center" vertical="center" wrapText="1"/>
    </xf>
    <xf numFmtId="49" fontId="55" fillId="0" borderId="37" xfId="6" applyNumberFormat="1" applyFont="1" applyBorder="1" applyAlignment="1" applyProtection="1">
      <alignment horizontal="center" vertical="center" wrapText="1"/>
    </xf>
    <xf numFmtId="0" fontId="3" fillId="0" borderId="47" xfId="0" applyFont="1" applyFill="1" applyBorder="1" applyAlignment="1">
      <alignment horizontal="left" vertical="center" wrapText="1"/>
    </xf>
    <xf numFmtId="0" fontId="3" fillId="0" borderId="28" xfId="0" applyFont="1" applyFill="1" applyBorder="1" applyAlignment="1">
      <alignment horizontal="left" vertical="center" wrapText="1"/>
    </xf>
    <xf numFmtId="0" fontId="3" fillId="0" borderId="50" xfId="0" applyFont="1" applyFill="1" applyBorder="1" applyAlignment="1">
      <alignment horizontal="left" vertical="center" wrapText="1"/>
    </xf>
    <xf numFmtId="0" fontId="10" fillId="0" borderId="0" xfId="6" applyFont="1" applyFill="1" applyBorder="1" applyAlignment="1">
      <alignment horizontal="center" vertical="center"/>
      <protection locked="0"/>
    </xf>
    <xf numFmtId="0" fontId="28" fillId="0" borderId="0" xfId="6" applyNumberFormat="1" applyFont="1" applyFill="1" applyBorder="1" applyAlignment="1" applyProtection="1">
      <alignment horizontal="center" vertical="center"/>
    </xf>
    <xf numFmtId="0" fontId="10" fillId="31" borderId="12" xfId="6" applyFont="1" applyFill="1" applyBorder="1" applyAlignment="1" applyProtection="1">
      <alignment horizontal="center" vertical="center"/>
    </xf>
    <xf numFmtId="49" fontId="10" fillId="0" borderId="0" xfId="6" applyNumberFormat="1" applyFont="1" applyFill="1" applyBorder="1" applyAlignment="1">
      <alignment horizontal="center" vertical="center" wrapText="1"/>
      <protection locked="0"/>
    </xf>
    <xf numFmtId="0" fontId="10" fillId="0" borderId="0" xfId="0" applyFont="1" applyFill="1" applyBorder="1" applyAlignment="1" applyProtection="1">
      <alignment horizontal="center" vertical="center" wrapText="1"/>
      <protection locked="0"/>
    </xf>
    <xf numFmtId="0" fontId="6" fillId="31" borderId="11" xfId="6" applyNumberFormat="1" applyFont="1" applyFill="1" applyBorder="1" applyAlignment="1" applyProtection="1">
      <alignment horizontal="left" vertical="center" wrapText="1"/>
    </xf>
    <xf numFmtId="0" fontId="6" fillId="31" borderId="0" xfId="6" applyNumberFormat="1" applyFont="1" applyFill="1" applyAlignment="1" applyProtection="1">
      <alignment horizontal="left" vertical="center" wrapText="1"/>
    </xf>
    <xf numFmtId="0" fontId="6" fillId="0" borderId="0" xfId="6" applyFont="1" applyFill="1" applyBorder="1" applyAlignment="1">
      <alignment horizontal="center" vertical="center"/>
      <protection locked="0"/>
    </xf>
    <xf numFmtId="0" fontId="64" fillId="0" borderId="0" xfId="6" applyFont="1" applyFill="1" applyBorder="1" applyAlignment="1">
      <alignment horizontal="center" vertical="center" wrapText="1"/>
      <protection locked="0"/>
    </xf>
    <xf numFmtId="0" fontId="10" fillId="0" borderId="0" xfId="6" applyNumberFormat="1" applyFont="1" applyFill="1" applyBorder="1" applyAlignment="1" applyProtection="1">
      <alignment horizontal="center" vertical="center"/>
    </xf>
    <xf numFmtId="0" fontId="15" fillId="0" borderId="0" xfId="0" applyFont="1" applyFill="1" applyBorder="1" applyAlignment="1" applyProtection="1">
      <alignment horizontal="center" vertical="center" wrapText="1"/>
      <protection locked="0"/>
    </xf>
    <xf numFmtId="0" fontId="59" fillId="0" borderId="0" xfId="0" applyFont="1" applyFill="1" applyBorder="1" applyAlignment="1" applyProtection="1">
      <alignment horizontal="center" vertical="center"/>
      <protection locked="0"/>
    </xf>
    <xf numFmtId="49" fontId="13" fillId="0" borderId="0" xfId="6" applyNumberFormat="1" applyFont="1" applyFill="1" applyBorder="1" applyAlignment="1">
      <alignment horizontal="center" vertical="center" wrapText="1"/>
      <protection locked="0"/>
    </xf>
    <xf numFmtId="0" fontId="54" fillId="0" borderId="0" xfId="0" applyFont="1" applyFill="1" applyBorder="1" applyAlignment="1" applyProtection="1">
      <alignment horizontal="center" vertical="center"/>
      <protection locked="0"/>
    </xf>
    <xf numFmtId="0" fontId="13" fillId="0" borderId="0" xfId="6" applyFont="1" applyFill="1" applyBorder="1" applyAlignment="1">
      <alignment horizontal="center" vertical="center" wrapText="1"/>
      <protection locked="0"/>
    </xf>
    <xf numFmtId="49" fontId="54" fillId="0" borderId="30" xfId="6" applyNumberFormat="1" applyFont="1" applyBorder="1" applyAlignment="1" applyProtection="1">
      <alignment horizontal="center" vertical="center" wrapText="1"/>
    </xf>
    <xf numFmtId="49" fontId="54" fillId="0" borderId="31" xfId="6" applyNumberFormat="1" applyFont="1" applyBorder="1" applyAlignment="1" applyProtection="1">
      <alignment horizontal="center" vertical="center" wrapText="1"/>
    </xf>
    <xf numFmtId="49" fontId="54" fillId="0" borderId="33" xfId="6" applyNumberFormat="1" applyFont="1" applyBorder="1" applyAlignment="1" applyProtection="1">
      <alignment horizontal="center" vertical="center" wrapText="1"/>
    </xf>
    <xf numFmtId="49" fontId="54" fillId="0" borderId="11" xfId="6" applyNumberFormat="1" applyFont="1" applyBorder="1" applyAlignment="1" applyProtection="1">
      <alignment horizontal="center" vertical="center" wrapText="1"/>
    </xf>
    <xf numFmtId="49" fontId="54" fillId="0" borderId="0" xfId="6" applyNumberFormat="1" applyFont="1" applyAlignment="1" applyProtection="1">
      <alignment horizontal="center" vertical="center" wrapText="1"/>
    </xf>
    <xf numFmtId="49" fontId="54" fillId="0" borderId="12" xfId="6" applyNumberFormat="1" applyFont="1" applyBorder="1" applyAlignment="1" applyProtection="1">
      <alignment horizontal="center" vertical="center" wrapText="1"/>
    </xf>
    <xf numFmtId="49" fontId="54" fillId="0" borderId="45" xfId="6" applyNumberFormat="1" applyFont="1" applyBorder="1" applyAlignment="1" applyProtection="1">
      <alignment horizontal="center" vertical="center" wrapText="1"/>
    </xf>
    <xf numFmtId="49" fontId="54" fillId="0" borderId="35" xfId="6" applyNumberFormat="1" applyFont="1" applyBorder="1" applyAlignment="1" applyProtection="1">
      <alignment horizontal="center" vertical="center" wrapText="1"/>
    </xf>
    <xf numFmtId="49" fontId="54" fillId="0" borderId="37" xfId="6" applyNumberFormat="1" applyFont="1" applyBorder="1" applyAlignment="1" applyProtection="1">
      <alignment horizontal="center" vertical="center" wrapText="1"/>
    </xf>
    <xf numFmtId="0" fontId="15" fillId="0" borderId="46" xfId="0" applyFont="1" applyFill="1" applyBorder="1" applyAlignment="1">
      <alignment horizontal="center" vertical="center" wrapText="1"/>
    </xf>
    <xf numFmtId="0" fontId="15" fillId="0" borderId="51" xfId="0" applyFont="1" applyFill="1" applyBorder="1" applyAlignment="1">
      <alignment horizontal="center" vertical="center" wrapText="1"/>
    </xf>
    <xf numFmtId="0" fontId="15" fillId="0" borderId="29" xfId="0" applyFont="1" applyFill="1" applyBorder="1" applyAlignment="1">
      <alignment horizontal="center" vertical="center" wrapText="1"/>
    </xf>
    <xf numFmtId="0" fontId="15" fillId="0" borderId="50" xfId="0" applyFont="1" applyFill="1" applyBorder="1" applyAlignment="1">
      <alignment horizontal="center" vertical="center" wrapText="1"/>
    </xf>
    <xf numFmtId="0" fontId="15" fillId="0" borderId="11" xfId="6" applyFont="1" applyFill="1" applyBorder="1" applyAlignment="1" applyProtection="1">
      <alignment horizontal="center" vertical="center" wrapText="1"/>
    </xf>
    <xf numFmtId="0" fontId="15" fillId="0" borderId="0" xfId="6" applyFont="1" applyFill="1" applyAlignment="1" applyProtection="1">
      <alignment horizontal="center" vertical="center" wrapText="1"/>
    </xf>
    <xf numFmtId="0" fontId="15" fillId="0" borderId="47" xfId="6" applyFont="1" applyFill="1" applyBorder="1" applyAlignment="1" applyProtection="1">
      <alignment horizontal="center" vertical="center" wrapText="1"/>
    </xf>
    <xf numFmtId="0" fontId="24" fillId="30" borderId="7" xfId="0" applyFont="1" applyFill="1" applyBorder="1" applyAlignment="1">
      <alignment horizontal="center" vertical="center"/>
    </xf>
    <xf numFmtId="0" fontId="24" fillId="30" borderId="15" xfId="0" applyFont="1" applyFill="1" applyBorder="1" applyAlignment="1">
      <alignment horizontal="center" vertical="center"/>
    </xf>
    <xf numFmtId="0" fontId="24" fillId="30" borderId="8" xfId="0" applyFont="1" applyFill="1" applyBorder="1" applyAlignment="1">
      <alignment horizontal="center" vertical="center"/>
    </xf>
    <xf numFmtId="0" fontId="24" fillId="30" borderId="11" xfId="0" applyFont="1" applyFill="1" applyBorder="1" applyAlignment="1">
      <alignment horizontal="center" vertical="center"/>
    </xf>
    <xf numFmtId="0" fontId="24" fillId="30" borderId="0" xfId="0" applyFont="1" applyFill="1" applyBorder="1" applyAlignment="1">
      <alignment horizontal="center" vertical="center"/>
    </xf>
    <xf numFmtId="0" fontId="24" fillId="30" borderId="12" xfId="0" applyFont="1" applyFill="1" applyBorder="1" applyAlignment="1">
      <alignment horizontal="center" vertical="center"/>
    </xf>
    <xf numFmtId="0" fontId="63" fillId="0" borderId="0" xfId="6" applyFont="1" applyFill="1" applyBorder="1" applyAlignment="1">
      <alignment horizontal="center" vertical="center"/>
      <protection locked="0"/>
    </xf>
    <xf numFmtId="0" fontId="17" fillId="0" borderId="11" xfId="0" applyFont="1" applyFill="1" applyBorder="1" applyAlignment="1">
      <alignment horizontal="center" vertical="center" wrapText="1"/>
    </xf>
    <xf numFmtId="0" fontId="17" fillId="0" borderId="0" xfId="0" applyFont="1" applyFill="1" applyAlignment="1">
      <alignment horizontal="center" vertical="center" wrapText="1"/>
    </xf>
    <xf numFmtId="0" fontId="17" fillId="0" borderId="47" xfId="0" applyFont="1" applyFill="1" applyBorder="1" applyAlignment="1">
      <alignment horizontal="center" vertical="center" wrapText="1"/>
    </xf>
    <xf numFmtId="0" fontId="17" fillId="0" borderId="12" xfId="0" applyFont="1" applyFill="1" applyBorder="1" applyAlignment="1">
      <alignment horizontal="center" vertical="center" wrapText="1"/>
    </xf>
    <xf numFmtId="0" fontId="17" fillId="0" borderId="13" xfId="0" applyFont="1" applyFill="1" applyBorder="1" applyAlignment="1">
      <alignment horizontal="center" vertical="center" wrapText="1"/>
    </xf>
    <xf numFmtId="0" fontId="17" fillId="0" borderId="16" xfId="0" applyFont="1" applyFill="1" applyBorder="1" applyAlignment="1">
      <alignment horizontal="center" vertical="center" wrapText="1"/>
    </xf>
    <xf numFmtId="0" fontId="17" fillId="0" borderId="56" xfId="0" applyFont="1" applyFill="1" applyBorder="1" applyAlignment="1">
      <alignment horizontal="center" vertical="center" wrapText="1"/>
    </xf>
    <xf numFmtId="0" fontId="17" fillId="0" borderId="14" xfId="0" applyFont="1" applyFill="1" applyBorder="1" applyAlignment="1">
      <alignment horizontal="center" vertical="center" wrapText="1"/>
    </xf>
    <xf numFmtId="0" fontId="59" fillId="9" borderId="12" xfId="0" applyFont="1" applyFill="1" applyBorder="1" applyAlignment="1">
      <alignment horizontal="center" vertical="center"/>
    </xf>
    <xf numFmtId="0" fontId="62" fillId="0" borderId="0" xfId="6" applyFont="1" applyFill="1" applyBorder="1" applyAlignment="1">
      <alignment horizontal="center" vertical="center"/>
      <protection locked="0"/>
    </xf>
    <xf numFmtId="0" fontId="15" fillId="0" borderId="56" xfId="0" applyFont="1" applyFill="1" applyBorder="1" applyAlignment="1">
      <alignment horizontal="center" vertical="center" wrapText="1"/>
    </xf>
    <xf numFmtId="0" fontId="15" fillId="0" borderId="48" xfId="6" applyFont="1" applyBorder="1" applyAlignment="1" applyProtection="1">
      <alignment horizontal="center" vertical="center" wrapText="1"/>
    </xf>
    <xf numFmtId="0" fontId="15" fillId="0" borderId="49" xfId="6" applyFont="1" applyBorder="1" applyAlignment="1" applyProtection="1">
      <alignment horizontal="center" vertical="center" wrapText="1"/>
    </xf>
    <xf numFmtId="0" fontId="15" fillId="0" borderId="29" xfId="6" applyFont="1" applyBorder="1" applyAlignment="1" applyProtection="1">
      <alignment horizontal="center" vertical="center" wrapText="1"/>
    </xf>
    <xf numFmtId="0" fontId="15" fillId="0" borderId="32" xfId="6" applyFont="1" applyBorder="1" applyAlignment="1" applyProtection="1">
      <alignment horizontal="center" vertical="center" wrapText="1"/>
    </xf>
    <xf numFmtId="0" fontId="28" fillId="16" borderId="31" xfId="6" applyNumberFormat="1" applyFont="1" applyFill="1" applyBorder="1" applyAlignment="1" applyProtection="1">
      <alignment horizontal="center" vertical="center" wrapText="1"/>
    </xf>
    <xf numFmtId="0" fontId="28" fillId="16" borderId="6" xfId="6" applyNumberFormat="1" applyFont="1" applyFill="1" applyBorder="1" applyAlignment="1" applyProtection="1">
      <alignment horizontal="center" vertical="center" wrapText="1"/>
    </xf>
    <xf numFmtId="0" fontId="28" fillId="16" borderId="0" xfId="6" applyNumberFormat="1" applyFont="1" applyFill="1" applyBorder="1" applyAlignment="1" applyProtection="1">
      <alignment horizontal="center" vertical="center" wrapText="1"/>
    </xf>
    <xf numFmtId="0" fontId="28" fillId="16" borderId="0" xfId="6" applyNumberFormat="1" applyFont="1" applyFill="1" applyAlignment="1" applyProtection="1">
      <alignment horizontal="center" vertical="center" wrapText="1"/>
    </xf>
    <xf numFmtId="0" fontId="28" fillId="16" borderId="34" xfId="6" applyNumberFormat="1" applyFont="1" applyFill="1" applyBorder="1" applyAlignment="1" applyProtection="1">
      <alignment horizontal="center" vertical="center" wrapText="1"/>
    </xf>
    <xf numFmtId="0" fontId="28" fillId="16" borderId="35" xfId="6" applyNumberFormat="1" applyFont="1" applyFill="1" applyBorder="1" applyAlignment="1" applyProtection="1">
      <alignment horizontal="center" vertical="center" wrapText="1"/>
    </xf>
    <xf numFmtId="0" fontId="28" fillId="16" borderId="36" xfId="6" applyNumberFormat="1" applyFont="1" applyFill="1" applyBorder="1" applyAlignment="1" applyProtection="1">
      <alignment horizontal="center" vertical="center" wrapText="1"/>
    </xf>
    <xf numFmtId="0" fontId="15" fillId="0" borderId="0" xfId="6" applyFont="1" applyFill="1" applyBorder="1" applyAlignment="1">
      <alignment horizontal="center" vertical="center" wrapText="1"/>
      <protection locked="0"/>
    </xf>
    <xf numFmtId="0" fontId="10" fillId="0" borderId="12" xfId="6" applyFont="1" applyBorder="1" applyAlignment="1" applyProtection="1">
      <alignment horizontal="center" vertical="center"/>
    </xf>
    <xf numFmtId="0" fontId="37" fillId="0" borderId="0" xfId="6" applyNumberFormat="1" applyFont="1" applyFill="1" applyAlignment="1" applyProtection="1">
      <alignment horizontal="left" vertical="center" wrapText="1"/>
    </xf>
    <xf numFmtId="0" fontId="6" fillId="0" borderId="11" xfId="6" applyNumberFormat="1" applyFont="1" applyFill="1" applyBorder="1" applyAlignment="1" applyProtection="1">
      <alignment horizontal="left" vertical="center" wrapText="1"/>
    </xf>
    <xf numFmtId="0" fontId="6" fillId="0" borderId="0" xfId="6" applyNumberFormat="1" applyFont="1" applyFill="1" applyAlignment="1" applyProtection="1">
      <alignment horizontal="left" vertical="center" wrapText="1"/>
    </xf>
    <xf numFmtId="0" fontId="0" fillId="12" borderId="38" xfId="6" applyFont="1" applyFill="1" applyBorder="1" applyAlignment="1" applyProtection="1">
      <alignment horizontal="center" vertical="center" wrapText="1"/>
    </xf>
    <xf numFmtId="0" fontId="0" fillId="12" borderId="31" xfId="6" applyFont="1" applyFill="1" applyBorder="1" applyAlignment="1" applyProtection="1">
      <alignment horizontal="center" vertical="center"/>
    </xf>
    <xf numFmtId="0" fontId="0" fillId="12" borderId="6" xfId="6" applyFont="1" applyFill="1" applyBorder="1" applyAlignment="1" applyProtection="1">
      <alignment horizontal="center" vertical="center"/>
    </xf>
    <xf numFmtId="0" fontId="0" fillId="12" borderId="39" xfId="6" applyFont="1" applyFill="1" applyBorder="1" applyAlignment="1" applyProtection="1">
      <alignment horizontal="center" vertical="center"/>
    </xf>
    <xf numFmtId="0" fontId="0" fillId="12" borderId="0" xfId="6" applyFont="1" applyFill="1" applyAlignment="1" applyProtection="1">
      <alignment horizontal="center" vertical="center"/>
    </xf>
    <xf numFmtId="0" fontId="0" fillId="12" borderId="34" xfId="6" applyFont="1" applyFill="1" applyBorder="1" applyAlignment="1" applyProtection="1">
      <alignment horizontal="center" vertical="center"/>
    </xf>
    <xf numFmtId="0" fontId="0" fillId="12" borderId="40" xfId="6" applyFont="1" applyFill="1" applyBorder="1" applyAlignment="1" applyProtection="1">
      <alignment horizontal="center" vertical="center"/>
    </xf>
    <xf numFmtId="0" fontId="0" fillId="12" borderId="35" xfId="6" applyFont="1" applyFill="1" applyBorder="1" applyAlignment="1" applyProtection="1">
      <alignment horizontal="center" vertical="center"/>
    </xf>
    <xf numFmtId="0" fontId="0" fillId="12" borderId="36" xfId="6" applyFont="1" applyFill="1" applyBorder="1" applyAlignment="1" applyProtection="1">
      <alignment horizontal="center" vertical="center"/>
    </xf>
    <xf numFmtId="0" fontId="3" fillId="0" borderId="48" xfId="0" applyFont="1" applyFill="1" applyBorder="1" applyAlignment="1">
      <alignment horizontal="center" vertical="center" wrapText="1"/>
    </xf>
    <xf numFmtId="0" fontId="3" fillId="0" borderId="49"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8" fillId="11" borderId="31" xfId="6" applyNumberFormat="1" applyFont="1" applyFill="1" applyBorder="1" applyAlignment="1" applyProtection="1">
      <alignment horizontal="center" vertical="center" wrapText="1"/>
    </xf>
    <xf numFmtId="0" fontId="28" fillId="11" borderId="6" xfId="6" applyNumberFormat="1" applyFont="1" applyFill="1" applyBorder="1" applyAlignment="1" applyProtection="1">
      <alignment horizontal="center" vertical="center" wrapText="1"/>
    </xf>
    <xf numFmtId="0" fontId="28" fillId="11" borderId="0" xfId="6" applyNumberFormat="1" applyFont="1" applyFill="1" applyBorder="1" applyAlignment="1" applyProtection="1">
      <alignment horizontal="center" vertical="center" wrapText="1"/>
    </xf>
    <xf numFmtId="0" fontId="28" fillId="11" borderId="0" xfId="6" applyNumberFormat="1" applyFont="1" applyFill="1" applyAlignment="1" applyProtection="1">
      <alignment horizontal="center" vertical="center" wrapText="1"/>
    </xf>
    <xf numFmtId="0" fontId="28" fillId="11" borderId="34" xfId="6" applyNumberFormat="1" applyFont="1" applyFill="1" applyBorder="1" applyAlignment="1" applyProtection="1">
      <alignment horizontal="center" vertical="center" wrapText="1"/>
    </xf>
    <xf numFmtId="0" fontId="28" fillId="11" borderId="35" xfId="6" applyNumberFormat="1" applyFont="1" applyFill="1" applyBorder="1" applyAlignment="1" applyProtection="1">
      <alignment horizontal="center" vertical="center" wrapText="1"/>
    </xf>
    <xf numFmtId="0" fontId="28" fillId="11" borderId="36" xfId="6" applyNumberFormat="1" applyFont="1" applyFill="1" applyBorder="1" applyAlignment="1" applyProtection="1">
      <alignment horizontal="center" vertical="center" wrapText="1"/>
    </xf>
    <xf numFmtId="0" fontId="13" fillId="0" borderId="0" xfId="6" applyFont="1" applyFill="1" applyBorder="1" applyAlignment="1">
      <alignment horizontal="center" vertical="center"/>
      <protection locked="0"/>
    </xf>
    <xf numFmtId="49" fontId="54" fillId="0" borderId="31" xfId="6" applyNumberFormat="1" applyFont="1" applyBorder="1" applyAlignment="1" applyProtection="1">
      <alignment horizontal="center" vertical="center"/>
    </xf>
    <xf numFmtId="49" fontId="54" fillId="0" borderId="33" xfId="6" applyNumberFormat="1" applyFont="1" applyBorder="1" applyAlignment="1" applyProtection="1">
      <alignment horizontal="center" vertical="center"/>
    </xf>
    <xf numFmtId="49" fontId="54" fillId="0" borderId="11" xfId="6" applyNumberFormat="1" applyFont="1" applyBorder="1" applyAlignment="1" applyProtection="1">
      <alignment horizontal="center" vertical="center"/>
    </xf>
    <xf numFmtId="49" fontId="54" fillId="0" borderId="0" xfId="6" applyNumberFormat="1" applyFont="1" applyAlignment="1" applyProtection="1">
      <alignment horizontal="center" vertical="center"/>
    </xf>
    <xf numFmtId="49" fontId="54" fillId="0" borderId="12" xfId="6" applyNumberFormat="1" applyFont="1" applyBorder="1" applyAlignment="1" applyProtection="1">
      <alignment horizontal="center" vertical="center"/>
    </xf>
    <xf numFmtId="49" fontId="62" fillId="0" borderId="0" xfId="6" applyNumberFormat="1" applyFont="1" applyFill="1" applyBorder="1" applyAlignment="1">
      <alignment horizontal="center" vertical="center"/>
      <protection locked="0"/>
    </xf>
    <xf numFmtId="49" fontId="10" fillId="0" borderId="0" xfId="6" applyNumberFormat="1" applyFont="1" applyFill="1" applyBorder="1" applyAlignment="1">
      <alignment horizontal="center" vertical="center"/>
      <protection locked="0"/>
    </xf>
    <xf numFmtId="49" fontId="55" fillId="0" borderId="45" xfId="6" applyNumberFormat="1" applyFont="1" applyBorder="1" applyAlignment="1" applyProtection="1">
      <alignment horizontal="center" vertical="center"/>
    </xf>
    <xf numFmtId="49" fontId="55" fillId="0" borderId="35" xfId="6" applyNumberFormat="1" applyFont="1" applyBorder="1" applyAlignment="1" applyProtection="1">
      <alignment horizontal="center" vertical="center"/>
    </xf>
    <xf numFmtId="49" fontId="55" fillId="0" borderId="37" xfId="6" applyNumberFormat="1" applyFont="1" applyBorder="1" applyAlignment="1" applyProtection="1">
      <alignment horizontal="center" vertical="center"/>
    </xf>
    <xf numFmtId="0" fontId="28" fillId="28" borderId="1" xfId="6" applyNumberFormat="1" applyFont="1" applyFill="1" applyBorder="1" applyAlignment="1" applyProtection="1">
      <alignment horizontal="left" vertical="center" wrapText="1"/>
    </xf>
    <xf numFmtId="0" fontId="55" fillId="0" borderId="0" xfId="6" applyFont="1" applyFill="1" applyBorder="1" applyAlignment="1">
      <alignment horizontal="center" vertical="center"/>
      <protection locked="0"/>
    </xf>
    <xf numFmtId="0" fontId="15" fillId="0" borderId="17" xfId="0" applyFont="1" applyFill="1" applyBorder="1" applyAlignment="1">
      <alignment horizontal="center" vertical="center" wrapText="1"/>
    </xf>
    <xf numFmtId="0" fontId="15" fillId="0" borderId="47" xfId="0" applyFont="1" applyFill="1" applyBorder="1" applyAlignment="1">
      <alignment horizontal="center" vertical="center" wrapText="1"/>
    </xf>
    <xf numFmtId="0" fontId="15" fillId="0" borderId="0" xfId="0" applyFont="1" applyFill="1" applyBorder="1" applyAlignment="1">
      <alignment horizontal="center" vertical="center" wrapText="1"/>
    </xf>
    <xf numFmtId="0" fontId="15" fillId="0" borderId="57" xfId="0" applyFont="1" applyFill="1" applyBorder="1" applyAlignment="1">
      <alignment horizontal="center" vertical="center" wrapText="1"/>
    </xf>
    <xf numFmtId="0" fontId="15" fillId="0" borderId="18" xfId="0" applyFont="1" applyFill="1" applyBorder="1" applyAlignment="1">
      <alignment horizontal="center" vertical="center" wrapText="1"/>
    </xf>
    <xf numFmtId="0" fontId="15" fillId="0" borderId="60" xfId="0" applyFont="1" applyFill="1" applyBorder="1" applyAlignment="1">
      <alignment horizontal="center" vertical="center" wrapText="1"/>
    </xf>
    <xf numFmtId="0" fontId="3" fillId="0" borderId="28" xfId="0" applyFont="1" applyFill="1" applyBorder="1" applyAlignment="1">
      <alignment horizontal="center" vertical="center"/>
    </xf>
    <xf numFmtId="0" fontId="3" fillId="0" borderId="48"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49" xfId="0" applyFont="1" applyFill="1" applyBorder="1" applyAlignment="1">
      <alignment horizontal="left" vertical="center" wrapText="1"/>
    </xf>
    <xf numFmtId="0" fontId="3" fillId="0" borderId="29" xfId="0" applyFont="1" applyFill="1" applyBorder="1" applyAlignment="1">
      <alignment horizontal="left" vertical="center" wrapText="1"/>
    </xf>
    <xf numFmtId="0" fontId="3" fillId="0" borderId="32" xfId="0" applyFont="1" applyFill="1" applyBorder="1" applyAlignment="1">
      <alignment horizontal="left" vertical="center" wrapText="1"/>
    </xf>
    <xf numFmtId="49" fontId="13" fillId="0" borderId="0" xfId="6" applyNumberFormat="1" applyFont="1" applyFill="1" applyBorder="1" applyAlignment="1">
      <alignment horizontal="center" vertical="center"/>
      <protection locked="0"/>
    </xf>
    <xf numFmtId="0" fontId="49" fillId="21" borderId="34" xfId="6" applyFont="1" applyFill="1" applyBorder="1" applyAlignment="1" applyProtection="1">
      <alignment horizontal="center" vertical="center" wrapText="1"/>
    </xf>
    <xf numFmtId="0" fontId="39" fillId="23" borderId="34" xfId="6" applyFont="1" applyFill="1" applyBorder="1" applyAlignment="1" applyProtection="1">
      <alignment horizontal="center" vertical="center" wrapText="1"/>
    </xf>
    <xf numFmtId="0" fontId="39" fillId="23" borderId="36" xfId="6" applyFont="1" applyFill="1" applyBorder="1" applyAlignment="1" applyProtection="1">
      <alignment horizontal="center" vertical="center" wrapText="1"/>
    </xf>
    <xf numFmtId="0" fontId="50" fillId="24" borderId="0" xfId="6" applyFont="1" applyFill="1" applyAlignment="1" applyProtection="1">
      <alignment horizontal="center" vertical="center" wrapText="1"/>
    </xf>
    <xf numFmtId="0" fontId="50" fillId="24" borderId="35" xfId="6" applyFont="1" applyFill="1" applyBorder="1" applyAlignment="1" applyProtection="1">
      <alignment horizontal="center" vertical="center" wrapText="1"/>
    </xf>
    <xf numFmtId="0" fontId="44" fillId="0" borderId="1" xfId="6" applyFont="1" applyFill="1" applyBorder="1" applyAlignment="1" applyProtection="1">
      <alignment horizontal="center" vertical="center" textRotation="255" wrapText="1"/>
    </xf>
    <xf numFmtId="0" fontId="15" fillId="0" borderId="52" xfId="0" applyFont="1" applyFill="1" applyBorder="1" applyAlignment="1">
      <alignment horizontal="center" vertical="center" wrapText="1"/>
    </xf>
    <xf numFmtId="0" fontId="15" fillId="0" borderId="55" xfId="0" applyFont="1" applyFill="1" applyBorder="1" applyAlignment="1">
      <alignment horizontal="center" vertical="center" wrapText="1"/>
    </xf>
    <xf numFmtId="0" fontId="15" fillId="0" borderId="46" xfId="6" applyFont="1" applyBorder="1" applyAlignment="1" applyProtection="1">
      <alignment horizontal="center" vertical="center" wrapText="1"/>
    </xf>
    <xf numFmtId="0" fontId="28" fillId="15" borderId="31" xfId="6" applyNumberFormat="1" applyFont="1" applyFill="1" applyBorder="1" applyAlignment="1" applyProtection="1">
      <alignment horizontal="center" vertical="center" wrapText="1"/>
    </xf>
    <xf numFmtId="0" fontId="28" fillId="15" borderId="31" xfId="6" applyNumberFormat="1" applyFont="1" applyFill="1" applyBorder="1" applyAlignment="1" applyProtection="1">
      <alignment horizontal="center" vertical="center"/>
    </xf>
    <xf numFmtId="0" fontId="28" fillId="15" borderId="6" xfId="6" applyNumberFormat="1" applyFont="1" applyFill="1" applyBorder="1" applyAlignment="1" applyProtection="1">
      <alignment horizontal="center" vertical="center"/>
    </xf>
    <xf numFmtId="0" fontId="28" fillId="15" borderId="0" xfId="6" applyNumberFormat="1" applyFont="1" applyFill="1" applyBorder="1" applyAlignment="1" applyProtection="1">
      <alignment horizontal="center" vertical="center"/>
    </xf>
    <xf numFmtId="0" fontId="28" fillId="15" borderId="0" xfId="6" applyNumberFormat="1" applyFont="1" applyFill="1" applyAlignment="1" applyProtection="1">
      <alignment horizontal="center" vertical="center"/>
    </xf>
    <xf numFmtId="0" fontId="28" fillId="15" borderId="34" xfId="6" applyNumberFormat="1" applyFont="1" applyFill="1" applyBorder="1" applyAlignment="1" applyProtection="1">
      <alignment horizontal="center" vertical="center"/>
    </xf>
    <xf numFmtId="0" fontId="28" fillId="15" borderId="35" xfId="6" applyNumberFormat="1" applyFont="1" applyFill="1" applyBorder="1" applyAlignment="1" applyProtection="1">
      <alignment horizontal="center" vertical="center"/>
    </xf>
    <xf numFmtId="0" fontId="28" fillId="15" borderId="36" xfId="6" applyNumberFormat="1" applyFont="1" applyFill="1" applyBorder="1" applyAlignment="1" applyProtection="1">
      <alignment horizontal="center" vertical="center"/>
    </xf>
    <xf numFmtId="0" fontId="15" fillId="0" borderId="28" xfId="0" applyFont="1" applyFill="1" applyBorder="1" applyAlignment="1">
      <alignment horizontal="center" vertical="center" wrapText="1"/>
    </xf>
    <xf numFmtId="0" fontId="0" fillId="22" borderId="38" xfId="6" applyFont="1" applyFill="1" applyBorder="1" applyAlignment="1" applyProtection="1">
      <alignment horizontal="center" vertical="center"/>
    </xf>
    <xf numFmtId="0" fontId="0" fillId="22" borderId="31" xfId="6" applyFont="1" applyFill="1" applyBorder="1" applyAlignment="1" applyProtection="1">
      <alignment horizontal="center" vertical="center"/>
    </xf>
    <xf numFmtId="0" fontId="0" fillId="22" borderId="6" xfId="6" applyFont="1" applyFill="1" applyBorder="1" applyAlignment="1" applyProtection="1">
      <alignment horizontal="center" vertical="center"/>
    </xf>
    <xf numFmtId="0" fontId="0" fillId="22" borderId="39" xfId="6" applyFont="1" applyFill="1" applyBorder="1" applyAlignment="1" applyProtection="1">
      <alignment horizontal="center" vertical="center"/>
    </xf>
    <xf numFmtId="0" fontId="0" fillId="22" borderId="0" xfId="6" applyFont="1" applyFill="1" applyAlignment="1" applyProtection="1">
      <alignment horizontal="center" vertical="center"/>
    </xf>
    <xf numFmtId="0" fontId="0" fillId="22" borderId="34" xfId="6" applyFont="1" applyFill="1" applyBorder="1" applyAlignment="1" applyProtection="1">
      <alignment horizontal="center" vertical="center"/>
    </xf>
    <xf numFmtId="0" fontId="0" fillId="22" borderId="40" xfId="6" applyFont="1" applyFill="1" applyBorder="1" applyAlignment="1" applyProtection="1">
      <alignment horizontal="center" vertical="center"/>
    </xf>
    <xf numFmtId="0" fontId="0" fillId="22" borderId="35" xfId="6" applyFont="1" applyFill="1" applyBorder="1" applyAlignment="1" applyProtection="1">
      <alignment horizontal="center" vertical="center"/>
    </xf>
    <xf numFmtId="0" fontId="0" fillId="22" borderId="36" xfId="6" applyFont="1" applyFill="1" applyBorder="1" applyAlignment="1" applyProtection="1">
      <alignment horizontal="center" vertical="center"/>
    </xf>
    <xf numFmtId="0" fontId="45" fillId="19" borderId="38" xfId="6" applyFont="1" applyFill="1" applyBorder="1" applyAlignment="1" applyProtection="1">
      <alignment horizontal="center" vertical="center" wrapText="1"/>
    </xf>
    <xf numFmtId="0" fontId="45" fillId="19" borderId="31" xfId="6" applyFont="1" applyFill="1" applyBorder="1" applyAlignment="1" applyProtection="1">
      <alignment horizontal="center" vertical="center" wrapText="1"/>
    </xf>
    <xf numFmtId="0" fontId="45" fillId="19" borderId="6" xfId="6" applyFont="1" applyFill="1" applyBorder="1" applyAlignment="1" applyProtection="1">
      <alignment horizontal="center" vertical="center" wrapText="1"/>
    </xf>
    <xf numFmtId="0" fontId="45" fillId="19" borderId="39" xfId="6" applyFont="1" applyFill="1" applyBorder="1" applyAlignment="1" applyProtection="1">
      <alignment horizontal="center" vertical="center" wrapText="1"/>
    </xf>
    <xf numFmtId="0" fontId="45" fillId="19" borderId="0" xfId="6" applyFont="1" applyFill="1" applyAlignment="1" applyProtection="1">
      <alignment horizontal="center" vertical="center" wrapText="1"/>
    </xf>
    <xf numFmtId="0" fontId="45" fillId="19" borderId="34" xfId="6" applyFont="1" applyFill="1" applyBorder="1" applyAlignment="1" applyProtection="1">
      <alignment horizontal="center" vertical="center" wrapText="1"/>
    </xf>
    <xf numFmtId="0" fontId="45" fillId="19" borderId="40" xfId="6" applyFont="1" applyFill="1" applyBorder="1" applyAlignment="1" applyProtection="1">
      <alignment horizontal="center" vertical="center" wrapText="1"/>
    </xf>
    <xf numFmtId="0" fontId="45" fillId="19" borderId="35" xfId="6" applyFont="1" applyFill="1" applyBorder="1" applyAlignment="1" applyProtection="1">
      <alignment horizontal="center" vertical="center" wrapText="1"/>
    </xf>
    <xf numFmtId="0" fontId="45" fillId="19" borderId="36" xfId="6" applyFont="1" applyFill="1" applyBorder="1" applyAlignment="1" applyProtection="1">
      <alignment horizontal="center" vertical="center" wrapText="1"/>
    </xf>
    <xf numFmtId="0" fontId="2" fillId="8" borderId="7" xfId="0" applyFont="1" applyFill="1" applyBorder="1" applyAlignment="1">
      <alignment horizontal="center" vertical="center" wrapText="1"/>
    </xf>
    <xf numFmtId="0" fontId="2" fillId="8" borderId="15" xfId="0" applyFont="1" applyFill="1" applyBorder="1" applyAlignment="1">
      <alignment horizontal="center" vertical="center" wrapText="1"/>
    </xf>
    <xf numFmtId="0" fontId="2" fillId="8" borderId="8" xfId="0" applyFont="1" applyFill="1" applyBorder="1" applyAlignment="1">
      <alignment horizontal="center" vertical="center" wrapText="1"/>
    </xf>
    <xf numFmtId="0" fontId="2" fillId="8" borderId="28" xfId="0" applyFont="1" applyFill="1" applyBorder="1" applyAlignment="1">
      <alignment horizontal="center" vertical="center" wrapText="1"/>
    </xf>
    <xf numFmtId="0" fontId="2" fillId="8" borderId="29" xfId="0" applyFont="1" applyFill="1" applyBorder="1" applyAlignment="1">
      <alignment horizontal="center" vertical="center" wrapText="1"/>
    </xf>
    <xf numFmtId="0" fontId="2" fillId="8" borderId="32" xfId="0" applyFont="1" applyFill="1" applyBorder="1" applyAlignment="1">
      <alignment horizontal="center" vertical="center" wrapText="1"/>
    </xf>
    <xf numFmtId="0" fontId="6" fillId="0" borderId="13" xfId="6" applyNumberFormat="1" applyFont="1" applyFill="1" applyBorder="1" applyAlignment="1" applyProtection="1">
      <alignment horizontal="left" vertical="center" wrapText="1"/>
    </xf>
    <xf numFmtId="0" fontId="6" fillId="0" borderId="16" xfId="6" applyNumberFormat="1" applyFont="1" applyFill="1" applyBorder="1" applyAlignment="1" applyProtection="1">
      <alignment horizontal="left" vertical="center" wrapText="1"/>
    </xf>
    <xf numFmtId="0" fontId="35" fillId="10" borderId="4" xfId="6" applyNumberFormat="1" applyFont="1" applyFill="1" applyBorder="1" applyAlignment="1" applyProtection="1">
      <alignment horizontal="left" vertical="center" wrapText="1"/>
    </xf>
    <xf numFmtId="0" fontId="35" fillId="10" borderId="1" xfId="6" applyNumberFormat="1" applyFont="1" applyFill="1" applyBorder="1" applyAlignment="1" applyProtection="1">
      <alignment horizontal="left" vertical="center" wrapText="1"/>
    </xf>
    <xf numFmtId="0" fontId="55" fillId="0" borderId="28" xfId="0" applyFont="1" applyFill="1" applyBorder="1" applyAlignment="1">
      <alignment horizontal="center" vertical="center" wrapText="1"/>
    </xf>
    <xf numFmtId="0" fontId="55" fillId="0" borderId="29" xfId="0" applyFont="1" applyFill="1" applyBorder="1" applyAlignment="1">
      <alignment horizontal="center" vertical="center" wrapText="1"/>
    </xf>
    <xf numFmtId="0" fontId="55" fillId="0" borderId="50" xfId="0" applyFont="1" applyFill="1" applyBorder="1" applyAlignment="1">
      <alignment horizontal="center" vertical="center" wrapText="1"/>
    </xf>
    <xf numFmtId="0" fontId="15" fillId="31" borderId="11" xfId="6" applyNumberFormat="1" applyFont="1" applyFill="1" applyBorder="1" applyAlignment="1" applyProtection="1">
      <alignment horizontal="center" vertical="center"/>
    </xf>
    <xf numFmtId="0" fontId="15" fillId="31" borderId="0" xfId="6" applyNumberFormat="1" applyFont="1" applyFill="1" applyAlignment="1" applyProtection="1">
      <alignment horizontal="center" vertical="center"/>
    </xf>
    <xf numFmtId="0" fontId="15" fillId="31" borderId="0" xfId="6" applyFont="1" applyFill="1" applyAlignment="1" applyProtection="1">
      <alignment horizontal="center" vertical="center"/>
    </xf>
    <xf numFmtId="0" fontId="15" fillId="31" borderId="12" xfId="6" applyFont="1" applyFill="1" applyBorder="1" applyAlignment="1" applyProtection="1">
      <alignment horizontal="center" vertical="center"/>
    </xf>
    <xf numFmtId="0" fontId="3" fillId="0" borderId="32" xfId="0" applyFont="1" applyFill="1" applyBorder="1" applyAlignment="1">
      <alignment horizontal="center" vertical="center" wrapText="1"/>
    </xf>
    <xf numFmtId="0" fontId="15" fillId="0" borderId="49" xfId="0" applyFont="1" applyFill="1" applyBorder="1" applyAlignment="1">
      <alignment horizontal="center" vertical="center" wrapText="1"/>
    </xf>
    <xf numFmtId="0" fontId="15" fillId="0" borderId="32" xfId="0" applyFont="1" applyFill="1" applyBorder="1" applyAlignment="1">
      <alignment horizontal="center" vertical="center" wrapText="1"/>
    </xf>
    <xf numFmtId="0" fontId="54" fillId="0" borderId="42" xfId="6" applyNumberFormat="1" applyFont="1" applyBorder="1" applyAlignment="1" applyProtection="1">
      <alignment horizontal="center" vertical="center"/>
    </xf>
    <xf numFmtId="0" fontId="10" fillId="0" borderId="43" xfId="6" applyNumberFormat="1" applyFont="1" applyBorder="1" applyAlignment="1" applyProtection="1">
      <alignment horizontal="center" vertical="center"/>
    </xf>
    <xf numFmtId="0" fontId="10" fillId="0" borderId="44" xfId="6" applyNumberFormat="1" applyFont="1" applyBorder="1" applyAlignment="1" applyProtection="1">
      <alignment horizontal="center" vertical="center"/>
    </xf>
    <xf numFmtId="0" fontId="55" fillId="0" borderId="13" xfId="6" applyNumberFormat="1" applyFont="1" applyBorder="1" applyAlignment="1" applyProtection="1">
      <alignment horizontal="center" vertical="center"/>
    </xf>
    <xf numFmtId="0" fontId="13" fillId="0" borderId="16" xfId="6" applyNumberFormat="1" applyFont="1" applyBorder="1" applyAlignment="1" applyProtection="1">
      <alignment horizontal="center" vertical="center"/>
    </xf>
    <xf numFmtId="0" fontId="13" fillId="0" borderId="14" xfId="6" applyNumberFormat="1" applyFont="1" applyBorder="1" applyAlignment="1" applyProtection="1">
      <alignment horizontal="center" vertical="center"/>
    </xf>
    <xf numFmtId="0" fontId="15" fillId="0" borderId="53" xfId="0" applyFont="1" applyFill="1" applyBorder="1" applyAlignment="1">
      <alignment horizontal="center" vertical="center" wrapText="1"/>
    </xf>
    <xf numFmtId="49" fontId="30" fillId="2" borderId="0" xfId="0" applyNumberFormat="1" applyFont="1" applyFill="1" applyAlignment="1">
      <alignment horizontal="center" vertical="center"/>
    </xf>
    <xf numFmtId="49" fontId="40" fillId="25" borderId="0" xfId="0" applyNumberFormat="1" applyFont="1" applyFill="1" applyAlignment="1">
      <alignment horizontal="center" vertical="center"/>
    </xf>
    <xf numFmtId="0" fontId="51" fillId="25" borderId="7" xfId="6" applyFont="1" applyFill="1" applyBorder="1" applyAlignment="1" applyProtection="1">
      <alignment horizontal="center" vertical="center"/>
    </xf>
    <xf numFmtId="0" fontId="51" fillId="25" borderId="15" xfId="6" applyFont="1" applyFill="1" applyBorder="1" applyAlignment="1" applyProtection="1">
      <alignment horizontal="center" vertical="center"/>
    </xf>
    <xf numFmtId="0" fontId="51" fillId="25" borderId="8" xfId="6" applyFont="1" applyFill="1" applyBorder="1" applyAlignment="1" applyProtection="1">
      <alignment horizontal="center" vertical="center"/>
    </xf>
    <xf numFmtId="0" fontId="0" fillId="0" borderId="0" xfId="6" applyFont="1" applyFill="1" applyAlignment="1" applyProtection="1">
      <alignment horizontal="center" vertical="center"/>
    </xf>
    <xf numFmtId="49" fontId="56" fillId="0" borderId="11" xfId="6" applyNumberFormat="1" applyFont="1" applyBorder="1" applyAlignment="1" applyProtection="1">
      <alignment horizontal="center" vertical="center"/>
    </xf>
    <xf numFmtId="49" fontId="56" fillId="0" borderId="0" xfId="6" applyNumberFormat="1" applyFont="1" applyBorder="1" applyAlignment="1" applyProtection="1">
      <alignment horizontal="center" vertical="center"/>
    </xf>
    <xf numFmtId="49" fontId="56" fillId="0" borderId="12" xfId="6" applyNumberFormat="1" applyFont="1" applyBorder="1" applyAlignment="1" applyProtection="1">
      <alignment horizontal="center" vertical="center"/>
    </xf>
    <xf numFmtId="0" fontId="53" fillId="29" borderId="7" xfId="6" applyNumberFormat="1" applyFont="1" applyFill="1" applyBorder="1" applyAlignment="1" applyProtection="1">
      <alignment horizontal="center" vertical="center"/>
    </xf>
    <xf numFmtId="0" fontId="53" fillId="29" borderId="15" xfId="6" applyNumberFormat="1" applyFont="1" applyFill="1" applyBorder="1" applyAlignment="1" applyProtection="1">
      <alignment horizontal="center" vertical="center"/>
    </xf>
    <xf numFmtId="0" fontId="53" fillId="29" borderId="8" xfId="6" applyNumberFormat="1" applyFont="1" applyFill="1" applyBorder="1" applyAlignment="1" applyProtection="1">
      <alignment horizontal="center" vertical="center"/>
    </xf>
    <xf numFmtId="0" fontId="33" fillId="12" borderId="0" xfId="0" applyNumberFormat="1" applyFont="1" applyFill="1" applyAlignment="1">
      <alignment horizontal="center" vertical="center"/>
    </xf>
    <xf numFmtId="0" fontId="33" fillId="12" borderId="12" xfId="0" applyNumberFormat="1" applyFont="1" applyFill="1" applyBorder="1" applyAlignment="1">
      <alignment horizontal="center" vertical="center"/>
    </xf>
    <xf numFmtId="0" fontId="34" fillId="0" borderId="4" xfId="6" applyNumberFormat="1" applyFont="1" applyFill="1" applyBorder="1" applyAlignment="1" applyProtection="1">
      <alignment horizontal="center" vertical="center" wrapText="1"/>
    </xf>
    <xf numFmtId="0" fontId="36" fillId="12" borderId="4" xfId="6" applyNumberFormat="1" applyFont="1" applyFill="1" applyBorder="1" applyAlignment="1" applyProtection="1">
      <alignment horizontal="center" vertical="center" wrapText="1"/>
    </xf>
    <xf numFmtId="0" fontId="36" fillId="14" borderId="4" xfId="6" applyNumberFormat="1" applyFont="1" applyFill="1" applyBorder="1" applyAlignment="1" applyProtection="1">
      <alignment horizontal="center" vertical="center" wrapText="1"/>
    </xf>
    <xf numFmtId="0" fontId="36" fillId="17" borderId="6" xfId="6" applyNumberFormat="1" applyFont="1" applyFill="1" applyBorder="1" applyAlignment="1" applyProtection="1">
      <alignment horizontal="center" vertical="center" wrapText="1"/>
    </xf>
    <xf numFmtId="0" fontId="39" fillId="9" borderId="6" xfId="6" applyNumberFormat="1" applyFont="1" applyFill="1" applyBorder="1" applyAlignment="1" applyProtection="1">
      <alignment horizontal="center" vertical="center" wrapText="1"/>
    </xf>
    <xf numFmtId="0" fontId="36" fillId="26" borderId="6" xfId="6" applyNumberFormat="1" applyFont="1" applyFill="1" applyBorder="1" applyAlignment="1" applyProtection="1">
      <alignment horizontal="center" vertical="center" wrapText="1"/>
    </xf>
    <xf numFmtId="0" fontId="49" fillId="0" borderId="4" xfId="6" applyNumberFormat="1" applyFont="1" applyFill="1" applyBorder="1" applyAlignment="1" applyProtection="1">
      <alignment horizontal="center" vertical="center" wrapText="1"/>
    </xf>
    <xf numFmtId="0" fontId="28" fillId="0" borderId="4" xfId="6" applyNumberFormat="1" applyFont="1" applyFill="1" applyBorder="1" applyAlignment="1" applyProtection="1">
      <alignment horizontal="center" vertical="center" wrapText="1"/>
    </xf>
    <xf numFmtId="0" fontId="43" fillId="0" borderId="4" xfId="6" applyFont="1" applyBorder="1" applyAlignment="1" applyProtection="1">
      <alignment horizontal="center" vertical="center" wrapText="1"/>
    </xf>
    <xf numFmtId="0" fontId="47" fillId="10" borderId="4" xfId="6" applyFont="1" applyFill="1" applyBorder="1" applyAlignment="1" applyProtection="1">
      <alignment horizontal="center" vertical="center" wrapText="1"/>
    </xf>
    <xf numFmtId="0" fontId="47" fillId="12" borderId="34" xfId="6" applyFont="1" applyFill="1" applyBorder="1" applyAlignment="1" applyProtection="1">
      <alignment horizontal="center" vertical="center" wrapText="1"/>
    </xf>
    <xf numFmtId="0" fontId="48" fillId="18" borderId="4" xfId="6" applyFont="1" applyFill="1" applyBorder="1" applyAlignment="1" applyProtection="1">
      <alignment horizontal="center" vertical="center" wrapText="1"/>
    </xf>
    <xf numFmtId="0" fontId="49" fillId="20" borderId="6" xfId="6" applyFont="1" applyFill="1" applyBorder="1" applyAlignment="1" applyProtection="1">
      <alignment horizontal="center" vertical="center" wrapText="1"/>
    </xf>
    <xf numFmtId="0" fontId="49" fillId="20" borderId="34" xfId="6" applyFont="1" applyFill="1" applyBorder="1" applyAlignment="1" applyProtection="1">
      <alignment horizontal="center" vertical="center" wrapText="1"/>
    </xf>
    <xf numFmtId="0" fontId="1" fillId="0" borderId="22" xfId="0" applyFont="1" applyBorder="1" applyAlignment="1">
      <alignment horizontal="left" vertical="center" wrapText="1"/>
    </xf>
    <xf numFmtId="0" fontId="1" fillId="0" borderId="23" xfId="0" applyFont="1" applyBorder="1" applyAlignment="1">
      <alignment horizontal="left" vertical="center" wrapText="1"/>
    </xf>
    <xf numFmtId="0" fontId="1" fillId="0" borderId="24" xfId="0" applyFont="1" applyBorder="1" applyAlignment="1">
      <alignment horizontal="left" vertical="center" wrapText="1"/>
    </xf>
    <xf numFmtId="0" fontId="23" fillId="0" borderId="22" xfId="0" applyFont="1" applyBorder="1" applyAlignment="1">
      <alignment horizontal="center" vertical="center" wrapText="1"/>
    </xf>
    <xf numFmtId="0" fontId="23" fillId="0" borderId="25" xfId="0" applyFont="1" applyBorder="1" applyAlignment="1">
      <alignment horizontal="center" vertical="center" wrapText="1"/>
    </xf>
    <xf numFmtId="0" fontId="23" fillId="0" borderId="23" xfId="0" applyFont="1" applyBorder="1" applyAlignment="1">
      <alignment horizontal="center" vertical="center" wrapText="1"/>
    </xf>
    <xf numFmtId="0" fontId="1" fillId="0" borderId="23" xfId="0" applyFont="1" applyBorder="1" applyAlignment="1">
      <alignment horizontal="center" vertical="center" wrapText="1"/>
    </xf>
    <xf numFmtId="0" fontId="23" fillId="0" borderId="26"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26" xfId="0" applyFont="1" applyBorder="1" applyAlignment="1">
      <alignment horizontal="left" vertical="center" wrapText="1"/>
    </xf>
    <xf numFmtId="0" fontId="1" fillId="0" borderId="11" xfId="0" applyFont="1" applyFill="1" applyBorder="1" applyAlignment="1" applyProtection="1">
      <alignment horizontal="center" vertical="center"/>
      <protection locked="0"/>
    </xf>
    <xf numFmtId="0" fontId="1" fillId="0" borderId="13" xfId="0" applyFont="1" applyFill="1" applyBorder="1" applyAlignment="1" applyProtection="1">
      <alignment horizontal="center" vertical="center"/>
      <protection locked="0"/>
    </xf>
    <xf numFmtId="0" fontId="1" fillId="9" borderId="7" xfId="0" applyFont="1" applyFill="1" applyBorder="1" applyAlignment="1">
      <alignment horizontal="center" vertical="center" wrapText="1"/>
    </xf>
    <xf numFmtId="0" fontId="1" fillId="9" borderId="11" xfId="0" applyFont="1" applyFill="1" applyBorder="1" applyAlignment="1">
      <alignment horizontal="center" vertical="center" wrapText="1"/>
    </xf>
    <xf numFmtId="0" fontId="1" fillId="9" borderId="13" xfId="0" applyFont="1" applyFill="1" applyBorder="1" applyAlignment="1">
      <alignment horizontal="center" vertical="center" wrapText="1"/>
    </xf>
    <xf numFmtId="0" fontId="24" fillId="9" borderId="7" xfId="0" applyFont="1" applyFill="1" applyBorder="1" applyAlignment="1">
      <alignment horizontal="center" vertical="center" wrapText="1"/>
    </xf>
    <xf numFmtId="0" fontId="24" fillId="9" borderId="15" xfId="0" applyFont="1" applyFill="1" applyBorder="1" applyAlignment="1">
      <alignment horizontal="center" vertical="center" wrapText="1"/>
    </xf>
    <xf numFmtId="0" fontId="24" fillId="9" borderId="8" xfId="0" applyFont="1" applyFill="1" applyBorder="1" applyAlignment="1">
      <alignment horizontal="center" vertical="center" wrapText="1"/>
    </xf>
    <xf numFmtId="0" fontId="24" fillId="9" borderId="11" xfId="0" applyFont="1" applyFill="1" applyBorder="1" applyAlignment="1">
      <alignment horizontal="center" vertical="center" wrapText="1"/>
    </xf>
    <xf numFmtId="0" fontId="24" fillId="9" borderId="0" xfId="0" applyFont="1" applyFill="1" applyAlignment="1">
      <alignment horizontal="center" vertical="center" wrapText="1"/>
    </xf>
    <xf numFmtId="0" fontId="24" fillId="9" borderId="12" xfId="0" applyFont="1" applyFill="1" applyBorder="1" applyAlignment="1">
      <alignment horizontal="center" vertical="center" wrapText="1"/>
    </xf>
    <xf numFmtId="0" fontId="24" fillId="9" borderId="13" xfId="0" applyFont="1" applyFill="1" applyBorder="1" applyAlignment="1">
      <alignment horizontal="center" vertical="center" wrapText="1"/>
    </xf>
    <xf numFmtId="0" fontId="24" fillId="9" borderId="16" xfId="0" applyFont="1" applyFill="1" applyBorder="1" applyAlignment="1">
      <alignment horizontal="center" vertical="center" wrapText="1"/>
    </xf>
    <xf numFmtId="0" fontId="24" fillId="9" borderId="14" xfId="0" applyFont="1" applyFill="1" applyBorder="1" applyAlignment="1">
      <alignment horizontal="center" vertical="center" wrapText="1"/>
    </xf>
    <xf numFmtId="0" fontId="21" fillId="0" borderId="17" xfId="0" applyFont="1" applyBorder="1" applyAlignment="1">
      <alignment horizontal="center" vertical="center" wrapText="1"/>
    </xf>
    <xf numFmtId="0" fontId="21" fillId="0" borderId="18" xfId="0" applyFont="1" applyBorder="1" applyAlignment="1">
      <alignment horizontal="center" vertical="center" wrapText="1"/>
    </xf>
    <xf numFmtId="0" fontId="21" fillId="0" borderId="11" xfId="0" applyFont="1" applyBorder="1" applyAlignment="1">
      <alignment horizontal="center" vertical="center" wrapText="1"/>
    </xf>
    <xf numFmtId="0" fontId="21" fillId="0" borderId="12" xfId="0" applyFont="1" applyBorder="1" applyAlignment="1">
      <alignment horizontal="center" vertical="center" wrapText="1"/>
    </xf>
    <xf numFmtId="0" fontId="21" fillId="0" borderId="13" xfId="0" applyFont="1" applyBorder="1" applyAlignment="1">
      <alignment horizontal="center" vertical="center" wrapText="1"/>
    </xf>
    <xf numFmtId="0" fontId="21" fillId="0" borderId="14" xfId="0" applyFont="1" applyBorder="1" applyAlignment="1">
      <alignment horizontal="center" vertical="center" wrapText="1"/>
    </xf>
    <xf numFmtId="0" fontId="25" fillId="9" borderId="7"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3" fillId="0" borderId="19" xfId="0" applyFont="1" applyBorder="1" applyAlignment="1">
      <alignment horizontal="center" vertical="center" wrapText="1"/>
    </xf>
    <xf numFmtId="0" fontId="3" fillId="0" borderId="20" xfId="0" applyFont="1" applyBorder="1" applyAlignment="1">
      <alignment horizontal="center" vertical="center" wrapText="1"/>
    </xf>
    <xf numFmtId="0" fontId="3" fillId="0" borderId="21" xfId="0" applyFont="1" applyBorder="1" applyAlignment="1">
      <alignment horizontal="center" vertical="center" wrapText="1"/>
    </xf>
    <xf numFmtId="0" fontId="1" fillId="0" borderId="27" xfId="0" applyFont="1" applyBorder="1" applyAlignment="1">
      <alignment horizontal="left" vertical="center" wrapText="1"/>
    </xf>
    <xf numFmtId="0" fontId="25" fillId="9" borderId="13" xfId="0" applyFont="1" applyFill="1" applyBorder="1" applyAlignment="1">
      <alignment horizontal="center" vertical="center" wrapText="1"/>
    </xf>
    <xf numFmtId="0" fontId="7" fillId="5" borderId="7" xfId="0" applyFont="1" applyFill="1" applyBorder="1" applyAlignment="1">
      <alignment horizontal="center" vertical="center"/>
    </xf>
    <xf numFmtId="0" fontId="7" fillId="5" borderId="8" xfId="0" applyFont="1" applyFill="1" applyBorder="1" applyAlignment="1">
      <alignment horizontal="center" vertical="center"/>
    </xf>
    <xf numFmtId="0" fontId="7" fillId="6" borderId="9" xfId="0" applyFont="1" applyFill="1" applyBorder="1" applyAlignment="1">
      <alignment horizontal="center" vertical="center"/>
    </xf>
    <xf numFmtId="0" fontId="7" fillId="6" borderId="10" xfId="0" applyFont="1" applyFill="1" applyBorder="1" applyAlignment="1">
      <alignment horizontal="center" vertical="center"/>
    </xf>
    <xf numFmtId="0" fontId="7" fillId="6" borderId="7" xfId="0" applyFont="1" applyFill="1" applyBorder="1" applyAlignment="1" applyProtection="1">
      <alignment horizontal="center" vertical="center"/>
      <protection hidden="1"/>
    </xf>
    <xf numFmtId="0" fontId="7" fillId="6" borderId="8" xfId="0" applyFont="1" applyFill="1" applyBorder="1" applyAlignment="1" applyProtection="1">
      <alignment horizontal="center" vertical="center"/>
      <protection hidden="1"/>
    </xf>
    <xf numFmtId="0" fontId="1" fillId="0" borderId="12" xfId="0" applyFont="1" applyFill="1" applyBorder="1" applyAlignment="1" applyProtection="1">
      <alignment horizontal="left" vertical="center" wrapText="1"/>
      <protection hidden="1"/>
    </xf>
    <xf numFmtId="0" fontId="1" fillId="0" borderId="14" xfId="0" applyFont="1" applyFill="1" applyBorder="1" applyAlignment="1" applyProtection="1">
      <alignment horizontal="left" vertical="center" wrapText="1"/>
      <protection hidden="1"/>
    </xf>
    <xf numFmtId="0" fontId="8" fillId="0" borderId="1" xfId="0" applyFont="1" applyBorder="1" applyAlignment="1">
      <alignment horizontal="left" vertical="center"/>
    </xf>
    <xf numFmtId="0" fontId="10" fillId="0" borderId="1" xfId="0" applyFont="1" applyBorder="1" applyAlignment="1">
      <alignment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12" fillId="0" borderId="1" xfId="0" applyFont="1" applyBorder="1" applyAlignment="1">
      <alignment horizontal="left" vertical="center" wrapText="1"/>
    </xf>
    <xf numFmtId="0" fontId="1" fillId="0" borderId="1" xfId="0" applyFont="1" applyBorder="1" applyAlignment="1">
      <alignment vertical="center" wrapText="1"/>
    </xf>
    <xf numFmtId="0" fontId="1" fillId="0" borderId="1" xfId="0" applyFont="1" applyBorder="1">
      <alignment vertical="center"/>
    </xf>
    <xf numFmtId="0" fontId="9" fillId="0" borderId="1" xfId="0" applyFont="1" applyBorder="1" applyAlignment="1">
      <alignment vertical="center" wrapText="1"/>
    </xf>
    <xf numFmtId="0" fontId="1" fillId="0" borderId="1" xfId="0" applyFont="1" applyFill="1" applyBorder="1" applyAlignment="1">
      <alignment horizontal="left" vertical="center" wrapText="1"/>
    </xf>
    <xf numFmtId="0" fontId="10" fillId="4" borderId="3"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6" fillId="4" borderId="1" xfId="0" applyFont="1" applyFill="1" applyBorder="1" applyAlignment="1">
      <alignment horizontal="center" vertical="center" textRotation="255" wrapText="1"/>
    </xf>
    <xf numFmtId="0" fontId="13" fillId="4" borderId="1" xfId="0" applyFont="1" applyFill="1" applyBorder="1" applyAlignment="1">
      <alignment horizontal="center" vertical="center" wrapText="1"/>
    </xf>
    <xf numFmtId="0" fontId="13" fillId="4" borderId="1" xfId="0" applyFont="1" applyFill="1" applyBorder="1" applyAlignment="1">
      <alignment horizontal="center" vertical="top" wrapText="1"/>
    </xf>
    <xf numFmtId="0" fontId="15" fillId="4" borderId="1" xfId="0" applyFont="1" applyFill="1" applyBorder="1" applyAlignment="1">
      <alignment horizontal="center" vertical="center" textRotation="255"/>
    </xf>
    <xf numFmtId="0" fontId="4" fillId="0" borderId="1" xfId="1" applyFont="1" applyBorder="1" applyAlignment="1" applyProtection="1">
      <alignment horizontal="center" vertical="center" wrapText="1"/>
    </xf>
    <xf numFmtId="0" fontId="5" fillId="0" borderId="1" xfId="1" applyFont="1" applyBorder="1" applyAlignment="1" applyProtection="1">
      <alignment horizontal="center" vertical="center" wrapText="1"/>
    </xf>
    <xf numFmtId="0" fontId="1" fillId="0" borderId="0" xfId="0" applyFont="1" applyBorder="1" applyAlignment="1">
      <alignment vertical="center" wrapText="1"/>
    </xf>
    <xf numFmtId="0" fontId="1" fillId="0" borderId="0" xfId="0" applyFont="1" applyBorder="1">
      <alignment vertical="center"/>
    </xf>
    <xf numFmtId="0" fontId="8" fillId="0" borderId="1" xfId="0" applyFont="1" applyBorder="1">
      <alignment vertical="center"/>
    </xf>
    <xf numFmtId="0" fontId="8" fillId="0" borderId="1" xfId="0" applyFont="1" applyBorder="1" applyAlignment="1">
      <alignment vertical="center" wrapText="1"/>
    </xf>
    <xf numFmtId="0" fontId="8" fillId="0" borderId="2" xfId="0" applyFont="1" applyBorder="1" applyAlignment="1">
      <alignment vertical="center" wrapText="1"/>
    </xf>
    <xf numFmtId="0" fontId="9" fillId="0" borderId="1" xfId="0" applyFont="1" applyBorder="1">
      <alignment vertical="center"/>
    </xf>
    <xf numFmtId="0" fontId="1" fillId="0" borderId="3" xfId="0" applyFont="1" applyBorder="1" applyAlignment="1">
      <alignment horizontal="left" vertical="center" wrapText="1"/>
    </xf>
    <xf numFmtId="0" fontId="1" fillId="0" borderId="4" xfId="0" applyFont="1" applyBorder="1" applyAlignment="1">
      <alignment horizontal="left" vertical="center" wrapText="1"/>
    </xf>
    <xf numFmtId="0" fontId="4" fillId="0" borderId="1" xfId="0" applyFont="1" applyBorder="1" applyAlignment="1">
      <alignment horizontal="center" vertical="center" wrapText="1"/>
    </xf>
    <xf numFmtId="0" fontId="6" fillId="0" borderId="1" xfId="0" applyFont="1" applyBorder="1" applyAlignment="1">
      <alignment horizontal="center" vertical="center" wrapText="1"/>
    </xf>
    <xf numFmtId="0" fontId="10" fillId="0" borderId="1" xfId="0" applyFont="1" applyFill="1" applyBorder="1" applyAlignment="1">
      <alignment horizontal="left" vertical="center" wrapText="1"/>
    </xf>
    <xf numFmtId="0" fontId="10" fillId="0" borderId="1" xfId="0" applyFont="1" applyFill="1" applyBorder="1" applyAlignment="1">
      <alignment vertical="center" wrapText="1"/>
    </xf>
    <xf numFmtId="0" fontId="10" fillId="0" borderId="1" xfId="0" applyFont="1" applyFill="1" applyBorder="1">
      <alignment vertical="center"/>
    </xf>
    <xf numFmtId="0" fontId="2" fillId="0" borderId="0" xfId="0" applyFont="1" applyAlignment="1">
      <alignment horizontal="center" vertical="center"/>
    </xf>
    <xf numFmtId="0" fontId="2" fillId="0" borderId="0" xfId="0" applyFont="1" applyBorder="1" applyAlignment="1">
      <alignment horizontal="center" vertical="center"/>
    </xf>
    <xf numFmtId="0" fontId="1" fillId="0" borderId="4" xfId="0" applyFont="1" applyBorder="1" applyAlignment="1">
      <alignment horizontal="left" vertical="center"/>
    </xf>
    <xf numFmtId="0" fontId="8" fillId="0" borderId="1" xfId="0" applyFont="1" applyBorder="1" applyAlignment="1">
      <alignment horizontal="left" vertical="center" wrapText="1"/>
    </xf>
    <xf numFmtId="0" fontId="3" fillId="0" borderId="1" xfId="0" applyFont="1" applyBorder="1" applyAlignment="1">
      <alignment horizontal="center" vertical="center"/>
    </xf>
    <xf numFmtId="0" fontId="1" fillId="0" borderId="1" xfId="0" applyFont="1" applyFill="1" applyBorder="1">
      <alignment vertical="center"/>
    </xf>
    <xf numFmtId="0" fontId="14" fillId="0" borderId="1" xfId="0" applyFont="1" applyBorder="1" applyAlignment="1">
      <alignment horizontal="left" vertical="center" wrapText="1"/>
    </xf>
    <xf numFmtId="0" fontId="6" fillId="4" borderId="3"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1" xfId="0" applyFont="1" applyFill="1" applyBorder="1" applyAlignment="1">
      <alignment vertical="center" wrapText="1"/>
    </xf>
    <xf numFmtId="0" fontId="10" fillId="0" borderId="1" xfId="0" applyFont="1" applyFill="1" applyBorder="1" applyAlignment="1">
      <alignment horizontal="left" vertical="center"/>
    </xf>
    <xf numFmtId="0" fontId="15" fillId="4" borderId="1" xfId="0" applyFont="1" applyFill="1" applyBorder="1" applyAlignment="1">
      <alignment horizontal="center" vertical="center" wrapText="1"/>
    </xf>
    <xf numFmtId="0" fontId="16" fillId="4" borderId="1" xfId="0" applyFont="1" applyFill="1" applyBorder="1" applyAlignment="1">
      <alignment horizontal="center" vertical="center" textRotation="255" wrapText="1"/>
    </xf>
    <xf numFmtId="0" fontId="19" fillId="0" borderId="1" xfId="0" applyFont="1" applyBorder="1" applyAlignment="1">
      <alignment horizontal="left" vertical="center"/>
    </xf>
    <xf numFmtId="0" fontId="7" fillId="2" borderId="1" xfId="0" applyFont="1" applyFill="1" applyBorder="1" applyAlignment="1">
      <alignment horizontal="center" vertical="center"/>
    </xf>
    <xf numFmtId="0" fontId="6" fillId="4" borderId="2" xfId="0" applyFont="1" applyFill="1" applyBorder="1" applyAlignment="1">
      <alignment horizontal="center" vertical="center" textRotation="255" wrapText="1"/>
    </xf>
    <xf numFmtId="0" fontId="17" fillId="4" borderId="1" xfId="0" applyFont="1" applyFill="1" applyBorder="1" applyAlignment="1">
      <alignment horizontal="center" vertical="center" wrapText="1"/>
    </xf>
    <xf numFmtId="0" fontId="11" fillId="4" borderId="1" xfId="0" applyFont="1" applyFill="1" applyBorder="1" applyAlignment="1">
      <alignment horizontal="center" vertical="center" wrapText="1"/>
    </xf>
    <xf numFmtId="0" fontId="15" fillId="4" borderId="1" xfId="0" applyFont="1" applyFill="1" applyBorder="1" applyAlignment="1">
      <alignment horizontal="center" vertical="center" textRotation="255" wrapText="1"/>
    </xf>
    <xf numFmtId="0" fontId="1" fillId="4" borderId="1" xfId="0" applyFont="1" applyFill="1" applyBorder="1" applyAlignment="1">
      <alignment horizontal="center" vertical="center" textRotation="255" wrapText="1"/>
    </xf>
    <xf numFmtId="0" fontId="18" fillId="0" borderId="1" xfId="0" applyFont="1" applyBorder="1" applyAlignment="1">
      <alignment horizontal="left" vertical="center"/>
    </xf>
    <xf numFmtId="0" fontId="10" fillId="4" borderId="1" xfId="0" applyFont="1" applyFill="1" applyBorder="1" applyAlignment="1">
      <alignment horizontal="center" vertical="center" textRotation="255" wrapText="1"/>
    </xf>
    <xf numFmtId="0" fontId="12" fillId="0" borderId="1" xfId="0" applyFont="1" applyBorder="1" applyAlignment="1">
      <alignment horizontal="left" vertical="center"/>
    </xf>
    <xf numFmtId="0" fontId="1" fillId="0" borderId="1" xfId="0" applyFont="1" applyFill="1" applyBorder="1" applyAlignment="1">
      <alignment horizontal="left" vertical="center"/>
    </xf>
    <xf numFmtId="0" fontId="7" fillId="2" borderId="2" xfId="0" applyFont="1" applyFill="1" applyBorder="1" applyAlignment="1">
      <alignment horizontal="center" vertical="center"/>
    </xf>
    <xf numFmtId="0" fontId="6" fillId="4" borderId="5" xfId="0" applyFont="1" applyFill="1" applyBorder="1" applyAlignment="1">
      <alignment horizontal="center" vertical="center" textRotation="255" wrapText="1"/>
    </xf>
    <xf numFmtId="0" fontId="1" fillId="0" borderId="6" xfId="0" applyFont="1" applyBorder="1" applyAlignment="1">
      <alignment horizontal="left" vertical="center" wrapText="1"/>
    </xf>
    <xf numFmtId="0" fontId="10" fillId="0" borderId="1" xfId="0" applyFont="1" applyBorder="1" applyAlignment="1">
      <alignment horizontal="left" vertical="center"/>
    </xf>
    <xf numFmtId="0" fontId="16" fillId="0" borderId="1" xfId="0" applyFont="1" applyBorder="1" applyAlignment="1">
      <alignment horizontal="left" vertical="center"/>
    </xf>
    <xf numFmtId="0" fontId="7" fillId="2" borderId="3" xfId="0" applyFont="1" applyFill="1" applyBorder="1" applyAlignment="1">
      <alignment horizontal="center" vertical="center"/>
    </xf>
    <xf numFmtId="0" fontId="1" fillId="0" borderId="1" xfId="0" applyFont="1" applyBorder="1" applyAlignment="1">
      <alignment horizontal="center" vertical="center"/>
    </xf>
    <xf numFmtId="0" fontId="7" fillId="2" borderId="0" xfId="0" applyFont="1" applyFill="1" applyBorder="1" applyAlignment="1">
      <alignment horizontal="left" vertical="center" indent="1"/>
    </xf>
    <xf numFmtId="0" fontId="7" fillId="2" borderId="1" xfId="0" applyFont="1" applyFill="1" applyBorder="1" applyAlignment="1">
      <alignment horizontal="left" vertical="center" indent="1"/>
    </xf>
    <xf numFmtId="0" fontId="8" fillId="0" borderId="1" xfId="0" applyFont="1" applyBorder="1" applyAlignment="1">
      <alignment horizontal="center" vertical="center"/>
    </xf>
    <xf numFmtId="0" fontId="7"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89" fillId="0" borderId="97" xfId="0" applyFont="1" applyFill="1" applyBorder="1" applyAlignment="1" applyProtection="1">
      <alignment horizontal="center" vertical="center"/>
      <protection locked="0"/>
    </xf>
  </cellXfs>
  <cellStyles count="7">
    <cellStyle name="20% - 着色 1" xfId="4" builtinId="30"/>
    <cellStyle name="40% - 着色 1" xfId="5" builtinId="31"/>
    <cellStyle name="60% - 着色 1" xfId="2" builtinId="32"/>
    <cellStyle name="常规" xfId="0" builtinId="0"/>
    <cellStyle name="常规 2" xfId="6" xr:uid="{00000000-0005-0000-0000-000004000000}"/>
    <cellStyle name="超链接" xfId="1" builtinId="8"/>
    <cellStyle name="着色 1" xfId="3" builtinId="29"/>
  </cellStyles>
  <dxfs count="56">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B4C7E7"/>
        </patternFill>
      </fill>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B4C7E7"/>
        </patternFill>
      </fill>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B4C7E7"/>
        </patternFill>
      </fill>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B4C7E7"/>
        </patternFill>
      </fill>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B4C7E7"/>
        </patternFill>
      </fill>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B4C7E7"/>
        </patternFill>
      </fill>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B4C7E7"/>
        </patternFill>
      </fill>
    </dxf>
    <dxf>
      <fill>
        <patternFill patternType="solid">
          <bgColor rgb="FFFFE598"/>
        </patternFill>
      </fill>
      <border>
        <left style="dotted">
          <color auto="1"/>
        </left>
        <right style="dotted">
          <color auto="1"/>
        </right>
        <top style="dotted">
          <color auto="1"/>
        </top>
        <bottom style="dotted">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0.25835453002744702"/>
          <c:y val="0.111165940167541"/>
          <c:w val="0.78872570194384495"/>
          <c:h val="0.79664048865619597"/>
        </c:manualLayout>
      </c:layout>
      <c:radarChart>
        <c:radarStyle val="filled"/>
        <c:varyColors val="0"/>
        <c:ser>
          <c:idx val="0"/>
          <c:order val="0"/>
          <c:spPr>
            <a:solidFill>
              <a:schemeClr val="accent1"/>
            </a:solidFill>
            <a:ln>
              <a:noFill/>
            </a:ln>
            <a:effectLst/>
          </c:spPr>
          <c:cat>
            <c:strRef>
              <c:f>附表!$G$7:$L$7</c:f>
              <c:strCache>
                <c:ptCount val="6"/>
                <c:pt idx="0">
                  <c:v>调查</c:v>
                </c:pt>
                <c:pt idx="1">
                  <c:v>交涉</c:v>
                </c:pt>
                <c:pt idx="2">
                  <c:v>战斗</c:v>
                </c:pt>
                <c:pt idx="3">
                  <c:v>特技</c:v>
                </c:pt>
                <c:pt idx="4">
                  <c:v>支援</c:v>
                </c:pt>
                <c:pt idx="5">
                  <c:v>学问</c:v>
                </c:pt>
              </c:strCache>
            </c:strRef>
          </c:cat>
          <c:val>
            <c:numRef>
              <c:f>附表!$G$8:$L$8</c:f>
              <c:numCache>
                <c:formatCode>General</c:formatCode>
                <c:ptCount val="6"/>
                <c:pt idx="0">
                  <c:v>0.15278733654507914</c:v>
                </c:pt>
                <c:pt idx="1">
                  <c:v>0.13695801789401238</c:v>
                </c:pt>
                <c:pt idx="2">
                  <c:v>0.22161046111493463</c:v>
                </c:pt>
                <c:pt idx="3">
                  <c:v>0.2050929112181693</c:v>
                </c:pt>
                <c:pt idx="4">
                  <c:v>0.1397109428768066</c:v>
                </c:pt>
                <c:pt idx="5">
                  <c:v>0.14384033035099794</c:v>
                </c:pt>
              </c:numCache>
            </c:numRef>
          </c:val>
          <c:extLst>
            <c:ext xmlns:c16="http://schemas.microsoft.com/office/drawing/2014/chart" uri="{C3380CC4-5D6E-409C-BE32-E72D297353CC}">
              <c16:uniqueId val="{00000000-5EFA-496E-857D-7268591BC969}"/>
            </c:ext>
          </c:extLst>
        </c:ser>
        <c:dLbls>
          <c:showLegendKey val="0"/>
          <c:showVal val="0"/>
          <c:showCatName val="0"/>
          <c:showSerName val="0"/>
          <c:showPercent val="0"/>
          <c:showBubbleSize val="0"/>
        </c:dLbls>
        <c:axId val="282020864"/>
        <c:axId val="89725484"/>
      </c:radarChart>
      <c:catAx>
        <c:axId val="28202086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cap="none" spc="0" normalizeH="0" baseline="0">
                <a:solidFill>
                  <a:schemeClr val="tx1"/>
                </a:solidFill>
                <a:uFill>
                  <a:solidFill>
                    <a:schemeClr val="tx1"/>
                  </a:solidFill>
                </a:uFill>
                <a:latin typeface="+mn-lt"/>
                <a:ea typeface="微软雅黑" panose="020B0503020204020204" pitchFamily="34" charset="-122"/>
                <a:cs typeface="+mn-cs"/>
              </a:defRPr>
            </a:pPr>
            <a:endParaRPr lang="zh-CN"/>
          </a:p>
        </c:txPr>
        <c:crossAx val="89725484"/>
        <c:crosses val="autoZero"/>
        <c:auto val="1"/>
        <c:lblAlgn val="ctr"/>
        <c:lblOffset val="100"/>
        <c:noMultiLvlLbl val="0"/>
      </c:catAx>
      <c:valAx>
        <c:axId val="8972548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820208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lang="zh-CN" u="none" strike="noStrike" kern="1200" cap="none" spc="0" normalizeH="0">
          <a:solidFill>
            <a:schemeClr val="tx1"/>
          </a:solidFill>
          <a:uFill>
            <a:solidFill>
              <a:schemeClr val="tx1"/>
            </a:solidFill>
          </a:uFill>
          <a:ea typeface="微软雅黑" panose="020B0503020204020204" pitchFamily="34" charset="-122"/>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manualLayout>
          <c:layoutTarget val="inner"/>
          <c:xMode val="edge"/>
          <c:yMode val="edge"/>
          <c:x val="0.26984344135964999"/>
          <c:y val="0.16944937833037299"/>
          <c:w val="0.68107652112517003"/>
          <c:h val="0.63944802550504298"/>
        </c:manualLayout>
      </c:layout>
      <c:radarChart>
        <c:radarStyle val="filled"/>
        <c:varyColors val="0"/>
        <c:ser>
          <c:idx val="0"/>
          <c:order val="0"/>
          <c:spPr>
            <a:solidFill>
              <a:schemeClr val="accent5"/>
            </a:solidFill>
            <a:ln>
              <a:noFill/>
            </a:ln>
            <a:effectLst/>
          </c:spPr>
          <c:cat>
            <c:strRef>
              <c:f>附表!$G$13:$O$13</c:f>
              <c:strCache>
                <c:ptCount val="9"/>
                <c:pt idx="0">
                  <c:v>力量
STR</c:v>
                </c:pt>
                <c:pt idx="1">
                  <c:v>体质
CON</c:v>
                </c:pt>
                <c:pt idx="2">
                  <c:v>体型
SIZ</c:v>
                </c:pt>
                <c:pt idx="3">
                  <c:v>敏捷
DEX</c:v>
                </c:pt>
                <c:pt idx="4">
                  <c:v>外貌
APP</c:v>
                </c:pt>
                <c:pt idx="5">
                  <c:v>智力
灵感</c:v>
                </c:pt>
                <c:pt idx="6">
                  <c:v>意志
POW</c:v>
                </c:pt>
                <c:pt idx="7">
                  <c:v>教育
EDU</c:v>
                </c:pt>
                <c:pt idx="8">
                  <c:v>幸运
Luck</c:v>
                </c:pt>
              </c:strCache>
            </c:strRef>
          </c:cat>
          <c:val>
            <c:numRef>
              <c:f>附表!$G$14:$O$14</c:f>
              <c:numCache>
                <c:formatCode>General</c:formatCode>
                <c:ptCount val="9"/>
                <c:pt idx="0">
                  <c:v>50</c:v>
                </c:pt>
                <c:pt idx="1">
                  <c:v>50</c:v>
                </c:pt>
                <c:pt idx="2">
                  <c:v>50</c:v>
                </c:pt>
                <c:pt idx="3">
                  <c:v>70</c:v>
                </c:pt>
                <c:pt idx="4">
                  <c:v>70</c:v>
                </c:pt>
                <c:pt idx="5">
                  <c:v>70</c:v>
                </c:pt>
                <c:pt idx="6">
                  <c:v>80</c:v>
                </c:pt>
                <c:pt idx="7">
                  <c:v>60</c:v>
                </c:pt>
                <c:pt idx="8">
                  <c:v>55</c:v>
                </c:pt>
              </c:numCache>
            </c:numRef>
          </c:val>
          <c:extLst>
            <c:ext xmlns:c16="http://schemas.microsoft.com/office/drawing/2014/chart" uri="{C3380CC4-5D6E-409C-BE32-E72D297353CC}">
              <c16:uniqueId val="{00000000-B887-4597-931B-87D3D72B0826}"/>
            </c:ext>
          </c:extLst>
        </c:ser>
        <c:dLbls>
          <c:showLegendKey val="0"/>
          <c:showVal val="0"/>
          <c:showCatName val="0"/>
          <c:showSerName val="0"/>
          <c:showPercent val="0"/>
          <c:showBubbleSize val="0"/>
        </c:dLbls>
        <c:axId val="793954566"/>
        <c:axId val="747028619"/>
      </c:radarChart>
      <c:catAx>
        <c:axId val="79395456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cap="none" spc="0" normalizeH="0" baseline="0">
                <a:solidFill>
                  <a:schemeClr val="tx1"/>
                </a:solidFill>
                <a:uFill>
                  <a:solidFill>
                    <a:schemeClr val="tx1"/>
                  </a:solidFill>
                </a:uFill>
                <a:latin typeface="+mn-lt"/>
                <a:ea typeface="微软雅黑" panose="020B0503020204020204" pitchFamily="34" charset="-122"/>
                <a:cs typeface="+mn-cs"/>
              </a:defRPr>
            </a:pPr>
            <a:endParaRPr lang="zh-CN"/>
          </a:p>
        </c:txPr>
        <c:crossAx val="747028619"/>
        <c:crosses val="autoZero"/>
        <c:auto val="1"/>
        <c:lblAlgn val="ctr"/>
        <c:lblOffset val="100"/>
        <c:noMultiLvlLbl val="0"/>
      </c:catAx>
      <c:valAx>
        <c:axId val="747028619"/>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93954566"/>
        <c:crosses val="autoZero"/>
        <c:crossBetween val="between"/>
      </c:valAx>
      <c:spPr>
        <a:noFill/>
        <a:ln>
          <a:noFill/>
        </a:ln>
        <a:effectLst/>
      </c:spPr>
    </c:plotArea>
    <c:plotVisOnly val="1"/>
    <c:dispBlanksAs val="gap"/>
    <c:showDLblsOverMax val="0"/>
  </c:chart>
  <c:spPr>
    <a:noFill/>
    <a:ln w="12700" cap="flat" cmpd="sng" algn="ctr">
      <a:solidFill>
        <a:schemeClr val="tx1">
          <a:lumMod val="15000"/>
          <a:lumOff val="85000"/>
          <a:alpha val="0"/>
        </a:schemeClr>
      </a:solidFill>
      <a:prstDash val="solid"/>
      <a:round/>
    </a:ln>
    <a:effectLst/>
  </c:spPr>
  <c:txPr>
    <a:bodyPr/>
    <a:lstStyle/>
    <a:p>
      <a:pPr>
        <a:defRPr lang="zh-CN" u="none" strike="noStrike" kern="1200" cap="none" spc="0" normalizeH="0">
          <a:solidFill>
            <a:schemeClr val="tx1"/>
          </a:solidFill>
          <a:uFill>
            <a:solidFill>
              <a:schemeClr val="tx1"/>
            </a:solidFill>
          </a:uFill>
          <a:ea typeface="微软雅黑" panose="020B0503020204020204" pitchFamily="34" charset="-122"/>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57</xdr:col>
      <xdr:colOff>177661</xdr:colOff>
      <xdr:row>8</xdr:row>
      <xdr:rowOff>0</xdr:rowOff>
    </xdr:from>
    <xdr:to>
      <xdr:col>70</xdr:col>
      <xdr:colOff>51288</xdr:colOff>
      <xdr:row>16</xdr:row>
      <xdr:rowOff>0</xdr:rowOff>
    </xdr:to>
    <xdr:graphicFrame macro="">
      <xdr:nvGraphicFramePr>
        <xdr:cNvPr id="2" name="图表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49</xdr:col>
      <xdr:colOff>72312</xdr:colOff>
      <xdr:row>8</xdr:row>
      <xdr:rowOff>0</xdr:rowOff>
    </xdr:from>
    <xdr:to>
      <xdr:col>62</xdr:col>
      <xdr:colOff>21716</xdr:colOff>
      <xdr:row>15</xdr:row>
      <xdr:rowOff>114300</xdr:rowOff>
    </xdr:to>
    <xdr:graphicFrame macro="">
      <xdr:nvGraphicFramePr>
        <xdr:cNvPr id="3" name="图表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31</xdr:col>
      <xdr:colOff>149624</xdr:colOff>
      <xdr:row>39</xdr:row>
      <xdr:rowOff>0</xdr:rowOff>
    </xdr:from>
    <xdr:to>
      <xdr:col>41</xdr:col>
      <xdr:colOff>289273</xdr:colOff>
      <xdr:row>62</xdr:row>
      <xdr:rowOff>0</xdr:rowOff>
    </xdr:to>
    <xdr:sp macro="" textlink="">
      <xdr:nvSpPr>
        <xdr:cNvPr id="2" name=" ">
          <a:extLst>
            <a:ext uri="{FF2B5EF4-FFF2-40B4-BE49-F238E27FC236}">
              <a16:creationId xmlns:a16="http://schemas.microsoft.com/office/drawing/2014/main" id="{00000000-0008-0000-0100-000002000000}"/>
            </a:ext>
          </a:extLst>
        </xdr:cNvPr>
        <xdr:cNvSpPr txBox="1"/>
      </xdr:nvSpPr>
      <xdr:spPr>
        <a:xfrm>
          <a:off x="17572355" y="8293100"/>
          <a:ext cx="4425950" cy="4794250"/>
        </a:xfrm>
        <a:prstGeom prst="rect">
          <a:avLst/>
        </a:prstGeom>
        <a:solidFill>
          <a:srgbClr val="FFFFFF"/>
        </a:solidFill>
        <a:ln w="9525" cap="flat" cmpd="sng">
          <a:solidFill>
            <a:srgbClr val="888888"/>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r>
            <a:t>.st 力量50str50敏捷70dex70意志80pow80体质50con50外貌70app70教育60edu60体型50siz50智力70灵感70int70san80san值80理智80理智值80幸运85运气85mp魔法hp10体力10会计5人类学1估价5考古学1取悦15魅惑15攀爬20计算机5计算机使用5电脑5信用10信誉10信用评级10克苏鲁0克苏鲁神话0cm0乔装5闪避35汽车20驾驶20汽车驾驶20电气维修10电子学1话术5斗殴25手枪20急救60历史5恐吓15跳跃20母语60法律5图书馆20图书馆使用20聆听58开锁80撬锁80锁匠80机械维修10医学1博物学10自然学10领航10导航10神秘学5重型操作1重型机械1操作重型机械1重型1说服10精神分析80心理学10骑术5妙手80侦查60潜行20生存10游泳20投掷20追踪10驯兽5潜水1爆破1读唇1催眠80炮术1																							</a:t>
          </a:r>
        </a:p>
        <a:p>
          <a:pPr algn="l"/>
          <a:r>
            <a:t>																							</a:t>
          </a:r>
        </a:p>
        <a:p>
          <a:pPr algn="l"/>
          <a:r>
            <a:t>																							</a:t>
          </a:r>
        </a:p>
        <a:p>
          <a:pPr algn="l"/>
          <a:r>
            <a:t>																							</a:t>
          </a:r>
        </a:p>
        <a:p>
          <a:pPr algn="l"/>
          <a:endParaRPr/>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3" Type="http://schemas.openxmlformats.org/officeDocument/2006/relationships/hyperlink" Target="https://www.lanzous.com/i7jb9hi" TargetMode="External"/><Relationship Id="rId7" Type="http://schemas.openxmlformats.org/officeDocument/2006/relationships/printerSettings" Target="../printerSettings/printerSettings1.bin"/><Relationship Id="rId2" Type="http://schemas.openxmlformats.org/officeDocument/2006/relationships/hyperlink" Target="https://www.lanzous.com/i7jb4qh" TargetMode="External"/><Relationship Id="rId1" Type="http://schemas.openxmlformats.org/officeDocument/2006/relationships/hyperlink" Target="https://www.lanzous.com/i76887g" TargetMode="External"/><Relationship Id="rId6" Type="http://schemas.openxmlformats.org/officeDocument/2006/relationships/hyperlink" Target="https://www.lanzous.com/b00nb3n2d" TargetMode="External"/><Relationship Id="rId5" Type="http://schemas.openxmlformats.org/officeDocument/2006/relationships/hyperlink" Target="https://www.lanzous.com/i98fmti" TargetMode="External"/><Relationship Id="rId4" Type="http://schemas.openxmlformats.org/officeDocument/2006/relationships/hyperlink" Target="https://www.lanzous.com/i7jbble"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I181"/>
  <sheetViews>
    <sheetView showGridLines="0" tabSelected="1" topLeftCell="A16" workbookViewId="0">
      <selection activeCell="AG7" sqref="AG7:AH8"/>
    </sheetView>
  </sheetViews>
  <sheetFormatPr defaultColWidth="3.109375" defaultRowHeight="18" customHeight="1"/>
  <cols>
    <col min="1" max="1" width="3.109375" style="439" customWidth="1"/>
    <col min="2" max="16384" width="3.109375" style="439"/>
  </cols>
  <sheetData>
    <row r="1" spans="1:87" ht="18" customHeight="1">
      <c r="B1" s="1991" t="s">
        <v>0</v>
      </c>
      <c r="C1" s="1991"/>
      <c r="D1" s="1991"/>
      <c r="E1" s="1991"/>
      <c r="F1" s="1991"/>
      <c r="G1" s="1991"/>
      <c r="H1" s="1991"/>
      <c r="I1" s="1991"/>
      <c r="J1" s="1991"/>
      <c r="K1" s="1991"/>
      <c r="L1" s="1991"/>
      <c r="M1" s="1991"/>
      <c r="N1" s="1991"/>
      <c r="O1" s="1991"/>
      <c r="P1" s="1991"/>
      <c r="Q1" s="1991"/>
      <c r="R1" s="1991"/>
      <c r="S1" s="1991"/>
      <c r="T1" s="1991"/>
      <c r="U1" s="1991"/>
      <c r="V1" s="1991"/>
      <c r="W1" s="1991"/>
      <c r="X1" s="1991"/>
      <c r="Y1" s="1991"/>
      <c r="Z1" s="1991"/>
      <c r="AA1" s="1991"/>
      <c r="AB1" s="1991"/>
      <c r="AC1" s="1991"/>
      <c r="AD1" s="1991"/>
      <c r="AE1" s="1991"/>
      <c r="AF1" s="1991"/>
      <c r="AG1" s="1991"/>
      <c r="AH1" s="1991"/>
      <c r="AI1" s="1991"/>
      <c r="AJ1" s="1991"/>
      <c r="AK1" s="1991"/>
      <c r="AL1" s="1991"/>
      <c r="AM1" s="1991"/>
      <c r="AN1" s="1991"/>
      <c r="AO1" s="1991"/>
      <c r="AP1" s="1991"/>
      <c r="AQ1" s="1991"/>
      <c r="AR1" s="1991"/>
      <c r="AS1" s="1991"/>
      <c r="AT1" s="1991"/>
      <c r="AU1" s="1991"/>
      <c r="AV1" s="1991"/>
      <c r="AW1" s="1991"/>
      <c r="AX1" s="1991"/>
      <c r="AY1" s="1991"/>
      <c r="AZ1" s="1991"/>
      <c r="BA1" s="1991"/>
      <c r="BB1" s="1991"/>
      <c r="BC1" s="1991"/>
      <c r="BD1" s="1991"/>
      <c r="BE1" s="1991"/>
      <c r="BF1" s="1991"/>
      <c r="BG1" s="1991"/>
      <c r="BH1" s="1991"/>
      <c r="BI1" s="1991"/>
      <c r="BJ1" s="1991"/>
      <c r="BK1" s="1991"/>
      <c r="BL1" s="1991"/>
      <c r="BM1" s="1991"/>
      <c r="BN1" s="1991"/>
      <c r="BO1" s="1991"/>
      <c r="BP1" s="1991"/>
      <c r="BQ1" s="1991"/>
      <c r="BR1" s="1991"/>
    </row>
    <row r="2" spans="1:87" ht="18" customHeight="1">
      <c r="B2" s="1534" t="s">
        <v>1</v>
      </c>
      <c r="C2" s="1535"/>
      <c r="D2" s="1535"/>
      <c r="E2" s="1535"/>
      <c r="F2" s="1535"/>
      <c r="G2" s="1535"/>
      <c r="H2" s="1535"/>
      <c r="I2" s="1535"/>
      <c r="J2" s="1535"/>
      <c r="K2" s="1535"/>
      <c r="L2" s="1535"/>
      <c r="M2" s="1535"/>
      <c r="N2" s="1535"/>
      <c r="O2" s="1535"/>
      <c r="P2" s="1535"/>
      <c r="Q2" s="1536"/>
      <c r="S2" s="1992" t="s">
        <v>2</v>
      </c>
      <c r="T2" s="1993"/>
      <c r="U2" s="1993"/>
      <c r="V2" s="1994" t="str">
        <f>附表!D37</f>
        <v>力量体型共-5 E-5 L*2</v>
      </c>
      <c r="W2" s="1994"/>
      <c r="X2" s="1994"/>
      <c r="Y2" s="1994"/>
      <c r="Z2" s="1994"/>
      <c r="AA2" s="1995" t="s">
        <v>3</v>
      </c>
      <c r="AB2" s="1995"/>
      <c r="AC2" s="1996" t="s">
        <v>4</v>
      </c>
      <c r="AD2" s="1996"/>
      <c r="AE2" s="1996"/>
      <c r="AF2" s="1996"/>
      <c r="AG2" s="1997">
        <f>U3+U5+U7+AA3+AA5+AA7+AG3+AG5+AG7</f>
        <v>555</v>
      </c>
      <c r="AH2" s="1997"/>
      <c r="AI2" s="1997"/>
      <c r="AJ2" s="1998"/>
      <c r="AL2" s="1322" t="s">
        <v>5</v>
      </c>
      <c r="AM2" s="1323"/>
      <c r="AN2" s="1323"/>
      <c r="AO2" s="1323"/>
      <c r="AP2" s="1323"/>
      <c r="AQ2" s="1323"/>
      <c r="AR2" s="1323"/>
      <c r="AS2" s="1324"/>
      <c r="AU2" s="1686" t="s">
        <v>6</v>
      </c>
      <c r="AV2" s="1687"/>
      <c r="AW2" s="1687"/>
      <c r="AX2" s="1687"/>
      <c r="AY2" s="1687"/>
      <c r="AZ2" s="1687"/>
      <c r="BA2" s="1687"/>
      <c r="BB2" s="1687"/>
      <c r="BC2" s="1687"/>
      <c r="BD2" s="1687"/>
      <c r="BE2" s="1687"/>
      <c r="BF2" s="1687"/>
      <c r="BG2" s="1687"/>
      <c r="BH2" s="1687"/>
      <c r="BI2" s="1687"/>
      <c r="BJ2" s="1687"/>
      <c r="BK2" s="1687"/>
      <c r="BL2" s="1687"/>
      <c r="BM2" s="1687"/>
      <c r="BN2" s="1687"/>
      <c r="BO2" s="1687"/>
      <c r="BP2" s="1687"/>
      <c r="BQ2" s="1687"/>
      <c r="BR2" s="1688"/>
    </row>
    <row r="3" spans="1:87" ht="18" customHeight="1">
      <c r="B3" s="1300" t="s">
        <v>7</v>
      </c>
      <c r="C3" s="1301"/>
      <c r="D3" s="1301"/>
      <c r="E3" s="3682" t="s">
        <v>5960</v>
      </c>
      <c r="F3" s="1404"/>
      <c r="G3" s="1404"/>
      <c r="H3" s="1404"/>
      <c r="I3" s="1404"/>
      <c r="J3" s="1404"/>
      <c r="K3" s="1404"/>
      <c r="L3" s="1404"/>
      <c r="M3" s="1404"/>
      <c r="N3" s="1404"/>
      <c r="O3" s="1404"/>
      <c r="P3" s="1404"/>
      <c r="Q3" s="1405"/>
      <c r="S3" s="1417" t="s">
        <v>9</v>
      </c>
      <c r="T3" s="1418"/>
      <c r="U3" s="1421">
        <v>50</v>
      </c>
      <c r="V3" s="1421"/>
      <c r="W3" s="1978">
        <f>INT(U3/2)</f>
        <v>25</v>
      </c>
      <c r="X3" s="1978"/>
      <c r="Y3" s="1423" t="s">
        <v>10</v>
      </c>
      <c r="Z3" s="1423"/>
      <c r="AA3" s="1424">
        <v>70</v>
      </c>
      <c r="AB3" s="1424"/>
      <c r="AC3" s="1977">
        <f>INT(AA3/2)</f>
        <v>35</v>
      </c>
      <c r="AD3" s="1977"/>
      <c r="AE3" s="1418" t="s">
        <v>11</v>
      </c>
      <c r="AF3" s="1418"/>
      <c r="AG3" s="1421">
        <v>80</v>
      </c>
      <c r="AH3" s="1421"/>
      <c r="AI3" s="1985">
        <f t="shared" ref="AI3:AI7" si="0">INT(AG3/2)</f>
        <v>40</v>
      </c>
      <c r="AJ3" s="1999"/>
      <c r="AL3" s="1325"/>
      <c r="AM3" s="1326"/>
      <c r="AN3" s="1326"/>
      <c r="AO3" s="1326"/>
      <c r="AP3" s="1326"/>
      <c r="AQ3" s="1326"/>
      <c r="AR3" s="1326"/>
      <c r="AS3" s="1327"/>
      <c r="AU3" s="1376" t="str">
        <f>IF(U3=0,"",IF(U3&lt;=15,"虚弱，孱弱",IF(U3&lt;=40,"力量弱小",IF(U3&lt;=60,"有正常人的力量",IF(U3&lt;=80,"超乎常人的力量",IF(U3&lt;100,"超乎超乎常人的力量"))))))</f>
        <v>有正常人的力量</v>
      </c>
      <c r="AV3" s="1377"/>
      <c r="AW3" s="1377"/>
      <c r="AX3" s="1377"/>
      <c r="AY3" s="1377"/>
      <c r="AZ3" s="1377"/>
      <c r="BA3" s="1377"/>
      <c r="BB3" s="1377"/>
      <c r="BC3" s="1380" t="str">
        <f>IF(AA3=0,"",IF(AA3&lt;=20,"很不灵活",IF(AA3&lt;=40,"不是很灵活",IF(AA3&lt;=60,"普通人水平",IF(AA3&lt;=80,"是一位运动健将",IF(AA3&lt;100,"高速而灵活,可以达成超凡的技艺"))))))</f>
        <v>是一位运动健将</v>
      </c>
      <c r="BD3" s="1380"/>
      <c r="BE3" s="1380"/>
      <c r="BF3" s="1380"/>
      <c r="BG3" s="1380"/>
      <c r="BH3" s="1380"/>
      <c r="BI3" s="1380"/>
      <c r="BJ3" s="1380"/>
      <c r="BK3" s="1377" t="str">
        <f>IF(AG3=0,"",IF(AG3&lt;=20,"尔不过玩物",IF(AG3&lt;=40,"痴愚盲目",IF(AG3&lt;=60,"如常人一般会有一定自制力",IF(AG3&lt;=80,"我心如铁，心坚石穿",IF(AG3&lt;100,"泰山崩于面而色不变",IF(AG3&lt;140,"钢铁之心，还能看见鬼","你怕是个假人吧")))))))</f>
        <v>我心如铁，心坚石穿</v>
      </c>
      <c r="BL3" s="1377"/>
      <c r="BM3" s="1377"/>
      <c r="BN3" s="1377"/>
      <c r="BO3" s="1377"/>
      <c r="BP3" s="1377"/>
      <c r="BQ3" s="1377"/>
      <c r="BR3" s="2002"/>
    </row>
    <row r="4" spans="1:87" ht="18" customHeight="1">
      <c r="B4" s="1344" t="s">
        <v>12</v>
      </c>
      <c r="C4" s="1345"/>
      <c r="D4" s="1345"/>
      <c r="E4" s="2000" t="s">
        <v>8</v>
      </c>
      <c r="F4" s="2000"/>
      <c r="G4" s="2000"/>
      <c r="H4" s="2000"/>
      <c r="I4" s="2000"/>
      <c r="J4" s="1978" t="s">
        <v>13</v>
      </c>
      <c r="K4" s="1978"/>
      <c r="L4" s="1978"/>
      <c r="M4" s="1981" t="s">
        <v>4569</v>
      </c>
      <c r="N4" s="1981"/>
      <c r="O4" s="1981"/>
      <c r="P4" s="1981"/>
      <c r="Q4" s="1982"/>
      <c r="S4" s="1419"/>
      <c r="T4" s="1420"/>
      <c r="U4" s="1422"/>
      <c r="V4" s="1422"/>
      <c r="W4" s="1978">
        <f>INT(U3/5)</f>
        <v>10</v>
      </c>
      <c r="X4" s="1978"/>
      <c r="Y4" s="1367"/>
      <c r="Z4" s="1367"/>
      <c r="AA4" s="1425"/>
      <c r="AB4" s="1425"/>
      <c r="AC4" s="1746">
        <f>INT(AA3/5)</f>
        <v>14</v>
      </c>
      <c r="AD4" s="1746"/>
      <c r="AE4" s="1420"/>
      <c r="AF4" s="1420"/>
      <c r="AG4" s="1422"/>
      <c r="AH4" s="1422"/>
      <c r="AI4" s="1978">
        <f t="shared" ref="AI4:AI8" si="1">INT(AG3/5)</f>
        <v>16</v>
      </c>
      <c r="AJ4" s="2001"/>
      <c r="AL4" s="1325"/>
      <c r="AM4" s="1326"/>
      <c r="AN4" s="1326"/>
      <c r="AO4" s="1326"/>
      <c r="AP4" s="1326"/>
      <c r="AQ4" s="1326"/>
      <c r="AR4" s="1326"/>
      <c r="AS4" s="1327"/>
      <c r="AU4" s="1376"/>
      <c r="AV4" s="1377"/>
      <c r="AW4" s="1377"/>
      <c r="AX4" s="1377"/>
      <c r="AY4" s="1377"/>
      <c r="AZ4" s="1377"/>
      <c r="BA4" s="1377"/>
      <c r="BB4" s="1377"/>
      <c r="BC4" s="1380"/>
      <c r="BD4" s="1380"/>
      <c r="BE4" s="1380"/>
      <c r="BF4" s="1380"/>
      <c r="BG4" s="1380"/>
      <c r="BH4" s="1380"/>
      <c r="BI4" s="1380"/>
      <c r="BJ4" s="1380"/>
      <c r="BK4" s="1377"/>
      <c r="BL4" s="1377"/>
      <c r="BM4" s="1377"/>
      <c r="BN4" s="1377"/>
      <c r="BO4" s="1377"/>
      <c r="BP4" s="1377"/>
      <c r="BQ4" s="1377"/>
      <c r="BR4" s="2002"/>
    </row>
    <row r="5" spans="1:87" ht="18" customHeight="1">
      <c r="B5" s="1300" t="s">
        <v>15</v>
      </c>
      <c r="C5" s="1301"/>
      <c r="D5" s="1301"/>
      <c r="E5" s="1404" t="s">
        <v>16</v>
      </c>
      <c r="F5" s="1404"/>
      <c r="G5" s="1404"/>
      <c r="H5" s="1404"/>
      <c r="I5" s="1404"/>
      <c r="J5" s="1746" t="s">
        <v>17</v>
      </c>
      <c r="K5" s="1746"/>
      <c r="L5" s="1746"/>
      <c r="M5" s="1747">
        <v>79</v>
      </c>
      <c r="N5" s="1747"/>
      <c r="O5" s="1747"/>
      <c r="P5" s="1747"/>
      <c r="Q5" s="1976"/>
      <c r="S5" s="1366" t="s">
        <v>18</v>
      </c>
      <c r="T5" s="1367"/>
      <c r="U5" s="1425">
        <v>50</v>
      </c>
      <c r="V5" s="1425"/>
      <c r="W5" s="1977">
        <f>INT(U5/2)</f>
        <v>25</v>
      </c>
      <c r="X5" s="1977"/>
      <c r="Y5" s="1420" t="s">
        <v>19</v>
      </c>
      <c r="Z5" s="1420"/>
      <c r="AA5" s="1422">
        <v>70</v>
      </c>
      <c r="AB5" s="1422"/>
      <c r="AC5" s="1978">
        <f>INT(AA5/2)</f>
        <v>35</v>
      </c>
      <c r="AD5" s="1978"/>
      <c r="AE5" s="1367" t="s">
        <v>20</v>
      </c>
      <c r="AF5" s="1367"/>
      <c r="AG5" s="1425">
        <v>60</v>
      </c>
      <c r="AH5" s="1425"/>
      <c r="AI5" s="1746">
        <f t="shared" si="0"/>
        <v>30</v>
      </c>
      <c r="AJ5" s="1979"/>
      <c r="AL5" s="1325"/>
      <c r="AM5" s="1326"/>
      <c r="AN5" s="1326"/>
      <c r="AO5" s="1326"/>
      <c r="AP5" s="1326"/>
      <c r="AQ5" s="1326"/>
      <c r="AR5" s="1326"/>
      <c r="AS5" s="1327"/>
      <c r="AU5" s="1434" t="str">
        <f>IF(U5=0,"",IF(U5&lt;=20,"常年患病在身",IF(U5&lt;=40,"体弱多病",IF(U5&lt;=60,"不会生什么大毛病",IF(U5&lt;=80,"健硕，浑身湿透也不会感冒",IF(U5&lt;100,"身体素质极好，精神抖擞"))))))</f>
        <v>不会生什么大毛病</v>
      </c>
      <c r="AV5" s="1380"/>
      <c r="AW5" s="1380"/>
      <c r="AX5" s="1380"/>
      <c r="AY5" s="1380"/>
      <c r="AZ5" s="1380"/>
      <c r="BA5" s="1380"/>
      <c r="BB5" s="1380"/>
      <c r="BC5" s="1377" t="str">
        <f>IF(AA5=0,"",IF(AA5&lt;=20,"用脸就能恐惧敌人。。或队友",IF(AA5&lt;=40,"有些难看",IF(AA5&lt;=60,"人群之中谁也不会看你一眼之后就忘不掉你容颜",IF(AA5&lt;=80,"五官端正，仪表堂堂",IF(AA5&lt;100,"沉鱼落雁，闭月羞花"))))))</f>
        <v>五官端正，仪表堂堂</v>
      </c>
      <c r="BD5" s="1377"/>
      <c r="BE5" s="1377"/>
      <c r="BF5" s="1377"/>
      <c r="BG5" s="1377"/>
      <c r="BH5" s="1377"/>
      <c r="BI5" s="1377"/>
      <c r="BJ5" s="1377"/>
      <c r="BK5" s="1380" t="str">
        <f>IF(AG5=0,"",IF(AG5&lt;=20,"目不识丁",IF(AG5&lt;=40,"小学毕业",IF(AG5&lt;=60,"高中毕业",IF(AG5&lt;=80,"是重点大学的学生，或是普通大学的研究生",IF(AG5&lt;100,"饱读诗书，满腹经纶"))))))</f>
        <v>高中毕业</v>
      </c>
      <c r="BL5" s="1380"/>
      <c r="BM5" s="1380"/>
      <c r="BN5" s="1380"/>
      <c r="BO5" s="1380"/>
      <c r="BP5" s="1380"/>
      <c r="BQ5" s="1380"/>
      <c r="BR5" s="1435"/>
    </row>
    <row r="6" spans="1:87" ht="18" customHeight="1">
      <c r="B6" s="1344" t="s">
        <v>21</v>
      </c>
      <c r="C6" s="1345"/>
      <c r="D6" s="1345"/>
      <c r="E6" s="1980">
        <v>18</v>
      </c>
      <c r="F6" s="1980"/>
      <c r="G6" s="1980"/>
      <c r="H6" s="1980"/>
      <c r="I6" s="1980"/>
      <c r="J6" s="1978" t="s">
        <v>22</v>
      </c>
      <c r="K6" s="1978"/>
      <c r="L6" s="1978"/>
      <c r="M6" s="1981" t="s">
        <v>23</v>
      </c>
      <c r="N6" s="1981"/>
      <c r="O6" s="1981"/>
      <c r="P6" s="1981"/>
      <c r="Q6" s="1982"/>
      <c r="S6" s="1366"/>
      <c r="T6" s="1367"/>
      <c r="U6" s="1425"/>
      <c r="V6" s="1425"/>
      <c r="W6" s="1746">
        <f>INT(U5/5)</f>
        <v>10</v>
      </c>
      <c r="X6" s="1746"/>
      <c r="Y6" s="1420"/>
      <c r="Z6" s="1420"/>
      <c r="AA6" s="1422"/>
      <c r="AB6" s="1422"/>
      <c r="AC6" s="1978">
        <f>INT(AA5/5)</f>
        <v>14</v>
      </c>
      <c r="AD6" s="1978"/>
      <c r="AE6" s="1988"/>
      <c r="AF6" s="1989"/>
      <c r="AG6" s="1990"/>
      <c r="AH6" s="1990"/>
      <c r="AI6" s="1983">
        <f t="shared" si="1"/>
        <v>12</v>
      </c>
      <c r="AJ6" s="1984"/>
      <c r="AL6" s="1325"/>
      <c r="AM6" s="1326"/>
      <c r="AN6" s="1326"/>
      <c r="AO6" s="1326"/>
      <c r="AP6" s="1326"/>
      <c r="AQ6" s="1326"/>
      <c r="AR6" s="1326"/>
      <c r="AS6" s="1327"/>
      <c r="AU6" s="1434"/>
      <c r="AV6" s="1380"/>
      <c r="AW6" s="1380"/>
      <c r="AX6" s="1380"/>
      <c r="AY6" s="1380"/>
      <c r="AZ6" s="1380"/>
      <c r="BA6" s="1380"/>
      <c r="BB6" s="1380"/>
      <c r="BC6" s="1377"/>
      <c r="BD6" s="1377"/>
      <c r="BE6" s="1377"/>
      <c r="BF6" s="1377"/>
      <c r="BG6" s="1377"/>
      <c r="BH6" s="1377"/>
      <c r="BI6" s="1377"/>
      <c r="BJ6" s="1377"/>
      <c r="BK6" s="1380"/>
      <c r="BL6" s="1380"/>
      <c r="BM6" s="1380"/>
      <c r="BN6" s="1380"/>
      <c r="BO6" s="1380"/>
      <c r="BP6" s="1380"/>
      <c r="BQ6" s="1380"/>
      <c r="BR6" s="1435"/>
    </row>
    <row r="7" spans="1:87" ht="18" customHeight="1">
      <c r="B7" s="1300" t="s">
        <v>24</v>
      </c>
      <c r="C7" s="1301"/>
      <c r="D7" s="1301"/>
      <c r="E7" s="3682" t="s">
        <v>5961</v>
      </c>
      <c r="F7" s="1404"/>
      <c r="G7" s="1404"/>
      <c r="H7" s="1404"/>
      <c r="I7" s="1404"/>
      <c r="J7" s="1301" t="s">
        <v>25</v>
      </c>
      <c r="K7" s="1301"/>
      <c r="L7" s="1301"/>
      <c r="M7" s="3682" t="s">
        <v>5961</v>
      </c>
      <c r="N7" s="1404"/>
      <c r="O7" s="1404"/>
      <c r="P7" s="1404"/>
      <c r="Q7" s="1405"/>
      <c r="S7" s="1419" t="s">
        <v>26</v>
      </c>
      <c r="T7" s="1420"/>
      <c r="U7" s="1422">
        <v>50</v>
      </c>
      <c r="V7" s="1422"/>
      <c r="W7" s="1985">
        <f>INT(U7/2)</f>
        <v>25</v>
      </c>
      <c r="X7" s="1985"/>
      <c r="Y7" s="1367" t="s">
        <v>27</v>
      </c>
      <c r="Z7" s="1367"/>
      <c r="AA7" s="1425">
        <v>70</v>
      </c>
      <c r="AB7" s="1425"/>
      <c r="AC7" s="1746">
        <f>INT(AA7/2)</f>
        <v>35</v>
      </c>
      <c r="AD7" s="1749"/>
      <c r="AE7" s="1468" t="s">
        <v>28</v>
      </c>
      <c r="AF7" s="1469"/>
      <c r="AG7" s="1472">
        <v>55</v>
      </c>
      <c r="AH7" s="1473"/>
      <c r="AI7" s="1986">
        <f t="shared" si="0"/>
        <v>27</v>
      </c>
      <c r="AJ7" s="1987"/>
      <c r="AL7" s="1325"/>
      <c r="AM7" s="1326"/>
      <c r="AN7" s="1326"/>
      <c r="AO7" s="1326"/>
      <c r="AP7" s="1326"/>
      <c r="AQ7" s="1326"/>
      <c r="AR7" s="1326"/>
      <c r="AS7" s="1327"/>
      <c r="AU7" s="1376" t="str">
        <f>IF(U7=0,"",IF(U7&lt;=20,"孩童，身短体瘦",IF(U7&lt;=40,"乙女身材",IF(U7&lt;=60,"普遍身高155-175",IF(U7&lt;=80,"不是高就是胖",IF(U7&lt;=100,"大号的人",IF(U7&lt;150,"听说你正在申请身高世界记录？",IF(U7&lt;180,"你可能是一头牛",IF(U7&lt;200,"你已经是历史上最重的人类了","过分了喂！")))))))))</f>
        <v>普遍身高155-175</v>
      </c>
      <c r="AV7" s="1377"/>
      <c r="AW7" s="1377"/>
      <c r="AX7" s="1377"/>
      <c r="AY7" s="1377"/>
      <c r="AZ7" s="1377"/>
      <c r="BA7" s="1377"/>
      <c r="BB7" s="1377"/>
      <c r="BC7" s="1380" t="str">
        <f>IF(INT=0,"",IF(INT&lt;=20,"脑子是个好东西，可惜。。。",IF(INT&lt;=40,"理解知识要耗费比普通人更多的时间",IF(INT&lt;=60,"有着普通人的灵光一现",IF(INT&lt;=80,"可以自主进行发明创造",IF(INT&lt;100,"天才级水准"))))))</f>
        <v>可以自主进行发明创造</v>
      </c>
      <c r="BD7" s="1380"/>
      <c r="BE7" s="1380"/>
      <c r="BF7" s="1380"/>
      <c r="BG7" s="1380"/>
      <c r="BH7" s="1380"/>
      <c r="BI7" s="1380"/>
      <c r="BJ7" s="1380"/>
      <c r="BK7" s="1382" t="str">
        <f>IF(Luck=0,"",IF(Luck&lt;=20,"克夫克妻",IF(Luck&lt;=40,"霉运连连",IF(Luck&lt;=60,"命格平庸",IF(Luck&lt;=80,"在马路边捡到100块",IF(Luck&lt;100,"被幸运女神所眷顾"))))))</f>
        <v>命格平庸</v>
      </c>
      <c r="BL7" s="1382"/>
      <c r="BM7" s="1382"/>
      <c r="BN7" s="1382"/>
      <c r="BO7" s="1382"/>
      <c r="BP7" s="1382"/>
      <c r="BQ7" s="1382"/>
      <c r="BR7" s="1383"/>
      <c r="CH7" s="1268"/>
      <c r="CI7" s="1268"/>
    </row>
    <row r="8" spans="1:87" ht="18" customHeight="1">
      <c r="B8" s="1944" t="s">
        <v>29</v>
      </c>
      <c r="C8" s="1945"/>
      <c r="D8" s="1945"/>
      <c r="E8" s="1946" t="s">
        <v>30</v>
      </c>
      <c r="F8" s="1947"/>
      <c r="G8" s="1948">
        <v>2020</v>
      </c>
      <c r="H8" s="1949"/>
      <c r="I8" s="1949"/>
      <c r="J8" s="1946" t="s">
        <v>31</v>
      </c>
      <c r="K8" s="1947"/>
      <c r="L8" s="1950" t="s">
        <v>32</v>
      </c>
      <c r="M8" s="1951"/>
      <c r="N8" s="1952" t="s">
        <v>33</v>
      </c>
      <c r="O8" s="1952"/>
      <c r="P8" s="1952"/>
      <c r="Q8" s="1953"/>
      <c r="S8" s="1463"/>
      <c r="T8" s="1464"/>
      <c r="U8" s="1465"/>
      <c r="V8" s="1465"/>
      <c r="W8" s="1954">
        <f>INT(U7/5)</f>
        <v>10</v>
      </c>
      <c r="X8" s="1954"/>
      <c r="Y8" s="1466"/>
      <c r="Z8" s="1466"/>
      <c r="AA8" s="1467"/>
      <c r="AB8" s="1467"/>
      <c r="AC8" s="1955">
        <f>INT(AA7/5)</f>
        <v>14</v>
      </c>
      <c r="AD8" s="1956"/>
      <c r="AE8" s="1470"/>
      <c r="AF8" s="1471"/>
      <c r="AG8" s="1474"/>
      <c r="AH8" s="1475"/>
      <c r="AI8" s="1957">
        <f t="shared" si="1"/>
        <v>11</v>
      </c>
      <c r="AJ8" s="1958"/>
      <c r="AL8" s="1328"/>
      <c r="AM8" s="1329"/>
      <c r="AN8" s="1329"/>
      <c r="AO8" s="1329"/>
      <c r="AP8" s="1329"/>
      <c r="AQ8" s="1329"/>
      <c r="AR8" s="1329"/>
      <c r="AS8" s="1330"/>
      <c r="AU8" s="1378"/>
      <c r="AV8" s="1379"/>
      <c r="AW8" s="1379"/>
      <c r="AX8" s="1379"/>
      <c r="AY8" s="1379"/>
      <c r="AZ8" s="1379"/>
      <c r="BA8" s="1379"/>
      <c r="BB8" s="1379"/>
      <c r="BC8" s="1381"/>
      <c r="BD8" s="1381"/>
      <c r="BE8" s="1381"/>
      <c r="BF8" s="1381"/>
      <c r="BG8" s="1381"/>
      <c r="BH8" s="1381"/>
      <c r="BI8" s="1381"/>
      <c r="BJ8" s="1381"/>
      <c r="BK8" s="1384"/>
      <c r="BL8" s="1384"/>
      <c r="BM8" s="1384"/>
      <c r="BN8" s="1384"/>
      <c r="BO8" s="1384"/>
      <c r="BP8" s="1384"/>
      <c r="BQ8" s="1384"/>
      <c r="BR8" s="1385"/>
      <c r="CH8" s="1268"/>
      <c r="CI8" s="1268"/>
    </row>
    <row r="9" spans="1:87" ht="18" customHeight="1">
      <c r="B9" s="1959" t="str">
        <f>IF(F9=0,"","任意特长数：")</f>
        <v>任意特长数：</v>
      </c>
      <c r="C9" s="1959"/>
      <c r="D9" s="1959"/>
      <c r="E9" s="1959"/>
      <c r="F9" s="1960">
        <f>INDEX(本职技能!$A$2:$HX$69,MATCH("任意特长",本职技能!$A$2:$A$75,0),MATCH($M$5,本职技能!$A$1:$HX$1,0))</f>
        <v>4</v>
      </c>
      <c r="G9" s="1960"/>
      <c r="H9" s="1960"/>
      <c r="I9" s="1960"/>
      <c r="K9" s="1961">
        <f>INDEX(本职技能!$A$2:$HX$69,MATCH("☆",本职技能!$A$2:$A$75,0),MATCH($M$5,本职技能!$A$1:$HX$1,0))</f>
        <v>0</v>
      </c>
      <c r="L9" s="1961"/>
      <c r="M9" s="1961"/>
      <c r="N9" s="1961"/>
      <c r="O9" s="1961"/>
      <c r="P9" s="1961"/>
      <c r="Q9" s="1961"/>
      <c r="R9" s="1961"/>
      <c r="S9" s="1250"/>
      <c r="T9" s="1962">
        <f>INDEX(本职技能!$A$2:$HX$69,MATCH("⊙",本职技能!$A$2:$A$75,0),MATCH($M$5,本职技能!$A$1:$HX$1,0))</f>
        <v>0</v>
      </c>
      <c r="U9" s="1962"/>
      <c r="V9" s="1962"/>
      <c r="W9" s="1962"/>
      <c r="X9" s="1962"/>
      <c r="Y9" s="1963"/>
      <c r="Z9" s="1963"/>
      <c r="AA9" s="1963"/>
      <c r="AC9" s="1964">
        <f>INDEX(本职技能!$A$2:$HX$69,MATCH("☯",本职技能!$A$2:$A$75,0),MATCH($M$5,本职技能!$A$1:$HX$1,0))</f>
        <v>1</v>
      </c>
      <c r="AD9" s="1964"/>
      <c r="AE9" s="1965"/>
      <c r="AF9" s="1965"/>
      <c r="AG9" s="1965"/>
      <c r="AH9" s="1965"/>
      <c r="AI9" s="1965"/>
      <c r="AJ9" s="1965"/>
      <c r="AK9" s="1260"/>
      <c r="AL9" s="1966">
        <f>INDEX(本职技能!$A$2:$HX$69,MATCH("※",本职技能!$A$2:$A$75,0),MATCH($M$5,本职技能!$A$1:$HX$1,0))</f>
        <v>0</v>
      </c>
      <c r="AM9" s="1966"/>
      <c r="AN9" s="1966"/>
      <c r="AO9" s="1966"/>
      <c r="AP9" s="1967"/>
      <c r="AQ9" s="1967"/>
      <c r="AR9" s="1967"/>
      <c r="AS9" s="1967"/>
      <c r="AU9" s="516"/>
      <c r="AV9" s="516"/>
      <c r="AW9" s="516"/>
      <c r="AX9" s="516"/>
      <c r="AY9" s="1265"/>
      <c r="AZ9" s="516"/>
      <c r="BA9" s="516"/>
      <c r="BB9" s="516"/>
      <c r="BC9" s="516"/>
      <c r="BD9" s="516"/>
      <c r="BE9" s="516"/>
      <c r="BF9" s="516"/>
      <c r="BG9" s="516"/>
      <c r="BH9" s="516"/>
      <c r="BI9" s="516"/>
      <c r="BJ9" s="516"/>
      <c r="BK9" s="516"/>
      <c r="BL9" s="516"/>
      <c r="BM9" s="516"/>
      <c r="BN9" s="516"/>
      <c r="BO9" s="516"/>
      <c r="BP9" s="516"/>
      <c r="BQ9" s="516"/>
      <c r="BR9" s="1265"/>
      <c r="BX9" s="1398"/>
      <c r="BY9" s="1399"/>
    </row>
    <row r="10" spans="1:87" ht="18" customHeight="1">
      <c r="B10" s="1923" t="s">
        <v>34</v>
      </c>
      <c r="C10" s="1924"/>
      <c r="D10" s="1924"/>
      <c r="E10" s="1386">
        <v>4</v>
      </c>
      <c r="F10" s="1386"/>
      <c r="G10" s="1388">
        <f>INT((U5+U7)/10)</f>
        <v>10</v>
      </c>
      <c r="H10" s="1388"/>
      <c r="I10" s="1968" t="s">
        <v>35</v>
      </c>
      <c r="J10" s="1969"/>
      <c r="K10" s="1927" t="s">
        <v>36</v>
      </c>
      <c r="L10" s="1928"/>
      <c r="M10" s="1928"/>
      <c r="N10" s="1488">
        <v>69</v>
      </c>
      <c r="O10" s="1488"/>
      <c r="P10" s="1490">
        <f>99-R27</f>
        <v>99</v>
      </c>
      <c r="Q10" s="1490"/>
      <c r="R10" s="1970" t="s">
        <v>35</v>
      </c>
      <c r="S10" s="1971"/>
      <c r="T10" s="1931" t="s">
        <v>37</v>
      </c>
      <c r="U10" s="1932"/>
      <c r="V10" s="1932"/>
      <c r="W10" s="1452"/>
      <c r="X10" s="1452"/>
      <c r="Y10" s="1940">
        <f>INT(AG3/5)</f>
        <v>16</v>
      </c>
      <c r="Z10" s="1941"/>
      <c r="AA10" s="1972" t="s">
        <v>38</v>
      </c>
      <c r="AB10" s="1973"/>
      <c r="AC10" s="1935" t="s">
        <v>39</v>
      </c>
      <c r="AD10" s="1935"/>
      <c r="AE10" s="1936"/>
      <c r="AF10" s="1938">
        <f>AI11+8</f>
        <v>8</v>
      </c>
      <c r="AG10" s="1938"/>
      <c r="AH10" s="1938"/>
      <c r="AI10" s="1974" t="s">
        <v>40</v>
      </c>
      <c r="AJ10" s="1975"/>
      <c r="AK10" s="1362" t="s">
        <v>41</v>
      </c>
      <c r="AL10" s="1363"/>
      <c r="AM10" s="1363"/>
      <c r="AN10" s="1348">
        <f>IF($AN12=0,"0",VLOOKUP($AN12,'防具表 载具表'!B2:J82,2,FALSE))</f>
        <v>0</v>
      </c>
      <c r="AO10" s="1348"/>
      <c r="AP10" s="1349"/>
      <c r="AQ10" s="1350"/>
      <c r="AR10" s="1492" t="s">
        <v>42</v>
      </c>
      <c r="AS10" s="1493"/>
      <c r="AT10" s="1390">
        <f>IF($AN12=0,"",VLOOKUP($AN12,'防具表 载具表'!B2:I101,4,FALSE))</f>
        <v>0</v>
      </c>
      <c r="AU10" s="1391"/>
      <c r="AV10" s="1391"/>
      <c r="AW10" s="1391"/>
      <c r="AX10" s="1391"/>
      <c r="AY10" s="1391"/>
      <c r="AZ10" s="1262"/>
      <c r="BA10"/>
      <c r="BB10"/>
      <c r="BC10"/>
      <c r="BD10"/>
      <c r="BE10"/>
      <c r="BF10"/>
      <c r="BG10"/>
      <c r="BH10"/>
      <c r="BI10"/>
      <c r="BJ10"/>
      <c r="BK10"/>
      <c r="BL10"/>
      <c r="BM10"/>
      <c r="BN10"/>
      <c r="BO10"/>
      <c r="BP10"/>
      <c r="BQ10"/>
      <c r="BR10" s="1265"/>
      <c r="BX10" s="1399"/>
      <c r="BY10" s="1399"/>
    </row>
    <row r="11" spans="1:87" ht="18" customHeight="1">
      <c r="B11" s="1925"/>
      <c r="C11" s="1926"/>
      <c r="D11" s="1926"/>
      <c r="E11" s="1387"/>
      <c r="F11" s="1387"/>
      <c r="G11" s="1389"/>
      <c r="H11" s="1389"/>
      <c r="I11" s="1896" t="s">
        <v>43</v>
      </c>
      <c r="J11" s="1897"/>
      <c r="K11" s="1929"/>
      <c r="L11" s="1930"/>
      <c r="M11" s="1930"/>
      <c r="N11" s="1489"/>
      <c r="O11" s="1489"/>
      <c r="P11" s="1491"/>
      <c r="Q11" s="1491"/>
      <c r="R11" s="1898" t="s">
        <v>44</v>
      </c>
      <c r="S11" s="1899"/>
      <c r="T11" s="1933"/>
      <c r="U11" s="1934"/>
      <c r="V11" s="1934"/>
      <c r="W11" s="1453"/>
      <c r="X11" s="1453"/>
      <c r="Y11" s="1942"/>
      <c r="Z11" s="1943"/>
      <c r="AA11" s="1900">
        <f>IF(AG3="","",INT(AG3/100+1))</f>
        <v>1</v>
      </c>
      <c r="AB11" s="1901"/>
      <c r="AC11" s="1937"/>
      <c r="AD11" s="1937"/>
      <c r="AE11" s="1937"/>
      <c r="AF11" s="1939"/>
      <c r="AG11" s="1939"/>
      <c r="AH11" s="1939"/>
      <c r="AI11" s="1902">
        <f>附表!C9</f>
        <v>0</v>
      </c>
      <c r="AJ11" s="1903"/>
      <c r="AK11" s="1364"/>
      <c r="AL11" s="1365"/>
      <c r="AM11" s="1365"/>
      <c r="AN11" s="1351"/>
      <c r="AO11" s="1351"/>
      <c r="AP11" s="1351"/>
      <c r="AQ11" s="1352"/>
      <c r="AR11" s="1494"/>
      <c r="AS11" s="1495"/>
      <c r="AT11" s="1390"/>
      <c r="AU11" s="1391"/>
      <c r="AV11" s="1391"/>
      <c r="AW11" s="1391"/>
      <c r="AX11" s="1391"/>
      <c r="AY11" s="1391"/>
      <c r="AZ11" s="1262"/>
      <c r="BA11"/>
      <c r="BB11"/>
      <c r="BC11"/>
      <c r="BD11"/>
      <c r="BE11"/>
      <c r="BF11"/>
      <c r="BG11"/>
      <c r="BH11"/>
      <c r="BI11"/>
      <c r="BJ11"/>
      <c r="BK11"/>
      <c r="BL11"/>
      <c r="BM11"/>
      <c r="BN11"/>
      <c r="BO11"/>
      <c r="BP11"/>
      <c r="BQ11"/>
      <c r="BR11" s="1265"/>
    </row>
    <row r="12" spans="1:87" ht="18" customHeight="1">
      <c r="B12" s="1904" t="s">
        <v>45</v>
      </c>
      <c r="C12" s="1905"/>
      <c r="D12" s="1906">
        <f>CEILING(G10/2,1)</f>
        <v>5</v>
      </c>
      <c r="E12" s="1907"/>
      <c r="F12" s="1905" t="s">
        <v>46</v>
      </c>
      <c r="G12" s="1905"/>
      <c r="H12" s="1905"/>
      <c r="I12" s="1908">
        <v>0</v>
      </c>
      <c r="J12" s="1908"/>
      <c r="K12" s="1909" t="s">
        <v>47</v>
      </c>
      <c r="L12" s="1910"/>
      <c r="M12" s="1910"/>
      <c r="N12" s="1911">
        <v>0</v>
      </c>
      <c r="O12" s="1911"/>
      <c r="P12" s="1912" t="s">
        <v>48</v>
      </c>
      <c r="Q12" s="1913"/>
      <c r="R12" s="1914">
        <f>N10-N12</f>
        <v>69</v>
      </c>
      <c r="S12" s="1915"/>
      <c r="T12" s="1916" t="s">
        <v>49</v>
      </c>
      <c r="U12" s="1917"/>
      <c r="V12" s="1917"/>
      <c r="W12" s="1917"/>
      <c r="X12" s="1918"/>
      <c r="Y12" s="1918"/>
      <c r="Z12" s="1918"/>
      <c r="AA12" s="1918"/>
      <c r="AB12" s="1919"/>
      <c r="AC12" s="1920" t="s">
        <v>50</v>
      </c>
      <c r="AD12" s="1920"/>
      <c r="AE12" s="1921" t="s">
        <v>51</v>
      </c>
      <c r="AF12" s="1922"/>
      <c r="AG12" s="1921" t="s">
        <v>52</v>
      </c>
      <c r="AH12" s="1921"/>
      <c r="AI12" s="1921" t="s">
        <v>53</v>
      </c>
      <c r="AJ12" s="1921"/>
      <c r="AK12" s="1885" t="s">
        <v>54</v>
      </c>
      <c r="AL12" s="1886"/>
      <c r="AM12" s="1886"/>
      <c r="AN12" s="1887" t="s">
        <v>55</v>
      </c>
      <c r="AO12" s="1887"/>
      <c r="AP12" s="1887"/>
      <c r="AQ12" s="1887"/>
      <c r="AR12" s="1887"/>
      <c r="AS12" s="1887"/>
      <c r="AT12" s="1887"/>
      <c r="AU12" s="1887"/>
      <c r="AV12" s="1887"/>
      <c r="AW12" s="1887"/>
      <c r="AX12" s="1887"/>
      <c r="AY12" s="1887"/>
      <c r="AZ12" s="1262"/>
      <c r="BA12"/>
      <c r="BB12"/>
      <c r="BC12"/>
      <c r="BD12"/>
      <c r="BE12"/>
      <c r="BF12"/>
      <c r="BG12"/>
      <c r="BH12"/>
      <c r="BI12"/>
      <c r="BJ12"/>
      <c r="BK12"/>
      <c r="BL12"/>
      <c r="BM12"/>
      <c r="BN12"/>
      <c r="BO12"/>
      <c r="BP12"/>
      <c r="BQ12"/>
      <c r="BR12" s="1265"/>
    </row>
    <row r="13" spans="1:87" ht="18" customHeight="1">
      <c r="B13" s="1888" t="str">
        <f>IF(M5=0," ","["&amp;LOOKUP(M5,职业列表!A2:A232,职业列表!B2:B232)&amp;"]的本职技能："&amp;LOOKUP(M5,职业列表!A2:A232,职业列表!G2:G232))</f>
        <v>[音乐家]的本职技能：技艺（乐器），一项社交技能（取悦、话术、恐吓、说服），聆听，心理学，四项其他技能。</v>
      </c>
      <c r="C13" s="1888"/>
      <c r="D13" s="1888"/>
      <c r="E13" s="1888"/>
      <c r="F13" s="1888"/>
      <c r="G13" s="1888"/>
      <c r="H13" s="1888"/>
      <c r="I13" s="1888"/>
      <c r="J13" s="1888"/>
      <c r="K13" s="1888"/>
      <c r="L13" s="1888"/>
      <c r="M13" s="1888"/>
      <c r="N13" s="1888"/>
      <c r="O13" s="1888"/>
      <c r="P13" s="1888"/>
      <c r="Q13" s="1888"/>
      <c r="R13" s="1888"/>
      <c r="S13" s="1888"/>
      <c r="T13" s="1888"/>
      <c r="U13" s="1888"/>
      <c r="V13" s="1888"/>
      <c r="W13" s="1888"/>
      <c r="X13" s="1888"/>
      <c r="Y13" s="1888"/>
      <c r="Z13" s="1888"/>
      <c r="AA13" s="1888"/>
      <c r="AB13" s="1888"/>
      <c r="AC13" s="1888"/>
      <c r="AD13" s="1888"/>
      <c r="AE13" s="1888"/>
      <c r="AF13" s="1888"/>
      <c r="AG13" s="1888"/>
      <c r="AH13" s="1888"/>
      <c r="AI13" s="1888"/>
      <c r="AJ13" s="1888"/>
      <c r="AK13" s="1888"/>
      <c r="AL13" s="1888"/>
      <c r="AM13" s="1888"/>
      <c r="AN13" s="1889"/>
      <c r="AO13" s="1889"/>
      <c r="AP13" s="1889"/>
      <c r="AQ13" s="1889"/>
      <c r="AR13" s="1889"/>
      <c r="AS13" s="1889"/>
      <c r="AT13" s="873"/>
      <c r="AU13" s="516"/>
      <c r="AV13" s="1262"/>
      <c r="AW13" s="1262"/>
      <c r="AX13" s="1262"/>
      <c r="AY13" s="1266"/>
      <c r="AZ13" s="1262"/>
      <c r="BA13"/>
      <c r="BB13"/>
      <c r="BC13"/>
      <c r="BD13"/>
      <c r="BE13"/>
      <c r="BF13"/>
      <c r="BG13"/>
      <c r="BH13"/>
      <c r="BI13"/>
      <c r="BJ13"/>
      <c r="BK13"/>
      <c r="BL13"/>
      <c r="BM13"/>
      <c r="BN13"/>
      <c r="BO13"/>
      <c r="BP13"/>
      <c r="BQ13"/>
      <c r="BR13" s="1265"/>
    </row>
    <row r="14" spans="1:87" ht="18" customHeight="1">
      <c r="B14" s="1534" t="s">
        <v>56</v>
      </c>
      <c r="C14" s="1535"/>
      <c r="D14" s="1535"/>
      <c r="E14" s="1535"/>
      <c r="F14" s="1535"/>
      <c r="G14" s="1535"/>
      <c r="H14" s="1535"/>
      <c r="I14" s="1535"/>
      <c r="J14" s="1535"/>
      <c r="K14" s="1535"/>
      <c r="L14" s="1535"/>
      <c r="M14" s="1535"/>
      <c r="N14" s="1535"/>
      <c r="O14" s="1535"/>
      <c r="P14" s="1535"/>
      <c r="Q14" s="1535"/>
      <c r="R14" s="1535"/>
      <c r="S14" s="1535"/>
      <c r="T14" s="1535"/>
      <c r="U14" s="1535"/>
      <c r="V14" s="1535"/>
      <c r="W14" s="1535"/>
      <c r="X14" s="1535"/>
      <c r="Y14" s="1890"/>
      <c r="Z14" s="1535"/>
      <c r="AA14" s="1535"/>
      <c r="AB14" s="1535"/>
      <c r="AC14" s="1535"/>
      <c r="AD14" s="1535"/>
      <c r="AE14" s="1535"/>
      <c r="AF14" s="1535"/>
      <c r="AG14" s="1535"/>
      <c r="AH14" s="1535"/>
      <c r="AI14" s="1535"/>
      <c r="AJ14" s="1535"/>
      <c r="AK14" s="1535"/>
      <c r="AL14" s="1535"/>
      <c r="AM14" s="1535"/>
      <c r="AN14" s="1535"/>
      <c r="AO14" s="1535"/>
      <c r="AP14" s="1535"/>
      <c r="AQ14" s="1535"/>
      <c r="AR14" s="1535"/>
      <c r="AS14" s="1536"/>
      <c r="AT14" s="873"/>
      <c r="AU14" s="501"/>
      <c r="AV14" s="501"/>
      <c r="AW14" s="501"/>
      <c r="AX14" s="501"/>
      <c r="AY14" s="1266"/>
      <c r="AZ14" s="1262"/>
      <c r="BA14"/>
      <c r="BB14"/>
      <c r="BC14"/>
      <c r="BD14"/>
      <c r="BE14"/>
      <c r="BF14"/>
      <c r="BG14"/>
      <c r="BH14"/>
      <c r="BI14"/>
      <c r="BJ14"/>
      <c r="BK14"/>
      <c r="BL14"/>
      <c r="BM14"/>
      <c r="BN14"/>
      <c r="BO14"/>
      <c r="BP14"/>
      <c r="BQ14"/>
      <c r="BR14" s="1265"/>
    </row>
    <row r="15" spans="1:87" ht="18" customHeight="1">
      <c r="B15" s="1891" t="s">
        <v>57</v>
      </c>
      <c r="C15" s="1892"/>
      <c r="D15" s="1443" t="s">
        <v>58</v>
      </c>
      <c r="E15" s="1443"/>
      <c r="F15" s="1443" t="s">
        <v>59</v>
      </c>
      <c r="G15" s="1443"/>
      <c r="H15" s="1443"/>
      <c r="I15" s="1443"/>
      <c r="J15" s="1443" t="s">
        <v>60</v>
      </c>
      <c r="K15" s="1443"/>
      <c r="L15" s="1443" t="s">
        <v>61</v>
      </c>
      <c r="M15" s="1443"/>
      <c r="N15" s="1443" t="s">
        <v>15</v>
      </c>
      <c r="O15" s="1443"/>
      <c r="P15" s="1443" t="s">
        <v>62</v>
      </c>
      <c r="Q15" s="1443"/>
      <c r="R15" s="1443" t="s">
        <v>63</v>
      </c>
      <c r="S15" s="1443"/>
      <c r="T15" s="1443"/>
      <c r="U15" s="1443"/>
      <c r="V15" s="1443"/>
      <c r="W15" s="1893"/>
      <c r="X15" s="1894" t="s">
        <v>57</v>
      </c>
      <c r="Y15" s="1895"/>
      <c r="Z15" s="1443" t="s">
        <v>58</v>
      </c>
      <c r="AA15" s="1443"/>
      <c r="AB15" s="1443" t="s">
        <v>59</v>
      </c>
      <c r="AC15" s="1443"/>
      <c r="AD15" s="1443"/>
      <c r="AE15" s="1443"/>
      <c r="AF15" s="1443" t="s">
        <v>60</v>
      </c>
      <c r="AG15" s="1443"/>
      <c r="AH15" s="1443" t="s">
        <v>61</v>
      </c>
      <c r="AI15" s="1443"/>
      <c r="AJ15" s="1443" t="s">
        <v>15</v>
      </c>
      <c r="AK15" s="1443"/>
      <c r="AL15" s="1443" t="s">
        <v>62</v>
      </c>
      <c r="AM15" s="1443"/>
      <c r="AN15" s="1443" t="s">
        <v>63</v>
      </c>
      <c r="AO15" s="1443"/>
      <c r="AP15" s="1443"/>
      <c r="AQ15" s="1443"/>
      <c r="AR15" s="1443"/>
      <c r="AS15" s="1444"/>
      <c r="AT15" s="873"/>
      <c r="AU15" s="501"/>
      <c r="AV15" s="501"/>
      <c r="AW15" s="501"/>
      <c r="AX15" s="501"/>
      <c r="AY15" s="1266"/>
      <c r="AZ15" s="1262"/>
      <c r="BA15"/>
      <c r="BB15"/>
      <c r="BC15"/>
      <c r="BD15"/>
      <c r="BE15"/>
      <c r="BF15"/>
      <c r="BG15"/>
      <c r="BH15"/>
      <c r="BI15"/>
      <c r="BJ15"/>
      <c r="BK15"/>
      <c r="BL15"/>
      <c r="BM15"/>
      <c r="BN15"/>
      <c r="BO15"/>
      <c r="BP15"/>
      <c r="BQ15"/>
      <c r="BR15" s="1265"/>
    </row>
    <row r="16" spans="1:87" ht="18" customHeight="1">
      <c r="A16" s="1257"/>
      <c r="B16" s="1739" t="s">
        <v>64</v>
      </c>
      <c r="C16" s="1740"/>
      <c r="D16" s="1741">
        <f>IF(ISTEXT(IFERROR(VLOOKUP(人物卡!F16,人物卡!BJ18:BR22,1,FALSE),IFERROR(VLOOKUP(人物卡!F16,人物卡!BA18:BC22,1,FALSE),0))),"★",INDEX(本职技能!$A$2:$HX$76,MATCH(人物卡!F16,本职技能!$A$2:$A$75,0),MATCH(人物卡!$M$5,本职技能!$A$1:$HX$1,0)))</f>
        <v>0</v>
      </c>
      <c r="E16" s="1741"/>
      <c r="F16" s="1747" t="s">
        <v>65</v>
      </c>
      <c r="G16" s="1747"/>
      <c r="H16" s="1747"/>
      <c r="I16" s="1747"/>
      <c r="J16" s="1746">
        <v>5</v>
      </c>
      <c r="K16" s="1746"/>
      <c r="L16" s="1747"/>
      <c r="M16" s="1747"/>
      <c r="N16" s="1747"/>
      <c r="O16" s="1747"/>
      <c r="P16" s="1747"/>
      <c r="Q16" s="1747"/>
      <c r="R16" s="1748">
        <f>SUM(J16:P16)</f>
        <v>5</v>
      </c>
      <c r="S16" s="1748"/>
      <c r="T16" s="1746">
        <f t="shared" ref="T16:T49" si="2">INT(R16/2)</f>
        <v>2</v>
      </c>
      <c r="U16" s="1746"/>
      <c r="V16" s="1746">
        <f t="shared" ref="V16:V49" si="3">INT(R16/5)</f>
        <v>1</v>
      </c>
      <c r="W16" s="1749"/>
      <c r="X16" s="1750" t="s">
        <v>64</v>
      </c>
      <c r="Y16" s="1747"/>
      <c r="Z16" s="1741">
        <f>IF(ISTEXT(IFERROR(VLOOKUP(人物卡!AB16,人物卡!BJ18:BR22,1,FALSE),IFERROR(VLOOKUP(人物卡!AB16,人物卡!BA18:BC22,1,FALSE),0))),"★",INDEX(本职技能!$A$2:$HX$76,MATCH(人物卡!AB16,本职技能!$A$2:$A$75,0),MATCH(人物卡!$M$5,本职技能!$A$1:$HX$1,0)))</f>
        <v>0</v>
      </c>
      <c r="AA16" s="1741"/>
      <c r="AB16" s="1747" t="s">
        <v>66</v>
      </c>
      <c r="AC16" s="1747"/>
      <c r="AD16" s="1747"/>
      <c r="AE16" s="1747"/>
      <c r="AF16" s="1746">
        <v>5</v>
      </c>
      <c r="AG16" s="1746"/>
      <c r="AH16" s="1747"/>
      <c r="AI16" s="1747"/>
      <c r="AJ16" s="1747"/>
      <c r="AK16" s="1747"/>
      <c r="AL16" s="1755"/>
      <c r="AM16" s="1755"/>
      <c r="AN16" s="1748">
        <f t="shared" ref="AN16:AN30" si="4">SUM(AF16:AL16)</f>
        <v>5</v>
      </c>
      <c r="AO16" s="1748"/>
      <c r="AP16" s="1748">
        <f t="shared" ref="AP16:AP49" si="5">INT(AN16/2)</f>
        <v>2</v>
      </c>
      <c r="AQ16" s="1748"/>
      <c r="AR16" s="1748">
        <f t="shared" ref="AR16:AR49" si="6">INT(AN16/5)</f>
        <v>1</v>
      </c>
      <c r="AS16" s="1756"/>
      <c r="AU16" s="1263"/>
      <c r="AV16" s="1263"/>
      <c r="AW16" s="1263"/>
      <c r="AX16" s="1263"/>
      <c r="AY16" s="1267"/>
      <c r="AZ16" s="1263"/>
      <c r="BA16" s="1263"/>
      <c r="BB16" s="1263"/>
      <c r="BC16" s="1263"/>
      <c r="BD16" s="1263"/>
      <c r="BE16" s="1263"/>
      <c r="BF16" s="1263"/>
      <c r="BG16" s="1263"/>
      <c r="BH16" s="1263"/>
      <c r="BI16" s="1263"/>
      <c r="BJ16" s="1263"/>
      <c r="BK16" s="1263"/>
      <c r="BL16" s="1263"/>
      <c r="BM16" s="1263"/>
      <c r="BN16" s="1263"/>
      <c r="BO16" s="1263"/>
      <c r="BP16" s="1263"/>
      <c r="BQ16" s="1263"/>
      <c r="BR16" s="1267"/>
    </row>
    <row r="17" spans="1:70" ht="18" customHeight="1">
      <c r="B17" s="1757" t="s">
        <v>64</v>
      </c>
      <c r="C17" s="1758"/>
      <c r="D17" s="1759">
        <f>IF(ISTEXT(IFERROR(VLOOKUP(人物卡!F17,人物卡!BJ18:BR22,1,FALSE),IFERROR(VLOOKUP(人物卡!F17,人物卡!BA18:BC22,1,FALSE),0))),"★",INDEX(本职技能!$A$2:$HX$76,MATCH(人物卡!F17,本职技能!$A$2:$A$75,0),MATCH(人物卡!$M$5,本职技能!$A$1:$HX$1,0)))</f>
        <v>0</v>
      </c>
      <c r="E17" s="1759"/>
      <c r="F17" s="1735" t="s">
        <v>67</v>
      </c>
      <c r="G17" s="1735"/>
      <c r="H17" s="1735"/>
      <c r="I17" s="1735"/>
      <c r="J17" s="1764">
        <v>1</v>
      </c>
      <c r="K17" s="1764"/>
      <c r="L17" s="1735"/>
      <c r="M17" s="1735"/>
      <c r="N17" s="1884"/>
      <c r="O17" s="1884"/>
      <c r="P17" s="1735"/>
      <c r="Q17" s="1735"/>
      <c r="R17" s="1737">
        <f>SUM(J17:P17)</f>
        <v>1</v>
      </c>
      <c r="S17" s="1737"/>
      <c r="T17" s="1764">
        <f t="shared" si="2"/>
        <v>0</v>
      </c>
      <c r="U17" s="1764"/>
      <c r="V17" s="1764">
        <f t="shared" si="3"/>
        <v>0</v>
      </c>
      <c r="W17" s="1765"/>
      <c r="X17" s="1766" t="s">
        <v>64</v>
      </c>
      <c r="Y17" s="1735"/>
      <c r="Z17" s="1759">
        <f>IF(ISTEXT(IFERROR(VLOOKUP(人物卡!AB17,人物卡!BJ18:BR22,1,FALSE),IFERROR(VLOOKUP(人物卡!AB17,人物卡!BA18:BC22,1,FALSE),0))),"★",INDEX(本职技能!$A$2:$HX$76,MATCH(人物卡!AB17,本职技能!$A$2:$A$75,0),MATCH(人物卡!$M$5,本职技能!$A$1:$HX$1,0)))</f>
        <v>0</v>
      </c>
      <c r="AA17" s="1759"/>
      <c r="AB17" s="1735" t="s">
        <v>68</v>
      </c>
      <c r="AC17" s="1735"/>
      <c r="AD17" s="1735"/>
      <c r="AE17" s="1735"/>
      <c r="AF17" s="1764">
        <v>20</v>
      </c>
      <c r="AG17" s="1764"/>
      <c r="AH17" s="1735"/>
      <c r="AI17" s="1735"/>
      <c r="AJ17" s="1735"/>
      <c r="AK17" s="1735"/>
      <c r="AL17" s="1736"/>
      <c r="AM17" s="1736"/>
      <c r="AN17" s="1737">
        <f t="shared" si="4"/>
        <v>20</v>
      </c>
      <c r="AO17" s="1737"/>
      <c r="AP17" s="1737">
        <f t="shared" si="5"/>
        <v>10</v>
      </c>
      <c r="AQ17" s="1737"/>
      <c r="AR17" s="1737">
        <f t="shared" si="6"/>
        <v>4</v>
      </c>
      <c r="AS17" s="1738"/>
      <c r="AU17" s="1875" t="s">
        <v>69</v>
      </c>
      <c r="AV17" s="1876"/>
      <c r="AW17" s="1876"/>
      <c r="AX17" s="1876"/>
      <c r="AY17" s="1876"/>
      <c r="AZ17" s="1876"/>
      <c r="BA17" s="1876" t="s">
        <v>70</v>
      </c>
      <c r="BB17" s="1876"/>
      <c r="BC17" s="1876"/>
      <c r="BD17" s="1876"/>
      <c r="BE17" s="1876"/>
      <c r="BF17" s="1876"/>
      <c r="BG17" s="1876"/>
      <c r="BH17" s="1876"/>
      <c r="BI17" s="1876"/>
      <c r="BJ17" s="1876"/>
      <c r="BK17" s="1876"/>
      <c r="BL17" s="1876"/>
      <c r="BM17" s="1876"/>
      <c r="BN17" s="1876"/>
      <c r="BO17" s="1876"/>
      <c r="BP17" s="1876"/>
      <c r="BQ17" s="1876"/>
      <c r="BR17" s="1877"/>
    </row>
    <row r="18" spans="1:70" ht="18" customHeight="1">
      <c r="A18" s="427"/>
      <c r="B18" s="1739" t="s">
        <v>64</v>
      </c>
      <c r="C18" s="1740"/>
      <c r="D18" s="1741">
        <f>IF(ISTEXT(IFERROR(VLOOKUP(人物卡!F18,人物卡!BJ18:BR22,1,FALSE),IFERROR(VLOOKUP(人物卡!F18,人物卡!BA18:BC22,1,FALSE),0))),"★",INDEX(本职技能!$A$2:$HX$76,MATCH(人物卡!F18,本职技能!$A$2:$A$75,0),MATCH(人物卡!$M$5,本职技能!$A$1:$HX$1,0)))</f>
        <v>0</v>
      </c>
      <c r="E18" s="1741"/>
      <c r="F18" s="1747" t="s">
        <v>71</v>
      </c>
      <c r="G18" s="1747"/>
      <c r="H18" s="1747"/>
      <c r="I18" s="1747"/>
      <c r="J18" s="1746">
        <v>5</v>
      </c>
      <c r="K18" s="1746"/>
      <c r="L18" s="1747"/>
      <c r="M18" s="1747"/>
      <c r="N18" s="1747"/>
      <c r="O18" s="1747"/>
      <c r="P18" s="1747"/>
      <c r="Q18" s="1747"/>
      <c r="R18" s="1748">
        <f>SUM(J18:P18)</f>
        <v>5</v>
      </c>
      <c r="S18" s="1748"/>
      <c r="T18" s="1746">
        <f t="shared" si="2"/>
        <v>2</v>
      </c>
      <c r="U18" s="1746"/>
      <c r="V18" s="1746">
        <f t="shared" si="3"/>
        <v>1</v>
      </c>
      <c r="W18" s="1749"/>
      <c r="X18" s="1750" t="s">
        <v>64</v>
      </c>
      <c r="Y18" s="1747"/>
      <c r="Z18" s="1741" t="str">
        <f>IF(ISTEXT(IFERROR(VLOOKUP(人物卡!AB18,人物卡!BJ18:BR22,1,FALSE),IFERROR(VLOOKUP(人物卡!AB18,人物卡!BA18:BC22,1,FALSE),0))),"★",INDEX(本职技能!$A$2:$HX$76,MATCH(人物卡!AB18,本职技能!$A$2:$A$75,0),MATCH(人物卡!$M$5,本职技能!$A$1:$HX$1,0)))</f>
        <v>★</v>
      </c>
      <c r="AA18" s="1741"/>
      <c r="AB18" s="1747" t="s">
        <v>72</v>
      </c>
      <c r="AC18" s="1747"/>
      <c r="AD18" s="1747"/>
      <c r="AE18" s="1747"/>
      <c r="AF18" s="1746">
        <v>20</v>
      </c>
      <c r="AG18" s="1746"/>
      <c r="AH18" s="1747"/>
      <c r="AI18" s="1747"/>
      <c r="AJ18" s="1747"/>
      <c r="AK18" s="1747"/>
      <c r="AL18" s="1755">
        <v>38</v>
      </c>
      <c r="AM18" s="1755"/>
      <c r="AN18" s="1748">
        <f t="shared" si="4"/>
        <v>58</v>
      </c>
      <c r="AO18" s="1748"/>
      <c r="AP18" s="1748">
        <f t="shared" si="5"/>
        <v>29</v>
      </c>
      <c r="AQ18" s="1748"/>
      <c r="AR18" s="1748">
        <f t="shared" si="6"/>
        <v>11</v>
      </c>
      <c r="AS18" s="1756"/>
      <c r="AU18" s="1878" t="s">
        <v>73</v>
      </c>
      <c r="AV18" s="1879"/>
      <c r="AW18" s="1879"/>
      <c r="AX18" s="1879"/>
      <c r="AY18" s="1879"/>
      <c r="AZ18" s="1879"/>
      <c r="BA18" s="1880" t="s">
        <v>74</v>
      </c>
      <c r="BB18" s="1881"/>
      <c r="BC18" s="1881"/>
      <c r="BD18" s="1881"/>
      <c r="BE18" s="1881"/>
      <c r="BF18" s="1881"/>
      <c r="BG18" s="1881"/>
      <c r="BH18" s="1881"/>
      <c r="BI18" s="1881"/>
      <c r="BJ18" s="1880"/>
      <c r="BK18" s="1881"/>
      <c r="BL18" s="1881"/>
      <c r="BM18" s="1881"/>
      <c r="BN18" s="1881"/>
      <c r="BO18" s="1881"/>
      <c r="BP18" s="1882"/>
      <c r="BQ18" s="1881"/>
      <c r="BR18" s="1883"/>
    </row>
    <row r="19" spans="1:70" ht="18" customHeight="1">
      <c r="A19" s="427"/>
      <c r="B19" s="1757" t="s">
        <v>64</v>
      </c>
      <c r="C19" s="1758"/>
      <c r="D19" s="1759">
        <f>IF(ISTEXT(IFERROR(VLOOKUP(人物卡!F19,人物卡!BJ18:BR22,1,FALSE),IFERROR(VLOOKUP(人物卡!F19,人物卡!BA18:BC22,1,FALSE),0))),"★",INDEX(本职技能!$A$2:$HX$76,MATCH(人物卡!F19,本职技能!$A$2:$A$75,0),MATCH(人物卡!$M$5,本职技能!$A$1:$HX$1,0)))</f>
        <v>0</v>
      </c>
      <c r="E19" s="1759"/>
      <c r="F19" s="1735" t="s">
        <v>75</v>
      </c>
      <c r="G19" s="1778"/>
      <c r="H19" s="1779"/>
      <c r="I19" s="1735"/>
      <c r="J19" s="1764">
        <v>1</v>
      </c>
      <c r="K19" s="1764"/>
      <c r="L19" s="1735"/>
      <c r="M19" s="1735"/>
      <c r="N19" s="1735"/>
      <c r="O19" s="1735"/>
      <c r="P19" s="1735"/>
      <c r="Q19" s="1735"/>
      <c r="R19" s="1737">
        <f>SUM(J19:P19)</f>
        <v>1</v>
      </c>
      <c r="S19" s="1737"/>
      <c r="T19" s="1764">
        <f t="shared" si="2"/>
        <v>0</v>
      </c>
      <c r="U19" s="1764"/>
      <c r="V19" s="1764">
        <f t="shared" si="3"/>
        <v>0</v>
      </c>
      <c r="W19" s="1765"/>
      <c r="X19" s="1766" t="s">
        <v>64</v>
      </c>
      <c r="Y19" s="1735"/>
      <c r="Z19" s="1759" t="str">
        <f>IF(ISTEXT(IFERROR(VLOOKUP(人物卡!AB19,人物卡!BJ18:BR22,1,FALSE),IFERROR(VLOOKUP(人物卡!AB19,人物卡!BA18:BC22,1,FALSE),0))),"★",INDEX(本职技能!$A$2:$HX$76,MATCH(人物卡!AB19,本职技能!$A$2:$A$75,0),MATCH(人物卡!$M$5,本职技能!$A$1:$HX$1,0)))</f>
        <v>★</v>
      </c>
      <c r="AA19" s="1759"/>
      <c r="AB19" s="1735" t="s">
        <v>76</v>
      </c>
      <c r="AC19" s="1735"/>
      <c r="AD19" s="1735"/>
      <c r="AE19" s="1735"/>
      <c r="AF19" s="1764">
        <v>1</v>
      </c>
      <c r="AG19" s="1764"/>
      <c r="AH19" s="1735"/>
      <c r="AI19" s="1735"/>
      <c r="AJ19" s="1735"/>
      <c r="AK19" s="1735"/>
      <c r="AL19" s="1736">
        <v>79</v>
      </c>
      <c r="AM19" s="1736"/>
      <c r="AN19" s="1737">
        <f t="shared" si="4"/>
        <v>80</v>
      </c>
      <c r="AO19" s="1737"/>
      <c r="AP19" s="1737">
        <f t="shared" si="5"/>
        <v>40</v>
      </c>
      <c r="AQ19" s="1737"/>
      <c r="AR19" s="1737">
        <f t="shared" si="6"/>
        <v>16</v>
      </c>
      <c r="AS19" s="1738"/>
      <c r="AU19" s="1415" t="str">
        <f>附表!AD25</f>
        <v>无</v>
      </c>
      <c r="AV19" s="1416"/>
      <c r="AW19" s="1416"/>
      <c r="AX19" s="1416"/>
      <c r="AY19" s="1416"/>
      <c r="AZ19" s="1416"/>
      <c r="BA19" s="1859" t="s">
        <v>77</v>
      </c>
      <c r="BB19" s="1860"/>
      <c r="BC19" s="1860"/>
      <c r="BD19" s="1860"/>
      <c r="BE19" s="1860"/>
      <c r="BF19" s="1860"/>
      <c r="BG19" s="1860"/>
      <c r="BH19" s="1860"/>
      <c r="BI19" s="1860"/>
      <c r="BJ19" s="1859"/>
      <c r="BK19" s="1860"/>
      <c r="BL19" s="1860"/>
      <c r="BM19" s="1860"/>
      <c r="BN19" s="1860"/>
      <c r="BO19" s="1860"/>
      <c r="BP19" s="1860"/>
      <c r="BQ19" s="1860"/>
      <c r="BR19" s="1864"/>
    </row>
    <row r="20" spans="1:70" ht="18" customHeight="1">
      <c r="A20" s="427"/>
      <c r="B20" s="1739" t="s">
        <v>64</v>
      </c>
      <c r="C20" s="1740"/>
      <c r="D20" s="1741" t="str">
        <f>IF(ISTEXT(IFERROR(VLOOKUP(人物卡!F20,人物卡!BJ18:BR22,1,FALSE),IFERROR(VLOOKUP(人物卡!F20,人物卡!BA18:BC22,1,FALSE),0))),"★",INDEX(本职技能!$A$2:$HX$76,MATCH(人物卡!F20,本职技能!$A$2:$A$75,0),MATCH(人物卡!$M$5,本职技能!$A$1:$HX$1,0)))</f>
        <v>乐器</v>
      </c>
      <c r="E20" s="1741"/>
      <c r="F20" s="1742" t="s">
        <v>78</v>
      </c>
      <c r="G20" s="1743"/>
      <c r="H20" s="1865"/>
      <c r="I20" s="1866"/>
      <c r="J20" s="1746">
        <f>IF(ISBLANK(AU26),5,IF(H20=AU26,BA26,5))</f>
        <v>5</v>
      </c>
      <c r="K20" s="1746"/>
      <c r="L20" s="1747"/>
      <c r="M20" s="1747"/>
      <c r="N20" s="1747"/>
      <c r="O20" s="1747"/>
      <c r="P20" s="1747"/>
      <c r="Q20" s="1747"/>
      <c r="R20" s="1748">
        <f>J20+L20+N20+P20</f>
        <v>5</v>
      </c>
      <c r="S20" s="1748"/>
      <c r="T20" s="1746">
        <f t="shared" si="2"/>
        <v>2</v>
      </c>
      <c r="U20" s="1746"/>
      <c r="V20" s="1746">
        <f t="shared" si="3"/>
        <v>1</v>
      </c>
      <c r="W20" s="1749"/>
      <c r="X20" s="1750" t="s">
        <v>64</v>
      </c>
      <c r="Y20" s="1747"/>
      <c r="Z20" s="1741">
        <f>IF(ISTEXT(IFERROR(VLOOKUP(人物卡!AB20,人物卡!BJ18:BR22,1,FALSE),IFERROR(VLOOKUP(人物卡!AB20,人物卡!BA18:BC22,1,FALSE),0))),"★",INDEX(本职技能!$A$2:$HX$76,MATCH(人物卡!AB20,本职技能!$A$2:$A$75,0),MATCH(人物卡!$M$5,本职技能!$A$1:$HX$1,0)))</f>
        <v>0</v>
      </c>
      <c r="AA20" s="1741"/>
      <c r="AB20" s="1747" t="s">
        <v>79</v>
      </c>
      <c r="AC20" s="1747"/>
      <c r="AD20" s="1747"/>
      <c r="AE20" s="1747"/>
      <c r="AF20" s="1746">
        <v>10</v>
      </c>
      <c r="AG20" s="1746"/>
      <c r="AH20" s="1747"/>
      <c r="AI20" s="1747"/>
      <c r="AJ20" s="1747"/>
      <c r="AK20" s="1747"/>
      <c r="AL20" s="1755"/>
      <c r="AM20" s="1755"/>
      <c r="AN20" s="1748">
        <f t="shared" si="4"/>
        <v>10</v>
      </c>
      <c r="AO20" s="1748"/>
      <c r="AP20" s="1748">
        <f t="shared" si="5"/>
        <v>5</v>
      </c>
      <c r="AQ20" s="1748"/>
      <c r="AR20" s="1748">
        <f t="shared" si="6"/>
        <v>2</v>
      </c>
      <c r="AS20" s="1756"/>
      <c r="AU20" s="1415"/>
      <c r="AV20" s="1416"/>
      <c r="AW20" s="1416"/>
      <c r="AX20" s="1416"/>
      <c r="AY20" s="1416"/>
      <c r="AZ20" s="1416"/>
      <c r="BA20" s="1872" t="s">
        <v>80</v>
      </c>
      <c r="BB20" s="1873"/>
      <c r="BC20" s="1873"/>
      <c r="BD20" s="1873"/>
      <c r="BE20" s="1873"/>
      <c r="BF20" s="1873"/>
      <c r="BG20" s="1873"/>
      <c r="BH20" s="1873"/>
      <c r="BI20" s="1873"/>
      <c r="BJ20" s="1872"/>
      <c r="BK20" s="1873"/>
      <c r="BL20" s="1873"/>
      <c r="BM20" s="1873"/>
      <c r="BN20" s="1873"/>
      <c r="BO20" s="1873"/>
      <c r="BP20" s="1873"/>
      <c r="BQ20" s="1873"/>
      <c r="BR20" s="1874"/>
    </row>
    <row r="21" spans="1:70" ht="18" customHeight="1">
      <c r="A21" s="427"/>
      <c r="B21" s="1757" t="s">
        <v>64</v>
      </c>
      <c r="C21" s="1758"/>
      <c r="D21" s="1759">
        <f>IF(ISTEXT(IFERROR(VLOOKUP(人物卡!F21,人物卡!BJ18:BR22,1,FALSE),IFERROR(VLOOKUP(人物卡!F21,人物卡!BA18:BC22,1,FALSE),0))),"★",INDEX(本职技能!$A$2:$HX$76,MATCH(人物卡!F21,本职技能!$A$2:$A$75,0),MATCH(人物卡!$M$5,本职技能!$A$1:$HX$1,0)))</f>
        <v>0</v>
      </c>
      <c r="E21" s="1759"/>
      <c r="F21" s="1760" t="s">
        <v>81</v>
      </c>
      <c r="G21" s="1761"/>
      <c r="H21" s="1870"/>
      <c r="I21" s="1871"/>
      <c r="J21" s="1764">
        <f>IF(ISBLANK(AU26),5,IF(H21=AU26,BA26,5))</f>
        <v>5</v>
      </c>
      <c r="K21" s="1764"/>
      <c r="L21" s="1735"/>
      <c r="M21" s="1735"/>
      <c r="N21" s="1735"/>
      <c r="O21" s="1735"/>
      <c r="P21" s="1735"/>
      <c r="Q21" s="1735"/>
      <c r="R21" s="1737">
        <f>P21+N21+L21+J21</f>
        <v>5</v>
      </c>
      <c r="S21" s="1737"/>
      <c r="T21" s="1764">
        <f t="shared" si="2"/>
        <v>2</v>
      </c>
      <c r="U21" s="1764"/>
      <c r="V21" s="1764">
        <f t="shared" si="3"/>
        <v>1</v>
      </c>
      <c r="W21" s="1765"/>
      <c r="X21" s="1766" t="s">
        <v>64</v>
      </c>
      <c r="Y21" s="1735"/>
      <c r="Z21" s="1759">
        <f>IF(ISTEXT(IFERROR(VLOOKUP(人物卡!AB21,人物卡!BJ18:BR22,1,FALSE),IFERROR(VLOOKUP(人物卡!AB21,人物卡!BA18:BC22,1,FALSE),0))),"★",INDEX(本职技能!$A$2:$HX$76,MATCH(人物卡!AB21,本职技能!$A$2:$A$75,0),MATCH(人物卡!$M$5,本职技能!$A$1:$HX$1,0)))</f>
        <v>0</v>
      </c>
      <c r="AA21" s="1759"/>
      <c r="AB21" s="1735" t="s">
        <v>82</v>
      </c>
      <c r="AC21" s="1735"/>
      <c r="AD21" s="1735"/>
      <c r="AE21" s="1735"/>
      <c r="AF21" s="1764">
        <v>1</v>
      </c>
      <c r="AG21" s="1764"/>
      <c r="AH21" s="1735"/>
      <c r="AI21" s="1735"/>
      <c r="AJ21" s="1735"/>
      <c r="AK21" s="1735"/>
      <c r="AL21" s="1736"/>
      <c r="AM21" s="1736"/>
      <c r="AN21" s="1737">
        <f t="shared" si="4"/>
        <v>1</v>
      </c>
      <c r="AO21" s="1737"/>
      <c r="AP21" s="1737">
        <f t="shared" si="5"/>
        <v>0</v>
      </c>
      <c r="AQ21" s="1737"/>
      <c r="AR21" s="1737">
        <f t="shared" si="6"/>
        <v>0</v>
      </c>
      <c r="AS21" s="1738"/>
      <c r="AU21" s="1415"/>
      <c r="AV21" s="1416"/>
      <c r="AW21" s="1416"/>
      <c r="AX21" s="1416"/>
      <c r="AY21" s="1416"/>
      <c r="AZ21" s="1416"/>
      <c r="BA21" s="1859" t="s">
        <v>76</v>
      </c>
      <c r="BB21" s="1860"/>
      <c r="BC21" s="1860"/>
      <c r="BD21" s="1860"/>
      <c r="BE21" s="1860"/>
      <c r="BF21" s="1860"/>
      <c r="BG21" s="1860"/>
      <c r="BH21" s="1860"/>
      <c r="BI21" s="1860"/>
      <c r="BJ21" s="1859"/>
      <c r="BK21" s="1860"/>
      <c r="BL21" s="1860"/>
      <c r="BM21" s="1860"/>
      <c r="BN21" s="1860"/>
      <c r="BO21" s="1860"/>
      <c r="BP21" s="1860"/>
      <c r="BQ21" s="1860"/>
      <c r="BR21" s="1864"/>
    </row>
    <row r="22" spans="1:70" ht="18" customHeight="1">
      <c r="A22" s="427"/>
      <c r="B22" s="1739" t="s">
        <v>64</v>
      </c>
      <c r="C22" s="1740"/>
      <c r="D22" s="1741">
        <f>IF(ISTEXT(IFERROR(VLOOKUP(人物卡!F22,人物卡!BJ18:BR22,1,FALSE),IFERROR(VLOOKUP(人物卡!F22,人物卡!BA18:BC22,1,FALSE),0))),"★",INDEX(本职技能!$A$2:$HX$76,MATCH(人物卡!F22,本职技能!$A$2:$A$75,0),MATCH(人物卡!$M$5,本职技能!$A$1:$HX$1,0)))</f>
        <v>0</v>
      </c>
      <c r="E22" s="1741"/>
      <c r="F22" s="1742" t="s">
        <v>83</v>
      </c>
      <c r="G22" s="1743"/>
      <c r="H22" s="1865"/>
      <c r="I22" s="1866"/>
      <c r="J22" s="1746">
        <f>IF(ISBLANK(AU26),5,IF(H22=AU26,BA26,5))</f>
        <v>5</v>
      </c>
      <c r="K22" s="1746"/>
      <c r="L22" s="1747"/>
      <c r="M22" s="1747"/>
      <c r="N22" s="1747"/>
      <c r="O22" s="1747"/>
      <c r="P22" s="1747"/>
      <c r="Q22" s="1747"/>
      <c r="R22" s="1748">
        <f>P22+N22+L22+J22</f>
        <v>5</v>
      </c>
      <c r="S22" s="1748"/>
      <c r="T22" s="1746">
        <f t="shared" si="2"/>
        <v>2</v>
      </c>
      <c r="U22" s="1746"/>
      <c r="V22" s="1746">
        <f t="shared" si="3"/>
        <v>1</v>
      </c>
      <c r="W22" s="1749"/>
      <c r="X22" s="1750" t="s">
        <v>64</v>
      </c>
      <c r="Y22" s="1747"/>
      <c r="Z22" s="1741">
        <f>IF(ISTEXT(IFERROR(VLOOKUP(人物卡!AB22,人物卡!BJ18:BR22,1,FALSE),IFERROR(VLOOKUP(人物卡!AB22,人物卡!BA18:BC22,1,FALSE),0))),"★",INDEX(本职技能!$A$2:$HX$76,MATCH(人物卡!AB22,本职技能!$A$2:$A$75,0),MATCH(人物卡!$M$5,本职技能!$A$1:$HX$1,0)))</f>
        <v>0</v>
      </c>
      <c r="AA22" s="1741"/>
      <c r="AB22" s="1747" t="s">
        <v>84</v>
      </c>
      <c r="AC22" s="1747"/>
      <c r="AD22" s="1747"/>
      <c r="AE22" s="1747"/>
      <c r="AF22" s="1746">
        <v>10</v>
      </c>
      <c r="AG22" s="1746"/>
      <c r="AH22" s="1747"/>
      <c r="AI22" s="1747"/>
      <c r="AJ22" s="1747"/>
      <c r="AK22" s="1747"/>
      <c r="AL22" s="1755"/>
      <c r="AM22" s="1755"/>
      <c r="AN22" s="1748">
        <f t="shared" si="4"/>
        <v>10</v>
      </c>
      <c r="AO22" s="1748"/>
      <c r="AP22" s="1748">
        <f t="shared" si="5"/>
        <v>5</v>
      </c>
      <c r="AQ22" s="1748"/>
      <c r="AR22" s="1748">
        <f t="shared" si="6"/>
        <v>2</v>
      </c>
      <c r="AS22" s="1756"/>
      <c r="AU22" s="1415"/>
      <c r="AV22" s="1416"/>
      <c r="AW22" s="1416"/>
      <c r="AX22" s="1416"/>
      <c r="AY22" s="1416"/>
      <c r="AZ22" s="1416"/>
      <c r="BA22" s="1867"/>
      <c r="BB22" s="1868"/>
      <c r="BC22" s="1868"/>
      <c r="BD22" s="1868"/>
      <c r="BE22" s="1868"/>
      <c r="BF22" s="1868"/>
      <c r="BG22" s="1868"/>
      <c r="BH22" s="1868"/>
      <c r="BI22" s="1868"/>
      <c r="BJ22" s="1867"/>
      <c r="BK22" s="1868"/>
      <c r="BL22" s="1868"/>
      <c r="BM22" s="1868"/>
      <c r="BN22" s="1868"/>
      <c r="BO22" s="1868"/>
      <c r="BP22" s="1868"/>
      <c r="BQ22" s="1868"/>
      <c r="BR22" s="1869"/>
    </row>
    <row r="23" spans="1:70" ht="18" customHeight="1">
      <c r="A23" s="427"/>
      <c r="B23" s="1757" t="s">
        <v>64</v>
      </c>
      <c r="C23" s="1758"/>
      <c r="D23" s="1759" t="str">
        <f>IF(ISTEXT(IFERROR(VLOOKUP(人物卡!F23,人物卡!BJ18:BR22,1,FALSE),IFERROR(VLOOKUP(人物卡!F23,人物卡!BA18:BC22,1,FALSE),0))),"★",INDEX(本职技能!$A$2:$HX$76,MATCH(人物卡!F23,本职技能!$A$2:$A$75,0),MATCH(人物卡!$M$5,本职技能!$A$1:$HX$1,0)))</f>
        <v>☯</v>
      </c>
      <c r="E23" s="1759"/>
      <c r="F23" s="1735" t="s">
        <v>85</v>
      </c>
      <c r="G23" s="1778"/>
      <c r="H23" s="1779"/>
      <c r="I23" s="1735"/>
      <c r="J23" s="1764">
        <v>15</v>
      </c>
      <c r="K23" s="1764"/>
      <c r="L23" s="1735"/>
      <c r="M23" s="1735"/>
      <c r="N23" s="1735"/>
      <c r="O23" s="1735"/>
      <c r="P23" s="1735"/>
      <c r="Q23" s="1735"/>
      <c r="R23" s="1737">
        <f t="shared" ref="R23:R34" si="7">SUM(J23:P23)</f>
        <v>15</v>
      </c>
      <c r="S23" s="1737"/>
      <c r="T23" s="1764">
        <f t="shared" si="2"/>
        <v>7</v>
      </c>
      <c r="U23" s="1764"/>
      <c r="V23" s="1764">
        <f t="shared" si="3"/>
        <v>3</v>
      </c>
      <c r="W23" s="1765"/>
      <c r="X23" s="1766" t="s">
        <v>64</v>
      </c>
      <c r="Y23" s="1735"/>
      <c r="Z23" s="1759">
        <f>IF(ISTEXT(IFERROR(VLOOKUP(人物卡!AB23,人物卡!BJ18:BR22,1,FALSE),IFERROR(VLOOKUP(人物卡!AB23,人物卡!BA18:BC22,1,FALSE),0))),"★",INDEX(本职技能!$A$2:$HX$76,MATCH(人物卡!AB23,本职技能!$A$2:$A$75,0),MATCH(人物卡!$M$5,本职技能!$A$1:$HX$1,0)))</f>
        <v>0</v>
      </c>
      <c r="AA23" s="1759"/>
      <c r="AB23" s="1735" t="s">
        <v>86</v>
      </c>
      <c r="AC23" s="1735"/>
      <c r="AD23" s="1735"/>
      <c r="AE23" s="1735"/>
      <c r="AF23" s="1764">
        <v>10</v>
      </c>
      <c r="AG23" s="1764"/>
      <c r="AH23" s="1735"/>
      <c r="AI23" s="1735"/>
      <c r="AJ23" s="1735"/>
      <c r="AK23" s="1735"/>
      <c r="AL23" s="1736"/>
      <c r="AM23" s="1736"/>
      <c r="AN23" s="1737">
        <f t="shared" si="4"/>
        <v>10</v>
      </c>
      <c r="AO23" s="1737"/>
      <c r="AP23" s="1737">
        <f t="shared" si="5"/>
        <v>5</v>
      </c>
      <c r="AQ23" s="1737"/>
      <c r="AR23" s="1737">
        <f t="shared" si="6"/>
        <v>2</v>
      </c>
      <c r="AS23" s="1738"/>
      <c r="AU23" s="1861" t="s">
        <v>87</v>
      </c>
      <c r="AV23" s="1862"/>
      <c r="AW23" s="1862"/>
      <c r="AX23" s="1862"/>
      <c r="AY23" s="1862"/>
      <c r="AZ23" s="1862"/>
      <c r="BA23" s="1862"/>
      <c r="BB23" s="1862"/>
      <c r="BC23" s="1862"/>
      <c r="BD23" s="1862"/>
      <c r="BE23" s="1862"/>
      <c r="BF23" s="1862"/>
      <c r="BG23" s="1862"/>
      <c r="BH23" s="1862"/>
      <c r="BI23" s="1862"/>
      <c r="BJ23" s="1862"/>
      <c r="BK23" s="1862"/>
      <c r="BL23" s="1862"/>
      <c r="BM23" s="1862"/>
      <c r="BN23" s="1862"/>
      <c r="BO23" s="1862"/>
      <c r="BP23" s="1862"/>
      <c r="BQ23" s="1862"/>
      <c r="BR23" s="1863"/>
    </row>
    <row r="24" spans="1:70" ht="18" customHeight="1">
      <c r="A24" s="427"/>
      <c r="B24" s="1739" t="s">
        <v>64</v>
      </c>
      <c r="C24" s="1740"/>
      <c r="D24" s="1741">
        <f>IF(ISTEXT(IFERROR(VLOOKUP(人物卡!F24,人物卡!BJ18:BR22,1,FALSE),IFERROR(VLOOKUP(人物卡!F24,人物卡!BA18:BC22,1,FALSE),0))),"★",INDEX(本职技能!$A$2:$HX$76,MATCH(人物卡!F24,本职技能!$A$2:$A$75,0),MATCH(人物卡!$M$5,本职技能!$A$1:$HX$1,0)))</f>
        <v>0</v>
      </c>
      <c r="E24" s="1741"/>
      <c r="F24" s="1747" t="s">
        <v>88</v>
      </c>
      <c r="G24" s="1780"/>
      <c r="H24" s="1781"/>
      <c r="I24" s="1747"/>
      <c r="J24" s="1746">
        <v>20</v>
      </c>
      <c r="K24" s="1746"/>
      <c r="L24" s="1747"/>
      <c r="M24" s="1747"/>
      <c r="N24" s="1747"/>
      <c r="O24" s="1747"/>
      <c r="P24" s="1747"/>
      <c r="Q24" s="1747"/>
      <c r="R24" s="1748">
        <f t="shared" si="7"/>
        <v>20</v>
      </c>
      <c r="S24" s="1748"/>
      <c r="T24" s="1746">
        <f t="shared" si="2"/>
        <v>10</v>
      </c>
      <c r="U24" s="1746"/>
      <c r="V24" s="1746">
        <f t="shared" si="3"/>
        <v>4</v>
      </c>
      <c r="W24" s="1749"/>
      <c r="X24" s="1750" t="s">
        <v>64</v>
      </c>
      <c r="Y24" s="1747"/>
      <c r="Z24" s="1741">
        <f>IF(ISTEXT(IFERROR(VLOOKUP(人物卡!AB24,人物卡!BJ18:BR22,1,FALSE),IFERROR(VLOOKUP(人物卡!AB24,人物卡!BA18:BC22,1,FALSE),0))),"★",INDEX(本职技能!$A$2:$HX$76,MATCH(人物卡!AB24,本职技能!$A$2:$A$75,0),MATCH(人物卡!$M$5,本职技能!$A$1:$HX$1,0)))</f>
        <v>0</v>
      </c>
      <c r="AA24" s="1741"/>
      <c r="AB24" s="1747" t="s">
        <v>89</v>
      </c>
      <c r="AC24" s="1747"/>
      <c r="AD24" s="1747"/>
      <c r="AE24" s="1747"/>
      <c r="AF24" s="1746">
        <v>5</v>
      </c>
      <c r="AG24" s="1746"/>
      <c r="AH24" s="1747"/>
      <c r="AI24" s="1747"/>
      <c r="AJ24" s="1747"/>
      <c r="AK24" s="1747"/>
      <c r="AL24" s="1755"/>
      <c r="AM24" s="1755"/>
      <c r="AN24" s="1748">
        <f t="shared" si="4"/>
        <v>5</v>
      </c>
      <c r="AO24" s="1748"/>
      <c r="AP24" s="1748">
        <f t="shared" si="5"/>
        <v>2</v>
      </c>
      <c r="AQ24" s="1748"/>
      <c r="AR24" s="1748">
        <f t="shared" si="6"/>
        <v>1</v>
      </c>
      <c r="AS24" s="1756"/>
      <c r="AU24" s="1850" t="s">
        <v>90</v>
      </c>
      <c r="AV24" s="1851"/>
      <c r="AW24" s="1851"/>
      <c r="AX24" s="1851"/>
      <c r="AY24" s="1851"/>
      <c r="AZ24" s="1851"/>
      <c r="BA24" s="1851"/>
      <c r="BB24" s="1852"/>
      <c r="BC24" s="1853" t="s">
        <v>91</v>
      </c>
      <c r="BD24" s="1854"/>
      <c r="BE24" s="1854"/>
      <c r="BF24" s="1854"/>
      <c r="BG24" s="1854"/>
      <c r="BH24" s="1854"/>
      <c r="BI24" s="1854"/>
      <c r="BJ24" s="1855"/>
      <c r="BK24" s="1856" t="s">
        <v>92</v>
      </c>
      <c r="BL24" s="1857"/>
      <c r="BM24" s="1857"/>
      <c r="BN24" s="1857"/>
      <c r="BO24" s="1857"/>
      <c r="BP24" s="1857"/>
      <c r="BQ24" s="1857"/>
      <c r="BR24" s="1858"/>
    </row>
    <row r="25" spans="1:70" ht="18" customHeight="1">
      <c r="A25" s="427"/>
      <c r="B25" s="1757" t="s">
        <v>64</v>
      </c>
      <c r="C25" s="1758"/>
      <c r="D25" s="1759">
        <f>IF(ISTEXT(IFERROR(VLOOKUP(人物卡!F25,人物卡!BJ18:BR22,1,FALSE),IFERROR(VLOOKUP(人物卡!F25,人物卡!BA18:BC22,1,FALSE),0))),"★",INDEX(本职技能!$A$2:$HX$76,MATCH(人物卡!F25,本职技能!$A$2:$A$75,0),MATCH(人物卡!$M$5,本职技能!$A$1:$HX$1,0)))</f>
        <v>0</v>
      </c>
      <c r="E25" s="1759"/>
      <c r="F25" s="1735" t="s">
        <v>93</v>
      </c>
      <c r="G25" s="1778"/>
      <c r="H25" s="1779"/>
      <c r="I25" s="1735"/>
      <c r="J25" s="1764">
        <v>5</v>
      </c>
      <c r="K25" s="1764"/>
      <c r="L25" s="1735"/>
      <c r="M25" s="1735"/>
      <c r="N25" s="1735"/>
      <c r="O25" s="1735"/>
      <c r="P25" s="1735"/>
      <c r="Q25" s="1735"/>
      <c r="R25" s="1737">
        <f t="shared" si="7"/>
        <v>5</v>
      </c>
      <c r="S25" s="1737"/>
      <c r="T25" s="1764">
        <f t="shared" si="2"/>
        <v>2</v>
      </c>
      <c r="U25" s="1764"/>
      <c r="V25" s="1764">
        <f t="shared" si="3"/>
        <v>1</v>
      </c>
      <c r="W25" s="1765"/>
      <c r="X25" s="1766" t="s">
        <v>64</v>
      </c>
      <c r="Y25" s="1735"/>
      <c r="Z25" s="1759">
        <f>IF(ISTEXT(IFERROR(VLOOKUP(人物卡!AB25,人物卡!BJ18:BR22,1,FALSE),IFERROR(VLOOKUP(人物卡!AB25,人物卡!BA18:BC22,1,FALSE),0))),"★",INDEX(本职技能!$A$2:$HX$76,MATCH(人物卡!AB25,本职技能!$A$2:$A$75,0),MATCH(人物卡!$M$5,本职技能!$A$1:$HX$1,0)))</f>
        <v>0</v>
      </c>
      <c r="AA25" s="1759"/>
      <c r="AB25" s="1735" t="s">
        <v>94</v>
      </c>
      <c r="AC25" s="1735"/>
      <c r="AD25" s="1735"/>
      <c r="AE25" s="1735"/>
      <c r="AF25" s="1764">
        <v>1</v>
      </c>
      <c r="AG25" s="1764"/>
      <c r="AH25" s="1735"/>
      <c r="AI25" s="1735"/>
      <c r="AJ25" s="1735"/>
      <c r="AK25" s="1735"/>
      <c r="AL25" s="1736"/>
      <c r="AM25" s="1736"/>
      <c r="AN25" s="1737">
        <f t="shared" si="4"/>
        <v>1</v>
      </c>
      <c r="AO25" s="1737"/>
      <c r="AP25" s="1737">
        <f t="shared" si="5"/>
        <v>0</v>
      </c>
      <c r="AQ25" s="1737"/>
      <c r="AR25" s="1737">
        <f t="shared" si="6"/>
        <v>0</v>
      </c>
      <c r="AS25" s="1738"/>
      <c r="AU25" s="1816" t="s">
        <v>95</v>
      </c>
      <c r="AV25" s="1817"/>
      <c r="AW25" s="1817"/>
      <c r="AX25" s="1817"/>
      <c r="AY25" s="1817"/>
      <c r="AZ25" s="1817"/>
      <c r="BA25" s="1818" t="s">
        <v>96</v>
      </c>
      <c r="BB25" s="1819"/>
      <c r="BC25" s="1839" t="s">
        <v>97</v>
      </c>
      <c r="BD25" s="1831"/>
      <c r="BE25" s="1831"/>
      <c r="BF25" s="1831"/>
      <c r="BG25" s="1831"/>
      <c r="BH25" s="1831"/>
      <c r="BI25" s="1831"/>
      <c r="BJ25" s="1834"/>
      <c r="BK25" s="1840" t="s">
        <v>98</v>
      </c>
      <c r="BL25" s="1841"/>
      <c r="BM25" s="1841"/>
      <c r="BN25" s="1841"/>
      <c r="BO25" s="1841"/>
      <c r="BP25" s="1841"/>
      <c r="BQ25" s="1841"/>
      <c r="BR25" s="1842"/>
    </row>
    <row r="26" spans="1:70" ht="18" customHeight="1">
      <c r="A26" s="427"/>
      <c r="B26" s="1739" t="s">
        <v>99</v>
      </c>
      <c r="C26" s="1740"/>
      <c r="D26" s="1741" t="s">
        <v>100</v>
      </c>
      <c r="E26" s="1741"/>
      <c r="F26" s="1747" t="s">
        <v>101</v>
      </c>
      <c r="G26" s="1780"/>
      <c r="H26" s="1781"/>
      <c r="I26" s="1747"/>
      <c r="J26" s="1746">
        <v>0</v>
      </c>
      <c r="K26" s="1746"/>
      <c r="L26" s="1747">
        <v>5</v>
      </c>
      <c r="M26" s="1747"/>
      <c r="N26" s="1747">
        <v>10</v>
      </c>
      <c r="O26" s="1747"/>
      <c r="P26" s="1747"/>
      <c r="Q26" s="1747"/>
      <c r="R26" s="1748">
        <f t="shared" si="7"/>
        <v>15</v>
      </c>
      <c r="S26" s="1748"/>
      <c r="T26" s="1746">
        <f t="shared" si="2"/>
        <v>7</v>
      </c>
      <c r="U26" s="1746"/>
      <c r="V26" s="1746">
        <f t="shared" si="3"/>
        <v>3</v>
      </c>
      <c r="W26" s="1749"/>
      <c r="X26" s="1750" t="s">
        <v>64</v>
      </c>
      <c r="Y26" s="1747"/>
      <c r="Z26" s="1741" t="str">
        <f>IF(ISTEXT(IFERROR(VLOOKUP(人物卡!AB26,人物卡!BJ18:BR22,1,FALSE),IFERROR(VLOOKUP(人物卡!AB26,人物卡!BA18:BC22,1,FALSE),0))),"★",INDEX(本职技能!$A$2:$HX$76,MATCH(人物卡!AB26,本职技能!$A$2:$A$75,0),MATCH(人物卡!$M$5,本职技能!$A$1:$HX$1,0)))</f>
        <v>☯</v>
      </c>
      <c r="AA26" s="1741"/>
      <c r="AB26" s="1747" t="s">
        <v>102</v>
      </c>
      <c r="AC26" s="1747"/>
      <c r="AD26" s="1747"/>
      <c r="AE26" s="1747"/>
      <c r="AF26" s="1746">
        <v>10</v>
      </c>
      <c r="AG26" s="1746"/>
      <c r="AH26" s="1747"/>
      <c r="AI26" s="1747"/>
      <c r="AJ26" s="1747"/>
      <c r="AK26" s="1747"/>
      <c r="AL26" s="1755"/>
      <c r="AM26" s="1755"/>
      <c r="AN26" s="1748">
        <f t="shared" si="4"/>
        <v>10</v>
      </c>
      <c r="AO26" s="1748"/>
      <c r="AP26" s="1748">
        <f t="shared" si="5"/>
        <v>5</v>
      </c>
      <c r="AQ26" s="1748"/>
      <c r="AR26" s="1748">
        <f t="shared" si="6"/>
        <v>2</v>
      </c>
      <c r="AS26" s="1756"/>
      <c r="AU26" s="1807"/>
      <c r="AV26" s="1808"/>
      <c r="AW26" s="1808"/>
      <c r="AX26" s="1808"/>
      <c r="AY26" s="1808"/>
      <c r="AZ26" s="1808"/>
      <c r="BA26" s="1809"/>
      <c r="BB26" s="1810"/>
      <c r="BC26" s="1843"/>
      <c r="BD26" s="1844"/>
      <c r="BE26" s="1844"/>
      <c r="BF26" s="1844"/>
      <c r="BG26" s="1844"/>
      <c r="BH26" s="1844"/>
      <c r="BI26" s="1844"/>
      <c r="BJ26" s="1845"/>
      <c r="BK26" s="1846"/>
      <c r="BL26" s="1847"/>
      <c r="BM26" s="1847"/>
      <c r="BN26" s="1847"/>
      <c r="BO26" s="1848"/>
      <c r="BP26" s="1847"/>
      <c r="BQ26" s="1847"/>
      <c r="BR26" s="1849"/>
    </row>
    <row r="27" spans="1:70" ht="18" customHeight="1">
      <c r="A27" s="427"/>
      <c r="B27" s="1757" t="s">
        <v>99</v>
      </c>
      <c r="C27" s="1758"/>
      <c r="D27" s="1759">
        <f>IF(ISTEXT(IFERROR(VLOOKUP(F27,人物卡!BJ18:BR22,1,FALSE),IFERROR(VLOOKUP(F27,人物卡!BA18:BC22,1,FALSE),0))),"★",INDEX(本职技能!$A$2:$HX$76,MATCH(F27,本职技能!$A$2:$A$75,0),MATCH(人物卡!$M$5,本职技能!$A$1:$HX$1,0)))</f>
        <v>0</v>
      </c>
      <c r="E27" s="1759"/>
      <c r="F27" s="1735" t="s">
        <v>103</v>
      </c>
      <c r="G27" s="1778"/>
      <c r="H27" s="1779"/>
      <c r="I27" s="1735"/>
      <c r="J27" s="1764">
        <v>0</v>
      </c>
      <c r="K27" s="1764"/>
      <c r="L27" s="1735"/>
      <c r="M27" s="1735"/>
      <c r="N27" s="1735" t="s">
        <v>99</v>
      </c>
      <c r="O27" s="1735"/>
      <c r="P27" s="1735" t="s">
        <v>99</v>
      </c>
      <c r="Q27" s="1735"/>
      <c r="R27" s="1737">
        <f t="shared" si="7"/>
        <v>0</v>
      </c>
      <c r="S27" s="1737"/>
      <c r="T27" s="1764">
        <f t="shared" si="2"/>
        <v>0</v>
      </c>
      <c r="U27" s="1764"/>
      <c r="V27" s="1764">
        <f t="shared" si="3"/>
        <v>0</v>
      </c>
      <c r="W27" s="1765"/>
      <c r="X27" s="1766" t="s">
        <v>64</v>
      </c>
      <c r="Y27" s="1735"/>
      <c r="Z27" s="1759">
        <f>IF(ISTEXT(IFERROR(VLOOKUP(人物卡!AB27,人物卡!BJ18:BR22,1,FALSE),IFERROR(VLOOKUP(人物卡!AB27,人物卡!BA18:BC22,1,FALSE),0))),"★",INDEX(本职技能!$A$2:$HX$76,MATCH(人物卡!AB27,本职技能!$A$2:$A$75,0),MATCH(人物卡!$M$5,本职技能!$A$1:$HX$1,0)))</f>
        <v>0</v>
      </c>
      <c r="AA27" s="1759"/>
      <c r="AB27" s="1760" t="s">
        <v>104</v>
      </c>
      <c r="AC27" s="1761"/>
      <c r="AD27" s="1792"/>
      <c r="AE27" s="1793"/>
      <c r="AF27" s="1764">
        <f>IF(ISBLANK(AU32),1,IF(AD27=AU32,BA32,1))</f>
        <v>1</v>
      </c>
      <c r="AG27" s="1764"/>
      <c r="AH27" s="1735"/>
      <c r="AI27" s="1735"/>
      <c r="AJ27" s="1735"/>
      <c r="AK27" s="1735"/>
      <c r="AL27" s="1736"/>
      <c r="AM27" s="1736"/>
      <c r="AN27" s="1737">
        <f t="shared" si="4"/>
        <v>1</v>
      </c>
      <c r="AO27" s="1737"/>
      <c r="AP27" s="1737">
        <f t="shared" si="5"/>
        <v>0</v>
      </c>
      <c r="AQ27" s="1737"/>
      <c r="AR27" s="1737">
        <f t="shared" si="6"/>
        <v>0</v>
      </c>
      <c r="AS27" s="1738"/>
      <c r="AU27" s="1816" t="s">
        <v>105</v>
      </c>
      <c r="AV27" s="1817"/>
      <c r="AW27" s="1817"/>
      <c r="AX27" s="1817"/>
      <c r="AY27" s="1817"/>
      <c r="AZ27" s="1817"/>
      <c r="BA27" s="1818" t="s">
        <v>96</v>
      </c>
      <c r="BB27" s="1819"/>
      <c r="BC27" s="1830" t="s">
        <v>106</v>
      </c>
      <c r="BD27" s="1831"/>
      <c r="BE27" s="1831"/>
      <c r="BF27" s="1832"/>
      <c r="BG27" s="1833" t="s">
        <v>107</v>
      </c>
      <c r="BH27" s="1831"/>
      <c r="BI27" s="1831"/>
      <c r="BJ27" s="1834"/>
      <c r="BK27" s="1835" t="s">
        <v>108</v>
      </c>
      <c r="BL27" s="1836"/>
      <c r="BM27" s="1836"/>
      <c r="BN27" s="1836"/>
      <c r="BO27" s="1837" t="s">
        <v>109</v>
      </c>
      <c r="BP27" s="1836"/>
      <c r="BQ27" s="1836"/>
      <c r="BR27" s="1838"/>
    </row>
    <row r="28" spans="1:70" ht="18" customHeight="1">
      <c r="A28" s="427"/>
      <c r="B28" s="1739" t="s">
        <v>64</v>
      </c>
      <c r="C28" s="1740"/>
      <c r="D28" s="1741">
        <f>IF(ISTEXT(IFERROR(VLOOKUP(人物卡!F28,人物卡!BJ18:BR22,1,FALSE),IFERROR(VLOOKUP(人物卡!F28,人物卡!BA18:BC22,1,FALSE),0))),"★",INDEX(本职技能!$A$2:$HX$76,MATCH(人物卡!F28,本职技能!$A$2:$A$75,0),MATCH(人物卡!$M$5,本职技能!$A$1:$HX$1,0)))</f>
        <v>0</v>
      </c>
      <c r="E28" s="1741"/>
      <c r="F28" s="1747" t="s">
        <v>110</v>
      </c>
      <c r="G28" s="1780"/>
      <c r="H28" s="1781"/>
      <c r="I28" s="1747"/>
      <c r="J28" s="1746">
        <v>5</v>
      </c>
      <c r="K28" s="1746"/>
      <c r="L28" s="1747"/>
      <c r="M28" s="1747"/>
      <c r="N28" s="1747"/>
      <c r="O28" s="1747"/>
      <c r="P28" s="1747"/>
      <c r="Q28" s="1747"/>
      <c r="R28" s="1748">
        <f t="shared" si="7"/>
        <v>5</v>
      </c>
      <c r="S28" s="1748"/>
      <c r="T28" s="1746">
        <f t="shared" si="2"/>
        <v>2</v>
      </c>
      <c r="U28" s="1746"/>
      <c r="V28" s="1746">
        <f t="shared" si="3"/>
        <v>1</v>
      </c>
      <c r="W28" s="1749"/>
      <c r="X28" s="1750" t="s">
        <v>64</v>
      </c>
      <c r="Y28" s="1747"/>
      <c r="Z28" s="1741" t="str">
        <f>IF(ISTEXT(IFERROR(VLOOKUP(人物卡!AB28,人物卡!BJ18:BR22,1,FALSE),IFERROR(VLOOKUP(人物卡!AB28,人物卡!BA18:BC22,1,FALSE),0))),"★",INDEX(本职技能!$A$2:$HX$76,MATCH(人物卡!AB28,本职技能!$A$2:$A$75,0),MATCH(人物卡!$M$5,本职技能!$A$1:$HX$1,0)))</f>
        <v>★</v>
      </c>
      <c r="AA28" s="1741"/>
      <c r="AB28" s="1747" t="s">
        <v>77</v>
      </c>
      <c r="AC28" s="1747"/>
      <c r="AD28" s="1747"/>
      <c r="AE28" s="1747"/>
      <c r="AF28" s="1746">
        <v>1</v>
      </c>
      <c r="AG28" s="1746"/>
      <c r="AH28" s="1747"/>
      <c r="AI28" s="1747"/>
      <c r="AJ28" s="1747">
        <v>79</v>
      </c>
      <c r="AK28" s="1747"/>
      <c r="AL28" s="1755"/>
      <c r="AM28" s="1755"/>
      <c r="AN28" s="1748">
        <f t="shared" si="4"/>
        <v>80</v>
      </c>
      <c r="AO28" s="1748"/>
      <c r="AP28" s="1748">
        <f t="shared" si="5"/>
        <v>40</v>
      </c>
      <c r="AQ28" s="1748"/>
      <c r="AR28" s="1748">
        <f t="shared" si="6"/>
        <v>16</v>
      </c>
      <c r="AS28" s="1756"/>
      <c r="AU28" s="1807"/>
      <c r="AV28" s="1808"/>
      <c r="AW28" s="1808"/>
      <c r="AX28" s="1808"/>
      <c r="AY28" s="1808"/>
      <c r="AZ28" s="1808"/>
      <c r="BA28" s="1809"/>
      <c r="BB28" s="1810"/>
      <c r="BC28" s="1821"/>
      <c r="BD28" s="1822"/>
      <c r="BE28" s="1822"/>
      <c r="BF28" s="1823"/>
      <c r="BG28" s="1824"/>
      <c r="BH28" s="1825"/>
      <c r="BI28" s="1825"/>
      <c r="BJ28" s="1826"/>
      <c r="BK28" s="1476"/>
      <c r="BL28" s="1477"/>
      <c r="BM28" s="1477"/>
      <c r="BN28" s="1478"/>
      <c r="BO28" s="1477"/>
      <c r="BP28" s="1477"/>
      <c r="BQ28" s="1477"/>
      <c r="BR28" s="1485"/>
    </row>
    <row r="29" spans="1:70" ht="18" customHeight="1">
      <c r="A29" s="427"/>
      <c r="B29" s="1757" t="s">
        <v>64</v>
      </c>
      <c r="C29" s="1758"/>
      <c r="D29" s="1759">
        <f>IF(ISTEXT(IFERROR(VLOOKUP(人物卡!F29,人物卡!BJ18:BR22,1,FALSE),IFERROR(VLOOKUP(人物卡!F29,人物卡!BA18:BC22,1,FALSE),0))),"★",INDEX(本职技能!$A$2:$HX$76,MATCH(人物卡!F29,本职技能!$A$2:$A$75,0),MATCH(人物卡!$M$5,本职技能!$A$1:$HX$1,0)))</f>
        <v>0</v>
      </c>
      <c r="E29" s="1759"/>
      <c r="F29" s="1735" t="s">
        <v>111</v>
      </c>
      <c r="G29" s="1778"/>
      <c r="H29" s="1779"/>
      <c r="I29" s="1735"/>
      <c r="J29" s="1764">
        <f>INT(DEX/2)</f>
        <v>35</v>
      </c>
      <c r="K29" s="1764"/>
      <c r="L29" s="1735"/>
      <c r="M29" s="1735"/>
      <c r="N29" s="1735"/>
      <c r="O29" s="1735"/>
      <c r="P29" s="1735"/>
      <c r="Q29" s="1735"/>
      <c r="R29" s="1737">
        <f t="shared" si="7"/>
        <v>35</v>
      </c>
      <c r="S29" s="1737"/>
      <c r="T29" s="1764">
        <f t="shared" si="2"/>
        <v>17</v>
      </c>
      <c r="U29" s="1764"/>
      <c r="V29" s="1764">
        <f t="shared" si="3"/>
        <v>7</v>
      </c>
      <c r="W29" s="1765"/>
      <c r="X29" s="1766" t="s">
        <v>64</v>
      </c>
      <c r="Y29" s="1735"/>
      <c r="Z29" s="1759" t="str">
        <f>IF(ISTEXT(IFERROR(VLOOKUP(人物卡!AB29,人物卡!BJ18:BR22,1,FALSE),IFERROR(VLOOKUP(人物卡!AB29,人物卡!BA18:BC22,1,FALSE),0))),"★",INDEX(本职技能!$A$2:$HX$76,MATCH(人物卡!AB29,本职技能!$A$2:$A$75,0),MATCH(人物卡!$M$5,本职技能!$A$1:$HX$1,0)))</f>
        <v>★</v>
      </c>
      <c r="AA29" s="1759"/>
      <c r="AB29" s="1735" t="s">
        <v>112</v>
      </c>
      <c r="AC29" s="1735"/>
      <c r="AD29" s="1735"/>
      <c r="AE29" s="1735"/>
      <c r="AF29" s="1764">
        <v>10</v>
      </c>
      <c r="AG29" s="1764"/>
      <c r="AH29" s="1735"/>
      <c r="AI29" s="1735"/>
      <c r="AJ29" s="1735"/>
      <c r="AK29" s="1735"/>
      <c r="AL29" s="1736"/>
      <c r="AM29" s="1736"/>
      <c r="AN29" s="1737">
        <f t="shared" si="4"/>
        <v>10</v>
      </c>
      <c r="AO29" s="1737"/>
      <c r="AP29" s="1737">
        <f t="shared" si="5"/>
        <v>5</v>
      </c>
      <c r="AQ29" s="1737"/>
      <c r="AR29" s="1737">
        <f t="shared" si="6"/>
        <v>2</v>
      </c>
      <c r="AS29" s="1738"/>
      <c r="AU29" s="1816" t="s">
        <v>113</v>
      </c>
      <c r="AV29" s="1817"/>
      <c r="AW29" s="1817"/>
      <c r="AX29" s="1817"/>
      <c r="AY29" s="1817"/>
      <c r="AZ29" s="1817"/>
      <c r="BA29" s="1818" t="s">
        <v>96</v>
      </c>
      <c r="BB29" s="1819"/>
      <c r="BC29" s="1827" t="s">
        <v>114</v>
      </c>
      <c r="BD29" s="1828"/>
      <c r="BE29" s="1828"/>
      <c r="BF29" s="1828"/>
      <c r="BG29" s="1828"/>
      <c r="BH29" s="1828"/>
      <c r="BI29" s="1828"/>
      <c r="BJ29" s="1829"/>
      <c r="BK29" s="1479"/>
      <c r="BL29" s="1480"/>
      <c r="BM29" s="1480"/>
      <c r="BN29" s="1481"/>
      <c r="BO29" s="1480"/>
      <c r="BP29" s="1480"/>
      <c r="BQ29" s="1480"/>
      <c r="BR29" s="1486"/>
    </row>
    <row r="30" spans="1:70" ht="18" customHeight="1">
      <c r="A30" s="427"/>
      <c r="B30" s="1739" t="s">
        <v>64</v>
      </c>
      <c r="C30" s="1740"/>
      <c r="D30" s="1741">
        <f>IF(ISTEXT(IFERROR(VLOOKUP(人物卡!F30,人物卡!BJ18:BR22,1,FALSE),IFERROR(VLOOKUP(人物卡!F30,人物卡!BA18:BC22,1,FALSE),0))),"★",INDEX(本职技能!$A$2:$HX$76,MATCH(人物卡!F30,本职技能!$A$2:$A$75,0),MATCH(人物卡!$M$5,本职技能!$A$1:$HX$1,0)))</f>
        <v>0</v>
      </c>
      <c r="E30" s="1741"/>
      <c r="F30" s="1747" t="s">
        <v>115</v>
      </c>
      <c r="G30" s="1780"/>
      <c r="H30" s="1781"/>
      <c r="I30" s="1747"/>
      <c r="J30" s="1746">
        <v>20</v>
      </c>
      <c r="K30" s="1746"/>
      <c r="L30" s="1747"/>
      <c r="M30" s="1747"/>
      <c r="N30" s="1747"/>
      <c r="O30" s="1747"/>
      <c r="P30" s="1747"/>
      <c r="Q30" s="1747"/>
      <c r="R30" s="1748">
        <f t="shared" si="7"/>
        <v>20</v>
      </c>
      <c r="S30" s="1748"/>
      <c r="T30" s="1746">
        <f t="shared" si="2"/>
        <v>10</v>
      </c>
      <c r="U30" s="1746"/>
      <c r="V30" s="1746">
        <f t="shared" si="3"/>
        <v>4</v>
      </c>
      <c r="W30" s="1749"/>
      <c r="X30" s="1750" t="s">
        <v>64</v>
      </c>
      <c r="Y30" s="1747"/>
      <c r="Z30" s="1741">
        <f>IF(ISTEXT(IFERROR(VLOOKUP(人物卡!AB30,人物卡!BJ18:BR22,1,FALSE),IFERROR(VLOOKUP(人物卡!AB30,人物卡!BA18:BC22,1,FALSE),0))),"★",INDEX(本职技能!$A$2:$HX$76,MATCH(人物卡!AB30,本职技能!$A$2:$A$75,0),MATCH(人物卡!$M$5,本职技能!$A$1:$HX$1,0)))</f>
        <v>0</v>
      </c>
      <c r="AA30" s="1741"/>
      <c r="AB30" s="1747" t="s">
        <v>116</v>
      </c>
      <c r="AC30" s="1747"/>
      <c r="AD30" s="1747"/>
      <c r="AE30" s="1747"/>
      <c r="AF30" s="1746">
        <v>5</v>
      </c>
      <c r="AG30" s="1746"/>
      <c r="AH30" s="1747"/>
      <c r="AI30" s="1747"/>
      <c r="AJ30" s="1747"/>
      <c r="AK30" s="1747"/>
      <c r="AL30" s="1755"/>
      <c r="AM30" s="1755"/>
      <c r="AN30" s="1748">
        <f t="shared" si="4"/>
        <v>5</v>
      </c>
      <c r="AO30" s="1748"/>
      <c r="AP30" s="1748">
        <f t="shared" si="5"/>
        <v>2</v>
      </c>
      <c r="AQ30" s="1748"/>
      <c r="AR30" s="1748">
        <f t="shared" si="6"/>
        <v>1</v>
      </c>
      <c r="AS30" s="1756"/>
      <c r="AU30" s="1807"/>
      <c r="AV30" s="1808"/>
      <c r="AW30" s="1808"/>
      <c r="AX30" s="1808"/>
      <c r="AY30" s="1808"/>
      <c r="AZ30" s="1808"/>
      <c r="BA30" s="1809"/>
      <c r="BB30" s="1810"/>
      <c r="BC30" s="1479"/>
      <c r="BD30" s="1480"/>
      <c r="BE30" s="1480"/>
      <c r="BF30" s="1480"/>
      <c r="BG30" s="1480"/>
      <c r="BH30" s="1480"/>
      <c r="BI30" s="1480"/>
      <c r="BJ30" s="1486"/>
      <c r="BK30" s="1479"/>
      <c r="BL30" s="1480"/>
      <c r="BM30" s="1480"/>
      <c r="BN30" s="1481"/>
      <c r="BO30" s="1480"/>
      <c r="BP30" s="1480"/>
      <c r="BQ30" s="1480"/>
      <c r="BR30" s="1486"/>
    </row>
    <row r="31" spans="1:70" ht="18" customHeight="1">
      <c r="A31" s="427"/>
      <c r="B31" s="1757" t="s">
        <v>64</v>
      </c>
      <c r="C31" s="1758"/>
      <c r="D31" s="1759">
        <f>IF(ISTEXT(IFERROR(VLOOKUP(人物卡!F31,人物卡!BJ18:BR22,1,FALSE),IFERROR(VLOOKUP(人物卡!F31,人物卡!BA18:BC22,1,FALSE),0))),"★",INDEX(本职技能!$A$2:$HX$76,MATCH(人物卡!F31,本职技能!$A$2:$A$75,0),MATCH(人物卡!$M$5,本职技能!$A$1:$HX$1,0)))</f>
        <v>0</v>
      </c>
      <c r="E31" s="1759"/>
      <c r="F31" s="1735" t="s">
        <v>117</v>
      </c>
      <c r="G31" s="1778"/>
      <c r="H31" s="1779"/>
      <c r="I31" s="1735"/>
      <c r="J31" s="1764">
        <v>10</v>
      </c>
      <c r="K31" s="1764"/>
      <c r="L31" s="1735"/>
      <c r="M31" s="1735"/>
      <c r="N31" s="1735"/>
      <c r="O31" s="1735"/>
      <c r="P31" s="1820"/>
      <c r="Q31" s="1820"/>
      <c r="R31" s="1737">
        <f t="shared" si="7"/>
        <v>10</v>
      </c>
      <c r="S31" s="1737"/>
      <c r="T31" s="1764">
        <f t="shared" si="2"/>
        <v>5</v>
      </c>
      <c r="U31" s="1764"/>
      <c r="V31" s="1764">
        <f t="shared" si="3"/>
        <v>2</v>
      </c>
      <c r="W31" s="1765"/>
      <c r="X31" s="1766" t="s">
        <v>64</v>
      </c>
      <c r="Y31" s="1735"/>
      <c r="Z31" s="1759">
        <f>IF(ISTEXT(IFERROR(VLOOKUP(人物卡!AB31,人物卡!BJ18:BR22,1,FALSE),IFERROR(VLOOKUP(人物卡!AB31,人物卡!BA18:BC22,1,FALSE),0))),"★",INDEX(本职技能!$A$2:$HX$76,MATCH(人物卡!AB31,本职技能!$A$2:$A$75,0),MATCH(人物卡!$M$5,本职技能!$A$1:$HX$1,0)))</f>
        <v>0</v>
      </c>
      <c r="AA31" s="1759"/>
      <c r="AB31" s="1760" t="s">
        <v>118</v>
      </c>
      <c r="AC31" s="1761"/>
      <c r="AD31" s="1792"/>
      <c r="AE31" s="1793"/>
      <c r="AF31" s="1764">
        <f>IF(ISBLANK(AU34),IF(AD31="数学",10,1),IF(AD31=AU34,BA34,1))</f>
        <v>1</v>
      </c>
      <c r="AG31" s="1764"/>
      <c r="AH31" s="1735"/>
      <c r="AI31" s="1735"/>
      <c r="AJ31" s="1735"/>
      <c r="AK31" s="1735"/>
      <c r="AL31" s="1736"/>
      <c r="AM31" s="1736"/>
      <c r="AN31" s="1737">
        <f>AF31+AH31+AL31+AJ31</f>
        <v>1</v>
      </c>
      <c r="AO31" s="1737"/>
      <c r="AP31" s="1737">
        <f t="shared" si="5"/>
        <v>0</v>
      </c>
      <c r="AQ31" s="1737"/>
      <c r="AR31" s="1737">
        <f t="shared" si="6"/>
        <v>0</v>
      </c>
      <c r="AS31" s="1738"/>
      <c r="AU31" s="1816" t="s">
        <v>119</v>
      </c>
      <c r="AV31" s="1817"/>
      <c r="AW31" s="1817"/>
      <c r="AX31" s="1817"/>
      <c r="AY31" s="1817"/>
      <c r="AZ31" s="1817"/>
      <c r="BA31" s="1818" t="s">
        <v>96</v>
      </c>
      <c r="BB31" s="1819"/>
      <c r="BC31" s="1479"/>
      <c r="BD31" s="1480"/>
      <c r="BE31" s="1480"/>
      <c r="BF31" s="1480"/>
      <c r="BG31" s="1480"/>
      <c r="BH31" s="1480"/>
      <c r="BI31" s="1480"/>
      <c r="BJ31" s="1486"/>
      <c r="BK31" s="1479"/>
      <c r="BL31" s="1480"/>
      <c r="BM31" s="1480"/>
      <c r="BN31" s="1481"/>
      <c r="BO31" s="1480"/>
      <c r="BP31" s="1480"/>
      <c r="BQ31" s="1480"/>
      <c r="BR31" s="1486"/>
    </row>
    <row r="32" spans="1:70" ht="18" customHeight="1">
      <c r="A32" s="427"/>
      <c r="B32" s="1739" t="s">
        <v>64</v>
      </c>
      <c r="C32" s="1740"/>
      <c r="D32" s="1741">
        <f>IF(ISTEXT(IFERROR(VLOOKUP(人物卡!F32,人物卡!BJ18:BR22,1,FALSE),IFERROR(VLOOKUP(人物卡!F32,人物卡!BA18:BC22,1,FALSE),0))),"★",INDEX(本职技能!$A$2:$HX$76,MATCH(人物卡!F32,本职技能!$A$2:$A$75,0),MATCH(人物卡!$M$5,本职技能!$A$1:$HX$1,0)))</f>
        <v>0</v>
      </c>
      <c r="E32" s="1741"/>
      <c r="F32" s="1747" t="s">
        <v>120</v>
      </c>
      <c r="G32" s="1780"/>
      <c r="H32" s="1781"/>
      <c r="I32" s="1747"/>
      <c r="J32" s="1746">
        <v>1</v>
      </c>
      <c r="K32" s="1746"/>
      <c r="L32" s="1747"/>
      <c r="M32" s="1747"/>
      <c r="N32" s="1747"/>
      <c r="O32" s="1747"/>
      <c r="P32" s="1747"/>
      <c r="Q32" s="1747"/>
      <c r="R32" s="1748">
        <f t="shared" si="7"/>
        <v>1</v>
      </c>
      <c r="S32" s="1748"/>
      <c r="T32" s="1746">
        <f t="shared" si="2"/>
        <v>0</v>
      </c>
      <c r="U32" s="1746"/>
      <c r="V32" s="1746">
        <f t="shared" si="3"/>
        <v>0</v>
      </c>
      <c r="W32" s="1749"/>
      <c r="X32" s="1750" t="s">
        <v>64</v>
      </c>
      <c r="Y32" s="1747"/>
      <c r="Z32" s="1741">
        <f>IF(ISTEXT(IFERROR(VLOOKUP(人物卡!AB32,人物卡!BJ18:BR22,1,FALSE),IFERROR(VLOOKUP(人物卡!AB32,人物卡!BA18:BC22,1,FALSE),0))),"★",INDEX(本职技能!$A$2:$HX$76,MATCH(人物卡!AB32,本职技能!$A$2:$A$75,0),MATCH(人物卡!$M$5,本职技能!$A$1:$HX$1,0)))</f>
        <v>0</v>
      </c>
      <c r="AA32" s="1741"/>
      <c r="AB32" s="1798" t="s">
        <v>121</v>
      </c>
      <c r="AC32" s="1799"/>
      <c r="AD32" s="1814"/>
      <c r="AE32" s="1815"/>
      <c r="AF32" s="1746">
        <f>IF(ISBLANK(AU34),IF(AD32="数学",10,1),IF(AD32=AU34,BA34,1))</f>
        <v>1</v>
      </c>
      <c r="AG32" s="1746"/>
      <c r="AH32" s="1747"/>
      <c r="AI32" s="1747"/>
      <c r="AJ32" s="1747"/>
      <c r="AK32" s="1747"/>
      <c r="AL32" s="1755"/>
      <c r="AM32" s="1755"/>
      <c r="AN32" s="1748">
        <f>AL32+AJ32+AF32+AH32</f>
        <v>1</v>
      </c>
      <c r="AO32" s="1748"/>
      <c r="AP32" s="1748">
        <f t="shared" si="5"/>
        <v>0</v>
      </c>
      <c r="AQ32" s="1748"/>
      <c r="AR32" s="1748">
        <f t="shared" si="6"/>
        <v>0</v>
      </c>
      <c r="AS32" s="1756"/>
      <c r="AU32" s="1807"/>
      <c r="AV32" s="1808"/>
      <c r="AW32" s="1808"/>
      <c r="AX32" s="1808"/>
      <c r="AY32" s="1808"/>
      <c r="AZ32" s="1808"/>
      <c r="BA32" s="1809"/>
      <c r="BB32" s="1810"/>
      <c r="BC32" s="1479"/>
      <c r="BD32" s="1480"/>
      <c r="BE32" s="1480"/>
      <c r="BF32" s="1480"/>
      <c r="BG32" s="1480"/>
      <c r="BH32" s="1480"/>
      <c r="BI32" s="1480"/>
      <c r="BJ32" s="1486"/>
      <c r="BK32" s="1479"/>
      <c r="BL32" s="1480"/>
      <c r="BM32" s="1480"/>
      <c r="BN32" s="1481"/>
      <c r="BO32" s="1480"/>
      <c r="BP32" s="1480"/>
      <c r="BQ32" s="1480"/>
      <c r="BR32" s="1486"/>
    </row>
    <row r="33" spans="1:70" ht="18" customHeight="1">
      <c r="A33" s="1258"/>
      <c r="B33" s="1757" t="s">
        <v>64</v>
      </c>
      <c r="C33" s="1758"/>
      <c r="D33" s="1759" t="str">
        <f>IF(ISTEXT(IFERROR(VLOOKUP(人物卡!F33,人物卡!BJ18:BR22,1,FALSE),IFERROR(VLOOKUP(人物卡!F33,人物卡!BA18:BC22,1,FALSE),0))),"★",INDEX(本职技能!$A$2:$HX$76,MATCH(人物卡!F33,本职技能!$A$2:$A$75,0),MATCH(人物卡!$M$5,本职技能!$A$1:$HX$1,0)))</f>
        <v>☯</v>
      </c>
      <c r="E33" s="1759"/>
      <c r="F33" s="1735" t="s">
        <v>122</v>
      </c>
      <c r="G33" s="1778"/>
      <c r="H33" s="1779"/>
      <c r="I33" s="1735"/>
      <c r="J33" s="1764">
        <v>5</v>
      </c>
      <c r="K33" s="1764"/>
      <c r="L33" s="1735"/>
      <c r="M33" s="1735"/>
      <c r="N33" s="1735"/>
      <c r="O33" s="1735"/>
      <c r="P33" s="1735"/>
      <c r="Q33" s="1735"/>
      <c r="R33" s="1737">
        <f t="shared" si="7"/>
        <v>5</v>
      </c>
      <c r="S33" s="1737"/>
      <c r="T33" s="1764">
        <f t="shared" si="2"/>
        <v>2</v>
      </c>
      <c r="U33" s="1764"/>
      <c r="V33" s="1764">
        <f t="shared" si="3"/>
        <v>1</v>
      </c>
      <c r="W33" s="1765"/>
      <c r="X33" s="1766" t="s">
        <v>64</v>
      </c>
      <c r="Y33" s="1735"/>
      <c r="Z33" s="1759">
        <f>IF(ISTEXT(IFERROR(VLOOKUP(人物卡!AB33,人物卡!BJ18:BR22,1,FALSE),IFERROR(VLOOKUP(人物卡!AB33,人物卡!BA18:BC22,1,FALSE),0))),"★",INDEX(本职技能!$A$2:$HX$76,MATCH(人物卡!AB33,本职技能!$A$2:$A$75,0),MATCH(人物卡!$M$5,本职技能!$A$1:$HX$1,0)))</f>
        <v>0</v>
      </c>
      <c r="AA33" s="1759"/>
      <c r="AB33" s="1760" t="s">
        <v>123</v>
      </c>
      <c r="AC33" s="1761"/>
      <c r="AD33" s="1792"/>
      <c r="AE33" s="1793"/>
      <c r="AF33" s="1764">
        <f>IF(ISBLANK(AU34),IF(AD33="数学",10,1),IF(AD33=AU34,BA34,1))</f>
        <v>1</v>
      </c>
      <c r="AG33" s="1764"/>
      <c r="AH33" s="1735"/>
      <c r="AI33" s="1735"/>
      <c r="AJ33" s="1735"/>
      <c r="AK33" s="1735"/>
      <c r="AL33" s="1736"/>
      <c r="AM33" s="1736"/>
      <c r="AN33" s="1737">
        <f>AF33+AH33+AJ33+AL33</f>
        <v>1</v>
      </c>
      <c r="AO33" s="1737"/>
      <c r="AP33" s="1737">
        <f t="shared" si="5"/>
        <v>0</v>
      </c>
      <c r="AQ33" s="1737"/>
      <c r="AR33" s="1737">
        <f t="shared" si="6"/>
        <v>0</v>
      </c>
      <c r="AS33" s="1738"/>
      <c r="AU33" s="1816" t="s">
        <v>124</v>
      </c>
      <c r="AV33" s="1817"/>
      <c r="AW33" s="1817"/>
      <c r="AX33" s="1817"/>
      <c r="AY33" s="1817"/>
      <c r="AZ33" s="1817"/>
      <c r="BA33" s="1818" t="s">
        <v>96</v>
      </c>
      <c r="BB33" s="1819"/>
      <c r="BC33" s="1479"/>
      <c r="BD33" s="1480"/>
      <c r="BE33" s="1480"/>
      <c r="BF33" s="1480"/>
      <c r="BG33" s="1480"/>
      <c r="BH33" s="1480"/>
      <c r="BI33" s="1480"/>
      <c r="BJ33" s="1486"/>
      <c r="BK33" s="1479"/>
      <c r="BL33" s="1480"/>
      <c r="BM33" s="1480"/>
      <c r="BN33" s="1481"/>
      <c r="BO33" s="1480"/>
      <c r="BP33" s="1480"/>
      <c r="BQ33" s="1480"/>
      <c r="BR33" s="1486"/>
    </row>
    <row r="34" spans="1:70" ht="18" customHeight="1">
      <c r="A34" s="1258"/>
      <c r="B34" s="1739" t="s">
        <v>64</v>
      </c>
      <c r="C34" s="1740"/>
      <c r="D34" s="1741">
        <f>IF(ISTEXT(IFERROR(VLOOKUP(人物卡!F34,人物卡!BJ18:BR22,1,FALSE),IFERROR(VLOOKUP(人物卡!F34,人物卡!BA18:BC22,1,FALSE),0))),"★",INDEX(本职技能!$A$2:$HX$76,MATCH(人物卡!F34,本职技能!$A$2:$A$75,0),MATCH(人物卡!$M$5,本职技能!$A$1:$HX$1,0)))</f>
        <v>0</v>
      </c>
      <c r="E34" s="1741"/>
      <c r="F34" s="1798" t="s">
        <v>125</v>
      </c>
      <c r="G34" s="1799"/>
      <c r="H34" s="1787" t="s">
        <v>126</v>
      </c>
      <c r="I34" s="1788"/>
      <c r="J34" s="1746">
        <v>25</v>
      </c>
      <c r="K34" s="1746"/>
      <c r="L34" s="1747"/>
      <c r="M34" s="1747"/>
      <c r="N34" s="1747"/>
      <c r="O34" s="1747"/>
      <c r="P34" s="1747"/>
      <c r="Q34" s="1747"/>
      <c r="R34" s="1748">
        <f t="shared" si="7"/>
        <v>25</v>
      </c>
      <c r="S34" s="1748"/>
      <c r="T34" s="1746">
        <f t="shared" si="2"/>
        <v>12</v>
      </c>
      <c r="U34" s="1746"/>
      <c r="V34" s="1746">
        <f t="shared" si="3"/>
        <v>5</v>
      </c>
      <c r="W34" s="1749"/>
      <c r="X34" s="1750" t="s">
        <v>64</v>
      </c>
      <c r="Y34" s="1747"/>
      <c r="Z34" s="1741" t="str">
        <f>IF(ISTEXT(IFERROR(VLOOKUP(人物卡!AB34,人物卡!BJ18:BR22,1,FALSE),IFERROR(VLOOKUP(人物卡!AB34,人物卡!BA18:BC22,1,FALSE),0))),"★",INDEX(本职技能!$A$2:$HX$76,MATCH(人物卡!AB34,本职技能!$A$2:$A$75,0),MATCH(人物卡!$M$5,本职技能!$A$1:$HX$1,0)))</f>
        <v>★</v>
      </c>
      <c r="AA34" s="1741"/>
      <c r="AB34" s="1747" t="s">
        <v>80</v>
      </c>
      <c r="AC34" s="1747"/>
      <c r="AD34" s="1747"/>
      <c r="AE34" s="1747"/>
      <c r="AF34" s="1746">
        <v>10</v>
      </c>
      <c r="AG34" s="1746"/>
      <c r="AH34" s="1747"/>
      <c r="AI34" s="1747"/>
      <c r="AJ34" s="1747">
        <v>70</v>
      </c>
      <c r="AK34" s="1747"/>
      <c r="AL34" s="1755"/>
      <c r="AM34" s="1755"/>
      <c r="AN34" s="1748">
        <f t="shared" ref="AN34:AN49" si="8">SUM(AF34:AL34)</f>
        <v>80</v>
      </c>
      <c r="AO34" s="1748"/>
      <c r="AP34" s="1748">
        <f t="shared" si="5"/>
        <v>40</v>
      </c>
      <c r="AQ34" s="1748"/>
      <c r="AR34" s="1748">
        <f t="shared" si="6"/>
        <v>16</v>
      </c>
      <c r="AS34" s="1756"/>
      <c r="AU34" s="1807"/>
      <c r="AV34" s="1808"/>
      <c r="AW34" s="1808"/>
      <c r="AX34" s="1808"/>
      <c r="AY34" s="1808"/>
      <c r="AZ34" s="1808"/>
      <c r="BA34" s="1809"/>
      <c r="BB34" s="1810"/>
      <c r="BC34" s="1479"/>
      <c r="BD34" s="1480"/>
      <c r="BE34" s="1480"/>
      <c r="BF34" s="1480"/>
      <c r="BG34" s="1480"/>
      <c r="BH34" s="1480"/>
      <c r="BI34" s="1480"/>
      <c r="BJ34" s="1486"/>
      <c r="BK34" s="1482"/>
      <c r="BL34" s="1483"/>
      <c r="BM34" s="1483"/>
      <c r="BN34" s="1484"/>
      <c r="BO34" s="1483"/>
      <c r="BP34" s="1483"/>
      <c r="BQ34" s="1483"/>
      <c r="BR34" s="1487"/>
    </row>
    <row r="35" spans="1:70" ht="18" customHeight="1">
      <c r="A35" s="1258"/>
      <c r="B35" s="1757" t="s">
        <v>64</v>
      </c>
      <c r="C35" s="1758"/>
      <c r="D35" s="1759">
        <f>IF(ISTEXT(IFERROR(VLOOKUP(人物卡!F35,人物卡!BJ18:BR22,1,FALSE),IFERROR(VLOOKUP(人物卡!F35,人物卡!BA18:BC22,1,FALSE),0))),"★",INDEX(本职技能!$A$2:$HX$76,MATCH(人物卡!F35,本职技能!$A$2:$A$75,0),MATCH(人物卡!$M$5,本职技能!$A$1:$HX$1,0)))</f>
        <v>0</v>
      </c>
      <c r="E35" s="1759"/>
      <c r="F35" s="1760" t="s">
        <v>127</v>
      </c>
      <c r="G35" s="1761"/>
      <c r="H35" s="1762"/>
      <c r="I35" s="1763"/>
      <c r="J35" s="1764">
        <f>附表!C11</f>
        <v>0</v>
      </c>
      <c r="K35" s="1764"/>
      <c r="L35" s="1735"/>
      <c r="M35" s="1735"/>
      <c r="N35" s="1735"/>
      <c r="O35" s="1735"/>
      <c r="P35" s="1735"/>
      <c r="Q35" s="1735"/>
      <c r="R35" s="1737">
        <f>J35+L35+N35+P35</f>
        <v>0</v>
      </c>
      <c r="S35" s="1737"/>
      <c r="T35" s="1764">
        <f t="shared" si="2"/>
        <v>0</v>
      </c>
      <c r="U35" s="1764"/>
      <c r="V35" s="1764">
        <f t="shared" si="3"/>
        <v>0</v>
      </c>
      <c r="W35" s="1765"/>
      <c r="X35" s="1766" t="s">
        <v>64</v>
      </c>
      <c r="Y35" s="1735"/>
      <c r="Z35" s="1759">
        <f>IF(ISTEXT(IFERROR(VLOOKUP(人物卡!AB35,人物卡!BJ18:BR22,1,FALSE),IFERROR(VLOOKUP(人物卡!AB35,人物卡!BA18:BC22,1,FALSE),0))),"★",INDEX(本职技能!$A$2:$HX$76,MATCH(人物卡!AB35,本职技能!$A$2:$A$75,0),MATCH(人物卡!$M$5,本职技能!$A$1:$HX$1,0)))</f>
        <v>0</v>
      </c>
      <c r="AA35" s="1759"/>
      <c r="AB35" s="1735" t="s">
        <v>128</v>
      </c>
      <c r="AC35" s="1735"/>
      <c r="AD35" s="1735"/>
      <c r="AE35" s="1735"/>
      <c r="AF35" s="1764">
        <v>25</v>
      </c>
      <c r="AG35" s="1764"/>
      <c r="AH35" s="1735"/>
      <c r="AI35" s="1735"/>
      <c r="AJ35" s="1735">
        <v>35</v>
      </c>
      <c r="AK35" s="1735"/>
      <c r="AL35" s="1736"/>
      <c r="AM35" s="1736"/>
      <c r="AN35" s="1737">
        <f t="shared" si="8"/>
        <v>60</v>
      </c>
      <c r="AO35" s="1737"/>
      <c r="AP35" s="1737">
        <f t="shared" si="5"/>
        <v>30</v>
      </c>
      <c r="AQ35" s="1737"/>
      <c r="AR35" s="1737">
        <f t="shared" si="6"/>
        <v>12</v>
      </c>
      <c r="AS35" s="1738"/>
      <c r="AU35" s="1811" t="s">
        <v>129</v>
      </c>
      <c r="AV35" s="1812"/>
      <c r="AW35" s="1812"/>
      <c r="AX35" s="1812"/>
      <c r="AY35" s="1812"/>
      <c r="AZ35" s="1812"/>
      <c r="BA35" s="1812"/>
      <c r="BB35" s="1813"/>
      <c r="BC35" s="1479"/>
      <c r="BD35" s="1480"/>
      <c r="BE35" s="1480"/>
      <c r="BF35" s="1480"/>
      <c r="BG35" s="1480"/>
      <c r="BH35" s="1480"/>
      <c r="BI35" s="1480"/>
      <c r="BJ35" s="1486"/>
      <c r="BK35" s="1795" t="s">
        <v>130</v>
      </c>
      <c r="BL35" s="1796"/>
      <c r="BM35" s="1796"/>
      <c r="BN35" s="1796"/>
      <c r="BO35" s="1796"/>
      <c r="BP35" s="1796"/>
      <c r="BQ35" s="1796"/>
      <c r="BR35" s="1797"/>
    </row>
    <row r="36" spans="1:70" ht="18" customHeight="1">
      <c r="A36" s="1258"/>
      <c r="B36" s="1739" t="s">
        <v>64</v>
      </c>
      <c r="C36" s="1740"/>
      <c r="D36" s="1741">
        <f>IF(ISTEXT(IFERROR(VLOOKUP(F36,人物卡!BJ18:BR22,1,FALSE),IFERROR(VLOOKUP(F36,人物卡!BA18:BC22,1,FALSE),0))),"★",INDEX(本职技能!$A$2:$HX$76,MATCH(F36,本职技能!$A$2:$A$75,0),MATCH(人物卡!$M$5,本职技能!$A$1:$HX$1,0)))</f>
        <v>0</v>
      </c>
      <c r="E36" s="1741"/>
      <c r="F36" s="1798" t="s">
        <v>131</v>
      </c>
      <c r="G36" s="1799"/>
      <c r="H36" s="1787"/>
      <c r="I36" s="1788"/>
      <c r="J36" s="1746">
        <f>附表!C12</f>
        <v>0</v>
      </c>
      <c r="K36" s="1746"/>
      <c r="L36" s="1747"/>
      <c r="M36" s="1747"/>
      <c r="N36" s="1747"/>
      <c r="O36" s="1747"/>
      <c r="P36" s="1747"/>
      <c r="Q36" s="1747"/>
      <c r="R36" s="1748">
        <f>J36+L36+P36+N36</f>
        <v>0</v>
      </c>
      <c r="S36" s="1748"/>
      <c r="T36" s="1746">
        <f t="shared" si="2"/>
        <v>0</v>
      </c>
      <c r="U36" s="1746"/>
      <c r="V36" s="1746">
        <f t="shared" si="3"/>
        <v>0</v>
      </c>
      <c r="W36" s="1749"/>
      <c r="X36" s="1750" t="s">
        <v>64</v>
      </c>
      <c r="Y36" s="1747"/>
      <c r="Z36" s="1741">
        <f>IF(ISTEXT(IFERROR(VLOOKUP(人物卡!AB36,人物卡!BJ18:BR22,1,FALSE),IFERROR(VLOOKUP(人物卡!AB36,人物卡!BA18:BC22,1,FALSE),0))),"★",INDEX(本职技能!$A$2:$HX$76,MATCH(人物卡!AB36,本职技能!$A$2:$A$75,0),MATCH(人物卡!$M$5,本职技能!$A$1:$HX$1,0)))</f>
        <v>0</v>
      </c>
      <c r="AA36" s="1741"/>
      <c r="AB36" s="1747" t="s">
        <v>132</v>
      </c>
      <c r="AC36" s="1747"/>
      <c r="AD36" s="1747"/>
      <c r="AE36" s="1747"/>
      <c r="AF36" s="1746">
        <v>20</v>
      </c>
      <c r="AG36" s="1746"/>
      <c r="AH36" s="1747"/>
      <c r="AI36" s="1747"/>
      <c r="AJ36" s="1747"/>
      <c r="AK36" s="1747"/>
      <c r="AL36" s="1755"/>
      <c r="AM36" s="1755"/>
      <c r="AN36" s="1748">
        <f t="shared" si="8"/>
        <v>20</v>
      </c>
      <c r="AO36" s="1748"/>
      <c r="AP36" s="1748">
        <f t="shared" si="5"/>
        <v>10</v>
      </c>
      <c r="AQ36" s="1748"/>
      <c r="AR36" s="1748">
        <f t="shared" si="6"/>
        <v>4</v>
      </c>
      <c r="AS36" s="1756"/>
      <c r="AU36" s="1800" t="s">
        <v>133</v>
      </c>
      <c r="AV36" s="1801"/>
      <c r="AW36" s="1801"/>
      <c r="AX36" s="1801"/>
      <c r="AY36" s="1801"/>
      <c r="AZ36" s="1801"/>
      <c r="BA36" s="1801"/>
      <c r="BB36" s="1802"/>
      <c r="BC36" s="1479"/>
      <c r="BD36" s="1480"/>
      <c r="BE36" s="1480"/>
      <c r="BF36" s="1480"/>
      <c r="BG36" s="1480"/>
      <c r="BH36" s="1480"/>
      <c r="BI36" s="1480"/>
      <c r="BJ36" s="1486"/>
      <c r="BK36" s="1803" t="s">
        <v>134</v>
      </c>
      <c r="BL36" s="1804"/>
      <c r="BM36" s="1804"/>
      <c r="BN36" s="1804"/>
      <c r="BO36" s="1805" t="s">
        <v>135</v>
      </c>
      <c r="BP36" s="1804"/>
      <c r="BQ36" s="1804"/>
      <c r="BR36" s="1806"/>
    </row>
    <row r="37" spans="1:70" ht="18" customHeight="1">
      <c r="A37" s="1258"/>
      <c r="B37" s="1757" t="s">
        <v>64</v>
      </c>
      <c r="C37" s="1758"/>
      <c r="D37" s="1759">
        <f>IF(ISTEXT(IFERROR(VLOOKUP(F37,人物卡!BJ18:BR22,1,FALSE),IFERROR(VLOOKUP(F37,人物卡!BA18:BC22,1,FALSE),0))),"★",INDEX(本职技能!$A$2:$HX$76,MATCH(F37,本职技能!$A$2:$A$75,0),MATCH(人物卡!$M$5,本职技能!$A$1:$HX$1,0)))</f>
        <v>0</v>
      </c>
      <c r="E37" s="1759"/>
      <c r="F37" s="1760" t="s">
        <v>136</v>
      </c>
      <c r="G37" s="1761"/>
      <c r="H37" s="1762"/>
      <c r="I37" s="1763"/>
      <c r="J37" s="1764">
        <f>附表!C13</f>
        <v>0</v>
      </c>
      <c r="K37" s="1764"/>
      <c r="L37" s="1735"/>
      <c r="M37" s="1735"/>
      <c r="N37" s="1735"/>
      <c r="O37" s="1735"/>
      <c r="P37" s="1735"/>
      <c r="Q37" s="1735"/>
      <c r="R37" s="1737">
        <f>P37+N37+L37+J37</f>
        <v>0</v>
      </c>
      <c r="S37" s="1737"/>
      <c r="T37" s="1764">
        <f t="shared" si="2"/>
        <v>0</v>
      </c>
      <c r="U37" s="1764"/>
      <c r="V37" s="1764">
        <f t="shared" si="3"/>
        <v>0</v>
      </c>
      <c r="W37" s="1765"/>
      <c r="X37" s="1766" t="s">
        <v>64</v>
      </c>
      <c r="Y37" s="1735"/>
      <c r="Z37" s="1759">
        <f>IF(ISTEXT(IFERROR(VLOOKUP(人物卡!AB37,人物卡!BJ18:BR22,1,FALSE),IFERROR(VLOOKUP(人物卡!AB37,人物卡!BA18:BC22,1,FALSE),0))),"★",INDEX(本职技能!$A$2:$HX$76,MATCH(人物卡!AB37,本职技能!$A$2:$A$75,0),MATCH(人物卡!$M$5,本职技能!$A$1:$HX$1,0)))</f>
        <v>0</v>
      </c>
      <c r="AA37" s="1759"/>
      <c r="AB37" s="1760" t="s">
        <v>137</v>
      </c>
      <c r="AC37" s="1761"/>
      <c r="AD37" s="1792"/>
      <c r="AE37" s="1793"/>
      <c r="AF37" s="1764">
        <v>10</v>
      </c>
      <c r="AG37" s="1764"/>
      <c r="AH37" s="1735"/>
      <c r="AI37" s="1735"/>
      <c r="AJ37" s="1735"/>
      <c r="AK37" s="1735"/>
      <c r="AL37" s="1736"/>
      <c r="AM37" s="1736"/>
      <c r="AN37" s="1737">
        <f t="shared" si="8"/>
        <v>10</v>
      </c>
      <c r="AO37" s="1737"/>
      <c r="AP37" s="1737">
        <f t="shared" si="5"/>
        <v>5</v>
      </c>
      <c r="AQ37" s="1737"/>
      <c r="AR37" s="1737">
        <f t="shared" si="6"/>
        <v>2</v>
      </c>
      <c r="AS37" s="1738"/>
      <c r="AT37" s="1264"/>
      <c r="AU37" s="1789"/>
      <c r="AV37" s="1790"/>
      <c r="AW37" s="1790"/>
      <c r="AX37" s="1790"/>
      <c r="AY37" s="1790"/>
      <c r="AZ37" s="1790"/>
      <c r="BA37" s="1790"/>
      <c r="BB37" s="1791"/>
      <c r="BC37" s="1482"/>
      <c r="BD37" s="1483"/>
      <c r="BE37" s="1483"/>
      <c r="BF37" s="1483"/>
      <c r="BG37" s="1483"/>
      <c r="BH37" s="1483"/>
      <c r="BI37" s="1483"/>
      <c r="BJ37" s="1487"/>
      <c r="BK37" s="1789"/>
      <c r="BL37" s="1790"/>
      <c r="BM37" s="1790"/>
      <c r="BN37" s="1790"/>
      <c r="BO37" s="1794"/>
      <c r="BP37" s="1790"/>
      <c r="BQ37" s="1790"/>
      <c r="BR37" s="1791"/>
    </row>
    <row r="38" spans="1:70" ht="18" customHeight="1">
      <c r="A38" s="1258"/>
      <c r="B38" s="1739" t="s">
        <v>64</v>
      </c>
      <c r="C38" s="1740"/>
      <c r="D38" s="1741">
        <f>IF(ISTEXT(IFERROR(VLOOKUP(人物卡!F38,人物卡!BJ18:BR22,1,FALSE),IFERROR(VLOOKUP(人物卡!F38,人物卡!BA18:BC22,1,FALSE),0))),"★",INDEX(本职技能!$A$2:$HX$76,MATCH(人物卡!F38,本职技能!$A$2:$A$75,0),MATCH(人物卡!$M$5,本职技能!$A$1:$HX$1,0)))</f>
        <v>0</v>
      </c>
      <c r="E38" s="1741"/>
      <c r="F38" s="1742" t="s">
        <v>138</v>
      </c>
      <c r="G38" s="1743"/>
      <c r="H38" s="1744" t="s">
        <v>139</v>
      </c>
      <c r="I38" s="1745"/>
      <c r="J38" s="1746">
        <v>20</v>
      </c>
      <c r="K38" s="1746"/>
      <c r="L38" s="1747"/>
      <c r="M38" s="1747"/>
      <c r="N38" s="1747"/>
      <c r="O38" s="1747"/>
      <c r="P38" s="1747"/>
      <c r="Q38" s="1747"/>
      <c r="R38" s="1748">
        <f>SUM(J38:P38)</f>
        <v>20</v>
      </c>
      <c r="S38" s="1748"/>
      <c r="T38" s="1746">
        <f t="shared" si="2"/>
        <v>10</v>
      </c>
      <c r="U38" s="1746"/>
      <c r="V38" s="1746">
        <f t="shared" si="3"/>
        <v>4</v>
      </c>
      <c r="W38" s="1749"/>
      <c r="X38" s="1750" t="s">
        <v>64</v>
      </c>
      <c r="Y38" s="1747"/>
      <c r="Z38" s="1741">
        <f>IF(ISTEXT(IFERROR(VLOOKUP(人物卡!AB38,人物卡!BJ18:BR22,1,FALSE),IFERROR(VLOOKUP(人物卡!AB38,人物卡!BA18:BC22,1,FALSE),0))),"★",INDEX(本职技能!$A$2:$HX$76,MATCH(人物卡!AB38,本职技能!$A$2:$A$75,0),MATCH(人物卡!$M$5,本职技能!$A$1:$HX$1,0)))</f>
        <v>0</v>
      </c>
      <c r="AA38" s="1741"/>
      <c r="AB38" s="1747" t="s">
        <v>140</v>
      </c>
      <c r="AC38" s="1780"/>
      <c r="AD38" s="1781"/>
      <c r="AE38" s="1747"/>
      <c r="AF38" s="1746">
        <v>20</v>
      </c>
      <c r="AG38" s="1746"/>
      <c r="AH38" s="1747"/>
      <c r="AI38" s="1747"/>
      <c r="AJ38" s="1747"/>
      <c r="AK38" s="1747"/>
      <c r="AL38" s="1755"/>
      <c r="AM38" s="1755"/>
      <c r="AN38" s="1748">
        <f t="shared" si="8"/>
        <v>20</v>
      </c>
      <c r="AO38" s="1748"/>
      <c r="AP38" s="1748">
        <f t="shared" si="5"/>
        <v>10</v>
      </c>
      <c r="AQ38" s="1748"/>
      <c r="AR38" s="1748">
        <f t="shared" si="6"/>
        <v>4</v>
      </c>
      <c r="AS38" s="1756"/>
      <c r="AT38" s="1264"/>
      <c r="AU38" s="1460" t="s">
        <v>141</v>
      </c>
      <c r="AV38" s="1334" t="str">
        <f>IF(M5=0," ",""&amp;LOOKUP(M5,职业列表!A2:A232,职业列表!K2:K232))</f>
        <v>俱乐部老板，音乐家协会，犯罪组织，街头罪犯。</v>
      </c>
      <c r="AW38" s="1334"/>
      <c r="AX38" s="1334"/>
      <c r="AY38" s="1334"/>
      <c r="AZ38" s="1334"/>
      <c r="BA38" s="1334"/>
      <c r="BB38" s="1334"/>
      <c r="BC38" s="1334"/>
      <c r="BD38" s="1334"/>
      <c r="BE38" s="1334"/>
      <c r="BF38" s="1334"/>
      <c r="BG38" s="1334"/>
      <c r="BH38" s="1334"/>
      <c r="BI38" s="1334"/>
      <c r="BJ38" s="1334"/>
      <c r="BK38" s="1334"/>
      <c r="BL38" s="1334"/>
      <c r="BM38" s="1334"/>
      <c r="BN38" s="1334"/>
      <c r="BO38" s="1334"/>
      <c r="BP38" s="1334"/>
      <c r="BQ38" s="1334"/>
      <c r="BR38" s="1335"/>
    </row>
    <row r="39" spans="1:70" ht="18" customHeight="1">
      <c r="B39" s="1757" t="s">
        <v>64</v>
      </c>
      <c r="C39" s="1758"/>
      <c r="D39" s="1759">
        <f>IF(ISTEXT(IFERROR(VLOOKUP(人物卡!F39,人物卡!BJ18:BR22,1,FALSE),IFERROR(VLOOKUP(人物卡!F39,人物卡!BA18:BC22,1,FALSE),0))),"★",INDEX(本职技能!$A$2:$HX$76,MATCH(人物卡!F39,本职技能!$A$2:$A$75,0),MATCH(人物卡!$M$5,本职技能!$A$1:$HX$1,0)))</f>
        <v>0</v>
      </c>
      <c r="E39" s="1759"/>
      <c r="F39" s="1760" t="s">
        <v>142</v>
      </c>
      <c r="G39" s="1761"/>
      <c r="H39" s="1762"/>
      <c r="I39" s="1763"/>
      <c r="J39" s="1764">
        <f>附表!E11</f>
        <v>0</v>
      </c>
      <c r="K39" s="1764"/>
      <c r="L39" s="1735"/>
      <c r="M39" s="1735"/>
      <c r="N39" s="1735"/>
      <c r="O39" s="1735"/>
      <c r="P39" s="1735"/>
      <c r="Q39" s="1735"/>
      <c r="R39" s="1737">
        <f>P39+N39+L39+J39</f>
        <v>0</v>
      </c>
      <c r="S39" s="1737"/>
      <c r="T39" s="1764">
        <f t="shared" si="2"/>
        <v>0</v>
      </c>
      <c r="U39" s="1764"/>
      <c r="V39" s="1764">
        <f t="shared" si="3"/>
        <v>0</v>
      </c>
      <c r="W39" s="1765"/>
      <c r="X39" s="1766" t="s">
        <v>64</v>
      </c>
      <c r="Y39" s="1735"/>
      <c r="Z39" s="1759">
        <f>IF(ISTEXT(IFERROR(VLOOKUP(人物卡!AB39,人物卡!BJ18:BR22,1,FALSE),IFERROR(VLOOKUP(人物卡!AB39,人物卡!BA18:BC22,1,FALSE),0))),"★",INDEX(本职技能!$A$2:$HX$76,MATCH(人物卡!AB39,本职技能!$A$2:$A$75,0),MATCH(人物卡!$M$5,本职技能!$A$1:$HX$1,0)))</f>
        <v>0</v>
      </c>
      <c r="AA39" s="1759"/>
      <c r="AB39" s="1735" t="s">
        <v>143</v>
      </c>
      <c r="AC39" s="1778"/>
      <c r="AD39" s="1779"/>
      <c r="AE39" s="1735"/>
      <c r="AF39" s="1764">
        <v>20</v>
      </c>
      <c r="AG39" s="1764"/>
      <c r="AH39" s="1735"/>
      <c r="AI39" s="1735"/>
      <c r="AJ39" s="1735"/>
      <c r="AK39" s="1735"/>
      <c r="AL39" s="1736"/>
      <c r="AM39" s="1736"/>
      <c r="AN39" s="1737">
        <f t="shared" si="8"/>
        <v>20</v>
      </c>
      <c r="AO39" s="1737"/>
      <c r="AP39" s="1737">
        <f t="shared" si="5"/>
        <v>10</v>
      </c>
      <c r="AQ39" s="1737"/>
      <c r="AR39" s="1737">
        <f t="shared" si="6"/>
        <v>4</v>
      </c>
      <c r="AS39" s="1738"/>
      <c r="AT39" s="1264"/>
      <c r="AU39" s="1461"/>
      <c r="AV39" s="1336"/>
      <c r="AW39" s="1336"/>
      <c r="AX39" s="1336"/>
      <c r="AY39" s="1336"/>
      <c r="AZ39" s="1336"/>
      <c r="BA39" s="1336"/>
      <c r="BB39" s="1336"/>
      <c r="BC39" s="1336"/>
      <c r="BD39" s="1336"/>
      <c r="BE39" s="1336"/>
      <c r="BF39" s="1336"/>
      <c r="BG39" s="1336"/>
      <c r="BH39" s="1336"/>
      <c r="BI39" s="1336"/>
      <c r="BJ39" s="1336"/>
      <c r="BK39" s="1336"/>
      <c r="BL39" s="1336"/>
      <c r="BM39" s="1336"/>
      <c r="BN39" s="1336"/>
      <c r="BO39" s="1336"/>
      <c r="BP39" s="1336"/>
      <c r="BQ39" s="1336"/>
      <c r="BR39" s="1337"/>
    </row>
    <row r="40" spans="1:70" ht="18" customHeight="1">
      <c r="B40" s="1739" t="s">
        <v>64</v>
      </c>
      <c r="C40" s="1740"/>
      <c r="D40" s="1741">
        <f>IF(ISTEXT(IFERROR(VLOOKUP(F40,人物卡!BJ18:BR22,1,FALSE),IFERROR(VLOOKUP(F40,人物卡!BA18:BC22,1,FALSE),0))),"★",INDEX(本职技能!$A$2:$HX$76,MATCH(F40,本职技能!$A$2:$A$75,0),MATCH(人物卡!$M$5,本职技能!$A$1:$HX$1,0)))</f>
        <v>0</v>
      </c>
      <c r="E40" s="1741"/>
      <c r="F40" s="1742" t="s">
        <v>144</v>
      </c>
      <c r="G40" s="1743"/>
      <c r="H40" s="1787"/>
      <c r="I40" s="1788"/>
      <c r="J40" s="1746">
        <f>附表!E12</f>
        <v>0</v>
      </c>
      <c r="K40" s="1746"/>
      <c r="L40" s="1747"/>
      <c r="M40" s="1747"/>
      <c r="N40" s="1747"/>
      <c r="O40" s="1747"/>
      <c r="P40" s="1747"/>
      <c r="Q40" s="1747"/>
      <c r="R40" s="1748">
        <f>P40+N40+L40+J40</f>
        <v>0</v>
      </c>
      <c r="S40" s="1748"/>
      <c r="T40" s="1746">
        <f t="shared" si="2"/>
        <v>0</v>
      </c>
      <c r="U40" s="1746"/>
      <c r="V40" s="1746">
        <f t="shared" si="3"/>
        <v>0</v>
      </c>
      <c r="W40" s="1749"/>
      <c r="X40" s="1750" t="s">
        <v>64</v>
      </c>
      <c r="Y40" s="1747"/>
      <c r="Z40" s="1741">
        <f>IF(ISTEXT(IFERROR(VLOOKUP(人物卡!AB40,人物卡!BJ18:BR22,1,FALSE),IFERROR(VLOOKUP(人物卡!AB40,人物卡!BA18:BC22,1,FALSE),0))),"★",INDEX(本职技能!$A$2:$HX$76,MATCH(人物卡!AB40,本职技能!$A$2:$A$75,0),MATCH(人物卡!$M$5,本职技能!$A$1:$HX$1,0)))</f>
        <v>0</v>
      </c>
      <c r="AA40" s="1741"/>
      <c r="AB40" s="1747" t="s">
        <v>145</v>
      </c>
      <c r="AC40" s="1780"/>
      <c r="AD40" s="1781"/>
      <c r="AE40" s="1747"/>
      <c r="AF40" s="1746">
        <v>10</v>
      </c>
      <c r="AG40" s="1746"/>
      <c r="AH40" s="1747"/>
      <c r="AI40" s="1747"/>
      <c r="AJ40" s="1747"/>
      <c r="AK40" s="1747"/>
      <c r="AL40" s="1755"/>
      <c r="AM40" s="1755"/>
      <c r="AN40" s="1748">
        <f t="shared" si="8"/>
        <v>10</v>
      </c>
      <c r="AO40" s="1748"/>
      <c r="AP40" s="1748">
        <f t="shared" si="5"/>
        <v>5</v>
      </c>
      <c r="AQ40" s="1748"/>
      <c r="AR40" s="1748">
        <f t="shared" si="6"/>
        <v>2</v>
      </c>
      <c r="AS40" s="1756"/>
      <c r="AT40" s="1264"/>
      <c r="AU40" s="1461"/>
      <c r="AV40" s="1336"/>
      <c r="AW40" s="1336"/>
      <c r="AX40" s="1336"/>
      <c r="AY40" s="1336"/>
      <c r="AZ40" s="1336"/>
      <c r="BA40" s="1336"/>
      <c r="BB40" s="1336"/>
      <c r="BC40" s="1336"/>
      <c r="BD40" s="1336"/>
      <c r="BE40" s="1336"/>
      <c r="BF40" s="1336"/>
      <c r="BG40" s="1336"/>
      <c r="BH40" s="1336"/>
      <c r="BI40" s="1336"/>
      <c r="BJ40" s="1336"/>
      <c r="BK40" s="1336"/>
      <c r="BL40" s="1336"/>
      <c r="BM40" s="1336"/>
      <c r="BN40" s="1336"/>
      <c r="BO40" s="1336"/>
      <c r="BP40" s="1336"/>
      <c r="BQ40" s="1336"/>
      <c r="BR40" s="1337"/>
    </row>
    <row r="41" spans="1:70" ht="18" customHeight="1">
      <c r="B41" s="1757" t="s">
        <v>64</v>
      </c>
      <c r="C41" s="1758"/>
      <c r="D41" s="1759">
        <f>IF(ISTEXT(IFERROR(VLOOKUP(F41,人物卡!BJ18:BR22,1,FALSE),IFERROR(VLOOKUP(F41,人物卡!BA18:BC22,1,FALSE),0))),"★",INDEX(本职技能!$A$2:$HX$76,MATCH(F41,本职技能!$A$2:$A$75,0),MATCH(人物卡!$M$5,本职技能!$A$1:$HX$1,0)))</f>
        <v>0</v>
      </c>
      <c r="E41" s="1759"/>
      <c r="F41" s="1783" t="s">
        <v>146</v>
      </c>
      <c r="G41" s="1784"/>
      <c r="H41" s="1785"/>
      <c r="I41" s="1786"/>
      <c r="J41" s="1764">
        <f>附表!E13</f>
        <v>0</v>
      </c>
      <c r="K41" s="1764"/>
      <c r="L41" s="1735"/>
      <c r="M41" s="1735"/>
      <c r="N41" s="1735"/>
      <c r="O41" s="1735"/>
      <c r="P41" s="1735"/>
      <c r="Q41" s="1735"/>
      <c r="R41" s="1737">
        <f>P41+N41+L41+J41</f>
        <v>0</v>
      </c>
      <c r="S41" s="1737"/>
      <c r="T41" s="1764">
        <f t="shared" si="2"/>
        <v>0</v>
      </c>
      <c r="U41" s="1764"/>
      <c r="V41" s="1764">
        <f t="shared" si="3"/>
        <v>0</v>
      </c>
      <c r="W41" s="1765"/>
      <c r="X41" s="1766" t="s">
        <v>64</v>
      </c>
      <c r="Y41" s="1735"/>
      <c r="Z41" s="1759">
        <f>IF(ISTEXT(IFERROR(VLOOKUP(人物卡!AB41,人物卡!BJ18:BR22,1,FALSE),IFERROR(VLOOKUP(人物卡!AB41,人物卡!BA18:BC22,1,FALSE),0))),"★",INDEX(本职技能!$A$2:$HX$76,MATCH(人物卡!AB41,本职技能!$A$2:$A$75,0),MATCH(人物卡!$M$5,本职技能!$A$1:$HX$1,0)))</f>
        <v>0</v>
      </c>
      <c r="AA41" s="1759"/>
      <c r="AB41" s="1772" t="s">
        <v>147</v>
      </c>
      <c r="AC41" s="1773"/>
      <c r="AD41" s="1774"/>
      <c r="AE41" s="1772"/>
      <c r="AF41" s="1764">
        <v>5</v>
      </c>
      <c r="AG41" s="1764"/>
      <c r="AH41" s="1735"/>
      <c r="AI41" s="1735"/>
      <c r="AJ41" s="1735"/>
      <c r="AK41" s="1735"/>
      <c r="AL41" s="1736"/>
      <c r="AM41" s="1736"/>
      <c r="AN41" s="1737">
        <f t="shared" si="8"/>
        <v>5</v>
      </c>
      <c r="AO41" s="1737"/>
      <c r="AP41" s="1737">
        <f t="shared" si="5"/>
        <v>2</v>
      </c>
      <c r="AQ41" s="1737"/>
      <c r="AR41" s="1737">
        <f t="shared" si="6"/>
        <v>1</v>
      </c>
      <c r="AS41" s="1738"/>
      <c r="AT41" s="1264"/>
      <c r="AU41" s="1461"/>
      <c r="AV41" s="1336"/>
      <c r="AW41" s="1336"/>
      <c r="AX41" s="1336"/>
      <c r="AY41" s="1336"/>
      <c r="AZ41" s="1336"/>
      <c r="BA41" s="1336"/>
      <c r="BB41" s="1336"/>
      <c r="BC41" s="1336"/>
      <c r="BD41" s="1336"/>
      <c r="BE41" s="1336"/>
      <c r="BF41" s="1336"/>
      <c r="BG41" s="1336"/>
      <c r="BH41" s="1336"/>
      <c r="BI41" s="1336"/>
      <c r="BJ41" s="1336"/>
      <c r="BK41" s="1336"/>
      <c r="BL41" s="1336"/>
      <c r="BM41" s="1336"/>
      <c r="BN41" s="1336"/>
      <c r="BO41" s="1336"/>
      <c r="BP41" s="1336"/>
      <c r="BQ41" s="1336"/>
      <c r="BR41" s="1337"/>
    </row>
    <row r="42" spans="1:70" ht="18" customHeight="1">
      <c r="B42" s="1739" t="s">
        <v>64</v>
      </c>
      <c r="C42" s="1740"/>
      <c r="D42" s="1741">
        <f>IF(ISTEXT(IFERROR(VLOOKUP(人物卡!F42,人物卡!BJ18:BR22,1,FALSE),IFERROR(VLOOKUP(人物卡!F42,人物卡!BA18:BC22,1,FALSE),0))),"★",INDEX(本职技能!$A$2:$HX$76,MATCH(人物卡!F42,本职技能!$A$2:$A$75,0),MATCH(人物卡!$M$5,本职技能!$A$1:$HX$1,0)))</f>
        <v>0</v>
      </c>
      <c r="E42" s="1741"/>
      <c r="F42" s="1747" t="s">
        <v>148</v>
      </c>
      <c r="G42" s="1780"/>
      <c r="H42" s="1781"/>
      <c r="I42" s="1747"/>
      <c r="J42" s="1782">
        <v>30</v>
      </c>
      <c r="K42" s="1782"/>
      <c r="L42" s="1747"/>
      <c r="M42" s="1747"/>
      <c r="N42" s="1747">
        <v>7</v>
      </c>
      <c r="O42" s="1747"/>
      <c r="P42" s="1747">
        <v>23</v>
      </c>
      <c r="Q42" s="1747"/>
      <c r="R42" s="1748">
        <f t="shared" ref="R42:R49" si="9">SUM(J42:P42)</f>
        <v>60</v>
      </c>
      <c r="S42" s="1748"/>
      <c r="T42" s="1746">
        <f t="shared" si="2"/>
        <v>30</v>
      </c>
      <c r="U42" s="1746"/>
      <c r="V42" s="1746">
        <f t="shared" si="3"/>
        <v>12</v>
      </c>
      <c r="W42" s="1749"/>
      <c r="X42" s="1750" t="s">
        <v>64</v>
      </c>
      <c r="Y42" s="1747"/>
      <c r="Z42" s="1741">
        <f>IF(ISTEXT(IFERROR(VLOOKUP(人物卡!AB42,人物卡!BJ18:BR22,1,FALSE),IFERROR(VLOOKUP(人物卡!AB42,人物卡!BA18:BC22,1,FALSE),0))),"★",INDEX(本职技能!$A$2:$HX$76,MATCH(人物卡!AB42,本职技能!$A$2:$A$75,0),MATCH(人物卡!$M$5,本职技能!$A$1:$HX$1,0)))</f>
        <v>0</v>
      </c>
      <c r="AA42" s="1741"/>
      <c r="AB42" s="1775" t="s">
        <v>149</v>
      </c>
      <c r="AC42" s="1776"/>
      <c r="AD42" s="1777"/>
      <c r="AE42" s="1775"/>
      <c r="AF42" s="1746">
        <v>1</v>
      </c>
      <c r="AG42" s="1746"/>
      <c r="AH42" s="1747"/>
      <c r="AI42" s="1747"/>
      <c r="AJ42" s="1747"/>
      <c r="AK42" s="1747"/>
      <c r="AL42" s="1755"/>
      <c r="AM42" s="1755"/>
      <c r="AN42" s="1748">
        <f t="shared" si="8"/>
        <v>1</v>
      </c>
      <c r="AO42" s="1748"/>
      <c r="AP42" s="1748">
        <f t="shared" si="5"/>
        <v>0</v>
      </c>
      <c r="AQ42" s="1748"/>
      <c r="AR42" s="1748">
        <f t="shared" si="6"/>
        <v>0</v>
      </c>
      <c r="AS42" s="1756"/>
      <c r="AT42" s="1264"/>
      <c r="AU42" s="1462"/>
      <c r="AV42" s="1338"/>
      <c r="AW42" s="1338"/>
      <c r="AX42" s="1338"/>
      <c r="AY42" s="1338"/>
      <c r="AZ42" s="1338"/>
      <c r="BA42" s="1338"/>
      <c r="BB42" s="1338"/>
      <c r="BC42" s="1338"/>
      <c r="BD42" s="1338"/>
      <c r="BE42" s="1338"/>
      <c r="BF42" s="1338"/>
      <c r="BG42" s="1338"/>
      <c r="BH42" s="1338"/>
      <c r="BI42" s="1338"/>
      <c r="BJ42" s="1338"/>
      <c r="BK42" s="1338"/>
      <c r="BL42" s="1338"/>
      <c r="BM42" s="1338"/>
      <c r="BN42" s="1338"/>
      <c r="BO42" s="1338"/>
      <c r="BP42" s="1338"/>
      <c r="BQ42" s="1338"/>
      <c r="BR42" s="1339"/>
    </row>
    <row r="43" spans="1:70" ht="18" customHeight="1">
      <c r="B43" s="1757" t="s">
        <v>64</v>
      </c>
      <c r="C43" s="1758"/>
      <c r="D43" s="1759">
        <f>IF(ISTEXT(IFERROR(VLOOKUP(人物卡!F43,人物卡!BJ18:BR22,1,FALSE),IFERROR(VLOOKUP(人物卡!F43,人物卡!BA18:BC22,1,FALSE),0))),"★",INDEX(本职技能!$A$2:$HX$76,MATCH(人物卡!F43,本职技能!$A$2:$A$75,0),MATCH(人物卡!$M$5,本职技能!$A$1:$HX$1,0)))</f>
        <v>0</v>
      </c>
      <c r="E43" s="1759"/>
      <c r="F43" s="1735" t="s">
        <v>150</v>
      </c>
      <c r="G43" s="1778"/>
      <c r="H43" s="1779"/>
      <c r="I43" s="1735"/>
      <c r="J43" s="1764">
        <v>5</v>
      </c>
      <c r="K43" s="1764"/>
      <c r="L43" s="1735"/>
      <c r="M43" s="1735"/>
      <c r="N43" s="1735"/>
      <c r="O43" s="1735"/>
      <c r="P43" s="1735"/>
      <c r="Q43" s="1735"/>
      <c r="R43" s="1737">
        <f t="shared" si="9"/>
        <v>5</v>
      </c>
      <c r="S43" s="1737"/>
      <c r="T43" s="1764">
        <f t="shared" si="2"/>
        <v>2</v>
      </c>
      <c r="U43" s="1764"/>
      <c r="V43" s="1764">
        <f t="shared" si="3"/>
        <v>1</v>
      </c>
      <c r="W43" s="1765"/>
      <c r="X43" s="1766" t="s">
        <v>64</v>
      </c>
      <c r="Y43" s="1735"/>
      <c r="Z43" s="1759">
        <f>IF(ISTEXT(IFERROR(VLOOKUP(人物卡!AB43,人物卡!BJ18:BR22,1,FALSE),IFERROR(VLOOKUP(人物卡!AB43,人物卡!BA18:BC22,1,FALSE),0))),"★",INDEX(本职技能!$A$2:$HX$76,MATCH(人物卡!AB43,本职技能!$A$2:$A$75,0),MATCH(人物卡!$M$5,本职技能!$A$1:$HX$1,0)))</f>
        <v>0</v>
      </c>
      <c r="AA43" s="1759"/>
      <c r="AB43" s="1772" t="s">
        <v>151</v>
      </c>
      <c r="AC43" s="1773"/>
      <c r="AD43" s="1774"/>
      <c r="AE43" s="1772"/>
      <c r="AF43" s="1764">
        <v>1</v>
      </c>
      <c r="AG43" s="1764"/>
      <c r="AH43" s="1735"/>
      <c r="AI43" s="1735"/>
      <c r="AJ43" s="1735"/>
      <c r="AK43" s="1735"/>
      <c r="AL43" s="1736"/>
      <c r="AM43" s="1736"/>
      <c r="AN43" s="1737">
        <f t="shared" si="8"/>
        <v>1</v>
      </c>
      <c r="AO43" s="1737"/>
      <c r="AP43" s="1737">
        <f t="shared" si="5"/>
        <v>0</v>
      </c>
      <c r="AQ43" s="1737"/>
      <c r="AR43" s="1737">
        <f t="shared" si="6"/>
        <v>0</v>
      </c>
      <c r="AS43" s="1738"/>
      <c r="AT43" s="1264"/>
      <c r="AU43" s="1686" t="s">
        <v>152</v>
      </c>
      <c r="AV43" s="1687"/>
      <c r="AW43" s="1687"/>
      <c r="AX43" s="1687"/>
      <c r="AY43" s="1687"/>
      <c r="AZ43" s="1687"/>
      <c r="BA43" s="1687"/>
      <c r="BB43" s="1687"/>
      <c r="BC43" s="1687"/>
      <c r="BD43" s="1687"/>
      <c r="BE43" s="1687"/>
      <c r="BF43" s="1687"/>
      <c r="BG43" s="1687"/>
      <c r="BH43" s="1687"/>
      <c r="BI43" s="1687"/>
      <c r="BJ43" s="1687"/>
      <c r="BK43" s="1687"/>
      <c r="BL43" s="1687"/>
      <c r="BM43" s="1687"/>
      <c r="BN43" s="1687"/>
      <c r="BO43" s="1687"/>
      <c r="BP43" s="1687"/>
      <c r="BQ43" s="1687"/>
      <c r="BR43" s="1688"/>
    </row>
    <row r="44" spans="1:70" ht="18" customHeight="1">
      <c r="B44" s="1739" t="s">
        <v>64</v>
      </c>
      <c r="C44" s="1740"/>
      <c r="D44" s="1741" t="str">
        <f>IF(ISTEXT(IFERROR(VLOOKUP(人物卡!F44,人物卡!BJ18:BR22,1,FALSE),IFERROR(VLOOKUP(人物卡!F44,人物卡!BA18:BC22,1,FALSE),0))),"★",INDEX(本职技能!$A$2:$HX$76,MATCH(人物卡!F44,本职技能!$A$2:$A$75,0),MATCH(人物卡!$M$5,本职技能!$A$1:$HX$1,0)))</f>
        <v>☯</v>
      </c>
      <c r="E44" s="1741"/>
      <c r="F44" s="1747" t="s">
        <v>153</v>
      </c>
      <c r="G44" s="1780"/>
      <c r="H44" s="1781"/>
      <c r="I44" s="1747"/>
      <c r="J44" s="1746">
        <v>15</v>
      </c>
      <c r="K44" s="1746"/>
      <c r="L44" s="1747"/>
      <c r="M44" s="1747"/>
      <c r="N44" s="1747"/>
      <c r="O44" s="1747"/>
      <c r="P44" s="1747"/>
      <c r="Q44" s="1747"/>
      <c r="R44" s="1748">
        <f t="shared" si="9"/>
        <v>15</v>
      </c>
      <c r="S44" s="1748"/>
      <c r="T44" s="1746">
        <f t="shared" si="2"/>
        <v>7</v>
      </c>
      <c r="U44" s="1746"/>
      <c r="V44" s="1746">
        <f t="shared" si="3"/>
        <v>3</v>
      </c>
      <c r="W44" s="1749"/>
      <c r="X44" s="1750" t="s">
        <v>64</v>
      </c>
      <c r="Y44" s="1747"/>
      <c r="Z44" s="1741">
        <f>IF(ISTEXT(IFERROR(VLOOKUP(人物卡!AB44,人物卡!BJ18:BR22,1,FALSE),IFERROR(VLOOKUP(人物卡!AB44,人物卡!BA18:BC22,1,FALSE),0))),"★",INDEX(本职技能!$A$2:$HX$76,MATCH(人物卡!AB44,本职技能!$A$2:$A$75,0),MATCH(人物卡!$M$5,本职技能!$A$1:$HX$1,0)))</f>
        <v>0</v>
      </c>
      <c r="AA44" s="1741"/>
      <c r="AB44" s="1775" t="s">
        <v>154</v>
      </c>
      <c r="AC44" s="1776"/>
      <c r="AD44" s="1777"/>
      <c r="AE44" s="1775"/>
      <c r="AF44" s="1746">
        <v>1</v>
      </c>
      <c r="AG44" s="1746"/>
      <c r="AH44" s="1747"/>
      <c r="AI44" s="1747"/>
      <c r="AJ44" s="1747"/>
      <c r="AK44" s="1747"/>
      <c r="AL44" s="1755"/>
      <c r="AM44" s="1755"/>
      <c r="AN44" s="1748">
        <f t="shared" si="8"/>
        <v>1</v>
      </c>
      <c r="AO44" s="1748"/>
      <c r="AP44" s="1748">
        <f t="shared" si="5"/>
        <v>0</v>
      </c>
      <c r="AQ44" s="1748"/>
      <c r="AR44" s="1748">
        <f t="shared" si="6"/>
        <v>0</v>
      </c>
      <c r="AS44" s="1756"/>
      <c r="AT44" s="1264"/>
      <c r="AU44" s="1302" t="str">
        <f>IF(M5=0," ",""&amp;LOOKUP(M5,职业列表!A2:A232,职业列表!M2:M232))</f>
        <v>音乐家可能加入乐团、乐队或者独奏，演奏的乐器则可以是任何你能想象的种类。音乐家想出人头地十分困难，签约发布唱片就更难了。所以绝大多数音乐家都贫穷又无人关注，只靠街头卖艺勉强维持生计。少数幸运儿可以找到固定工作，比如在酒吧、宾馆或者市交响乐团弹钢琴。对更少的人来说，在正确的时间出现在正确的地点，再加上一点点天赋，就能获得巨大的成功和可观的财富。
1920 年代是爵士乐的年代，众多的音乐家在美国各地的大中城市、城镇里的爵士乐队和交响乐队工作。少数音乐家住在芝加哥和纽约之类的大城市并在那里打拼，而大部分的人靠巴士、汽车或者火车过着旅行生活。</v>
      </c>
      <c r="AV44" s="1303"/>
      <c r="AW44" s="1303"/>
      <c r="AX44" s="1303"/>
      <c r="AY44" s="1303"/>
      <c r="AZ44" s="1303"/>
      <c r="BA44" s="1303"/>
      <c r="BB44" s="1303"/>
      <c r="BC44" s="1303"/>
      <c r="BD44" s="1303"/>
      <c r="BE44" s="1303"/>
      <c r="BF44" s="1303"/>
      <c r="BG44" s="1303"/>
      <c r="BH44" s="1303"/>
      <c r="BI44" s="1303"/>
      <c r="BJ44" s="1303"/>
      <c r="BK44" s="1303"/>
      <c r="BL44" s="1303"/>
      <c r="BM44" s="1303"/>
      <c r="BN44" s="1303"/>
      <c r="BO44" s="1303"/>
      <c r="BP44" s="1303"/>
      <c r="BQ44" s="1303"/>
      <c r="BR44" s="1304"/>
    </row>
    <row r="45" spans="1:70" ht="18" customHeight="1">
      <c r="B45" s="1757" t="s">
        <v>64</v>
      </c>
      <c r="C45" s="1758"/>
      <c r="D45" s="1759">
        <f>IF(ISTEXT(IFERROR(VLOOKUP(人物卡!F45,人物卡!BJ18:BR22,1,FALSE),IFERROR(VLOOKUP(人物卡!F45,人物卡!BA18:BC22,1,FALSE),0))),"★",INDEX(本职技能!$A$2:$HX$76,MATCH(人物卡!F45,本职技能!$A$2:$A$75,0),MATCH(人物卡!$M$5,本职技能!$A$1:$HX$1,0)))</f>
        <v>0</v>
      </c>
      <c r="E45" s="1759"/>
      <c r="F45" s="1735" t="s">
        <v>155</v>
      </c>
      <c r="G45" s="1778"/>
      <c r="H45" s="1779"/>
      <c r="I45" s="1735"/>
      <c r="J45" s="1764">
        <v>20</v>
      </c>
      <c r="K45" s="1764"/>
      <c r="L45" s="1735"/>
      <c r="M45" s="1735"/>
      <c r="N45" s="1735"/>
      <c r="O45" s="1735"/>
      <c r="P45" s="1735"/>
      <c r="Q45" s="1735"/>
      <c r="R45" s="1737">
        <f t="shared" si="9"/>
        <v>20</v>
      </c>
      <c r="S45" s="1737"/>
      <c r="T45" s="1764">
        <f t="shared" si="2"/>
        <v>10</v>
      </c>
      <c r="U45" s="1764"/>
      <c r="V45" s="1764">
        <f t="shared" si="3"/>
        <v>4</v>
      </c>
      <c r="W45" s="1765"/>
      <c r="X45" s="1766" t="s">
        <v>64</v>
      </c>
      <c r="Y45" s="1735"/>
      <c r="Z45" s="1759" t="str">
        <f>IF(ISTEXT(IFERROR(VLOOKUP(人物卡!AB45,人物卡!BJ18:BR22,1,FALSE),IFERROR(VLOOKUP(人物卡!AB45,人物卡!BA18:BC22,1,FALSE),0))),"★",INDEX(本职技能!$A$2:$HX$76,MATCH(人物卡!AB45,本职技能!$A$2:$A$75,0),MATCH(人物卡!$M$5,本职技能!$A$1:$HX$1,0)))</f>
        <v>★</v>
      </c>
      <c r="AA45" s="1759"/>
      <c r="AB45" s="1772" t="s">
        <v>74</v>
      </c>
      <c r="AC45" s="1773"/>
      <c r="AD45" s="1774"/>
      <c r="AE45" s="1772"/>
      <c r="AF45" s="1764">
        <v>1</v>
      </c>
      <c r="AG45" s="1764"/>
      <c r="AH45" s="1735"/>
      <c r="AI45" s="1735"/>
      <c r="AJ45" s="1735">
        <v>79</v>
      </c>
      <c r="AK45" s="1735"/>
      <c r="AL45" s="1736"/>
      <c r="AM45" s="1736"/>
      <c r="AN45" s="1737">
        <f t="shared" si="8"/>
        <v>80</v>
      </c>
      <c r="AO45" s="1737"/>
      <c r="AP45" s="1737">
        <f t="shared" si="5"/>
        <v>40</v>
      </c>
      <c r="AQ45" s="1737"/>
      <c r="AR45" s="1737">
        <f t="shared" si="6"/>
        <v>16</v>
      </c>
      <c r="AS45" s="1738"/>
      <c r="AT45" s="1264"/>
      <c r="AU45" s="1302"/>
      <c r="AV45" s="1303"/>
      <c r="AW45" s="1303"/>
      <c r="AX45" s="1303"/>
      <c r="AY45" s="1303"/>
      <c r="AZ45" s="1303"/>
      <c r="BA45" s="1303"/>
      <c r="BB45" s="1303"/>
      <c r="BC45" s="1303"/>
      <c r="BD45" s="1303"/>
      <c r="BE45" s="1303"/>
      <c r="BF45" s="1303"/>
      <c r="BG45" s="1303"/>
      <c r="BH45" s="1303"/>
      <c r="BI45" s="1303"/>
      <c r="BJ45" s="1303"/>
      <c r="BK45" s="1303"/>
      <c r="BL45" s="1303"/>
      <c r="BM45" s="1303"/>
      <c r="BN45" s="1303"/>
      <c r="BO45" s="1303"/>
      <c r="BP45" s="1303"/>
      <c r="BQ45" s="1303"/>
      <c r="BR45" s="1304"/>
    </row>
    <row r="46" spans="1:70" ht="18" customHeight="1">
      <c r="B46" s="1739" t="s">
        <v>64</v>
      </c>
      <c r="C46" s="1740"/>
      <c r="D46" s="1741">
        <f>IF(ISTEXT(IFERROR(VLOOKUP(人物卡!F46,人物卡!BJ18:BR22,1,FALSE),IFERROR(VLOOKUP(人物卡!F46,人物卡!BA18:BC22,1,FALSE),0))),"★",INDEX(本职技能!$A$2:$HX$76,MATCH(人物卡!F46,本职技能!$A$2:$A$75,0),MATCH(人物卡!$M$5,本职技能!$A$1:$HX$1,0)))</f>
        <v>0</v>
      </c>
      <c r="E46" s="1741"/>
      <c r="F46" s="1742" t="s">
        <v>156</v>
      </c>
      <c r="G46" s="1743"/>
      <c r="H46" s="1744"/>
      <c r="I46" s="1745"/>
      <c r="J46" s="1746">
        <v>1</v>
      </c>
      <c r="K46" s="1746"/>
      <c r="L46" s="1747"/>
      <c r="M46" s="1747"/>
      <c r="N46" s="1747"/>
      <c r="O46" s="1747"/>
      <c r="P46" s="1747"/>
      <c r="Q46" s="1747"/>
      <c r="R46" s="1748">
        <f t="shared" si="9"/>
        <v>1</v>
      </c>
      <c r="S46" s="1748"/>
      <c r="T46" s="1746">
        <f t="shared" si="2"/>
        <v>0</v>
      </c>
      <c r="U46" s="1746"/>
      <c r="V46" s="1746">
        <f t="shared" si="3"/>
        <v>0</v>
      </c>
      <c r="W46" s="1749"/>
      <c r="X46" s="1750" t="s">
        <v>64</v>
      </c>
      <c r="Y46" s="1747"/>
      <c r="Z46" s="1741">
        <f>IF(ISTEXT(IFERROR(VLOOKUP(人物卡!AB46,人物卡!BJ18:BR22,1,FALSE),IFERROR(VLOOKUP(人物卡!AB46,人物卡!BA18:BC22,1,FALSE),0))),"★",INDEX(本职技能!$A$2:$HX$76,MATCH(人物卡!AB46,本职技能!$A$2:$A$75,0),MATCH(人物卡!$M$5,本职技能!$A$1:$HX$1,0)))</f>
        <v>0</v>
      </c>
      <c r="AA46" s="1741"/>
      <c r="AB46" s="1775" t="s">
        <v>157</v>
      </c>
      <c r="AC46" s="1776"/>
      <c r="AD46" s="1777"/>
      <c r="AE46" s="1775"/>
      <c r="AF46" s="1746">
        <v>1</v>
      </c>
      <c r="AG46" s="1746"/>
      <c r="AH46" s="1747"/>
      <c r="AI46" s="1747"/>
      <c r="AJ46" s="1747"/>
      <c r="AK46" s="1747"/>
      <c r="AL46" s="1755"/>
      <c r="AM46" s="1755"/>
      <c r="AN46" s="1748">
        <f t="shared" si="8"/>
        <v>1</v>
      </c>
      <c r="AO46" s="1748"/>
      <c r="AP46" s="1748">
        <f t="shared" si="5"/>
        <v>0</v>
      </c>
      <c r="AQ46" s="1748"/>
      <c r="AR46" s="1748">
        <f t="shared" si="6"/>
        <v>0</v>
      </c>
      <c r="AS46" s="1756"/>
      <c r="AT46" s="1264"/>
      <c r="AU46" s="1302"/>
      <c r="AV46" s="1303"/>
      <c r="AW46" s="1303"/>
      <c r="AX46" s="1303"/>
      <c r="AY46" s="1303"/>
      <c r="AZ46" s="1303"/>
      <c r="BA46" s="1303"/>
      <c r="BB46" s="1303"/>
      <c r="BC46" s="1303"/>
      <c r="BD46" s="1303"/>
      <c r="BE46" s="1303"/>
      <c r="BF46" s="1303"/>
      <c r="BG46" s="1303"/>
      <c r="BH46" s="1303"/>
      <c r="BI46" s="1303"/>
      <c r="BJ46" s="1303"/>
      <c r="BK46" s="1303"/>
      <c r="BL46" s="1303"/>
      <c r="BM46" s="1303"/>
      <c r="BN46" s="1303"/>
      <c r="BO46" s="1303"/>
      <c r="BP46" s="1303"/>
      <c r="BQ46" s="1303"/>
      <c r="BR46" s="1304"/>
    </row>
    <row r="47" spans="1:70" ht="18" customHeight="1">
      <c r="B47" s="1757" t="s">
        <v>64</v>
      </c>
      <c r="C47" s="1758"/>
      <c r="D47" s="1759">
        <f>IF(ISTEXT(IFERROR(VLOOKUP(人物卡!F47,人物卡!BJ18:BR22,1,FALSE),IFERROR(VLOOKUP(人物卡!F47,人物卡!BA18:BC22,1,FALSE),0))),"★",INDEX(本职技能!$A$2:$HX$76,MATCH(人物卡!F47,本职技能!$A$2:$A$75,0),MATCH(人物卡!$M$5,本职技能!$A$1:$HX$1,0)))</f>
        <v>0</v>
      </c>
      <c r="E47" s="1759"/>
      <c r="F47" s="1760" t="s">
        <v>158</v>
      </c>
      <c r="G47" s="1761"/>
      <c r="H47" s="1762"/>
      <c r="I47" s="1763"/>
      <c r="J47" s="1764">
        <v>1</v>
      </c>
      <c r="K47" s="1764"/>
      <c r="L47" s="1735"/>
      <c r="M47" s="1735"/>
      <c r="N47" s="1735"/>
      <c r="O47" s="1735"/>
      <c r="P47" s="1735"/>
      <c r="Q47" s="1735"/>
      <c r="R47" s="1737">
        <f t="shared" si="9"/>
        <v>1</v>
      </c>
      <c r="S47" s="1737"/>
      <c r="T47" s="1764">
        <f t="shared" si="2"/>
        <v>0</v>
      </c>
      <c r="U47" s="1764"/>
      <c r="V47" s="1764">
        <f t="shared" si="3"/>
        <v>0</v>
      </c>
      <c r="W47" s="1765"/>
      <c r="X47" s="1766" t="s">
        <v>64</v>
      </c>
      <c r="Y47" s="1735"/>
      <c r="Z47" s="1767">
        <f>IF(ISTEXT(IFERROR(VLOOKUP(人物卡!AB47,人物卡!BJ18:BR22,1,FALSE),IFERROR(VLOOKUP(人物卡!AB47,人物卡!BA18:BC22,1,FALSE),0))),"★",INDEX(本职技能!$A$2:$HX$76,MATCH(人物卡!AB47,本职技能!$A$2:$A$75,0),MATCH(人物卡!$M$5,本职技能!$A$1:$HX$1,0)))</f>
        <v>0</v>
      </c>
      <c r="AA47" s="1767"/>
      <c r="AB47" s="1768" t="s">
        <v>159</v>
      </c>
      <c r="AC47" s="1769"/>
      <c r="AD47" s="1770"/>
      <c r="AE47" s="1771"/>
      <c r="AF47" s="1764">
        <v>1</v>
      </c>
      <c r="AG47" s="1764"/>
      <c r="AH47" s="1735"/>
      <c r="AI47" s="1735"/>
      <c r="AJ47" s="1735"/>
      <c r="AK47" s="1735"/>
      <c r="AL47" s="1736"/>
      <c r="AM47" s="1736"/>
      <c r="AN47" s="1737">
        <f t="shared" si="8"/>
        <v>1</v>
      </c>
      <c r="AO47" s="1737"/>
      <c r="AP47" s="1737">
        <f t="shared" si="5"/>
        <v>0</v>
      </c>
      <c r="AQ47" s="1737"/>
      <c r="AR47" s="1737">
        <f t="shared" si="6"/>
        <v>0</v>
      </c>
      <c r="AS47" s="1738"/>
      <c r="AT47" s="650"/>
      <c r="AU47" s="1302"/>
      <c r="AV47" s="1303"/>
      <c r="AW47" s="1303"/>
      <c r="AX47" s="1303"/>
      <c r="AY47" s="1303"/>
      <c r="AZ47" s="1303"/>
      <c r="BA47" s="1303"/>
      <c r="BB47" s="1303"/>
      <c r="BC47" s="1303"/>
      <c r="BD47" s="1303"/>
      <c r="BE47" s="1303"/>
      <c r="BF47" s="1303"/>
      <c r="BG47" s="1303"/>
      <c r="BH47" s="1303"/>
      <c r="BI47" s="1303"/>
      <c r="BJ47" s="1303"/>
      <c r="BK47" s="1303"/>
      <c r="BL47" s="1303"/>
      <c r="BM47" s="1303"/>
      <c r="BN47" s="1303"/>
      <c r="BO47" s="1303"/>
      <c r="BP47" s="1303"/>
      <c r="BQ47" s="1303"/>
      <c r="BR47" s="1304"/>
    </row>
    <row r="48" spans="1:70" ht="18" customHeight="1">
      <c r="B48" s="1739" t="s">
        <v>64</v>
      </c>
      <c r="C48" s="1740"/>
      <c r="D48" s="1741">
        <f>IF(ISTEXT(IFERROR(VLOOKUP(F48,人物卡!BJ18:BR22,1,FALSE),IFERROR(VLOOKUP(F48,人物卡!BA18:BC22,1,FALSE),0))),"★",INDEX(本职技能!$A$2:$HX$76,MATCH(F48,本职技能!$A$2:$A$75,0),MATCH(人物卡!$M$5,本职技能!$A$1:$HX$1,0)))</f>
        <v>0</v>
      </c>
      <c r="E48" s="1741"/>
      <c r="F48" s="1742" t="s">
        <v>160</v>
      </c>
      <c r="G48" s="1743"/>
      <c r="H48" s="1744"/>
      <c r="I48" s="1745"/>
      <c r="J48" s="1746">
        <v>1</v>
      </c>
      <c r="K48" s="1746"/>
      <c r="L48" s="1747"/>
      <c r="M48" s="1747"/>
      <c r="N48" s="1747"/>
      <c r="O48" s="1747"/>
      <c r="P48" s="1747"/>
      <c r="Q48" s="1747"/>
      <c r="R48" s="1748">
        <f t="shared" si="9"/>
        <v>1</v>
      </c>
      <c r="S48" s="1748"/>
      <c r="T48" s="1746">
        <f t="shared" si="2"/>
        <v>0</v>
      </c>
      <c r="U48" s="1746"/>
      <c r="V48" s="1746">
        <f t="shared" si="3"/>
        <v>0</v>
      </c>
      <c r="W48" s="1749"/>
      <c r="X48" s="1750" t="s">
        <v>64</v>
      </c>
      <c r="Y48" s="1747"/>
      <c r="Z48" s="1751">
        <f>IF(ISTEXT(IFERROR(VLOOKUP(AB48,人物卡!BJ18:BR22,1,FALSE),IFERROR(VLOOKUP(AB48,人物卡!BA18:BC22,1,FALSE),0))),"★",INDEX(本职技能!$A$2:$HX$76,MATCH(AB48,本职技能!$A$2:$A$75,0),MATCH(人物卡!$M$5,本职技能!$A$1:$HX$1,0)))</f>
        <v>0</v>
      </c>
      <c r="AA48" s="1751"/>
      <c r="AB48" s="1752" t="s">
        <v>161</v>
      </c>
      <c r="AC48" s="1753"/>
      <c r="AD48" s="1754"/>
      <c r="AE48" s="1752"/>
      <c r="AF48" s="1747"/>
      <c r="AG48" s="1747"/>
      <c r="AH48" s="1747"/>
      <c r="AI48" s="1747"/>
      <c r="AJ48" s="1747"/>
      <c r="AK48" s="1747"/>
      <c r="AL48" s="1755"/>
      <c r="AM48" s="1755"/>
      <c r="AN48" s="1748">
        <f t="shared" si="8"/>
        <v>0</v>
      </c>
      <c r="AO48" s="1748"/>
      <c r="AP48" s="1748">
        <f t="shared" si="5"/>
        <v>0</v>
      </c>
      <c r="AQ48" s="1748"/>
      <c r="AR48" s="1748">
        <f t="shared" si="6"/>
        <v>0</v>
      </c>
      <c r="AS48" s="1756"/>
      <c r="AT48" s="650"/>
      <c r="AU48" s="1302"/>
      <c r="AV48" s="1303"/>
      <c r="AW48" s="1303"/>
      <c r="AX48" s="1303"/>
      <c r="AY48" s="1303"/>
      <c r="AZ48" s="1303"/>
      <c r="BA48" s="1303"/>
      <c r="BB48" s="1303"/>
      <c r="BC48" s="1303"/>
      <c r="BD48" s="1303"/>
      <c r="BE48" s="1303"/>
      <c r="BF48" s="1303"/>
      <c r="BG48" s="1303"/>
      <c r="BH48" s="1303"/>
      <c r="BI48" s="1303"/>
      <c r="BJ48" s="1303"/>
      <c r="BK48" s="1303"/>
      <c r="BL48" s="1303"/>
      <c r="BM48" s="1303"/>
      <c r="BN48" s="1303"/>
      <c r="BO48" s="1303"/>
      <c r="BP48" s="1303"/>
      <c r="BQ48" s="1303"/>
      <c r="BR48" s="1304"/>
    </row>
    <row r="49" spans="2:70" ht="18" customHeight="1">
      <c r="B49" s="1722" t="s">
        <v>64</v>
      </c>
      <c r="C49" s="1723"/>
      <c r="D49" s="1724">
        <f>IF(ISTEXT(IFERROR(VLOOKUP(人物卡!F49,人物卡!BJ18:BR22,1,FALSE),IFERROR(VLOOKUP(人物卡!F49,人物卡!BA18:BC22,1,FALSE),0))),"★",INDEX(本职技能!$A$2:$HX$76,MATCH(人物卡!F49,本职技能!$A$2:$A$75,0),MATCH(人物卡!$M$5,本职技能!$A$1:$HX$1,0)))</f>
        <v>0</v>
      </c>
      <c r="E49" s="1724"/>
      <c r="F49" s="1725" t="s">
        <v>162</v>
      </c>
      <c r="G49" s="1726"/>
      <c r="H49" s="1727"/>
      <c r="I49" s="1728"/>
      <c r="J49" s="1729">
        <f>AG5</f>
        <v>60</v>
      </c>
      <c r="K49" s="1729"/>
      <c r="L49" s="1730"/>
      <c r="M49" s="1730"/>
      <c r="N49" s="1730"/>
      <c r="O49" s="1730"/>
      <c r="P49" s="1730"/>
      <c r="Q49" s="1730"/>
      <c r="R49" s="1712">
        <f t="shared" si="9"/>
        <v>60</v>
      </c>
      <c r="S49" s="1712"/>
      <c r="T49" s="1729">
        <f t="shared" si="2"/>
        <v>30</v>
      </c>
      <c r="U49" s="1729"/>
      <c r="V49" s="1729">
        <f t="shared" si="3"/>
        <v>12</v>
      </c>
      <c r="W49" s="1731"/>
      <c r="X49" s="1732" t="s">
        <v>64</v>
      </c>
      <c r="Y49" s="1730"/>
      <c r="Z49" s="1733">
        <f>IF(ISTEXT(IFERROR(VLOOKUP(AB49,人物卡!BJ18:BR22,1,FALSE),IFERROR(VLOOKUP(AB49,人物卡!BA18:BC22,1,FALSE),0))),"★",INDEX(本职技能!$A$2:$HX$76,MATCH(AB49,本职技能!$A$2:$A$75,0),MATCH(人物卡!$M$5,本职技能!$A$1:$HX$1,0)))</f>
        <v>0</v>
      </c>
      <c r="AA49" s="1733"/>
      <c r="AB49" s="1734"/>
      <c r="AC49" s="1734"/>
      <c r="AD49" s="1734"/>
      <c r="AE49" s="1734"/>
      <c r="AF49" s="1730"/>
      <c r="AG49" s="1730"/>
      <c r="AH49" s="1730"/>
      <c r="AI49" s="1730"/>
      <c r="AJ49" s="1730"/>
      <c r="AK49" s="1730"/>
      <c r="AL49" s="1711"/>
      <c r="AM49" s="1711"/>
      <c r="AN49" s="1712">
        <f t="shared" si="8"/>
        <v>0</v>
      </c>
      <c r="AO49" s="1712"/>
      <c r="AP49" s="1712">
        <f t="shared" si="5"/>
        <v>0</v>
      </c>
      <c r="AQ49" s="1712"/>
      <c r="AR49" s="1712">
        <f t="shared" si="6"/>
        <v>0</v>
      </c>
      <c r="AS49" s="1713"/>
      <c r="AT49" s="650"/>
      <c r="AU49" s="1302"/>
      <c r="AV49" s="1303"/>
      <c r="AW49" s="1303"/>
      <c r="AX49" s="1303"/>
      <c r="AY49" s="1303"/>
      <c r="AZ49" s="1303"/>
      <c r="BA49" s="1303"/>
      <c r="BB49" s="1303"/>
      <c r="BC49" s="1303"/>
      <c r="BD49" s="1303"/>
      <c r="BE49" s="1303"/>
      <c r="BF49" s="1303"/>
      <c r="BG49" s="1303"/>
      <c r="BH49" s="1303"/>
      <c r="BI49" s="1303"/>
      <c r="BJ49" s="1303"/>
      <c r="BK49" s="1303"/>
      <c r="BL49" s="1303"/>
      <c r="BM49" s="1303"/>
      <c r="BN49" s="1303"/>
      <c r="BO49" s="1303"/>
      <c r="BP49" s="1303"/>
      <c r="BQ49" s="1303"/>
      <c r="BR49" s="1304"/>
    </row>
    <row r="50" spans="2:70" ht="18" customHeight="1">
      <c r="B50" s="1714" t="str">
        <f>IF(M5=0,"","职业信用范围："&amp;LOOKUP(M5,职业列表!A2:A232,职业列表!D2:D232))</f>
        <v>职业信用范围：9-30</v>
      </c>
      <c r="C50" s="1714"/>
      <c r="D50" s="1714"/>
      <c r="E50" s="1714"/>
      <c r="F50" s="1714"/>
      <c r="G50" s="1714"/>
      <c r="H50" s="1714"/>
      <c r="I50" s="1259"/>
      <c r="J50" s="1715" t="str">
        <f>IF(M5=0,"","本职属性："&amp;附表!J52&amp;"       ")&amp;IF(M5=0,"",IF(AND(附表!J53-SUM(N16:O49,AJ16:AK49)=0,AA7+AA7-SUM(P16:Q49,AL16:AM49)=0),"",("剩余职业点="&amp;附表!J53-SUM(N16:O49,AJ16:AK49))&amp;"     剩余兴趣点="&amp;AA7+AA7-SUM(P16:Q49,AL16:AM49)&amp;IF(F113=附表!B26,"","     剩余经历包点="&amp;IF(ISNUMBER(附表!D34),附表!D34-SUM(L16:M49,AH16:AI49),附表!D34))))</f>
        <v xml:space="preserve">本职属性：[教育×2＋意志或敏捷×2]       </v>
      </c>
      <c r="K50" s="1715"/>
      <c r="L50" s="1715"/>
      <c r="M50" s="1715"/>
      <c r="N50" s="1715"/>
      <c r="O50" s="1715"/>
      <c r="P50" s="1715"/>
      <c r="Q50" s="1715"/>
      <c r="R50" s="1715"/>
      <c r="S50" s="1715"/>
      <c r="T50" s="1715"/>
      <c r="U50" s="1715"/>
      <c r="V50" s="1715"/>
      <c r="W50" s="1715"/>
      <c r="X50" s="1715"/>
      <c r="Y50" s="1715"/>
      <c r="Z50" s="1715"/>
      <c r="AA50" s="1715"/>
      <c r="AB50" s="1715"/>
      <c r="AC50" s="1715"/>
      <c r="AD50" s="1715"/>
      <c r="AE50" s="1715"/>
      <c r="AF50" s="1715"/>
      <c r="AG50" s="1715"/>
      <c r="AH50" s="1715"/>
      <c r="AI50" s="1715"/>
      <c r="AJ50" s="1715"/>
      <c r="AK50" s="1715"/>
      <c r="AL50" s="1715"/>
      <c r="AM50" s="1715"/>
      <c r="AN50" s="1715"/>
      <c r="AO50" s="1715"/>
      <c r="AP50" s="1715"/>
      <c r="AQ50" s="1715"/>
      <c r="AR50" s="1715"/>
      <c r="AS50" s="1715"/>
      <c r="AT50" s="650"/>
      <c r="AU50" s="1302"/>
      <c r="AV50" s="1303"/>
      <c r="AW50" s="1303"/>
      <c r="AX50" s="1303"/>
      <c r="AY50" s="1303"/>
      <c r="AZ50" s="1303"/>
      <c r="BA50" s="1303"/>
      <c r="BB50" s="1303"/>
      <c r="BC50" s="1303"/>
      <c r="BD50" s="1303"/>
      <c r="BE50" s="1303"/>
      <c r="BF50" s="1303"/>
      <c r="BG50" s="1303"/>
      <c r="BH50" s="1303"/>
      <c r="BI50" s="1303"/>
      <c r="BJ50" s="1303"/>
      <c r="BK50" s="1303"/>
      <c r="BL50" s="1303"/>
      <c r="BM50" s="1303"/>
      <c r="BN50" s="1303"/>
      <c r="BO50" s="1303"/>
      <c r="BP50" s="1303"/>
      <c r="BQ50" s="1303"/>
      <c r="BR50" s="1304"/>
    </row>
    <row r="51" spans="2:70" ht="18" customHeight="1">
      <c r="B51" s="1534" t="s">
        <v>163</v>
      </c>
      <c r="C51" s="1535"/>
      <c r="D51" s="1535"/>
      <c r="E51" s="1535"/>
      <c r="F51" s="1535"/>
      <c r="G51" s="1535"/>
      <c r="H51" s="1535"/>
      <c r="I51" s="1535"/>
      <c r="J51" s="1535"/>
      <c r="K51" s="1535"/>
      <c r="L51" s="1535"/>
      <c r="M51" s="1535"/>
      <c r="N51" s="1535"/>
      <c r="O51" s="1535"/>
      <c r="P51" s="1535"/>
      <c r="Q51" s="1535"/>
      <c r="R51" s="1535"/>
      <c r="S51" s="1535"/>
      <c r="T51" s="1535"/>
      <c r="U51" s="1535"/>
      <c r="V51" s="1535"/>
      <c r="W51" s="1535"/>
      <c r="X51" s="1535"/>
      <c r="Y51" s="1535"/>
      <c r="Z51" s="1535"/>
      <c r="AA51" s="1535"/>
      <c r="AB51" s="1535"/>
      <c r="AC51" s="1535"/>
      <c r="AD51" s="1535"/>
      <c r="AE51" s="1535"/>
      <c r="AF51" s="1535"/>
      <c r="AG51" s="1535"/>
      <c r="AH51" s="1535"/>
      <c r="AI51" s="1535"/>
      <c r="AJ51" s="1535"/>
      <c r="AK51" s="1536"/>
      <c r="AM51" s="1534" t="s">
        <v>164</v>
      </c>
      <c r="AN51" s="1535"/>
      <c r="AO51" s="1535"/>
      <c r="AP51" s="1535"/>
      <c r="AQ51" s="1535"/>
      <c r="AR51" s="1535"/>
      <c r="AS51" s="1536"/>
      <c r="AT51" s="650"/>
      <c r="AU51" s="1302"/>
      <c r="AV51" s="1303"/>
      <c r="AW51" s="1303"/>
      <c r="AX51" s="1303"/>
      <c r="AY51" s="1303"/>
      <c r="AZ51" s="1303"/>
      <c r="BA51" s="1303"/>
      <c r="BB51" s="1303"/>
      <c r="BC51" s="1303"/>
      <c r="BD51" s="1303"/>
      <c r="BE51" s="1303"/>
      <c r="BF51" s="1303"/>
      <c r="BG51" s="1303"/>
      <c r="BH51" s="1303"/>
      <c r="BI51" s="1303"/>
      <c r="BJ51" s="1303"/>
      <c r="BK51" s="1303"/>
      <c r="BL51" s="1303"/>
      <c r="BM51" s="1303"/>
      <c r="BN51" s="1303"/>
      <c r="BO51" s="1303"/>
      <c r="BP51" s="1303"/>
      <c r="BQ51" s="1303"/>
      <c r="BR51" s="1304"/>
    </row>
    <row r="52" spans="2:70" ht="18" customHeight="1">
      <c r="B52" s="1716" t="s">
        <v>165</v>
      </c>
      <c r="C52" s="1717"/>
      <c r="D52" s="1717"/>
      <c r="E52" s="1717"/>
      <c r="F52" s="1717"/>
      <c r="G52" s="1717" t="s">
        <v>166</v>
      </c>
      <c r="H52" s="1717"/>
      <c r="I52" s="1717"/>
      <c r="J52" s="1717"/>
      <c r="K52" s="1717"/>
      <c r="L52" s="1717"/>
      <c r="M52" s="1717" t="s">
        <v>167</v>
      </c>
      <c r="N52" s="1717"/>
      <c r="O52" s="1717"/>
      <c r="P52" s="1717"/>
      <c r="Q52" s="1717" t="s">
        <v>168</v>
      </c>
      <c r="R52" s="1717"/>
      <c r="S52" s="1717"/>
      <c r="T52" s="1717"/>
      <c r="U52" s="1717"/>
      <c r="V52" s="1717"/>
      <c r="W52" s="1717" t="s">
        <v>169</v>
      </c>
      <c r="X52" s="1717"/>
      <c r="Y52" s="1717"/>
      <c r="Z52" s="1717"/>
      <c r="AA52" s="1718" t="s">
        <v>170</v>
      </c>
      <c r="AB52" s="1718"/>
      <c r="AC52" s="1718" t="s">
        <v>171</v>
      </c>
      <c r="AD52" s="1718"/>
      <c r="AE52" s="1718" t="s">
        <v>172</v>
      </c>
      <c r="AF52" s="1718"/>
      <c r="AG52" s="1718" t="s">
        <v>173</v>
      </c>
      <c r="AH52" s="1718"/>
      <c r="AI52" s="1718"/>
      <c r="AJ52" s="1718" t="s">
        <v>174</v>
      </c>
      <c r="AK52" s="1719"/>
      <c r="AM52" s="1397" t="s">
        <v>175</v>
      </c>
      <c r="AN52" s="1298"/>
      <c r="AO52" s="1298"/>
      <c r="AP52" s="1720" t="str">
        <f>附表!P9</f>
        <v>0</v>
      </c>
      <c r="AQ52" s="1720"/>
      <c r="AR52" s="1720"/>
      <c r="AS52" s="1721"/>
      <c r="AU52" s="1302"/>
      <c r="AV52" s="1303"/>
      <c r="AW52" s="1303"/>
      <c r="AX52" s="1303"/>
      <c r="AY52" s="1303"/>
      <c r="AZ52" s="1303"/>
      <c r="BA52" s="1303"/>
      <c r="BB52" s="1303"/>
      <c r="BC52" s="1303"/>
      <c r="BD52" s="1303"/>
      <c r="BE52" s="1303"/>
      <c r="BF52" s="1303"/>
      <c r="BG52" s="1303"/>
      <c r="BH52" s="1303"/>
      <c r="BI52" s="1303"/>
      <c r="BJ52" s="1303"/>
      <c r="BK52" s="1303"/>
      <c r="BL52" s="1303"/>
      <c r="BM52" s="1303"/>
      <c r="BN52" s="1303"/>
      <c r="BO52" s="1303"/>
      <c r="BP52" s="1303"/>
      <c r="BQ52" s="1303"/>
      <c r="BR52" s="1304"/>
    </row>
    <row r="53" spans="2:70" ht="18" customHeight="1">
      <c r="B53" s="1692" t="s">
        <v>176</v>
      </c>
      <c r="C53" s="1681"/>
      <c r="D53" s="1681"/>
      <c r="E53" s="1681"/>
      <c r="F53" s="1681"/>
      <c r="G53" s="1680" t="s">
        <v>177</v>
      </c>
      <c r="H53" s="1680"/>
      <c r="I53" s="1680"/>
      <c r="J53" s="1680"/>
      <c r="K53" s="1680"/>
      <c r="L53" s="1680"/>
      <c r="M53" s="1680" t="s">
        <v>126</v>
      </c>
      <c r="N53" s="1680"/>
      <c r="O53" s="1680"/>
      <c r="P53" s="1680"/>
      <c r="Q53" s="1709">
        <f>R34</f>
        <v>25</v>
      </c>
      <c r="R53" s="1709"/>
      <c r="S53" s="1680">
        <f>INT(Q53/2)</f>
        <v>12</v>
      </c>
      <c r="T53" s="1680"/>
      <c r="U53" s="1680">
        <f>INT(Q53/5)</f>
        <v>5</v>
      </c>
      <c r="V53" s="1680"/>
      <c r="W53" s="1680" t="s">
        <v>178</v>
      </c>
      <c r="X53" s="1680"/>
      <c r="Y53" s="1680"/>
      <c r="Z53" s="1680"/>
      <c r="AA53" s="1680" t="s">
        <v>99</v>
      </c>
      <c r="AB53" s="1680"/>
      <c r="AC53" s="1680" t="s">
        <v>179</v>
      </c>
      <c r="AD53" s="1680"/>
      <c r="AE53" s="1680">
        <v>1</v>
      </c>
      <c r="AF53" s="1680"/>
      <c r="AG53" s="1680" t="s">
        <v>99</v>
      </c>
      <c r="AH53" s="1680"/>
      <c r="AI53" s="1680"/>
      <c r="AJ53" s="1680" t="s">
        <v>99</v>
      </c>
      <c r="AK53" s="1710"/>
      <c r="AM53" s="1397"/>
      <c r="AN53" s="1298"/>
      <c r="AO53" s="1298"/>
      <c r="AP53" s="1720"/>
      <c r="AQ53" s="1720"/>
      <c r="AR53" s="1720"/>
      <c r="AS53" s="1721"/>
      <c r="AU53" s="1302"/>
      <c r="AV53" s="1303"/>
      <c r="AW53" s="1303"/>
      <c r="AX53" s="1303"/>
      <c r="AY53" s="1303"/>
      <c r="AZ53" s="1303"/>
      <c r="BA53" s="1303"/>
      <c r="BB53" s="1303"/>
      <c r="BC53" s="1303"/>
      <c r="BD53" s="1303"/>
      <c r="BE53" s="1303"/>
      <c r="BF53" s="1303"/>
      <c r="BG53" s="1303"/>
      <c r="BH53" s="1303"/>
      <c r="BI53" s="1303"/>
      <c r="BJ53" s="1303"/>
      <c r="BK53" s="1303"/>
      <c r="BL53" s="1303"/>
      <c r="BM53" s="1303"/>
      <c r="BN53" s="1303"/>
      <c r="BO53" s="1303"/>
      <c r="BP53" s="1303"/>
      <c r="BQ53" s="1303"/>
      <c r="BR53" s="1304"/>
    </row>
    <row r="54" spans="2:70" ht="18" customHeight="1">
      <c r="B54" s="1704"/>
      <c r="C54" s="1705"/>
      <c r="D54" s="1705"/>
      <c r="E54" s="1705"/>
      <c r="F54" s="1705"/>
      <c r="G54" s="1705"/>
      <c r="H54" s="1705"/>
      <c r="I54" s="1705"/>
      <c r="J54" s="1705"/>
      <c r="K54" s="1705"/>
      <c r="L54" s="1705"/>
      <c r="M54" s="1707" t="str">
        <f>IF($G54=0,"←请选择类型",VLOOKUP($G54,'武器列表 战斗'!$B$2:$I$105,2,FALSE))</f>
        <v>←请选择类型</v>
      </c>
      <c r="N54" s="1707"/>
      <c r="O54" s="1707"/>
      <c r="P54" s="1707"/>
      <c r="Q54" s="1706" t="str">
        <f>附表!AV15</f>
        <v/>
      </c>
      <c r="R54" s="1706"/>
      <c r="S54" s="1705" t="str">
        <f>IF(Q54="","",INT(Q54/2))</f>
        <v/>
      </c>
      <c r="T54" s="1705"/>
      <c r="U54" s="1705" t="str">
        <f>IF(Q54="","",INT(Q54/5))</f>
        <v/>
      </c>
      <c r="V54" s="1705"/>
      <c r="W54" s="1705" t="str">
        <f>IF($G54=0,"",VLOOKUP($G54,'武器列表 战斗'!$B$2:$I$105,3,FALSE))</f>
        <v/>
      </c>
      <c r="X54" s="1705"/>
      <c r="Y54" s="1705"/>
      <c r="Z54" s="1705"/>
      <c r="AA54" s="1705" t="str">
        <f>IF($G54=0,"",VLOOKUP($G54,'武器列表 战斗'!$B$2:$I$105,4,FALSE))</f>
        <v/>
      </c>
      <c r="AB54" s="1705"/>
      <c r="AC54" s="1705" t="str">
        <f>IF($G54=0,"",VLOOKUP($G54,'武器列表 战斗'!$B$2:$I$105,5,FALSE))</f>
        <v/>
      </c>
      <c r="AD54" s="1705"/>
      <c r="AE54" s="1705" t="str">
        <f>IF($G54=0,"",VLOOKUP($G54,'武器列表 战斗'!$B$2:$I$105,6,FALSE))</f>
        <v/>
      </c>
      <c r="AF54" s="1705"/>
      <c r="AG54" s="1705" t="str">
        <f>IF($G54=0,"",VLOOKUP($G54,'武器列表 战斗'!$B$2:$I$105,7,FALSE))</f>
        <v/>
      </c>
      <c r="AH54" s="1705"/>
      <c r="AI54" s="1705"/>
      <c r="AJ54" s="1705" t="str">
        <f>IF($G54=0,"",VLOOKUP($G54,'武器列表 战斗'!$B$2:$I$105,8,FALSE))</f>
        <v/>
      </c>
      <c r="AK54" s="1708"/>
      <c r="AM54" s="1397"/>
      <c r="AN54" s="1298"/>
      <c r="AO54" s="1298"/>
      <c r="AP54" s="1720"/>
      <c r="AQ54" s="1720"/>
      <c r="AR54" s="1720"/>
      <c r="AS54" s="1721"/>
      <c r="AU54" s="1302"/>
      <c r="AV54" s="1303"/>
      <c r="AW54" s="1303"/>
      <c r="AX54" s="1303"/>
      <c r="AY54" s="1303"/>
      <c r="AZ54" s="1303"/>
      <c r="BA54" s="1303"/>
      <c r="BB54" s="1303"/>
      <c r="BC54" s="1303"/>
      <c r="BD54" s="1303"/>
      <c r="BE54" s="1303"/>
      <c r="BF54" s="1303"/>
      <c r="BG54" s="1303"/>
      <c r="BH54" s="1303"/>
      <c r="BI54" s="1303"/>
      <c r="BJ54" s="1303"/>
      <c r="BK54" s="1303"/>
      <c r="BL54" s="1303"/>
      <c r="BM54" s="1303"/>
      <c r="BN54" s="1303"/>
      <c r="BO54" s="1303"/>
      <c r="BP54" s="1303"/>
      <c r="BQ54" s="1303"/>
      <c r="BR54" s="1304"/>
    </row>
    <row r="55" spans="2:70" ht="18" customHeight="1">
      <c r="B55" s="1692"/>
      <c r="C55" s="1681"/>
      <c r="D55" s="1681"/>
      <c r="E55" s="1681"/>
      <c r="F55" s="1681"/>
      <c r="G55" s="1681"/>
      <c r="H55" s="1681"/>
      <c r="I55" s="1681"/>
      <c r="J55" s="1681"/>
      <c r="K55" s="1681"/>
      <c r="L55" s="1681"/>
      <c r="M55" s="1681" t="str">
        <f>IF($G55=0,IF(M54="←请选择类型","","←请选择类型"),VLOOKUP($G55,'武器列表 战斗'!$B$2:$I$105,2,FALSE))</f>
        <v/>
      </c>
      <c r="N55" s="1681"/>
      <c r="O55" s="1681"/>
      <c r="P55" s="1681"/>
      <c r="Q55" s="1681" t="str">
        <f>附表!AV16</f>
        <v/>
      </c>
      <c r="R55" s="1681"/>
      <c r="S55" s="1681" t="str">
        <f>IF(Q55="","",INT(Q55/2))</f>
        <v/>
      </c>
      <c r="T55" s="1681"/>
      <c r="U55" s="1681" t="str">
        <f>IF(Q55="","",INT(Q55/5))</f>
        <v/>
      </c>
      <c r="V55" s="1681"/>
      <c r="W55" s="1681" t="str">
        <f>IF($G55=0,"",VLOOKUP($G55,'武器列表 战斗'!$B$2:$I$105,3,FALSE))</f>
        <v/>
      </c>
      <c r="X55" s="1681"/>
      <c r="Y55" s="1681"/>
      <c r="Z55" s="1681"/>
      <c r="AA55" s="1681" t="str">
        <f>IF($G55=0,"",VLOOKUP($G55,'武器列表 战斗'!$B$2:$I$105,4,FALSE))</f>
        <v/>
      </c>
      <c r="AB55" s="1681"/>
      <c r="AC55" s="1681" t="str">
        <f>IF($G55=0,"",VLOOKUP($G55,'武器列表 战斗'!$B$2:$I$105,5,FALSE))</f>
        <v/>
      </c>
      <c r="AD55" s="1681"/>
      <c r="AE55" s="1681" t="str">
        <f>IF($G55=0,"",VLOOKUP($G55,'武器列表 战斗'!$B$2:$I$105,6,FALSE))</f>
        <v/>
      </c>
      <c r="AF55" s="1681"/>
      <c r="AG55" s="1681" t="str">
        <f>IF($G55=0,"",VLOOKUP($G55,'武器列表 战斗'!$B$2:$I$105,7,FALSE))</f>
        <v/>
      </c>
      <c r="AH55" s="1681"/>
      <c r="AI55" s="1681"/>
      <c r="AJ55" s="1681" t="str">
        <f>IF($G55=0,"",VLOOKUP($G55,'武器列表 战斗'!$B$2:$I$105,8,FALSE))</f>
        <v/>
      </c>
      <c r="AK55" s="1694"/>
      <c r="AM55" s="1368" t="s">
        <v>180</v>
      </c>
      <c r="AN55" s="1369"/>
      <c r="AO55" s="1369"/>
      <c r="AP55" s="1360" t="str">
        <f>附表!P7</f>
        <v>0</v>
      </c>
      <c r="AQ55" s="1360"/>
      <c r="AR55" s="1360"/>
      <c r="AS55" s="1361"/>
      <c r="AU55" s="1302"/>
      <c r="AV55" s="1303"/>
      <c r="AW55" s="1303"/>
      <c r="AX55" s="1303"/>
      <c r="AY55" s="1303"/>
      <c r="AZ55" s="1303"/>
      <c r="BA55" s="1303"/>
      <c r="BB55" s="1303"/>
      <c r="BC55" s="1303"/>
      <c r="BD55" s="1303"/>
      <c r="BE55" s="1303"/>
      <c r="BF55" s="1303"/>
      <c r="BG55" s="1303"/>
      <c r="BH55" s="1303"/>
      <c r="BI55" s="1303"/>
      <c r="BJ55" s="1303"/>
      <c r="BK55" s="1303"/>
      <c r="BL55" s="1303"/>
      <c r="BM55" s="1303"/>
      <c r="BN55" s="1303"/>
      <c r="BO55" s="1303"/>
      <c r="BP55" s="1303"/>
      <c r="BQ55" s="1303"/>
      <c r="BR55" s="1304"/>
    </row>
    <row r="56" spans="2:70" ht="18" customHeight="1">
      <c r="B56" s="1704"/>
      <c r="C56" s="1705"/>
      <c r="D56" s="1705"/>
      <c r="E56" s="1705"/>
      <c r="F56" s="1705"/>
      <c r="G56" s="1705"/>
      <c r="H56" s="1705"/>
      <c r="I56" s="1705"/>
      <c r="J56" s="1705"/>
      <c r="K56" s="1705"/>
      <c r="L56" s="1705"/>
      <c r="M56" s="1706" t="str">
        <f>IF($G56=0,IF(OR(M54="←请选择类型",M55="←请选择类型"),"","←请选择类型"),VLOOKUP($G56,'武器列表 战斗'!$B$2:$I$105,2,FALSE))</f>
        <v/>
      </c>
      <c r="N56" s="1705"/>
      <c r="O56" s="1705"/>
      <c r="P56" s="1705"/>
      <c r="Q56" s="1705" t="str">
        <f>附表!AV17</f>
        <v/>
      </c>
      <c r="R56" s="1705"/>
      <c r="S56" s="1707" t="str">
        <f>IF(Q56="","",INT(Q56/2))</f>
        <v/>
      </c>
      <c r="T56" s="1707"/>
      <c r="U56" s="1707" t="str">
        <f>IF(Q56="","",INT(Q56/5))</f>
        <v/>
      </c>
      <c r="V56" s="1707"/>
      <c r="W56" s="1705" t="str">
        <f>IF($G56=0,"",VLOOKUP($G56,'武器列表 战斗'!$B$2:$I$105,3,FALSE))</f>
        <v/>
      </c>
      <c r="X56" s="1705"/>
      <c r="Y56" s="1705"/>
      <c r="Z56" s="1705"/>
      <c r="AA56" s="1705" t="str">
        <f>IF($G56=0,"",VLOOKUP($G56,'武器列表 战斗'!$B$2:$I$105,4,FALSE))</f>
        <v/>
      </c>
      <c r="AB56" s="1705"/>
      <c r="AC56" s="1705" t="str">
        <f>IF($G56=0,"",VLOOKUP($G56,'武器列表 战斗'!$B$2:$I$105,5,FALSE))</f>
        <v/>
      </c>
      <c r="AD56" s="1705"/>
      <c r="AE56" s="1705" t="str">
        <f>IF($G56=0,"",VLOOKUP($G56,'武器列表 战斗'!$B$2:$I$105,6,FALSE))</f>
        <v/>
      </c>
      <c r="AF56" s="1705"/>
      <c r="AG56" s="1705" t="str">
        <f>IF($G56=0,"",VLOOKUP($G56,'武器列表 战斗'!$B$2:$I$105,7,FALSE))</f>
        <v/>
      </c>
      <c r="AH56" s="1705"/>
      <c r="AI56" s="1705"/>
      <c r="AJ56" s="1705" t="str">
        <f>IF($G56=0,"",VLOOKUP($G56,'武器列表 战斗'!$B$2:$I$105,8,FALSE))</f>
        <v/>
      </c>
      <c r="AK56" s="1708"/>
      <c r="AM56" s="1368"/>
      <c r="AN56" s="1369"/>
      <c r="AO56" s="1369"/>
      <c r="AP56" s="1360"/>
      <c r="AQ56" s="1360"/>
      <c r="AR56" s="1360"/>
      <c r="AS56" s="1361"/>
      <c r="AU56" s="1302"/>
      <c r="AV56" s="1303"/>
      <c r="AW56" s="1303"/>
      <c r="AX56" s="1303"/>
      <c r="AY56" s="1303"/>
      <c r="AZ56" s="1303"/>
      <c r="BA56" s="1303"/>
      <c r="BB56" s="1303"/>
      <c r="BC56" s="1303"/>
      <c r="BD56" s="1303"/>
      <c r="BE56" s="1303"/>
      <c r="BF56" s="1303"/>
      <c r="BG56" s="1303"/>
      <c r="BH56" s="1303"/>
      <c r="BI56" s="1303"/>
      <c r="BJ56" s="1303"/>
      <c r="BK56" s="1303"/>
      <c r="BL56" s="1303"/>
      <c r="BM56" s="1303"/>
      <c r="BN56" s="1303"/>
      <c r="BO56" s="1303"/>
      <c r="BP56" s="1303"/>
      <c r="BQ56" s="1303"/>
      <c r="BR56" s="1304"/>
    </row>
    <row r="57" spans="2:70" ht="18" customHeight="1">
      <c r="B57" s="1692"/>
      <c r="C57" s="1681"/>
      <c r="D57" s="1681"/>
      <c r="E57" s="1681"/>
      <c r="F57" s="1681"/>
      <c r="G57" s="1681"/>
      <c r="H57" s="1681"/>
      <c r="I57" s="1681"/>
      <c r="J57" s="1681"/>
      <c r="K57" s="1681"/>
      <c r="L57" s="1681"/>
      <c r="M57" s="1681"/>
      <c r="N57" s="1681"/>
      <c r="O57" s="1681"/>
      <c r="P57" s="1681"/>
      <c r="Q57" s="1681"/>
      <c r="R57" s="1681"/>
      <c r="S57" s="1693"/>
      <c r="T57" s="1693"/>
      <c r="U57" s="1693"/>
      <c r="V57" s="1693"/>
      <c r="W57" s="1681"/>
      <c r="X57" s="1681"/>
      <c r="Y57" s="1681"/>
      <c r="Z57" s="1681"/>
      <c r="AA57" s="1681"/>
      <c r="AB57" s="1681"/>
      <c r="AC57" s="1681"/>
      <c r="AD57" s="1681"/>
      <c r="AE57" s="1681"/>
      <c r="AF57" s="1681"/>
      <c r="AG57" s="1681"/>
      <c r="AH57" s="1681"/>
      <c r="AI57" s="1681"/>
      <c r="AJ57" s="1681"/>
      <c r="AK57" s="1694"/>
      <c r="AM57" s="1397" t="s">
        <v>181</v>
      </c>
      <c r="AN57" s="1298"/>
      <c r="AO57" s="1298"/>
      <c r="AP57" s="1393">
        <f>R29</f>
        <v>35</v>
      </c>
      <c r="AQ57" s="1393"/>
      <c r="AR57" s="1393">
        <f>T29</f>
        <v>17</v>
      </c>
      <c r="AS57" s="1695"/>
      <c r="AU57" s="1302"/>
      <c r="AV57" s="1303"/>
      <c r="AW57" s="1303"/>
      <c r="AX57" s="1303"/>
      <c r="AY57" s="1303"/>
      <c r="AZ57" s="1303"/>
      <c r="BA57" s="1303"/>
      <c r="BB57" s="1303"/>
      <c r="BC57" s="1303"/>
      <c r="BD57" s="1303"/>
      <c r="BE57" s="1303"/>
      <c r="BF57" s="1303"/>
      <c r="BG57" s="1303"/>
      <c r="BH57" s="1303"/>
      <c r="BI57" s="1303"/>
      <c r="BJ57" s="1303"/>
      <c r="BK57" s="1303"/>
      <c r="BL57" s="1303"/>
      <c r="BM57" s="1303"/>
      <c r="BN57" s="1303"/>
      <c r="BO57" s="1303"/>
      <c r="BP57" s="1303"/>
      <c r="BQ57" s="1303"/>
      <c r="BR57" s="1304"/>
    </row>
    <row r="58" spans="2:70" ht="18" customHeight="1">
      <c r="B58" s="1696"/>
      <c r="C58" s="1697"/>
      <c r="D58" s="1697"/>
      <c r="E58" s="1697"/>
      <c r="F58" s="1697"/>
      <c r="G58" s="1697"/>
      <c r="H58" s="1697"/>
      <c r="I58" s="1697"/>
      <c r="J58" s="1697"/>
      <c r="K58" s="1697"/>
      <c r="L58" s="1697"/>
      <c r="M58" s="1697"/>
      <c r="N58" s="1697"/>
      <c r="O58" s="1697"/>
      <c r="P58" s="1697"/>
      <c r="Q58" s="1697"/>
      <c r="R58" s="1697"/>
      <c r="S58" s="1698"/>
      <c r="T58" s="1698"/>
      <c r="U58" s="1698"/>
      <c r="V58" s="1698"/>
      <c r="W58" s="1697"/>
      <c r="X58" s="1697"/>
      <c r="Y58" s="1697"/>
      <c r="Z58" s="1697"/>
      <c r="AA58" s="1697"/>
      <c r="AB58" s="1697"/>
      <c r="AC58" s="1697"/>
      <c r="AD58" s="1697"/>
      <c r="AE58" s="1697"/>
      <c r="AF58" s="1697"/>
      <c r="AG58" s="1697"/>
      <c r="AH58" s="1697"/>
      <c r="AI58" s="1697"/>
      <c r="AJ58" s="1699"/>
      <c r="AK58" s="1700"/>
      <c r="AM58" s="1702"/>
      <c r="AN58" s="1703"/>
      <c r="AO58" s="1703"/>
      <c r="AP58" s="1394"/>
      <c r="AQ58" s="1394"/>
      <c r="AR58" s="1394">
        <f>V29</f>
        <v>7</v>
      </c>
      <c r="AS58" s="1701"/>
      <c r="AU58" s="1302"/>
      <c r="AV58" s="1303"/>
      <c r="AW58" s="1303"/>
      <c r="AX58" s="1303"/>
      <c r="AY58" s="1303"/>
      <c r="AZ58" s="1303"/>
      <c r="BA58" s="1303"/>
      <c r="BB58" s="1303"/>
      <c r="BC58" s="1303"/>
      <c r="BD58" s="1303"/>
      <c r="BE58" s="1303"/>
      <c r="BF58" s="1303"/>
      <c r="BG58" s="1303"/>
      <c r="BH58" s="1303"/>
      <c r="BI58" s="1303"/>
      <c r="BJ58" s="1303"/>
      <c r="BK58" s="1303"/>
      <c r="BL58" s="1303"/>
      <c r="BM58" s="1303"/>
      <c r="BN58" s="1303"/>
      <c r="BO58" s="1303"/>
      <c r="BP58" s="1303"/>
      <c r="BQ58" s="1303"/>
      <c r="BR58" s="1304"/>
    </row>
    <row r="59" spans="2:70" ht="18" customHeight="1">
      <c r="B59" s="673"/>
      <c r="C59" s="673"/>
      <c r="D59" s="673"/>
      <c r="E59" s="673"/>
      <c r="F59" s="673"/>
      <c r="G59" s="673"/>
      <c r="H59" s="673"/>
      <c r="I59" s="673"/>
      <c r="J59" s="673"/>
      <c r="K59" s="673"/>
      <c r="L59" s="673"/>
      <c r="M59" s="673"/>
      <c r="N59" s="673"/>
      <c r="O59" s="673"/>
      <c r="P59" s="673"/>
      <c r="Q59" s="673"/>
      <c r="R59" s="673"/>
      <c r="AH59" s="1261"/>
      <c r="AU59" s="1302"/>
      <c r="AV59" s="1303"/>
      <c r="AW59" s="1303"/>
      <c r="AX59" s="1303"/>
      <c r="AY59" s="1303"/>
      <c r="AZ59" s="1303"/>
      <c r="BA59" s="1303"/>
      <c r="BB59" s="1303"/>
      <c r="BC59" s="1303"/>
      <c r="BD59" s="1303"/>
      <c r="BE59" s="1303"/>
      <c r="BF59" s="1303"/>
      <c r="BG59" s="1303"/>
      <c r="BH59" s="1303"/>
      <c r="BI59" s="1303"/>
      <c r="BJ59" s="1303"/>
      <c r="BK59" s="1303"/>
      <c r="BL59" s="1303"/>
      <c r="BM59" s="1303"/>
      <c r="BN59" s="1303"/>
      <c r="BO59" s="1303"/>
      <c r="BP59" s="1303"/>
      <c r="BQ59" s="1303"/>
      <c r="BR59" s="1304"/>
    </row>
    <row r="60" spans="2:70" ht="18" customHeight="1">
      <c r="B60" s="1534" t="s">
        <v>182</v>
      </c>
      <c r="C60" s="1535"/>
      <c r="D60" s="1535"/>
      <c r="E60" s="1535"/>
      <c r="F60" s="1535"/>
      <c r="G60" s="1535"/>
      <c r="H60" s="1535"/>
      <c r="I60" s="1535"/>
      <c r="J60" s="1535"/>
      <c r="K60" s="1535"/>
      <c r="L60" s="1535"/>
      <c r="M60" s="1535"/>
      <c r="N60" s="1535"/>
      <c r="O60" s="1535"/>
      <c r="P60" s="1535"/>
      <c r="Q60" s="1535"/>
      <c r="R60" s="1535"/>
      <c r="S60" s="1535"/>
      <c r="T60" s="1535"/>
      <c r="U60" s="1536"/>
      <c r="W60" s="1534" t="s">
        <v>183</v>
      </c>
      <c r="X60" s="1535"/>
      <c r="Y60" s="1535"/>
      <c r="Z60" s="1535"/>
      <c r="AA60" s="1535"/>
      <c r="AB60" s="1535"/>
      <c r="AC60" s="1535"/>
      <c r="AD60" s="1535"/>
      <c r="AE60" s="1535"/>
      <c r="AF60" s="1535"/>
      <c r="AG60" s="1535"/>
      <c r="AH60" s="1535"/>
      <c r="AI60" s="1535"/>
      <c r="AJ60" s="1535"/>
      <c r="AK60" s="1535"/>
      <c r="AL60" s="1535"/>
      <c r="AM60" s="1535"/>
      <c r="AN60" s="1535"/>
      <c r="AO60" s="1535"/>
      <c r="AP60" s="1535"/>
      <c r="AQ60" s="1535"/>
      <c r="AR60" s="1535"/>
      <c r="AS60" s="1536"/>
      <c r="AU60" s="1302"/>
      <c r="AV60" s="1303"/>
      <c r="AW60" s="1303"/>
      <c r="AX60" s="1303"/>
      <c r="AY60" s="1303"/>
      <c r="AZ60" s="1303"/>
      <c r="BA60" s="1303"/>
      <c r="BB60" s="1303"/>
      <c r="BC60" s="1303"/>
      <c r="BD60" s="1303"/>
      <c r="BE60" s="1303"/>
      <c r="BF60" s="1303"/>
      <c r="BG60" s="1303"/>
      <c r="BH60" s="1303"/>
      <c r="BI60" s="1303"/>
      <c r="BJ60" s="1303"/>
      <c r="BK60" s="1303"/>
      <c r="BL60" s="1303"/>
      <c r="BM60" s="1303"/>
      <c r="BN60" s="1303"/>
      <c r="BO60" s="1303"/>
      <c r="BP60" s="1303"/>
      <c r="BQ60" s="1303"/>
      <c r="BR60" s="1304"/>
    </row>
    <row r="61" spans="2:70" ht="18" customHeight="1">
      <c r="B61" s="1674" t="s">
        <v>101</v>
      </c>
      <c r="C61" s="1675"/>
      <c r="D61" s="1675"/>
      <c r="E61" s="1675"/>
      <c r="F61" s="1675" t="s">
        <v>184</v>
      </c>
      <c r="G61" s="1675"/>
      <c r="H61" s="1675"/>
      <c r="I61" s="1675" t="s">
        <v>185</v>
      </c>
      <c r="J61" s="1675"/>
      <c r="K61" s="1676"/>
      <c r="L61" s="1677" t="s">
        <v>186</v>
      </c>
      <c r="M61" s="1675"/>
      <c r="N61" s="1675"/>
      <c r="O61" s="1675" t="s">
        <v>187</v>
      </c>
      <c r="P61" s="1675"/>
      <c r="Q61" s="1675"/>
      <c r="R61" s="1675"/>
      <c r="S61" s="1675" t="s">
        <v>188</v>
      </c>
      <c r="T61" s="1675"/>
      <c r="U61" s="1678"/>
      <c r="W61" s="1395" t="s">
        <v>189</v>
      </c>
      <c r="X61" s="1396"/>
      <c r="Y61" s="1396"/>
      <c r="Z61" s="1396"/>
      <c r="AA61" s="1439"/>
      <c r="AB61" s="1439"/>
      <c r="AC61" s="1439"/>
      <c r="AD61" s="1439"/>
      <c r="AE61" s="1439"/>
      <c r="AF61" s="1439"/>
      <c r="AG61" s="1439"/>
      <c r="AH61" s="1439"/>
      <c r="AI61" s="1439"/>
      <c r="AJ61" s="1439"/>
      <c r="AK61" s="1439"/>
      <c r="AL61" s="1439"/>
      <c r="AM61" s="1439"/>
      <c r="AN61" s="1439"/>
      <c r="AO61" s="1439"/>
      <c r="AP61" s="1439"/>
      <c r="AQ61" s="1439"/>
      <c r="AR61" s="1370" t="s">
        <v>190</v>
      </c>
      <c r="AS61" s="1371"/>
      <c r="AU61" s="1305"/>
      <c r="AV61" s="1306"/>
      <c r="AW61" s="1306"/>
      <c r="AX61" s="1306"/>
      <c r="AY61" s="1306"/>
      <c r="AZ61" s="1306"/>
      <c r="BA61" s="1306"/>
      <c r="BB61" s="1306"/>
      <c r="BC61" s="1306"/>
      <c r="BD61" s="1306"/>
      <c r="BE61" s="1306"/>
      <c r="BF61" s="1306"/>
      <c r="BG61" s="1306"/>
      <c r="BH61" s="1306"/>
      <c r="BI61" s="1306"/>
      <c r="BJ61" s="1306"/>
      <c r="BK61" s="1306"/>
      <c r="BL61" s="1306"/>
      <c r="BM61" s="1306"/>
      <c r="BN61" s="1306"/>
      <c r="BO61" s="1306"/>
      <c r="BP61" s="1306"/>
      <c r="BQ61" s="1306"/>
      <c r="BR61" s="1307"/>
    </row>
    <row r="62" spans="2:70" ht="18" customHeight="1">
      <c r="B62" s="1679" t="str">
        <f>附表!Z223</f>
        <v>15%/7%/3%</v>
      </c>
      <c r="C62" s="1680"/>
      <c r="D62" s="1680"/>
      <c r="E62" s="1680"/>
      <c r="F62" s="1680" t="str">
        <f>附表!Z225</f>
        <v>标准</v>
      </c>
      <c r="G62" s="1680"/>
      <c r="H62" s="1680"/>
      <c r="I62" s="1681" t="str">
        <f>附表!AE240</f>
        <v>10</v>
      </c>
      <c r="J62" s="1681"/>
      <c r="K62" s="1682"/>
      <c r="L62" s="1683">
        <f>附表!AG240</f>
        <v>750</v>
      </c>
      <c r="M62" s="1681"/>
      <c r="N62" s="1681"/>
      <c r="O62" s="1681">
        <f>附表!AF240</f>
        <v>30</v>
      </c>
      <c r="P62" s="1681"/>
      <c r="Q62" s="1681"/>
      <c r="R62" s="1681"/>
      <c r="S62" s="1684" t="s">
        <v>191</v>
      </c>
      <c r="T62" s="1684"/>
      <c r="U62" s="1685"/>
      <c r="W62" s="1395"/>
      <c r="X62" s="1396"/>
      <c r="Y62" s="1396"/>
      <c r="Z62" s="1396"/>
      <c r="AA62" s="1439"/>
      <c r="AB62" s="1439"/>
      <c r="AC62" s="1439"/>
      <c r="AD62" s="1439"/>
      <c r="AE62" s="1439"/>
      <c r="AF62" s="1439"/>
      <c r="AG62" s="1439"/>
      <c r="AH62" s="1439"/>
      <c r="AI62" s="1439"/>
      <c r="AJ62" s="1439"/>
      <c r="AK62" s="1439"/>
      <c r="AL62" s="1439"/>
      <c r="AM62" s="1439"/>
      <c r="AN62" s="1439"/>
      <c r="AO62" s="1439"/>
      <c r="AP62" s="1439"/>
      <c r="AQ62" s="1439"/>
      <c r="AR62" s="1370"/>
      <c r="AS62" s="1371"/>
      <c r="AU62" s="1686" t="str">
        <f>IF(附表!AE22="仅显示1890_2012","时代介绍仅显示1890_2012这段时间","时代介绍")</f>
        <v>时代介绍</v>
      </c>
      <c r="AV62" s="1687"/>
      <c r="AW62" s="1687"/>
      <c r="AX62" s="1687"/>
      <c r="AY62" s="1687"/>
      <c r="AZ62" s="1687"/>
      <c r="BA62" s="1687"/>
      <c r="BB62" s="1687"/>
      <c r="BC62" s="1687"/>
      <c r="BD62" s="1687"/>
      <c r="BE62" s="1687"/>
      <c r="BF62" s="1687"/>
      <c r="BG62" s="1687"/>
      <c r="BH62" s="1687"/>
      <c r="BI62" s="1687"/>
      <c r="BJ62" s="1687"/>
      <c r="BK62" s="1687"/>
      <c r="BL62" s="1687"/>
      <c r="BM62" s="1687"/>
      <c r="BN62" s="1687"/>
      <c r="BO62" s="1687"/>
      <c r="BP62" s="1687"/>
      <c r="BQ62" s="1687"/>
      <c r="BR62" s="1688"/>
    </row>
    <row r="63" spans="2:70" ht="18" customHeight="1">
      <c r="B63" s="1310" t="str">
        <f>IF(R26&lt;=0,"连贫穷都够不上的人才能够叫做身无分文。住所：大概只有睡大街。旅行：步行，扒车或逃票上火车轮船。",IF(R26&lt;=9,"刚好买得起最廉价的屋顶，每天能够吃到一餐廉价食物。住所：最最最廉价的出租屋或睡袋旅馆。旅行：最便宜的公众运输方式。反正只要赶便宜就对了，与之相伴的是不可靠。",IF(R26&lt;=49,"舒适的生活水平，一日三餐，偶尔下馆子。住所：普通的家或公寓，无论是租赁还是自购。外出住普通的旅馆。旅行：会使用普通的旅行方式，不会用最高级。在现代来看，大概会有一辆自己的小车。",IF(R26&lt;=89,"小康级别已经可以享受奢侈品的舒适了。住所：真材实料的住地，也许会有一些仆人（管家，主妇，清洁工，园丁，等等）。乡下估计还有小别墅。会住昂贵的宾馆。旅行：头等舱。会买高档车或同等的交通工具。",IF(R26&lt;=98,"富裕级别就是享受超级奢侈品的时候了。住所：豪华住所和有着大量仆人的庭院。乡下和别处有着别墅是定番。住总统套房。旅行：头等舱。现代社会估摸还会有很多豪车。",IF(R26=99,"与富裕差不多，但钱已经只是一个代号了。你将是世界上最富有的人。","请正确分配您的技能点！"))))))</f>
        <v>舒适的生活水平，一日三餐，偶尔下馆子。住所：普通的家或公寓，无论是租赁还是自购。外出住普通的旅馆。旅行：会使用普通的旅行方式，不会用最高级。在现代来看，大概会有一辆自己的小车。</v>
      </c>
      <c r="C63" s="1311"/>
      <c r="D63" s="1311"/>
      <c r="E63" s="1311"/>
      <c r="F63" s="1311"/>
      <c r="G63" s="1311"/>
      <c r="H63" s="1311"/>
      <c r="I63" s="1311"/>
      <c r="J63" s="1311"/>
      <c r="K63" s="1312"/>
      <c r="L63" s="1316" t="s">
        <v>192</v>
      </c>
      <c r="M63" s="1317"/>
      <c r="N63" s="1317"/>
      <c r="O63" s="1317"/>
      <c r="P63" s="1317"/>
      <c r="Q63" s="1317"/>
      <c r="R63" s="1317"/>
      <c r="S63" s="1317"/>
      <c r="T63" s="1317"/>
      <c r="U63" s="1318"/>
      <c r="W63" s="1300" t="s">
        <v>193</v>
      </c>
      <c r="X63" s="1301"/>
      <c r="Y63" s="1301"/>
      <c r="Z63" s="1301"/>
      <c r="AA63" s="1414"/>
      <c r="AB63" s="1414"/>
      <c r="AC63" s="1414"/>
      <c r="AD63" s="1414"/>
      <c r="AE63" s="1414"/>
      <c r="AF63" s="1414"/>
      <c r="AG63" s="1414"/>
      <c r="AH63" s="1414"/>
      <c r="AI63" s="1414"/>
      <c r="AJ63" s="1414"/>
      <c r="AK63" s="1414"/>
      <c r="AL63" s="1414"/>
      <c r="AM63" s="1414"/>
      <c r="AN63" s="1414"/>
      <c r="AO63" s="1414"/>
      <c r="AP63" s="1414"/>
      <c r="AQ63" s="1414"/>
      <c r="AR63" s="1346" t="s">
        <v>64</v>
      </c>
      <c r="AS63" s="1347"/>
      <c r="AU63" s="1689" t="s">
        <v>194</v>
      </c>
      <c r="AV63" s="1690"/>
      <c r="AW63" s="1690"/>
      <c r="AX63" s="1690"/>
      <c r="AY63" s="1690"/>
      <c r="AZ63" s="1690" t="s">
        <v>195</v>
      </c>
      <c r="BA63" s="1690"/>
      <c r="BB63" s="1690"/>
      <c r="BC63" s="1690"/>
      <c r="BD63" s="1690"/>
      <c r="BE63" s="1690"/>
      <c r="BF63" s="1690" t="s">
        <v>196</v>
      </c>
      <c r="BG63" s="1690"/>
      <c r="BH63" s="1690"/>
      <c r="BI63" s="1690"/>
      <c r="BJ63" s="1690"/>
      <c r="BK63" s="1690"/>
      <c r="BL63" s="1690" t="s">
        <v>194</v>
      </c>
      <c r="BM63" s="1690"/>
      <c r="BN63" s="1690"/>
      <c r="BO63" s="1690"/>
      <c r="BP63" s="1690"/>
      <c r="BQ63" s="1690"/>
      <c r="BR63" s="1691"/>
    </row>
    <row r="64" spans="2:70" ht="18" customHeight="1">
      <c r="B64" s="1310"/>
      <c r="C64" s="1311"/>
      <c r="D64" s="1311"/>
      <c r="E64" s="1311"/>
      <c r="F64" s="1311"/>
      <c r="G64" s="1311"/>
      <c r="H64" s="1311"/>
      <c r="I64" s="1311"/>
      <c r="J64" s="1311"/>
      <c r="K64" s="1312"/>
      <c r="L64" s="1316"/>
      <c r="M64" s="1317"/>
      <c r="N64" s="1317"/>
      <c r="O64" s="1317"/>
      <c r="P64" s="1317"/>
      <c r="Q64" s="1317"/>
      <c r="R64" s="1317"/>
      <c r="S64" s="1317"/>
      <c r="T64" s="1317"/>
      <c r="U64" s="1318"/>
      <c r="W64" s="1300"/>
      <c r="X64" s="1301"/>
      <c r="Y64" s="1301"/>
      <c r="Z64" s="1301"/>
      <c r="AA64" s="1414"/>
      <c r="AB64" s="1414"/>
      <c r="AC64" s="1414"/>
      <c r="AD64" s="1414"/>
      <c r="AE64" s="1414"/>
      <c r="AF64" s="1414"/>
      <c r="AG64" s="1414"/>
      <c r="AH64" s="1414"/>
      <c r="AI64" s="1414"/>
      <c r="AJ64" s="1414"/>
      <c r="AK64" s="1414"/>
      <c r="AL64" s="1414"/>
      <c r="AM64" s="1414"/>
      <c r="AN64" s="1414"/>
      <c r="AO64" s="1414"/>
      <c r="AP64" s="1414"/>
      <c r="AQ64" s="1414"/>
      <c r="AR64" s="1346"/>
      <c r="AS64" s="1347"/>
      <c r="AU64" s="1372" t="str">
        <f>IF(E8="公元","A.C."&amp;G8,"B.C."&amp;G8)</f>
        <v>A.C.2020</v>
      </c>
      <c r="AV64" s="1373"/>
      <c r="AW64" s="1373"/>
      <c r="AX64" s="1373"/>
      <c r="AY64" s="1373"/>
      <c r="AZ64" s="1662" t="str">
        <f>附表!AF22</f>
        <v>新冠病毒席卷全球</v>
      </c>
      <c r="BA64" s="1662"/>
      <c r="BB64" s="1662"/>
      <c r="BC64" s="1662"/>
      <c r="BD64" s="1662"/>
      <c r="BE64" s="1662"/>
      <c r="BF64" s="1662" t="str">
        <f>附表!AI22</f>
        <v>天问火星探测计划</v>
      </c>
      <c r="BG64" s="1662"/>
      <c r="BH64" s="1662"/>
      <c r="BI64" s="1662"/>
      <c r="BJ64" s="1662"/>
      <c r="BK64" s="1662"/>
      <c r="BL64" s="1662" t="str">
        <f>附表!AL22</f>
        <v>二十一世 二十年代</v>
      </c>
      <c r="BM64" s="1662"/>
      <c r="BN64" s="1662"/>
      <c r="BO64" s="1662"/>
      <c r="BP64" s="1662"/>
      <c r="BQ64" s="1662"/>
      <c r="BR64" s="1663"/>
    </row>
    <row r="65" spans="1:70" ht="18" customHeight="1">
      <c r="B65" s="1310"/>
      <c r="C65" s="1311"/>
      <c r="D65" s="1311"/>
      <c r="E65" s="1311"/>
      <c r="F65" s="1311"/>
      <c r="G65" s="1311"/>
      <c r="H65" s="1311"/>
      <c r="I65" s="1311"/>
      <c r="J65" s="1311"/>
      <c r="K65" s="1312"/>
      <c r="L65" s="1316"/>
      <c r="M65" s="1317"/>
      <c r="N65" s="1317"/>
      <c r="O65" s="1317"/>
      <c r="P65" s="1317"/>
      <c r="Q65" s="1317"/>
      <c r="R65" s="1317"/>
      <c r="S65" s="1317"/>
      <c r="T65" s="1317"/>
      <c r="U65" s="1318"/>
      <c r="W65" s="1344" t="s">
        <v>197</v>
      </c>
      <c r="X65" s="1345"/>
      <c r="Y65" s="1345"/>
      <c r="Z65" s="1345"/>
      <c r="AA65" s="1392"/>
      <c r="AB65" s="1392"/>
      <c r="AC65" s="1392"/>
      <c r="AD65" s="1392"/>
      <c r="AE65" s="1392"/>
      <c r="AF65" s="1392"/>
      <c r="AG65" s="1392"/>
      <c r="AH65" s="1392"/>
      <c r="AI65" s="1392"/>
      <c r="AJ65" s="1392"/>
      <c r="AK65" s="1392"/>
      <c r="AL65" s="1392"/>
      <c r="AM65" s="1392"/>
      <c r="AN65" s="1392"/>
      <c r="AO65" s="1392"/>
      <c r="AP65" s="1392"/>
      <c r="AQ65" s="1392"/>
      <c r="AR65" s="1308" t="s">
        <v>64</v>
      </c>
      <c r="AS65" s="1309"/>
      <c r="AU65" s="1372"/>
      <c r="AV65" s="1373"/>
      <c r="AW65" s="1373"/>
      <c r="AX65" s="1374"/>
      <c r="AY65" s="1374"/>
      <c r="AZ65" s="1664" t="str">
        <f>附表!AG22</f>
        <v>奥运推迟</v>
      </c>
      <c r="BA65" s="1664"/>
      <c r="BB65" s="1664"/>
      <c r="BC65" s="1664"/>
      <c r="BD65" s="1664"/>
      <c r="BE65" s="1664"/>
      <c r="BF65" s="1664" t="str">
        <f>附表!AJ22</f>
        <v>成功防控新冠病毒</v>
      </c>
      <c r="BG65" s="1664"/>
      <c r="BH65" s="1664"/>
      <c r="BI65" s="1664"/>
      <c r="BJ65" s="1664"/>
      <c r="BK65" s="1664"/>
      <c r="BL65" s="1664" t="str">
        <f>附表!AM22</f>
        <v>庚子鼠年</v>
      </c>
      <c r="BM65" s="1664"/>
      <c r="BN65" s="1664"/>
      <c r="BO65" s="1664"/>
      <c r="BP65" s="1664"/>
      <c r="BQ65" s="1664"/>
      <c r="BR65" s="1665"/>
    </row>
    <row r="66" spans="1:70" ht="18" customHeight="1">
      <c r="B66" s="1310"/>
      <c r="C66" s="1311"/>
      <c r="D66" s="1311"/>
      <c r="E66" s="1311"/>
      <c r="F66" s="1311"/>
      <c r="G66" s="1311"/>
      <c r="H66" s="1311"/>
      <c r="I66" s="1311"/>
      <c r="J66" s="1311"/>
      <c r="K66" s="1312"/>
      <c r="L66" s="1316"/>
      <c r="M66" s="1317"/>
      <c r="N66" s="1317"/>
      <c r="O66" s="1317"/>
      <c r="P66" s="1317"/>
      <c r="Q66" s="1317"/>
      <c r="R66" s="1317"/>
      <c r="S66" s="1317"/>
      <c r="T66" s="1317"/>
      <c r="U66" s="1318"/>
      <c r="W66" s="1344"/>
      <c r="X66" s="1345"/>
      <c r="Y66" s="1345"/>
      <c r="Z66" s="1345"/>
      <c r="AA66" s="1392"/>
      <c r="AB66" s="1392"/>
      <c r="AC66" s="1392"/>
      <c r="AD66" s="1392"/>
      <c r="AE66" s="1392"/>
      <c r="AF66" s="1392"/>
      <c r="AG66" s="1392"/>
      <c r="AH66" s="1392"/>
      <c r="AI66" s="1392"/>
      <c r="AJ66" s="1392"/>
      <c r="AK66" s="1392"/>
      <c r="AL66" s="1392"/>
      <c r="AM66" s="1392"/>
      <c r="AN66" s="1392"/>
      <c r="AO66" s="1392"/>
      <c r="AP66" s="1392"/>
      <c r="AQ66" s="1392"/>
      <c r="AR66" s="1308"/>
      <c r="AS66" s="1309"/>
      <c r="AU66" s="1372"/>
      <c r="AV66" s="1373"/>
      <c r="AW66" s="1373"/>
      <c r="AX66" s="1375"/>
      <c r="AY66" s="1375"/>
      <c r="AZ66" s="1666" t="str">
        <f>附表!AH22</f>
        <v>英国脱欧</v>
      </c>
      <c r="BA66" s="1666"/>
      <c r="BB66" s="1666"/>
      <c r="BC66" s="1666"/>
      <c r="BD66" s="1666"/>
      <c r="BE66" s="1666"/>
      <c r="BF66" s="1666" t="str">
        <f>附表!AK22</f>
        <v>港区国安法表决通过</v>
      </c>
      <c r="BG66" s="1666"/>
      <c r="BH66" s="1666"/>
      <c r="BI66" s="1666"/>
      <c r="BJ66" s="1666"/>
      <c r="BK66" s="1666"/>
      <c r="BL66" s="1666" t="str">
        <f>附表!AN22</f>
        <v>中华人民共和国71周年</v>
      </c>
      <c r="BM66" s="1666"/>
      <c r="BN66" s="1666"/>
      <c r="BO66" s="1666"/>
      <c r="BP66" s="1666"/>
      <c r="BQ66" s="1666"/>
      <c r="BR66" s="1667"/>
    </row>
    <row r="67" spans="1:70" ht="18" customHeight="1">
      <c r="B67" s="1313"/>
      <c r="C67" s="1314"/>
      <c r="D67" s="1314"/>
      <c r="E67" s="1314"/>
      <c r="F67" s="1314"/>
      <c r="G67" s="1314"/>
      <c r="H67" s="1314"/>
      <c r="I67" s="1314"/>
      <c r="J67" s="1314"/>
      <c r="K67" s="1315"/>
      <c r="L67" s="1319"/>
      <c r="M67" s="1320"/>
      <c r="N67" s="1320"/>
      <c r="O67" s="1320"/>
      <c r="P67" s="1320"/>
      <c r="Q67" s="1320"/>
      <c r="R67" s="1320"/>
      <c r="S67" s="1320"/>
      <c r="T67" s="1320"/>
      <c r="U67" s="1321"/>
      <c r="W67" s="1366" t="s">
        <v>198</v>
      </c>
      <c r="X67" s="1367"/>
      <c r="Y67" s="1367"/>
      <c r="Z67" s="1367"/>
      <c r="AA67" s="1414"/>
      <c r="AB67" s="1414"/>
      <c r="AC67" s="1414"/>
      <c r="AD67" s="1414"/>
      <c r="AE67" s="1414"/>
      <c r="AF67" s="1414"/>
      <c r="AG67" s="1414"/>
      <c r="AH67" s="1414"/>
      <c r="AI67" s="1414"/>
      <c r="AJ67" s="1414"/>
      <c r="AK67" s="1414"/>
      <c r="AL67" s="1414"/>
      <c r="AM67" s="1414"/>
      <c r="AN67" s="1414"/>
      <c r="AO67" s="1414"/>
      <c r="AP67" s="1414"/>
      <c r="AQ67" s="1414"/>
      <c r="AR67" s="1346" t="s">
        <v>64</v>
      </c>
      <c r="AS67" s="1347"/>
      <c r="AU67" s="1537" t="s">
        <v>199</v>
      </c>
      <c r="AV67" s="1538"/>
      <c r="AW67" s="1538"/>
      <c r="AX67" s="1538"/>
      <c r="AY67" s="1538"/>
      <c r="AZ67" s="1538"/>
      <c r="BA67" s="1538"/>
      <c r="BB67" s="1538"/>
      <c r="BC67" s="1538"/>
      <c r="BD67" s="1538"/>
      <c r="BE67" s="1538"/>
      <c r="BF67" s="1538"/>
      <c r="BG67" s="1538"/>
      <c r="BH67" s="1538"/>
      <c r="BI67" s="1538"/>
      <c r="BJ67" s="1538"/>
      <c r="BK67" s="1538"/>
      <c r="BL67" s="1538"/>
      <c r="BM67" s="1538"/>
      <c r="BN67" s="1538"/>
      <c r="BO67" s="1538"/>
      <c r="BP67" s="1538"/>
      <c r="BQ67" s="1538"/>
      <c r="BR67" s="1539"/>
    </row>
    <row r="68" spans="1:70" ht="18" customHeight="1">
      <c r="B68" s="1534" t="s">
        <v>200</v>
      </c>
      <c r="C68" s="1535"/>
      <c r="D68" s="1535"/>
      <c r="E68" s="1535"/>
      <c r="F68" s="1535"/>
      <c r="G68" s="1535"/>
      <c r="H68" s="1535"/>
      <c r="I68" s="1535"/>
      <c r="J68" s="1535"/>
      <c r="K68" s="1535"/>
      <c r="L68" s="1535"/>
      <c r="M68" s="1535"/>
      <c r="N68" s="1535"/>
      <c r="O68" s="1535"/>
      <c r="P68" s="1535"/>
      <c r="Q68" s="1535"/>
      <c r="R68" s="1535"/>
      <c r="S68" s="1535"/>
      <c r="T68" s="1535"/>
      <c r="U68" s="1536"/>
      <c r="W68" s="1366"/>
      <c r="X68" s="1367"/>
      <c r="Y68" s="1367"/>
      <c r="Z68" s="1367"/>
      <c r="AA68" s="1414"/>
      <c r="AB68" s="1414"/>
      <c r="AC68" s="1414"/>
      <c r="AD68" s="1414"/>
      <c r="AE68" s="1414"/>
      <c r="AF68" s="1414"/>
      <c r="AG68" s="1414"/>
      <c r="AH68" s="1414"/>
      <c r="AI68" s="1414"/>
      <c r="AJ68" s="1414"/>
      <c r="AK68" s="1414"/>
      <c r="AL68" s="1414"/>
      <c r="AM68" s="1414"/>
      <c r="AN68" s="1414"/>
      <c r="AO68" s="1414"/>
      <c r="AP68" s="1414"/>
      <c r="AQ68" s="1414"/>
      <c r="AR68" s="1346"/>
      <c r="AS68" s="1347"/>
      <c r="AU68" s="1426" t="str">
        <f>附表!AO22</f>
        <v>新冠病毒
特朗普弹劾案
伊朗将军苏莱曼尼遇袭身亡
英国正式脱欧
首次因非战争事件推迟奥运会
美股连续熔断
原油期货价格跌负
港区国安法表决通过</v>
      </c>
      <c r="AV68" s="1427"/>
      <c r="AW68" s="1427"/>
      <c r="AX68" s="1427"/>
      <c r="AY68" s="1427"/>
      <c r="AZ68" s="1427"/>
      <c r="BA68" s="1427"/>
      <c r="BB68" s="1427"/>
      <c r="BC68" s="1427"/>
      <c r="BD68" s="1427"/>
      <c r="BE68" s="1427"/>
      <c r="BF68" s="1427"/>
      <c r="BG68" s="1427"/>
      <c r="BH68" s="1427"/>
      <c r="BI68" s="1427"/>
      <c r="BJ68" s="1427"/>
      <c r="BK68" s="1427"/>
      <c r="BL68" s="1427"/>
      <c r="BM68" s="1427"/>
      <c r="BN68" s="1427"/>
      <c r="BO68" s="1427"/>
      <c r="BP68" s="1427"/>
      <c r="BQ68" s="1427"/>
      <c r="BR68" s="1428"/>
    </row>
    <row r="69" spans="1:70" ht="18" customHeight="1">
      <c r="B69" s="1442" t="s">
        <v>201</v>
      </c>
      <c r="C69" s="1443"/>
      <c r="D69" s="1443"/>
      <c r="E69" s="1443"/>
      <c r="F69" s="1443" t="s">
        <v>202</v>
      </c>
      <c r="G69" s="1443"/>
      <c r="H69" s="1443"/>
      <c r="I69" s="1443"/>
      <c r="J69" s="1443" t="s">
        <v>203</v>
      </c>
      <c r="K69" s="1443"/>
      <c r="L69" s="1443"/>
      <c r="M69" s="1443"/>
      <c r="N69" s="1443" t="s">
        <v>204</v>
      </c>
      <c r="O69" s="1443"/>
      <c r="P69" s="1443"/>
      <c r="Q69" s="1443"/>
      <c r="R69" s="1443" t="s">
        <v>205</v>
      </c>
      <c r="S69" s="1443"/>
      <c r="T69" s="1443"/>
      <c r="U69" s="1444"/>
      <c r="W69" s="1344" t="s">
        <v>206</v>
      </c>
      <c r="X69" s="1345"/>
      <c r="Y69" s="1345"/>
      <c r="Z69" s="1345"/>
      <c r="AA69" s="1392"/>
      <c r="AB69" s="1392"/>
      <c r="AC69" s="1392"/>
      <c r="AD69" s="1392"/>
      <c r="AE69" s="1392"/>
      <c r="AF69" s="1392"/>
      <c r="AG69" s="1392"/>
      <c r="AH69" s="1392"/>
      <c r="AI69" s="1392"/>
      <c r="AJ69" s="1392"/>
      <c r="AK69" s="1392"/>
      <c r="AL69" s="1392"/>
      <c r="AM69" s="1392"/>
      <c r="AN69" s="1392"/>
      <c r="AO69" s="1392"/>
      <c r="AP69" s="1392"/>
      <c r="AQ69" s="1392"/>
      <c r="AR69" s="1308" t="s">
        <v>64</v>
      </c>
      <c r="AS69" s="1309"/>
      <c r="AU69" s="1426"/>
      <c r="AV69" s="1427"/>
      <c r="AW69" s="1427"/>
      <c r="AX69" s="1427"/>
      <c r="AY69" s="1427"/>
      <c r="AZ69" s="1427"/>
      <c r="BA69" s="1427"/>
      <c r="BB69" s="1427"/>
      <c r="BC69" s="1427"/>
      <c r="BD69" s="1427"/>
      <c r="BE69" s="1427"/>
      <c r="BF69" s="1427"/>
      <c r="BG69" s="1427"/>
      <c r="BH69" s="1427"/>
      <c r="BI69" s="1427"/>
      <c r="BJ69" s="1427"/>
      <c r="BK69" s="1427"/>
      <c r="BL69" s="1427"/>
      <c r="BM69" s="1427"/>
      <c r="BN69" s="1427"/>
      <c r="BO69" s="1427"/>
      <c r="BP69" s="1427"/>
      <c r="BQ69" s="1427"/>
      <c r="BR69" s="1428"/>
    </row>
    <row r="70" spans="1:70" ht="18" customHeight="1">
      <c r="B70" s="1402"/>
      <c r="C70" s="1403"/>
      <c r="D70" s="1403"/>
      <c r="E70" s="1403"/>
      <c r="F70" s="1403"/>
      <c r="G70" s="1403"/>
      <c r="H70" s="1403"/>
      <c r="I70" s="1403"/>
      <c r="J70" s="1403"/>
      <c r="K70" s="1403"/>
      <c r="L70" s="1403"/>
      <c r="M70" s="1403"/>
      <c r="N70" s="1403"/>
      <c r="O70" s="1403"/>
      <c r="P70" s="1403"/>
      <c r="Q70" s="1403"/>
      <c r="R70" s="1404"/>
      <c r="S70" s="1404"/>
      <c r="T70" s="1404"/>
      <c r="U70" s="1405"/>
      <c r="W70" s="1344"/>
      <c r="X70" s="1345"/>
      <c r="Y70" s="1345"/>
      <c r="Z70" s="1345"/>
      <c r="AA70" s="1392"/>
      <c r="AB70" s="1392"/>
      <c r="AC70" s="1392"/>
      <c r="AD70" s="1392"/>
      <c r="AE70" s="1392"/>
      <c r="AF70" s="1392"/>
      <c r="AG70" s="1392"/>
      <c r="AH70" s="1392"/>
      <c r="AI70" s="1392"/>
      <c r="AJ70" s="1392"/>
      <c r="AK70" s="1392"/>
      <c r="AL70" s="1392"/>
      <c r="AM70" s="1392"/>
      <c r="AN70" s="1392"/>
      <c r="AO70" s="1392"/>
      <c r="AP70" s="1392"/>
      <c r="AQ70" s="1392"/>
      <c r="AR70" s="1308"/>
      <c r="AS70" s="1309"/>
      <c r="AU70" s="1426"/>
      <c r="AV70" s="1427"/>
      <c r="AW70" s="1427"/>
      <c r="AX70" s="1427"/>
      <c r="AY70" s="1427"/>
      <c r="AZ70" s="1427"/>
      <c r="BA70" s="1427"/>
      <c r="BB70" s="1427"/>
      <c r="BC70" s="1427"/>
      <c r="BD70" s="1427"/>
      <c r="BE70" s="1427"/>
      <c r="BF70" s="1427"/>
      <c r="BG70" s="1427"/>
      <c r="BH70" s="1427"/>
      <c r="BI70" s="1427"/>
      <c r="BJ70" s="1427"/>
      <c r="BK70" s="1427"/>
      <c r="BL70" s="1427"/>
      <c r="BM70" s="1427"/>
      <c r="BN70" s="1427"/>
      <c r="BO70" s="1427"/>
      <c r="BP70" s="1427"/>
      <c r="BQ70" s="1427"/>
      <c r="BR70" s="1428"/>
    </row>
    <row r="71" spans="1:70" ht="18" customHeight="1">
      <c r="B71" s="1402"/>
      <c r="C71" s="1403"/>
      <c r="D71" s="1403"/>
      <c r="E71" s="1403"/>
      <c r="F71" s="1403"/>
      <c r="G71" s="1403"/>
      <c r="H71" s="1403"/>
      <c r="I71" s="1403"/>
      <c r="J71" s="1403"/>
      <c r="K71" s="1403"/>
      <c r="L71" s="1403"/>
      <c r="M71" s="1403"/>
      <c r="N71" s="1403"/>
      <c r="O71" s="1403"/>
      <c r="P71" s="1403"/>
      <c r="Q71" s="1403"/>
      <c r="R71" s="1404"/>
      <c r="S71" s="1404"/>
      <c r="T71" s="1404"/>
      <c r="U71" s="1405"/>
      <c r="W71" s="1300" t="s">
        <v>207</v>
      </c>
      <c r="X71" s="1301"/>
      <c r="Y71" s="1301"/>
      <c r="Z71" s="1301"/>
      <c r="AA71" s="1414"/>
      <c r="AB71" s="1414"/>
      <c r="AC71" s="1414"/>
      <c r="AD71" s="1414"/>
      <c r="AE71" s="1414"/>
      <c r="AF71" s="1414"/>
      <c r="AG71" s="1414"/>
      <c r="AH71" s="1414"/>
      <c r="AI71" s="1414"/>
      <c r="AJ71" s="1414"/>
      <c r="AK71" s="1414"/>
      <c r="AL71" s="1414"/>
      <c r="AM71" s="1414"/>
      <c r="AN71" s="1414"/>
      <c r="AO71" s="1414"/>
      <c r="AP71" s="1414"/>
      <c r="AQ71" s="1414"/>
      <c r="AR71" s="1346" t="s">
        <v>64</v>
      </c>
      <c r="AS71" s="1347"/>
      <c r="AU71" s="1426"/>
      <c r="AV71" s="1427"/>
      <c r="AW71" s="1427"/>
      <c r="AX71" s="1427"/>
      <c r="AY71" s="1427"/>
      <c r="AZ71" s="1427"/>
      <c r="BA71" s="1427"/>
      <c r="BB71" s="1427"/>
      <c r="BC71" s="1427"/>
      <c r="BD71" s="1427"/>
      <c r="BE71" s="1427"/>
      <c r="BF71" s="1427"/>
      <c r="BG71" s="1427"/>
      <c r="BH71" s="1427"/>
      <c r="BI71" s="1427"/>
      <c r="BJ71" s="1427"/>
      <c r="BK71" s="1427"/>
      <c r="BL71" s="1427"/>
      <c r="BM71" s="1427"/>
      <c r="BN71" s="1427"/>
      <c r="BO71" s="1427"/>
      <c r="BP71" s="1427"/>
      <c r="BQ71" s="1427"/>
      <c r="BR71" s="1428"/>
    </row>
    <row r="72" spans="1:70" ht="18" customHeight="1">
      <c r="B72" s="1402"/>
      <c r="C72" s="1403"/>
      <c r="D72" s="1403"/>
      <c r="E72" s="1403"/>
      <c r="F72" s="1403"/>
      <c r="G72" s="1403"/>
      <c r="H72" s="1403"/>
      <c r="I72" s="1403"/>
      <c r="J72" s="1403"/>
      <c r="K72" s="1403"/>
      <c r="L72" s="1403"/>
      <c r="M72" s="1403"/>
      <c r="N72" s="1403"/>
      <c r="O72" s="1403"/>
      <c r="P72" s="1403"/>
      <c r="Q72" s="1403"/>
      <c r="R72" s="1404"/>
      <c r="S72" s="1404"/>
      <c r="T72" s="1404"/>
      <c r="U72" s="1405"/>
      <c r="W72" s="1300"/>
      <c r="X72" s="1301"/>
      <c r="Y72" s="1301"/>
      <c r="Z72" s="1301"/>
      <c r="AA72" s="1414"/>
      <c r="AB72" s="1414"/>
      <c r="AC72" s="1414"/>
      <c r="AD72" s="1414"/>
      <c r="AE72" s="1414"/>
      <c r="AF72" s="1414"/>
      <c r="AG72" s="1414"/>
      <c r="AH72" s="1414"/>
      <c r="AI72" s="1414"/>
      <c r="AJ72" s="1414"/>
      <c r="AK72" s="1414"/>
      <c r="AL72" s="1414"/>
      <c r="AM72" s="1414"/>
      <c r="AN72" s="1414"/>
      <c r="AO72" s="1414"/>
      <c r="AP72" s="1414"/>
      <c r="AQ72" s="1414"/>
      <c r="AR72" s="1346"/>
      <c r="AS72" s="1347"/>
      <c r="AU72" s="1426"/>
      <c r="AV72" s="1427"/>
      <c r="AW72" s="1427"/>
      <c r="AX72" s="1427"/>
      <c r="AY72" s="1427"/>
      <c r="AZ72" s="1427"/>
      <c r="BA72" s="1427"/>
      <c r="BB72" s="1427"/>
      <c r="BC72" s="1427"/>
      <c r="BD72" s="1427"/>
      <c r="BE72" s="1427"/>
      <c r="BF72" s="1427"/>
      <c r="BG72" s="1427"/>
      <c r="BH72" s="1427"/>
      <c r="BI72" s="1427"/>
      <c r="BJ72" s="1427"/>
      <c r="BK72" s="1427"/>
      <c r="BL72" s="1427"/>
      <c r="BM72" s="1427"/>
      <c r="BN72" s="1427"/>
      <c r="BO72" s="1427"/>
      <c r="BP72" s="1427"/>
      <c r="BQ72" s="1427"/>
      <c r="BR72" s="1428"/>
    </row>
    <row r="73" spans="1:70" ht="18" customHeight="1">
      <c r="B73" s="1402"/>
      <c r="C73" s="1403"/>
      <c r="D73" s="1403"/>
      <c r="E73" s="1403"/>
      <c r="F73" s="1403"/>
      <c r="G73" s="1403"/>
      <c r="H73" s="1403"/>
      <c r="I73" s="1403"/>
      <c r="J73" s="1403"/>
      <c r="K73" s="1403"/>
      <c r="L73" s="1403"/>
      <c r="M73" s="1403"/>
      <c r="N73" s="1403"/>
      <c r="O73" s="1403"/>
      <c r="P73" s="1403"/>
      <c r="Q73" s="1403"/>
      <c r="R73" s="1404"/>
      <c r="S73" s="1404"/>
      <c r="T73" s="1404"/>
      <c r="U73" s="1405"/>
      <c r="W73" s="1344" t="s">
        <v>208</v>
      </c>
      <c r="X73" s="1345"/>
      <c r="Y73" s="1345"/>
      <c r="Z73" s="1345"/>
      <c r="AA73" s="1392"/>
      <c r="AB73" s="1392"/>
      <c r="AC73" s="1392"/>
      <c r="AD73" s="1392"/>
      <c r="AE73" s="1392"/>
      <c r="AF73" s="1392"/>
      <c r="AG73" s="1392"/>
      <c r="AH73" s="1392"/>
      <c r="AI73" s="1392"/>
      <c r="AJ73" s="1392"/>
      <c r="AK73" s="1392"/>
      <c r="AL73" s="1392"/>
      <c r="AM73" s="1392"/>
      <c r="AN73" s="1392"/>
      <c r="AO73" s="1392"/>
      <c r="AP73" s="1392"/>
      <c r="AQ73" s="1392"/>
      <c r="AR73" s="1308" t="s">
        <v>64</v>
      </c>
      <c r="AS73" s="1309"/>
      <c r="AU73" s="1426"/>
      <c r="AV73" s="1427"/>
      <c r="AW73" s="1427"/>
      <c r="AX73" s="1427"/>
      <c r="AY73" s="1427"/>
      <c r="AZ73" s="1427"/>
      <c r="BA73" s="1427"/>
      <c r="BB73" s="1427"/>
      <c r="BC73" s="1427"/>
      <c r="BD73" s="1427"/>
      <c r="BE73" s="1427"/>
      <c r="BF73" s="1427"/>
      <c r="BG73" s="1427"/>
      <c r="BH73" s="1427"/>
      <c r="BI73" s="1427"/>
      <c r="BJ73" s="1427"/>
      <c r="BK73" s="1427"/>
      <c r="BL73" s="1427"/>
      <c r="BM73" s="1427"/>
      <c r="BN73" s="1427"/>
      <c r="BO73" s="1427"/>
      <c r="BP73" s="1427"/>
      <c r="BQ73" s="1427"/>
      <c r="BR73" s="1428"/>
    </row>
    <row r="74" spans="1:70" ht="18" customHeight="1">
      <c r="B74" s="1402"/>
      <c r="C74" s="1403"/>
      <c r="D74" s="1403"/>
      <c r="E74" s="1403"/>
      <c r="F74" s="1403"/>
      <c r="G74" s="1403"/>
      <c r="H74" s="1403"/>
      <c r="I74" s="1403"/>
      <c r="J74" s="1403"/>
      <c r="K74" s="1403"/>
      <c r="L74" s="1403"/>
      <c r="M74" s="1403"/>
      <c r="N74" s="1403"/>
      <c r="O74" s="1403"/>
      <c r="P74" s="1403"/>
      <c r="Q74" s="1403"/>
      <c r="R74" s="1404"/>
      <c r="S74" s="1404"/>
      <c r="T74" s="1404"/>
      <c r="U74" s="1405"/>
      <c r="W74" s="1344"/>
      <c r="X74" s="1345"/>
      <c r="Y74" s="1345"/>
      <c r="Z74" s="1345"/>
      <c r="AA74" s="1392"/>
      <c r="AB74" s="1392"/>
      <c r="AC74" s="1392"/>
      <c r="AD74" s="1392"/>
      <c r="AE74" s="1392"/>
      <c r="AF74" s="1392"/>
      <c r="AG74" s="1392"/>
      <c r="AH74" s="1392"/>
      <c r="AI74" s="1392"/>
      <c r="AJ74" s="1392"/>
      <c r="AK74" s="1392"/>
      <c r="AL74" s="1392"/>
      <c r="AM74" s="1392"/>
      <c r="AN74" s="1392"/>
      <c r="AO74" s="1392"/>
      <c r="AP74" s="1392"/>
      <c r="AQ74" s="1392"/>
      <c r="AR74" s="1308"/>
      <c r="AS74" s="1309"/>
      <c r="AU74" s="1426"/>
      <c r="AV74" s="1427"/>
      <c r="AW74" s="1427"/>
      <c r="AX74" s="1427"/>
      <c r="AY74" s="1427"/>
      <c r="AZ74" s="1427"/>
      <c r="BA74" s="1427"/>
      <c r="BB74" s="1427"/>
      <c r="BC74" s="1427"/>
      <c r="BD74" s="1427"/>
      <c r="BE74" s="1427"/>
      <c r="BF74" s="1427"/>
      <c r="BG74" s="1427"/>
      <c r="BH74" s="1427"/>
      <c r="BI74" s="1427"/>
      <c r="BJ74" s="1427"/>
      <c r="BK74" s="1427"/>
      <c r="BL74" s="1427"/>
      <c r="BM74" s="1427"/>
      <c r="BN74" s="1427"/>
      <c r="BO74" s="1427"/>
      <c r="BP74" s="1427"/>
      <c r="BQ74" s="1427"/>
      <c r="BR74" s="1428"/>
    </row>
    <row r="75" spans="1:70" ht="18" customHeight="1">
      <c r="B75" s="1668">
        <v>0</v>
      </c>
      <c r="C75" s="1669"/>
      <c r="D75" s="1669"/>
      <c r="E75" s="1669"/>
      <c r="F75" s="1669">
        <v>0</v>
      </c>
      <c r="G75" s="1669"/>
      <c r="H75" s="1669"/>
      <c r="I75" s="1669"/>
      <c r="J75" s="1669">
        <v>0</v>
      </c>
      <c r="K75" s="1669"/>
      <c r="L75" s="1669"/>
      <c r="M75" s="1669"/>
      <c r="N75" s="1669">
        <v>0</v>
      </c>
      <c r="O75" s="1669"/>
      <c r="P75" s="1669"/>
      <c r="Q75" s="1669"/>
      <c r="R75" s="1669">
        <v>0</v>
      </c>
      <c r="S75" s="1669"/>
      <c r="T75" s="1669"/>
      <c r="U75" s="1670"/>
      <c r="W75" s="1300" t="s">
        <v>209</v>
      </c>
      <c r="X75" s="1301"/>
      <c r="Y75" s="1301"/>
      <c r="Z75" s="1301"/>
      <c r="AA75" s="1414"/>
      <c r="AB75" s="1414"/>
      <c r="AC75" s="1414"/>
      <c r="AD75" s="1414"/>
      <c r="AE75" s="1414"/>
      <c r="AF75" s="1414"/>
      <c r="AG75" s="1414"/>
      <c r="AH75" s="1414"/>
      <c r="AI75" s="1414"/>
      <c r="AJ75" s="1414"/>
      <c r="AK75" s="1414"/>
      <c r="AL75" s="1414"/>
      <c r="AM75" s="1414"/>
      <c r="AN75" s="1414"/>
      <c r="AO75" s="1414"/>
      <c r="AP75" s="1414"/>
      <c r="AQ75" s="1414"/>
      <c r="AR75" s="1346" t="s">
        <v>64</v>
      </c>
      <c r="AS75" s="1347"/>
      <c r="AU75" s="1426"/>
      <c r="AV75" s="1427"/>
      <c r="AW75" s="1427"/>
      <c r="AX75" s="1427"/>
      <c r="AY75" s="1427"/>
      <c r="AZ75" s="1427"/>
      <c r="BA75" s="1427"/>
      <c r="BB75" s="1427"/>
      <c r="BC75" s="1427"/>
      <c r="BD75" s="1427"/>
      <c r="BE75" s="1427"/>
      <c r="BF75" s="1427"/>
      <c r="BG75" s="1427"/>
      <c r="BH75" s="1427"/>
      <c r="BI75" s="1427"/>
      <c r="BJ75" s="1427"/>
      <c r="BK75" s="1427"/>
      <c r="BL75" s="1427"/>
      <c r="BM75" s="1427"/>
      <c r="BN75" s="1427"/>
      <c r="BO75" s="1427"/>
      <c r="BP75" s="1427"/>
      <c r="BQ75" s="1427"/>
      <c r="BR75" s="1428"/>
    </row>
    <row r="76" spans="1:70" ht="18" customHeight="1">
      <c r="B76" s="1672" t="str">
        <f>"资产总和："&amp;SUM(B75:U75)</f>
        <v>资产总和：0</v>
      </c>
      <c r="C76" s="1672"/>
      <c r="D76" s="1672"/>
      <c r="E76" s="1672"/>
      <c r="F76" s="1672"/>
      <c r="G76" s="1672"/>
      <c r="H76" s="1672"/>
      <c r="I76" s="1672"/>
      <c r="J76" s="1673"/>
      <c r="K76" s="1673"/>
      <c r="L76" s="1673"/>
      <c r="M76" s="1673"/>
      <c r="N76" s="1672" t="str">
        <f>"剩余资产值："&amp;IF(附表!AG230="没有",0-SUM(B75:U75),附表!AG230-SUM(B75:U75))</f>
        <v>剩余资产值：750</v>
      </c>
      <c r="O76" s="1672"/>
      <c r="P76" s="1672"/>
      <c r="Q76" s="1672"/>
      <c r="R76" s="1672"/>
      <c r="S76" s="1672"/>
      <c r="T76" s="1672"/>
      <c r="U76" s="1672"/>
      <c r="W76" s="1432"/>
      <c r="X76" s="1433"/>
      <c r="Y76" s="1433"/>
      <c r="Z76" s="1433"/>
      <c r="AA76" s="1671"/>
      <c r="AB76" s="1671"/>
      <c r="AC76" s="1671"/>
      <c r="AD76" s="1671"/>
      <c r="AE76" s="1671"/>
      <c r="AF76" s="1671"/>
      <c r="AG76" s="1671"/>
      <c r="AH76" s="1671"/>
      <c r="AI76" s="1671"/>
      <c r="AJ76" s="1671"/>
      <c r="AK76" s="1671"/>
      <c r="AL76" s="1671"/>
      <c r="AM76" s="1671"/>
      <c r="AN76" s="1671"/>
      <c r="AO76" s="1671"/>
      <c r="AP76" s="1671"/>
      <c r="AQ76" s="1671"/>
      <c r="AR76" s="1400"/>
      <c r="AS76" s="1401"/>
      <c r="AU76" s="1426"/>
      <c r="AV76" s="1427"/>
      <c r="AW76" s="1427"/>
      <c r="AX76" s="1427"/>
      <c r="AY76" s="1427"/>
      <c r="AZ76" s="1427"/>
      <c r="BA76" s="1427"/>
      <c r="BB76" s="1427"/>
      <c r="BC76" s="1427"/>
      <c r="BD76" s="1427"/>
      <c r="BE76" s="1427"/>
      <c r="BF76" s="1427"/>
      <c r="BG76" s="1427"/>
      <c r="BH76" s="1427"/>
      <c r="BI76" s="1427"/>
      <c r="BJ76" s="1427"/>
      <c r="BK76" s="1427"/>
      <c r="BL76" s="1427"/>
      <c r="BM76" s="1427"/>
      <c r="BN76" s="1427"/>
      <c r="BO76" s="1427"/>
      <c r="BP76" s="1427"/>
      <c r="BQ76" s="1427"/>
      <c r="BR76" s="1428"/>
    </row>
    <row r="77" spans="1:70" ht="18" customHeight="1">
      <c r="B77" s="1534" t="s">
        <v>210</v>
      </c>
      <c r="C77" s="1535"/>
      <c r="D77" s="1535"/>
      <c r="E77" s="1535"/>
      <c r="F77" s="1535"/>
      <c r="G77" s="1535"/>
      <c r="H77" s="1535"/>
      <c r="I77" s="1535"/>
      <c r="J77" s="1535"/>
      <c r="K77" s="1535"/>
      <c r="L77" s="1535"/>
      <c r="M77" s="1535"/>
      <c r="N77" s="1535"/>
      <c r="O77" s="1535"/>
      <c r="P77" s="1535"/>
      <c r="Q77" s="1535"/>
      <c r="R77" s="1535"/>
      <c r="S77" s="1535"/>
      <c r="T77" s="1535"/>
      <c r="U77" s="1536"/>
      <c r="W77" s="1641" t="s">
        <v>211</v>
      </c>
      <c r="X77" s="1641"/>
      <c r="Y77" s="1641"/>
      <c r="Z77" s="1641"/>
      <c r="AA77" s="1641"/>
      <c r="AB77" s="1641"/>
      <c r="AC77" s="1641"/>
      <c r="AD77" s="1641"/>
      <c r="AE77" s="1641"/>
      <c r="AF77" s="1641"/>
      <c r="AG77" s="1641"/>
      <c r="AH77" s="1641"/>
      <c r="AI77" s="1641"/>
      <c r="AJ77" s="1641"/>
      <c r="AK77" s="1641"/>
      <c r="AL77" s="1641"/>
      <c r="AM77" s="1641"/>
      <c r="AN77" s="1641"/>
      <c r="AO77" s="1641"/>
      <c r="AP77" s="1641"/>
      <c r="AQ77" s="1641"/>
      <c r="AR77" s="1641"/>
      <c r="AS77" s="1641"/>
      <c r="AT77" s="673"/>
      <c r="AU77" s="1426"/>
      <c r="AV77" s="1427"/>
      <c r="AW77" s="1427"/>
      <c r="AX77" s="1427"/>
      <c r="AY77" s="1427"/>
      <c r="AZ77" s="1427"/>
      <c r="BA77" s="1427"/>
      <c r="BB77" s="1427"/>
      <c r="BC77" s="1427"/>
      <c r="BD77" s="1427"/>
      <c r="BE77" s="1427"/>
      <c r="BF77" s="1427"/>
      <c r="BG77" s="1427"/>
      <c r="BH77" s="1427"/>
      <c r="BI77" s="1427"/>
      <c r="BJ77" s="1427"/>
      <c r="BK77" s="1427"/>
      <c r="BL77" s="1427"/>
      <c r="BM77" s="1427"/>
      <c r="BN77" s="1427"/>
      <c r="BO77" s="1427"/>
      <c r="BP77" s="1427"/>
      <c r="BQ77" s="1427"/>
      <c r="BR77" s="1428"/>
    </row>
    <row r="78" spans="1:70" ht="18" customHeight="1">
      <c r="A78" s="621"/>
      <c r="B78" s="1658" t="s">
        <v>212</v>
      </c>
      <c r="C78" s="1659"/>
      <c r="D78" s="1659" t="s">
        <v>213</v>
      </c>
      <c r="E78" s="1659"/>
      <c r="F78" s="1659" t="s">
        <v>214</v>
      </c>
      <c r="G78" s="1659"/>
      <c r="H78" s="1659"/>
      <c r="I78" s="1659"/>
      <c r="J78" s="1659"/>
      <c r="K78" s="1659"/>
      <c r="L78" s="1659"/>
      <c r="M78" s="1659"/>
      <c r="N78" s="1660" t="s">
        <v>215</v>
      </c>
      <c r="O78" s="1659"/>
      <c r="P78" s="1659"/>
      <c r="Q78" s="1659"/>
      <c r="R78" s="1659"/>
      <c r="S78" s="1659"/>
      <c r="T78" s="1659"/>
      <c r="U78" s="1661"/>
      <c r="W78" s="1641"/>
      <c r="X78" s="1641"/>
      <c r="Y78" s="1641"/>
      <c r="Z78" s="1641"/>
      <c r="AA78" s="1641"/>
      <c r="AB78" s="1641"/>
      <c r="AC78" s="1641"/>
      <c r="AD78" s="1641"/>
      <c r="AE78" s="1641"/>
      <c r="AF78" s="1641"/>
      <c r="AG78" s="1641"/>
      <c r="AH78" s="1641"/>
      <c r="AI78" s="1641"/>
      <c r="AJ78" s="1641"/>
      <c r="AK78" s="1641"/>
      <c r="AL78" s="1641"/>
      <c r="AM78" s="1641"/>
      <c r="AN78" s="1641"/>
      <c r="AO78" s="1641"/>
      <c r="AP78" s="1641"/>
      <c r="AQ78" s="1641"/>
      <c r="AR78" s="1641"/>
      <c r="AS78" s="1641"/>
      <c r="AT78" s="673"/>
      <c r="AU78" s="1426"/>
      <c r="AV78" s="1427"/>
      <c r="AW78" s="1427"/>
      <c r="AX78" s="1427"/>
      <c r="AY78" s="1427"/>
      <c r="AZ78" s="1427"/>
      <c r="BA78" s="1427"/>
      <c r="BB78" s="1427"/>
      <c r="BC78" s="1427"/>
      <c r="BD78" s="1427"/>
      <c r="BE78" s="1427"/>
      <c r="BF78" s="1427"/>
      <c r="BG78" s="1427"/>
      <c r="BH78" s="1427"/>
      <c r="BI78" s="1427"/>
      <c r="BJ78" s="1427"/>
      <c r="BK78" s="1427"/>
      <c r="BL78" s="1427"/>
      <c r="BM78" s="1427"/>
      <c r="BN78" s="1427"/>
      <c r="BO78" s="1427"/>
      <c r="BP78" s="1427"/>
      <c r="BQ78" s="1427"/>
      <c r="BR78" s="1428"/>
    </row>
    <row r="79" spans="1:70" ht="18" customHeight="1">
      <c r="A79" s="621"/>
      <c r="B79" s="1642"/>
      <c r="C79" s="1643"/>
      <c r="D79" s="1644"/>
      <c r="E79" s="1645"/>
      <c r="F79" s="1646" t="s">
        <v>216</v>
      </c>
      <c r="G79" s="1647"/>
      <c r="H79" s="1647"/>
      <c r="I79" s="1647"/>
      <c r="J79" s="1647"/>
      <c r="K79" s="1647"/>
      <c r="L79" s="1647"/>
      <c r="M79" s="1648"/>
      <c r="N79" s="1647"/>
      <c r="O79" s="1647"/>
      <c r="P79" s="1647"/>
      <c r="Q79" s="1647"/>
      <c r="R79" s="1647"/>
      <c r="S79" s="1647"/>
      <c r="T79" s="1647"/>
      <c r="U79" s="1649"/>
      <c r="W79" s="1641"/>
      <c r="X79" s="1641"/>
      <c r="Y79" s="1641"/>
      <c r="Z79" s="1641"/>
      <c r="AA79" s="1641"/>
      <c r="AB79" s="1641"/>
      <c r="AC79" s="1641"/>
      <c r="AD79" s="1641"/>
      <c r="AE79" s="1641"/>
      <c r="AF79" s="1641"/>
      <c r="AG79" s="1641"/>
      <c r="AH79" s="1641"/>
      <c r="AI79" s="1641"/>
      <c r="AJ79" s="1641"/>
      <c r="AK79" s="1641"/>
      <c r="AL79" s="1641"/>
      <c r="AM79" s="1641"/>
      <c r="AN79" s="1641"/>
      <c r="AO79" s="1641"/>
      <c r="AP79" s="1641"/>
      <c r="AQ79" s="1641"/>
      <c r="AR79" s="1641"/>
      <c r="AS79" s="1641"/>
      <c r="AT79" s="673"/>
      <c r="AU79" s="1426"/>
      <c r="AV79" s="1427"/>
      <c r="AW79" s="1427"/>
      <c r="AX79" s="1427"/>
      <c r="AY79" s="1427"/>
      <c r="AZ79" s="1427"/>
      <c r="BA79" s="1427"/>
      <c r="BB79" s="1427"/>
      <c r="BC79" s="1427"/>
      <c r="BD79" s="1427"/>
      <c r="BE79" s="1427"/>
      <c r="BF79" s="1427"/>
      <c r="BG79" s="1427"/>
      <c r="BH79" s="1427"/>
      <c r="BI79" s="1427"/>
      <c r="BJ79" s="1427"/>
      <c r="BK79" s="1427"/>
      <c r="BL79" s="1427"/>
      <c r="BM79" s="1427"/>
      <c r="BN79" s="1427"/>
      <c r="BO79" s="1427"/>
      <c r="BP79" s="1427"/>
      <c r="BQ79" s="1427"/>
      <c r="BR79" s="1428"/>
    </row>
    <row r="80" spans="1:70" ht="18" customHeight="1">
      <c r="A80" s="621"/>
      <c r="B80" s="1605"/>
      <c r="C80" s="1606"/>
      <c r="D80" s="1607"/>
      <c r="E80" s="1608"/>
      <c r="F80" s="1609" t="s">
        <v>217</v>
      </c>
      <c r="G80" s="1610"/>
      <c r="H80" s="1610"/>
      <c r="I80" s="1610"/>
      <c r="J80" s="1610"/>
      <c r="K80" s="1610"/>
      <c r="L80" s="1610"/>
      <c r="M80" s="1611"/>
      <c r="N80" s="1610"/>
      <c r="O80" s="1610"/>
      <c r="P80" s="1610"/>
      <c r="Q80" s="1610"/>
      <c r="R80" s="1610"/>
      <c r="S80" s="1610"/>
      <c r="T80" s="1610"/>
      <c r="U80" s="1612"/>
      <c r="W80" s="1641"/>
      <c r="X80" s="1641"/>
      <c r="Y80" s="1641"/>
      <c r="Z80" s="1641"/>
      <c r="AA80" s="1641"/>
      <c r="AB80" s="1641"/>
      <c r="AC80" s="1641"/>
      <c r="AD80" s="1641"/>
      <c r="AE80" s="1641"/>
      <c r="AF80" s="1641"/>
      <c r="AG80" s="1641"/>
      <c r="AH80" s="1641"/>
      <c r="AI80" s="1641"/>
      <c r="AJ80" s="1641"/>
      <c r="AK80" s="1641"/>
      <c r="AL80" s="1641"/>
      <c r="AM80" s="1641"/>
      <c r="AN80" s="1641"/>
      <c r="AO80" s="1641"/>
      <c r="AP80" s="1641"/>
      <c r="AQ80" s="1641"/>
      <c r="AR80" s="1641"/>
      <c r="AS80" s="1641"/>
      <c r="AT80" s="673"/>
      <c r="AU80" s="1426"/>
      <c r="AV80" s="1427"/>
      <c r="AW80" s="1427"/>
      <c r="AX80" s="1427"/>
      <c r="AY80" s="1427"/>
      <c r="AZ80" s="1427"/>
      <c r="BA80" s="1427"/>
      <c r="BB80" s="1427"/>
      <c r="BC80" s="1427"/>
      <c r="BD80" s="1427"/>
      <c r="BE80" s="1427"/>
      <c r="BF80" s="1427"/>
      <c r="BG80" s="1427"/>
      <c r="BH80" s="1427"/>
      <c r="BI80" s="1427"/>
      <c r="BJ80" s="1427"/>
      <c r="BK80" s="1427"/>
      <c r="BL80" s="1427"/>
      <c r="BM80" s="1427"/>
      <c r="BN80" s="1427"/>
      <c r="BO80" s="1427"/>
      <c r="BP80" s="1427"/>
      <c r="BQ80" s="1427"/>
      <c r="BR80" s="1428"/>
    </row>
    <row r="81" spans="1:70" ht="18" customHeight="1">
      <c r="A81" s="621"/>
      <c r="B81" s="1642"/>
      <c r="C81" s="1643"/>
      <c r="D81" s="1644"/>
      <c r="E81" s="1645"/>
      <c r="F81" s="1646" t="s">
        <v>218</v>
      </c>
      <c r="G81" s="1647"/>
      <c r="H81" s="1647"/>
      <c r="I81" s="1647"/>
      <c r="J81" s="1647"/>
      <c r="K81" s="1647"/>
      <c r="L81" s="1647"/>
      <c r="M81" s="1648"/>
      <c r="N81" s="1647"/>
      <c r="O81" s="1647"/>
      <c r="P81" s="1647"/>
      <c r="Q81" s="1647"/>
      <c r="R81" s="1647"/>
      <c r="S81" s="1647"/>
      <c r="T81" s="1647"/>
      <c r="U81" s="1649"/>
      <c r="W81" s="1641"/>
      <c r="X81" s="1641"/>
      <c r="Y81" s="1641"/>
      <c r="Z81" s="1641"/>
      <c r="AA81" s="1641"/>
      <c r="AB81" s="1641"/>
      <c r="AC81" s="1641"/>
      <c r="AD81" s="1641"/>
      <c r="AE81" s="1641"/>
      <c r="AF81" s="1641"/>
      <c r="AG81" s="1641"/>
      <c r="AH81" s="1641"/>
      <c r="AI81" s="1641"/>
      <c r="AJ81" s="1641"/>
      <c r="AK81" s="1641"/>
      <c r="AL81" s="1641"/>
      <c r="AM81" s="1641"/>
      <c r="AN81" s="1641"/>
      <c r="AO81" s="1641"/>
      <c r="AP81" s="1641"/>
      <c r="AQ81" s="1641"/>
      <c r="AR81" s="1641"/>
      <c r="AS81" s="1641"/>
      <c r="AT81" s="673"/>
      <c r="AU81" s="1426"/>
      <c r="AV81" s="1427"/>
      <c r="AW81" s="1427"/>
      <c r="AX81" s="1427"/>
      <c r="AY81" s="1427"/>
      <c r="AZ81" s="1427"/>
      <c r="BA81" s="1427"/>
      <c r="BB81" s="1427"/>
      <c r="BC81" s="1427"/>
      <c r="BD81" s="1427"/>
      <c r="BE81" s="1427"/>
      <c r="BF81" s="1427"/>
      <c r="BG81" s="1427"/>
      <c r="BH81" s="1427"/>
      <c r="BI81" s="1427"/>
      <c r="BJ81" s="1427"/>
      <c r="BK81" s="1427"/>
      <c r="BL81" s="1427"/>
      <c r="BM81" s="1427"/>
      <c r="BN81" s="1427"/>
      <c r="BO81" s="1427"/>
      <c r="BP81" s="1427"/>
      <c r="BQ81" s="1427"/>
      <c r="BR81" s="1428"/>
    </row>
    <row r="82" spans="1:70" ht="18" customHeight="1">
      <c r="A82" s="621"/>
      <c r="B82" s="1605"/>
      <c r="C82" s="1606"/>
      <c r="D82" s="1607"/>
      <c r="E82" s="1608"/>
      <c r="F82" s="1609" t="s">
        <v>219</v>
      </c>
      <c r="G82" s="1610"/>
      <c r="H82" s="1610"/>
      <c r="I82" s="1610"/>
      <c r="J82" s="1610"/>
      <c r="K82" s="1610"/>
      <c r="L82" s="1610"/>
      <c r="M82" s="1611"/>
      <c r="N82" s="1610"/>
      <c r="O82" s="1610"/>
      <c r="P82" s="1610"/>
      <c r="Q82" s="1610"/>
      <c r="R82" s="1610"/>
      <c r="S82" s="1610"/>
      <c r="T82" s="1610"/>
      <c r="U82" s="1612"/>
      <c r="W82" s="1641"/>
      <c r="X82" s="1641"/>
      <c r="Y82" s="1641"/>
      <c r="Z82" s="1641"/>
      <c r="AA82" s="1641"/>
      <c r="AB82" s="1641"/>
      <c r="AC82" s="1641"/>
      <c r="AD82" s="1641"/>
      <c r="AE82" s="1641"/>
      <c r="AF82" s="1641"/>
      <c r="AG82" s="1641"/>
      <c r="AH82" s="1641"/>
      <c r="AI82" s="1641"/>
      <c r="AJ82" s="1641"/>
      <c r="AK82" s="1641"/>
      <c r="AL82" s="1641"/>
      <c r="AM82" s="1641"/>
      <c r="AN82" s="1641"/>
      <c r="AO82" s="1641"/>
      <c r="AP82" s="1641"/>
      <c r="AQ82" s="1641"/>
      <c r="AR82" s="1641"/>
      <c r="AS82" s="1641"/>
      <c r="AT82" s="673"/>
      <c r="AU82" s="1426"/>
      <c r="AV82" s="1427"/>
      <c r="AW82" s="1427"/>
      <c r="AX82" s="1427"/>
      <c r="AY82" s="1427"/>
      <c r="AZ82" s="1427"/>
      <c r="BA82" s="1427"/>
      <c r="BB82" s="1427"/>
      <c r="BC82" s="1427"/>
      <c r="BD82" s="1427"/>
      <c r="BE82" s="1427"/>
      <c r="BF82" s="1427"/>
      <c r="BG82" s="1427"/>
      <c r="BH82" s="1427"/>
      <c r="BI82" s="1427"/>
      <c r="BJ82" s="1427"/>
      <c r="BK82" s="1427"/>
      <c r="BL82" s="1427"/>
      <c r="BM82" s="1427"/>
      <c r="BN82" s="1427"/>
      <c r="BO82" s="1427"/>
      <c r="BP82" s="1427"/>
      <c r="BQ82" s="1427"/>
      <c r="BR82" s="1428"/>
    </row>
    <row r="83" spans="1:70" ht="18" customHeight="1">
      <c r="A83" s="621"/>
      <c r="B83" s="1642"/>
      <c r="C83" s="1643"/>
      <c r="D83" s="1644"/>
      <c r="E83" s="1645"/>
      <c r="F83" s="1646" t="s">
        <v>220</v>
      </c>
      <c r="G83" s="1647"/>
      <c r="H83" s="1647"/>
      <c r="I83" s="1647"/>
      <c r="J83" s="1647"/>
      <c r="K83" s="1647"/>
      <c r="L83" s="1647"/>
      <c r="M83" s="1648"/>
      <c r="N83" s="1647"/>
      <c r="O83" s="1647"/>
      <c r="P83" s="1647"/>
      <c r="Q83" s="1647"/>
      <c r="R83" s="1647"/>
      <c r="S83" s="1647"/>
      <c r="T83" s="1647"/>
      <c r="U83" s="1649"/>
      <c r="W83" s="1641"/>
      <c r="X83" s="1641"/>
      <c r="Y83" s="1641"/>
      <c r="Z83" s="1641"/>
      <c r="AA83" s="1641"/>
      <c r="AB83" s="1641"/>
      <c r="AC83" s="1641"/>
      <c r="AD83" s="1641"/>
      <c r="AE83" s="1641"/>
      <c r="AF83" s="1641"/>
      <c r="AG83" s="1641"/>
      <c r="AH83" s="1641"/>
      <c r="AI83" s="1641"/>
      <c r="AJ83" s="1641"/>
      <c r="AK83" s="1641"/>
      <c r="AL83" s="1641"/>
      <c r="AM83" s="1641"/>
      <c r="AN83" s="1641"/>
      <c r="AO83" s="1641"/>
      <c r="AP83" s="1641"/>
      <c r="AQ83" s="1641"/>
      <c r="AR83" s="1641"/>
      <c r="AS83" s="1641"/>
      <c r="AT83" s="673"/>
      <c r="AU83" s="1426"/>
      <c r="AV83" s="1427"/>
      <c r="AW83" s="1427"/>
      <c r="AX83" s="1427"/>
      <c r="AY83" s="1427"/>
      <c r="AZ83" s="1427"/>
      <c r="BA83" s="1427"/>
      <c r="BB83" s="1427"/>
      <c r="BC83" s="1427"/>
      <c r="BD83" s="1427"/>
      <c r="BE83" s="1427"/>
      <c r="BF83" s="1427"/>
      <c r="BG83" s="1427"/>
      <c r="BH83" s="1427"/>
      <c r="BI83" s="1427"/>
      <c r="BJ83" s="1427"/>
      <c r="BK83" s="1427"/>
      <c r="BL83" s="1427"/>
      <c r="BM83" s="1427"/>
      <c r="BN83" s="1427"/>
      <c r="BO83" s="1427"/>
      <c r="BP83" s="1427"/>
      <c r="BQ83" s="1427"/>
      <c r="BR83" s="1428"/>
    </row>
    <row r="84" spans="1:70" ht="18" customHeight="1">
      <c r="A84" s="621"/>
      <c r="B84" s="1605"/>
      <c r="C84" s="1606"/>
      <c r="D84" s="1607"/>
      <c r="E84" s="1608"/>
      <c r="F84" s="1609" t="s">
        <v>221</v>
      </c>
      <c r="G84" s="1610"/>
      <c r="H84" s="1610"/>
      <c r="I84" s="1610"/>
      <c r="J84" s="1610"/>
      <c r="K84" s="1610"/>
      <c r="L84" s="1610"/>
      <c r="M84" s="1611"/>
      <c r="N84" s="1610"/>
      <c r="O84" s="1610"/>
      <c r="P84" s="1610"/>
      <c r="Q84" s="1610"/>
      <c r="R84" s="1610"/>
      <c r="S84" s="1610"/>
      <c r="T84" s="1610"/>
      <c r="U84" s="1612"/>
      <c r="W84" s="1641"/>
      <c r="X84" s="1641"/>
      <c r="Y84" s="1641"/>
      <c r="Z84" s="1641"/>
      <c r="AA84" s="1641"/>
      <c r="AB84" s="1641"/>
      <c r="AC84" s="1641"/>
      <c r="AD84" s="1641"/>
      <c r="AE84" s="1641"/>
      <c r="AF84" s="1641"/>
      <c r="AG84" s="1641"/>
      <c r="AH84" s="1641"/>
      <c r="AI84" s="1641"/>
      <c r="AJ84" s="1641"/>
      <c r="AK84" s="1641"/>
      <c r="AL84" s="1641"/>
      <c r="AM84" s="1641"/>
      <c r="AN84" s="1641"/>
      <c r="AO84" s="1641"/>
      <c r="AP84" s="1641"/>
      <c r="AQ84" s="1641"/>
      <c r="AR84" s="1641"/>
      <c r="AS84" s="1641"/>
      <c r="AT84" s="673"/>
      <c r="AU84" s="1426"/>
      <c r="AV84" s="1427"/>
      <c r="AW84" s="1427"/>
      <c r="AX84" s="1427"/>
      <c r="AY84" s="1427"/>
      <c r="AZ84" s="1427"/>
      <c r="BA84" s="1427"/>
      <c r="BB84" s="1427"/>
      <c r="BC84" s="1427"/>
      <c r="BD84" s="1427"/>
      <c r="BE84" s="1427"/>
      <c r="BF84" s="1427"/>
      <c r="BG84" s="1427"/>
      <c r="BH84" s="1427"/>
      <c r="BI84" s="1427"/>
      <c r="BJ84" s="1427"/>
      <c r="BK84" s="1427"/>
      <c r="BL84" s="1427"/>
      <c r="BM84" s="1427"/>
      <c r="BN84" s="1427"/>
      <c r="BO84" s="1427"/>
      <c r="BP84" s="1427"/>
      <c r="BQ84" s="1427"/>
      <c r="BR84" s="1428"/>
    </row>
    <row r="85" spans="1:70" ht="18" customHeight="1">
      <c r="A85" s="621"/>
      <c r="B85" s="1642"/>
      <c r="C85" s="1643"/>
      <c r="D85" s="1644"/>
      <c r="E85" s="1645"/>
      <c r="F85" s="1646" t="s">
        <v>222</v>
      </c>
      <c r="G85" s="1647"/>
      <c r="H85" s="1647"/>
      <c r="I85" s="1647"/>
      <c r="J85" s="1647"/>
      <c r="K85" s="1647"/>
      <c r="L85" s="1647"/>
      <c r="M85" s="1648"/>
      <c r="N85" s="1647"/>
      <c r="O85" s="1647"/>
      <c r="P85" s="1647"/>
      <c r="Q85" s="1647"/>
      <c r="R85" s="1647"/>
      <c r="S85" s="1647"/>
      <c r="T85" s="1647"/>
      <c r="U85" s="1649"/>
      <c r="W85" s="1641"/>
      <c r="X85" s="1641"/>
      <c r="Y85" s="1641"/>
      <c r="Z85" s="1641"/>
      <c r="AA85" s="1641"/>
      <c r="AB85" s="1641"/>
      <c r="AC85" s="1641"/>
      <c r="AD85" s="1641"/>
      <c r="AE85" s="1641"/>
      <c r="AF85" s="1641"/>
      <c r="AG85" s="1641"/>
      <c r="AH85" s="1641"/>
      <c r="AI85" s="1641"/>
      <c r="AJ85" s="1641"/>
      <c r="AK85" s="1641"/>
      <c r="AL85" s="1641"/>
      <c r="AM85" s="1641"/>
      <c r="AN85" s="1641"/>
      <c r="AO85" s="1641"/>
      <c r="AP85" s="1641"/>
      <c r="AQ85" s="1641"/>
      <c r="AR85" s="1641"/>
      <c r="AS85" s="1641"/>
      <c r="AT85" s="673"/>
      <c r="AU85" s="1426"/>
      <c r="AV85" s="1427"/>
      <c r="AW85" s="1427"/>
      <c r="AX85" s="1427"/>
      <c r="AY85" s="1427"/>
      <c r="AZ85" s="1427"/>
      <c r="BA85" s="1427"/>
      <c r="BB85" s="1427"/>
      <c r="BC85" s="1427"/>
      <c r="BD85" s="1427"/>
      <c r="BE85" s="1427"/>
      <c r="BF85" s="1427"/>
      <c r="BG85" s="1427"/>
      <c r="BH85" s="1427"/>
      <c r="BI85" s="1427"/>
      <c r="BJ85" s="1427"/>
      <c r="BK85" s="1427"/>
      <c r="BL85" s="1427"/>
      <c r="BM85" s="1427"/>
      <c r="BN85" s="1427"/>
      <c r="BO85" s="1427"/>
      <c r="BP85" s="1427"/>
      <c r="BQ85" s="1427"/>
      <c r="BR85" s="1428"/>
    </row>
    <row r="86" spans="1:70" ht="18" customHeight="1">
      <c r="A86" s="621"/>
      <c r="B86" s="1605"/>
      <c r="C86" s="1606"/>
      <c r="D86" s="1607"/>
      <c r="E86" s="1608"/>
      <c r="F86" s="1609" t="s">
        <v>223</v>
      </c>
      <c r="G86" s="1610"/>
      <c r="H86" s="1610"/>
      <c r="I86" s="1610"/>
      <c r="J86" s="1610"/>
      <c r="K86" s="1610"/>
      <c r="L86" s="1610"/>
      <c r="M86" s="1611"/>
      <c r="N86" s="1610"/>
      <c r="O86" s="1610"/>
      <c r="P86" s="1610"/>
      <c r="Q86" s="1610"/>
      <c r="R86" s="1610"/>
      <c r="S86" s="1610"/>
      <c r="T86" s="1610"/>
      <c r="U86" s="1612"/>
      <c r="W86" s="1641"/>
      <c r="X86" s="1641"/>
      <c r="Y86" s="1641"/>
      <c r="Z86" s="1641"/>
      <c r="AA86" s="1641"/>
      <c r="AB86" s="1641"/>
      <c r="AC86" s="1641"/>
      <c r="AD86" s="1641"/>
      <c r="AE86" s="1641"/>
      <c r="AF86" s="1641"/>
      <c r="AG86" s="1641"/>
      <c r="AH86" s="1641"/>
      <c r="AI86" s="1641"/>
      <c r="AJ86" s="1641"/>
      <c r="AK86" s="1641"/>
      <c r="AL86" s="1641"/>
      <c r="AM86" s="1641"/>
      <c r="AN86" s="1641"/>
      <c r="AO86" s="1641"/>
      <c r="AP86" s="1641"/>
      <c r="AQ86" s="1641"/>
      <c r="AR86" s="1641"/>
      <c r="AS86" s="1641"/>
      <c r="AT86" s="673"/>
      <c r="AU86" s="1426"/>
      <c r="AV86" s="1427"/>
      <c r="AW86" s="1427"/>
      <c r="AX86" s="1427"/>
      <c r="AY86" s="1427"/>
      <c r="AZ86" s="1427"/>
      <c r="BA86" s="1427"/>
      <c r="BB86" s="1427"/>
      <c r="BC86" s="1427"/>
      <c r="BD86" s="1427"/>
      <c r="BE86" s="1427"/>
      <c r="BF86" s="1427"/>
      <c r="BG86" s="1427"/>
      <c r="BH86" s="1427"/>
      <c r="BI86" s="1427"/>
      <c r="BJ86" s="1427"/>
      <c r="BK86" s="1427"/>
      <c r="BL86" s="1427"/>
      <c r="BM86" s="1427"/>
      <c r="BN86" s="1427"/>
      <c r="BO86" s="1427"/>
      <c r="BP86" s="1427"/>
      <c r="BQ86" s="1427"/>
      <c r="BR86" s="1428"/>
    </row>
    <row r="87" spans="1:70" ht="18" customHeight="1">
      <c r="A87" s="621"/>
      <c r="B87" s="1642"/>
      <c r="C87" s="1643"/>
      <c r="D87" s="1644"/>
      <c r="E87" s="1645"/>
      <c r="F87" s="1646" t="s">
        <v>224</v>
      </c>
      <c r="G87" s="1647"/>
      <c r="H87" s="1647"/>
      <c r="I87" s="1647"/>
      <c r="J87" s="1647"/>
      <c r="K87" s="1647"/>
      <c r="L87" s="1647"/>
      <c r="M87" s="1648"/>
      <c r="N87" s="1647"/>
      <c r="O87" s="1647"/>
      <c r="P87" s="1647"/>
      <c r="Q87" s="1647"/>
      <c r="R87" s="1647"/>
      <c r="S87" s="1647"/>
      <c r="T87" s="1647"/>
      <c r="U87" s="1649"/>
      <c r="W87" s="1641"/>
      <c r="X87" s="1641"/>
      <c r="Y87" s="1641"/>
      <c r="Z87" s="1641"/>
      <c r="AA87" s="1641"/>
      <c r="AB87" s="1641"/>
      <c r="AC87" s="1641"/>
      <c r="AD87" s="1641"/>
      <c r="AE87" s="1641"/>
      <c r="AF87" s="1641"/>
      <c r="AG87" s="1641"/>
      <c r="AH87" s="1641"/>
      <c r="AI87" s="1641"/>
      <c r="AJ87" s="1641"/>
      <c r="AK87" s="1641"/>
      <c r="AL87" s="1641"/>
      <c r="AM87" s="1641"/>
      <c r="AN87" s="1641"/>
      <c r="AO87" s="1641"/>
      <c r="AP87" s="1641"/>
      <c r="AQ87" s="1641"/>
      <c r="AR87" s="1641"/>
      <c r="AS87" s="1641"/>
      <c r="AT87" s="673"/>
      <c r="AU87" s="1426"/>
      <c r="AV87" s="1427"/>
      <c r="AW87" s="1427"/>
      <c r="AX87" s="1427"/>
      <c r="AY87" s="1427"/>
      <c r="AZ87" s="1427"/>
      <c r="BA87" s="1427"/>
      <c r="BB87" s="1427"/>
      <c r="BC87" s="1427"/>
      <c r="BD87" s="1427"/>
      <c r="BE87" s="1427"/>
      <c r="BF87" s="1427"/>
      <c r="BG87" s="1427"/>
      <c r="BH87" s="1427"/>
      <c r="BI87" s="1427"/>
      <c r="BJ87" s="1427"/>
      <c r="BK87" s="1427"/>
      <c r="BL87" s="1427"/>
      <c r="BM87" s="1427"/>
      <c r="BN87" s="1427"/>
      <c r="BO87" s="1427"/>
      <c r="BP87" s="1427"/>
      <c r="BQ87" s="1427"/>
      <c r="BR87" s="1428"/>
    </row>
    <row r="88" spans="1:70" ht="18" customHeight="1">
      <c r="A88" s="621"/>
      <c r="B88" s="1605"/>
      <c r="C88" s="1606"/>
      <c r="D88" s="1607" t="s">
        <v>225</v>
      </c>
      <c r="E88" s="1608"/>
      <c r="F88" s="1609" t="s">
        <v>226</v>
      </c>
      <c r="G88" s="1610"/>
      <c r="H88" s="1610"/>
      <c r="I88" s="1610"/>
      <c r="J88" s="1610"/>
      <c r="K88" s="1610"/>
      <c r="L88" s="1610"/>
      <c r="M88" s="1611"/>
      <c r="N88" s="1610"/>
      <c r="O88" s="1610"/>
      <c r="P88" s="1610"/>
      <c r="Q88" s="1610"/>
      <c r="R88" s="1610"/>
      <c r="S88" s="1610"/>
      <c r="T88" s="1610"/>
      <c r="U88" s="1612"/>
      <c r="W88" s="1641"/>
      <c r="X88" s="1641"/>
      <c r="Y88" s="1641"/>
      <c r="Z88" s="1641"/>
      <c r="AA88" s="1641"/>
      <c r="AB88" s="1641"/>
      <c r="AC88" s="1641"/>
      <c r="AD88" s="1641"/>
      <c r="AE88" s="1641"/>
      <c r="AF88" s="1641"/>
      <c r="AG88" s="1641"/>
      <c r="AH88" s="1641"/>
      <c r="AI88" s="1641"/>
      <c r="AJ88" s="1641"/>
      <c r="AK88" s="1641"/>
      <c r="AL88" s="1641"/>
      <c r="AM88" s="1641"/>
      <c r="AN88" s="1641"/>
      <c r="AO88" s="1641"/>
      <c r="AP88" s="1641"/>
      <c r="AQ88" s="1641"/>
      <c r="AR88" s="1641"/>
      <c r="AS88" s="1641"/>
      <c r="AT88" s="673"/>
      <c r="AU88" s="1426"/>
      <c r="AV88" s="1427"/>
      <c r="AW88" s="1427"/>
      <c r="AX88" s="1427"/>
      <c r="AY88" s="1427"/>
      <c r="AZ88" s="1427"/>
      <c r="BA88" s="1427"/>
      <c r="BB88" s="1427"/>
      <c r="BC88" s="1427"/>
      <c r="BD88" s="1427"/>
      <c r="BE88" s="1427"/>
      <c r="BF88" s="1427"/>
      <c r="BG88" s="1427"/>
      <c r="BH88" s="1427"/>
      <c r="BI88" s="1427"/>
      <c r="BJ88" s="1427"/>
      <c r="BK88" s="1427"/>
      <c r="BL88" s="1427"/>
      <c r="BM88" s="1427"/>
      <c r="BN88" s="1427"/>
      <c r="BO88" s="1427"/>
      <c r="BP88" s="1427"/>
      <c r="BQ88" s="1427"/>
      <c r="BR88" s="1428"/>
    </row>
    <row r="89" spans="1:70" ht="18" customHeight="1">
      <c r="A89" s="621"/>
      <c r="B89" s="1642"/>
      <c r="C89" s="1643"/>
      <c r="D89" s="1644"/>
      <c r="E89" s="1645"/>
      <c r="F89" s="1646" t="s">
        <v>227</v>
      </c>
      <c r="G89" s="1647"/>
      <c r="H89" s="1647"/>
      <c r="I89" s="1647"/>
      <c r="J89" s="1647"/>
      <c r="K89" s="1647"/>
      <c r="L89" s="1647"/>
      <c r="M89" s="1648"/>
      <c r="N89" s="1647"/>
      <c r="O89" s="1647"/>
      <c r="P89" s="1647"/>
      <c r="Q89" s="1647"/>
      <c r="R89" s="1647"/>
      <c r="S89" s="1647"/>
      <c r="T89" s="1647"/>
      <c r="U89" s="1649"/>
      <c r="W89" s="1641"/>
      <c r="X89" s="1641"/>
      <c r="Y89" s="1641"/>
      <c r="Z89" s="1641"/>
      <c r="AA89" s="1641"/>
      <c r="AB89" s="1641"/>
      <c r="AC89" s="1641"/>
      <c r="AD89" s="1641"/>
      <c r="AE89" s="1641"/>
      <c r="AF89" s="1641"/>
      <c r="AG89" s="1641"/>
      <c r="AH89" s="1641"/>
      <c r="AI89" s="1641"/>
      <c r="AJ89" s="1641"/>
      <c r="AK89" s="1641"/>
      <c r="AL89" s="1641"/>
      <c r="AM89" s="1641"/>
      <c r="AN89" s="1641"/>
      <c r="AO89" s="1641"/>
      <c r="AP89" s="1641"/>
      <c r="AQ89" s="1641"/>
      <c r="AR89" s="1641"/>
      <c r="AS89" s="1641"/>
      <c r="AT89" s="673"/>
      <c r="AU89" s="1426"/>
      <c r="AV89" s="1427"/>
      <c r="AW89" s="1427"/>
      <c r="AX89" s="1427"/>
      <c r="AY89" s="1427"/>
      <c r="AZ89" s="1427"/>
      <c r="BA89" s="1427"/>
      <c r="BB89" s="1427"/>
      <c r="BC89" s="1427"/>
      <c r="BD89" s="1427"/>
      <c r="BE89" s="1427"/>
      <c r="BF89" s="1427"/>
      <c r="BG89" s="1427"/>
      <c r="BH89" s="1427"/>
      <c r="BI89" s="1427"/>
      <c r="BJ89" s="1427"/>
      <c r="BK89" s="1427"/>
      <c r="BL89" s="1427"/>
      <c r="BM89" s="1427"/>
      <c r="BN89" s="1427"/>
      <c r="BO89" s="1427"/>
      <c r="BP89" s="1427"/>
      <c r="BQ89" s="1427"/>
      <c r="BR89" s="1428"/>
    </row>
    <row r="90" spans="1:70" ht="18" customHeight="1">
      <c r="A90" s="621"/>
      <c r="B90" s="1605"/>
      <c r="C90" s="1606"/>
      <c r="D90" s="1607"/>
      <c r="E90" s="1608"/>
      <c r="F90" s="1609" t="s">
        <v>228</v>
      </c>
      <c r="G90" s="1610"/>
      <c r="H90" s="1610"/>
      <c r="I90" s="1610"/>
      <c r="J90" s="1610"/>
      <c r="K90" s="1610"/>
      <c r="L90" s="1610"/>
      <c r="M90" s="1611"/>
      <c r="N90" s="1610"/>
      <c r="O90" s="1610"/>
      <c r="P90" s="1610"/>
      <c r="Q90" s="1610"/>
      <c r="R90" s="1610"/>
      <c r="S90" s="1610"/>
      <c r="T90" s="1610"/>
      <c r="U90" s="1612"/>
      <c r="W90" s="1641"/>
      <c r="X90" s="1641"/>
      <c r="Y90" s="1641"/>
      <c r="Z90" s="1641"/>
      <c r="AA90" s="1641"/>
      <c r="AB90" s="1641"/>
      <c r="AC90" s="1641"/>
      <c r="AD90" s="1641"/>
      <c r="AE90" s="1641"/>
      <c r="AF90" s="1641"/>
      <c r="AG90" s="1641"/>
      <c r="AH90" s="1641"/>
      <c r="AI90" s="1641"/>
      <c r="AJ90" s="1641"/>
      <c r="AK90" s="1641"/>
      <c r="AL90" s="1641"/>
      <c r="AM90" s="1641"/>
      <c r="AN90" s="1641"/>
      <c r="AO90" s="1641"/>
      <c r="AP90" s="1641"/>
      <c r="AQ90" s="1641"/>
      <c r="AR90" s="1641"/>
      <c r="AS90" s="1641"/>
      <c r="AT90" s="673"/>
      <c r="AU90" s="1426"/>
      <c r="AV90" s="1427"/>
      <c r="AW90" s="1427"/>
      <c r="AX90" s="1427"/>
      <c r="AY90" s="1427"/>
      <c r="AZ90" s="1427"/>
      <c r="BA90" s="1427"/>
      <c r="BB90" s="1427"/>
      <c r="BC90" s="1427"/>
      <c r="BD90" s="1427"/>
      <c r="BE90" s="1427"/>
      <c r="BF90" s="1427"/>
      <c r="BG90" s="1427"/>
      <c r="BH90" s="1427"/>
      <c r="BI90" s="1427"/>
      <c r="BJ90" s="1427"/>
      <c r="BK90" s="1427"/>
      <c r="BL90" s="1427"/>
      <c r="BM90" s="1427"/>
      <c r="BN90" s="1427"/>
      <c r="BO90" s="1427"/>
      <c r="BP90" s="1427"/>
      <c r="BQ90" s="1427"/>
      <c r="BR90" s="1428"/>
    </row>
    <row r="91" spans="1:70" ht="18" customHeight="1">
      <c r="A91" s="621"/>
      <c r="B91" s="1650"/>
      <c r="C91" s="1651"/>
      <c r="D91" s="1652"/>
      <c r="E91" s="1653"/>
      <c r="F91" s="1654" t="s">
        <v>229</v>
      </c>
      <c r="G91" s="1655"/>
      <c r="H91" s="1655"/>
      <c r="I91" s="1655"/>
      <c r="J91" s="1655"/>
      <c r="K91" s="1655"/>
      <c r="L91" s="1655"/>
      <c r="M91" s="1656"/>
      <c r="N91" s="1655"/>
      <c r="O91" s="1655"/>
      <c r="P91" s="1655"/>
      <c r="Q91" s="1655"/>
      <c r="R91" s="1655"/>
      <c r="S91" s="1655"/>
      <c r="T91" s="1655"/>
      <c r="U91" s="1657"/>
      <c r="W91" s="1641"/>
      <c r="X91" s="1641"/>
      <c r="Y91" s="1641"/>
      <c r="Z91" s="1641"/>
      <c r="AA91" s="1641"/>
      <c r="AB91" s="1641"/>
      <c r="AC91" s="1641"/>
      <c r="AD91" s="1641"/>
      <c r="AE91" s="1641"/>
      <c r="AF91" s="1641"/>
      <c r="AG91" s="1641"/>
      <c r="AH91" s="1641"/>
      <c r="AI91" s="1641"/>
      <c r="AJ91" s="1641"/>
      <c r="AK91" s="1641"/>
      <c r="AL91" s="1641"/>
      <c r="AM91" s="1641"/>
      <c r="AN91" s="1641"/>
      <c r="AO91" s="1641"/>
      <c r="AP91" s="1641"/>
      <c r="AQ91" s="1641"/>
      <c r="AR91" s="1641"/>
      <c r="AS91" s="1641"/>
      <c r="AT91" s="673"/>
      <c r="AU91" s="1426"/>
      <c r="AV91" s="1427"/>
      <c r="AW91" s="1427"/>
      <c r="AX91" s="1427"/>
      <c r="AY91" s="1427"/>
      <c r="AZ91" s="1427"/>
      <c r="BA91" s="1427"/>
      <c r="BB91" s="1427"/>
      <c r="BC91" s="1427"/>
      <c r="BD91" s="1427"/>
      <c r="BE91" s="1427"/>
      <c r="BF91" s="1427"/>
      <c r="BG91" s="1427"/>
      <c r="BH91" s="1427"/>
      <c r="BI91" s="1427"/>
      <c r="BJ91" s="1427"/>
      <c r="BK91" s="1427"/>
      <c r="BL91" s="1427"/>
      <c r="BM91" s="1427"/>
      <c r="BN91" s="1427"/>
      <c r="BO91" s="1427"/>
      <c r="BP91" s="1427"/>
      <c r="BQ91" s="1427"/>
      <c r="BR91" s="1428"/>
    </row>
    <row r="92" spans="1:70" ht="18" customHeight="1">
      <c r="A92" s="621"/>
      <c r="B92" s="1605"/>
      <c r="C92" s="1606"/>
      <c r="D92" s="1607"/>
      <c r="E92" s="1608"/>
      <c r="F92" s="1609" t="s">
        <v>230</v>
      </c>
      <c r="G92" s="1610"/>
      <c r="H92" s="1610"/>
      <c r="I92" s="1610"/>
      <c r="J92" s="1610"/>
      <c r="K92" s="1610"/>
      <c r="L92" s="1610"/>
      <c r="M92" s="1611"/>
      <c r="N92" s="1610"/>
      <c r="O92" s="1610"/>
      <c r="P92" s="1610"/>
      <c r="Q92" s="1610"/>
      <c r="R92" s="1610"/>
      <c r="S92" s="1610"/>
      <c r="T92" s="1610"/>
      <c r="U92" s="1612"/>
      <c r="W92" s="1641"/>
      <c r="X92" s="1641"/>
      <c r="Y92" s="1641"/>
      <c r="Z92" s="1641"/>
      <c r="AA92" s="1641"/>
      <c r="AB92" s="1641"/>
      <c r="AC92" s="1641"/>
      <c r="AD92" s="1641"/>
      <c r="AE92" s="1641"/>
      <c r="AF92" s="1641"/>
      <c r="AG92" s="1641"/>
      <c r="AH92" s="1641"/>
      <c r="AI92" s="1641"/>
      <c r="AJ92" s="1641"/>
      <c r="AK92" s="1641"/>
      <c r="AL92" s="1641"/>
      <c r="AM92" s="1641"/>
      <c r="AN92" s="1641"/>
      <c r="AO92" s="1641"/>
      <c r="AP92" s="1641"/>
      <c r="AQ92" s="1641"/>
      <c r="AR92" s="1641"/>
      <c r="AS92" s="1641"/>
      <c r="AT92" s="673"/>
      <c r="AU92" s="1426"/>
      <c r="AV92" s="1427"/>
      <c r="AW92" s="1427"/>
      <c r="AX92" s="1427"/>
      <c r="AY92" s="1427"/>
      <c r="AZ92" s="1427"/>
      <c r="BA92" s="1427"/>
      <c r="BB92" s="1427"/>
      <c r="BC92" s="1427"/>
      <c r="BD92" s="1427"/>
      <c r="BE92" s="1427"/>
      <c r="BF92" s="1427"/>
      <c r="BG92" s="1427"/>
      <c r="BH92" s="1427"/>
      <c r="BI92" s="1427"/>
      <c r="BJ92" s="1427"/>
      <c r="BK92" s="1427"/>
      <c r="BL92" s="1427"/>
      <c r="BM92" s="1427"/>
      <c r="BN92" s="1427"/>
      <c r="BO92" s="1427"/>
      <c r="BP92" s="1427"/>
      <c r="BQ92" s="1427"/>
      <c r="BR92" s="1428"/>
    </row>
    <row r="93" spans="1:70" ht="18" customHeight="1">
      <c r="A93" s="621"/>
      <c r="B93" s="1613"/>
      <c r="C93" s="1614"/>
      <c r="D93" s="1615"/>
      <c r="E93" s="1616"/>
      <c r="F93" s="1617" t="s">
        <v>231</v>
      </c>
      <c r="G93" s="1618"/>
      <c r="H93" s="1618"/>
      <c r="I93" s="1618"/>
      <c r="J93" s="1618"/>
      <c r="K93" s="1618"/>
      <c r="L93" s="1618"/>
      <c r="M93" s="1619"/>
      <c r="N93" s="1618"/>
      <c r="O93" s="1618"/>
      <c r="P93" s="1618"/>
      <c r="Q93" s="1618"/>
      <c r="R93" s="1618"/>
      <c r="S93" s="1618"/>
      <c r="T93" s="1618"/>
      <c r="U93" s="1620"/>
      <c r="W93" s="1641"/>
      <c r="X93" s="1641"/>
      <c r="Y93" s="1641"/>
      <c r="Z93" s="1641"/>
      <c r="AA93" s="1641"/>
      <c r="AB93" s="1641"/>
      <c r="AC93" s="1641"/>
      <c r="AD93" s="1641"/>
      <c r="AE93" s="1641"/>
      <c r="AF93" s="1641"/>
      <c r="AG93" s="1641"/>
      <c r="AH93" s="1641"/>
      <c r="AI93" s="1641"/>
      <c r="AJ93" s="1641"/>
      <c r="AK93" s="1641"/>
      <c r="AL93" s="1641"/>
      <c r="AM93" s="1641"/>
      <c r="AN93" s="1641"/>
      <c r="AO93" s="1641"/>
      <c r="AP93" s="1641"/>
      <c r="AQ93" s="1641"/>
      <c r="AR93" s="1641"/>
      <c r="AS93" s="1641"/>
      <c r="AT93" s="673"/>
      <c r="AU93" s="1426"/>
      <c r="AV93" s="1427"/>
      <c r="AW93" s="1427"/>
      <c r="AX93" s="1427"/>
      <c r="AY93" s="1427"/>
      <c r="AZ93" s="1427"/>
      <c r="BA93" s="1427"/>
      <c r="BB93" s="1427"/>
      <c r="BC93" s="1427"/>
      <c r="BD93" s="1427"/>
      <c r="BE93" s="1427"/>
      <c r="BF93" s="1427"/>
      <c r="BG93" s="1427"/>
      <c r="BH93" s="1427"/>
      <c r="BI93" s="1427"/>
      <c r="BJ93" s="1427"/>
      <c r="BK93" s="1427"/>
      <c r="BL93" s="1427"/>
      <c r="BM93" s="1427"/>
      <c r="BN93" s="1427"/>
      <c r="BO93" s="1427"/>
      <c r="BP93" s="1427"/>
      <c r="BQ93" s="1427"/>
      <c r="BR93" s="1428"/>
    </row>
    <row r="94" spans="1:70" ht="18" customHeight="1">
      <c r="AH94" s="673"/>
      <c r="AS94" s="673"/>
      <c r="AT94" s="650"/>
      <c r="AU94" s="1426"/>
      <c r="AV94" s="1427"/>
      <c r="AW94" s="1427"/>
      <c r="AX94" s="1427"/>
      <c r="AY94" s="1427"/>
      <c r="AZ94" s="1427"/>
      <c r="BA94" s="1427"/>
      <c r="BB94" s="1427"/>
      <c r="BC94" s="1427"/>
      <c r="BD94" s="1427"/>
      <c r="BE94" s="1427"/>
      <c r="BF94" s="1427"/>
      <c r="BG94" s="1427"/>
      <c r="BH94" s="1427"/>
      <c r="BI94" s="1427"/>
      <c r="BJ94" s="1427"/>
      <c r="BK94" s="1427"/>
      <c r="BL94" s="1427"/>
      <c r="BM94" s="1427"/>
      <c r="BN94" s="1427"/>
      <c r="BO94" s="1427"/>
      <c r="BP94" s="1427"/>
      <c r="BQ94" s="1427"/>
      <c r="BR94" s="1428"/>
    </row>
    <row r="95" spans="1:70" ht="18" customHeight="1">
      <c r="B95" s="1534" t="s">
        <v>232</v>
      </c>
      <c r="C95" s="1535"/>
      <c r="D95" s="1535"/>
      <c r="E95" s="1535"/>
      <c r="F95" s="1535"/>
      <c r="G95" s="1535"/>
      <c r="H95" s="1535"/>
      <c r="I95" s="1535"/>
      <c r="J95" s="1535"/>
      <c r="K95" s="1535"/>
      <c r="L95" s="1535"/>
      <c r="M95" s="1535"/>
      <c r="N95" s="1535"/>
      <c r="O95" s="1535"/>
      <c r="P95" s="1535"/>
      <c r="Q95" s="1535"/>
      <c r="R95" s="1535"/>
      <c r="S95" s="1535"/>
      <c r="T95" s="1535"/>
      <c r="U95" s="1536"/>
      <c r="W95" s="1621" t="s">
        <v>233</v>
      </c>
      <c r="X95" s="1622"/>
      <c r="Y95" s="1622"/>
      <c r="Z95" s="1622"/>
      <c r="AA95" s="1622"/>
      <c r="AB95" s="1622"/>
      <c r="AC95" s="1622"/>
      <c r="AD95" s="1622"/>
      <c r="AE95" s="1622"/>
      <c r="AF95" s="1622"/>
      <c r="AG95" s="1622"/>
      <c r="AH95" s="1622"/>
      <c r="AI95" s="1622"/>
      <c r="AJ95" s="1622"/>
      <c r="AK95" s="1622"/>
      <c r="AL95" s="1622"/>
      <c r="AM95" s="1622"/>
      <c r="AN95" s="1622"/>
      <c r="AO95" s="1622"/>
      <c r="AP95" s="1622"/>
      <c r="AQ95" s="1622"/>
      <c r="AR95" s="1622"/>
      <c r="AS95" s="1623"/>
      <c r="AT95" s="650"/>
      <c r="AU95" s="1426"/>
      <c r="AV95" s="1427"/>
      <c r="AW95" s="1427"/>
      <c r="AX95" s="1427"/>
      <c r="AY95" s="1427"/>
      <c r="AZ95" s="1427"/>
      <c r="BA95" s="1427"/>
      <c r="BB95" s="1427"/>
      <c r="BC95" s="1427"/>
      <c r="BD95" s="1427"/>
      <c r="BE95" s="1427"/>
      <c r="BF95" s="1427"/>
      <c r="BG95" s="1427"/>
      <c r="BH95" s="1427"/>
      <c r="BI95" s="1427"/>
      <c r="BJ95" s="1427"/>
      <c r="BK95" s="1427"/>
      <c r="BL95" s="1427"/>
      <c r="BM95" s="1427"/>
      <c r="BN95" s="1427"/>
      <c r="BO95" s="1427"/>
      <c r="BP95" s="1427"/>
      <c r="BQ95" s="1427"/>
      <c r="BR95" s="1428"/>
    </row>
    <row r="96" spans="1:70" ht="18" customHeight="1">
      <c r="B96" s="1624" t="s">
        <v>234</v>
      </c>
      <c r="C96" s="1625"/>
      <c r="D96" s="1625"/>
      <c r="E96" s="1625"/>
      <c r="F96" s="1625"/>
      <c r="G96" s="1625"/>
      <c r="H96" s="1625"/>
      <c r="I96" s="1625"/>
      <c r="J96" s="1626" t="s">
        <v>235</v>
      </c>
      <c r="K96" s="1627"/>
      <c r="L96" s="1627"/>
      <c r="M96" s="1627"/>
      <c r="N96" s="1627"/>
      <c r="O96" s="1627"/>
      <c r="P96" s="1627"/>
      <c r="Q96" s="1627"/>
      <c r="R96" s="1627"/>
      <c r="S96" s="1627"/>
      <c r="T96" s="1627"/>
      <c r="U96" s="1628"/>
      <c r="W96" s="1629" t="s">
        <v>236</v>
      </c>
      <c r="X96" s="1630"/>
      <c r="Y96" s="1630"/>
      <c r="Z96" s="1631"/>
      <c r="AA96" s="1630"/>
      <c r="AB96" s="1630"/>
      <c r="AC96" s="1630"/>
      <c r="AD96" s="1630"/>
      <c r="AE96" s="1630"/>
      <c r="AF96" s="1630"/>
      <c r="AG96" s="1630"/>
      <c r="AH96" s="1630"/>
      <c r="AI96" s="1630"/>
      <c r="AJ96" s="1630"/>
      <c r="AK96" s="1630"/>
      <c r="AL96" s="1630"/>
      <c r="AM96" s="1630"/>
      <c r="AN96" s="1630"/>
      <c r="AO96" s="1630"/>
      <c r="AP96" s="1630"/>
      <c r="AQ96" s="1630"/>
      <c r="AR96" s="1630"/>
      <c r="AS96" s="1632"/>
      <c r="AT96" s="650"/>
      <c r="AU96" s="1426"/>
      <c r="AV96" s="1427"/>
      <c r="AW96" s="1427"/>
      <c r="AX96" s="1427"/>
      <c r="AY96" s="1427"/>
      <c r="AZ96" s="1427"/>
      <c r="BA96" s="1427"/>
      <c r="BB96" s="1427"/>
      <c r="BC96" s="1427"/>
      <c r="BD96" s="1427"/>
      <c r="BE96" s="1427"/>
      <c r="BF96" s="1427"/>
      <c r="BG96" s="1427"/>
      <c r="BH96" s="1427"/>
      <c r="BI96" s="1427"/>
      <c r="BJ96" s="1427"/>
      <c r="BK96" s="1427"/>
      <c r="BL96" s="1427"/>
      <c r="BM96" s="1427"/>
      <c r="BN96" s="1427"/>
      <c r="BO96" s="1427"/>
      <c r="BP96" s="1427"/>
      <c r="BQ96" s="1427"/>
      <c r="BR96" s="1428"/>
    </row>
    <row r="97" spans="2:70" ht="18" customHeight="1">
      <c r="B97" s="1499" t="s">
        <v>237</v>
      </c>
      <c r="C97" s="1500"/>
      <c r="D97" s="1500"/>
      <c r="E97" s="1500"/>
      <c r="F97" s="1500"/>
      <c r="G97" s="1500"/>
      <c r="H97" s="1500"/>
      <c r="I97" s="1502"/>
      <c r="J97" s="1500" t="s">
        <v>238</v>
      </c>
      <c r="K97" s="1500"/>
      <c r="L97" s="1500"/>
      <c r="M97" s="1500"/>
      <c r="N97" s="1500"/>
      <c r="O97" s="1500"/>
      <c r="P97" s="1500"/>
      <c r="Q97" s="1500"/>
      <c r="R97" s="1500"/>
      <c r="S97" s="1500"/>
      <c r="T97" s="1500"/>
      <c r="U97" s="1503"/>
      <c r="W97" s="1633" t="s">
        <v>239</v>
      </c>
      <c r="X97" s="1634"/>
      <c r="Y97" s="1634"/>
      <c r="Z97" s="1635"/>
      <c r="AA97" s="1634" t="s">
        <v>240</v>
      </c>
      <c r="AB97" s="1634"/>
      <c r="AC97" s="1634"/>
      <c r="AD97" s="1634"/>
      <c r="AE97" s="1634"/>
      <c r="AF97" s="1634"/>
      <c r="AG97" s="1634"/>
      <c r="AH97" s="1634"/>
      <c r="AI97" s="1634"/>
      <c r="AJ97" s="1636"/>
      <c r="AK97" s="1637" t="s">
        <v>114</v>
      </c>
      <c r="AL97" s="1638"/>
      <c r="AM97" s="1638"/>
      <c r="AN97" s="1638"/>
      <c r="AO97" s="1638"/>
      <c r="AP97" s="1638"/>
      <c r="AQ97" s="1639"/>
      <c r="AR97" s="1638" t="s">
        <v>241</v>
      </c>
      <c r="AS97" s="1640"/>
      <c r="AT97" s="650"/>
      <c r="AU97" s="1426"/>
      <c r="AV97" s="1427"/>
      <c r="AW97" s="1427"/>
      <c r="AX97" s="1427"/>
      <c r="AY97" s="1427"/>
      <c r="AZ97" s="1427"/>
      <c r="BA97" s="1427"/>
      <c r="BB97" s="1427"/>
      <c r="BC97" s="1427"/>
      <c r="BD97" s="1427"/>
      <c r="BE97" s="1427"/>
      <c r="BF97" s="1427"/>
      <c r="BG97" s="1427"/>
      <c r="BH97" s="1427"/>
      <c r="BI97" s="1427"/>
      <c r="BJ97" s="1427"/>
      <c r="BK97" s="1427"/>
      <c r="BL97" s="1427"/>
      <c r="BM97" s="1427"/>
      <c r="BN97" s="1427"/>
      <c r="BO97" s="1427"/>
      <c r="BP97" s="1427"/>
      <c r="BQ97" s="1427"/>
      <c r="BR97" s="1428"/>
    </row>
    <row r="98" spans="2:70" ht="18" customHeight="1">
      <c r="B98" s="1504" t="s">
        <v>242</v>
      </c>
      <c r="C98" s="1505"/>
      <c r="D98" s="1505"/>
      <c r="E98" s="1505"/>
      <c r="F98" s="1505"/>
      <c r="G98" s="1505"/>
      <c r="H98" s="1505"/>
      <c r="I98" s="1507"/>
      <c r="J98" s="1505" t="s">
        <v>243</v>
      </c>
      <c r="K98" s="1505"/>
      <c r="L98" s="1505"/>
      <c r="M98" s="1505"/>
      <c r="N98" s="1505"/>
      <c r="O98" s="1505"/>
      <c r="P98" s="1505"/>
      <c r="Q98" s="1505"/>
      <c r="R98" s="1505"/>
      <c r="S98" s="1505"/>
      <c r="T98" s="1505"/>
      <c r="U98" s="1508"/>
      <c r="W98" s="1504" t="s">
        <v>244</v>
      </c>
      <c r="X98" s="1505"/>
      <c r="Y98" s="1505"/>
      <c r="Z98" s="1507"/>
      <c r="AA98" s="1597" t="s">
        <v>245</v>
      </c>
      <c r="AB98" s="1597"/>
      <c r="AC98" s="1597"/>
      <c r="AD98" s="1597"/>
      <c r="AE98" s="1597"/>
      <c r="AF98" s="1597"/>
      <c r="AG98" s="1597"/>
      <c r="AH98" s="1597"/>
      <c r="AI98" s="1597"/>
      <c r="AJ98" s="1598"/>
      <c r="AK98" s="1599" t="s">
        <v>246</v>
      </c>
      <c r="AL98" s="1597"/>
      <c r="AM98" s="1597"/>
      <c r="AN98" s="1597"/>
      <c r="AO98" s="1597"/>
      <c r="AP98" s="1597"/>
      <c r="AQ98" s="1600"/>
      <c r="AR98" s="1505">
        <v>6</v>
      </c>
      <c r="AS98" s="1508"/>
      <c r="AT98" s="650"/>
      <c r="AU98" s="1426"/>
      <c r="AV98" s="1427"/>
      <c r="AW98" s="1427"/>
      <c r="AX98" s="1427"/>
      <c r="AY98" s="1427"/>
      <c r="AZ98" s="1427"/>
      <c r="BA98" s="1427"/>
      <c r="BB98" s="1427"/>
      <c r="BC98" s="1427"/>
      <c r="BD98" s="1427"/>
      <c r="BE98" s="1427"/>
      <c r="BF98" s="1427"/>
      <c r="BG98" s="1427"/>
      <c r="BH98" s="1427"/>
      <c r="BI98" s="1427"/>
      <c r="BJ98" s="1427"/>
      <c r="BK98" s="1427"/>
      <c r="BL98" s="1427"/>
      <c r="BM98" s="1427"/>
      <c r="BN98" s="1427"/>
      <c r="BO98" s="1427"/>
      <c r="BP98" s="1427"/>
      <c r="BQ98" s="1427"/>
      <c r="BR98" s="1428"/>
    </row>
    <row r="99" spans="2:70" ht="18" customHeight="1">
      <c r="B99" s="1499"/>
      <c r="C99" s="1500"/>
      <c r="D99" s="1500"/>
      <c r="E99" s="1500"/>
      <c r="F99" s="1500"/>
      <c r="G99" s="1500"/>
      <c r="H99" s="1500"/>
      <c r="I99" s="1502"/>
      <c r="J99" s="1500"/>
      <c r="K99" s="1500"/>
      <c r="L99" s="1500"/>
      <c r="M99" s="1500"/>
      <c r="N99" s="1500"/>
      <c r="O99" s="1500"/>
      <c r="P99" s="1500"/>
      <c r="Q99" s="1500"/>
      <c r="R99" s="1500"/>
      <c r="S99" s="1500"/>
      <c r="T99" s="1500"/>
      <c r="U99" s="1503"/>
      <c r="W99" s="1499" t="s">
        <v>247</v>
      </c>
      <c r="X99" s="1500"/>
      <c r="Y99" s="1500"/>
      <c r="Z99" s="1502"/>
      <c r="AA99" s="1601" t="s">
        <v>248</v>
      </c>
      <c r="AB99" s="1601"/>
      <c r="AC99" s="1601"/>
      <c r="AD99" s="1601"/>
      <c r="AE99" s="1601"/>
      <c r="AF99" s="1601"/>
      <c r="AG99" s="1601"/>
      <c r="AH99" s="1601"/>
      <c r="AI99" s="1601"/>
      <c r="AJ99" s="1602"/>
      <c r="AK99" s="1603" t="s">
        <v>249</v>
      </c>
      <c r="AL99" s="1601"/>
      <c r="AM99" s="1601"/>
      <c r="AN99" s="1601"/>
      <c r="AO99" s="1601"/>
      <c r="AP99" s="1601"/>
      <c r="AQ99" s="1604"/>
      <c r="AR99" s="1500">
        <v>5</v>
      </c>
      <c r="AS99" s="1503"/>
      <c r="AT99" s="650"/>
      <c r="AU99" s="1426"/>
      <c r="AV99" s="1427"/>
      <c r="AW99" s="1427"/>
      <c r="AX99" s="1427"/>
      <c r="AY99" s="1427"/>
      <c r="AZ99" s="1427"/>
      <c r="BA99" s="1427"/>
      <c r="BB99" s="1427"/>
      <c r="BC99" s="1427"/>
      <c r="BD99" s="1427"/>
      <c r="BE99" s="1427"/>
      <c r="BF99" s="1427"/>
      <c r="BG99" s="1427"/>
      <c r="BH99" s="1427"/>
      <c r="BI99" s="1427"/>
      <c r="BJ99" s="1427"/>
      <c r="BK99" s="1427"/>
      <c r="BL99" s="1427"/>
      <c r="BM99" s="1427"/>
      <c r="BN99" s="1427"/>
      <c r="BO99" s="1427"/>
      <c r="BP99" s="1427"/>
      <c r="BQ99" s="1427"/>
      <c r="BR99" s="1428"/>
    </row>
    <row r="100" spans="2:70" ht="18" customHeight="1">
      <c r="B100" s="1504"/>
      <c r="C100" s="1505"/>
      <c r="D100" s="1505"/>
      <c r="E100" s="1505"/>
      <c r="F100" s="1505"/>
      <c r="G100" s="1505"/>
      <c r="H100" s="1505"/>
      <c r="I100" s="1507"/>
      <c r="J100" s="1505"/>
      <c r="K100" s="1505"/>
      <c r="L100" s="1505"/>
      <c r="M100" s="1505"/>
      <c r="N100" s="1505"/>
      <c r="O100" s="1505"/>
      <c r="P100" s="1505"/>
      <c r="Q100" s="1505"/>
      <c r="R100" s="1505"/>
      <c r="S100" s="1505"/>
      <c r="T100" s="1505"/>
      <c r="U100" s="1508"/>
      <c r="W100" s="1504"/>
      <c r="X100" s="1505"/>
      <c r="Y100" s="1505"/>
      <c r="Z100" s="1507"/>
      <c r="AA100" s="1591"/>
      <c r="AB100" s="1591"/>
      <c r="AC100" s="1591"/>
      <c r="AD100" s="1591"/>
      <c r="AE100" s="1591"/>
      <c r="AF100" s="1591"/>
      <c r="AG100" s="1591"/>
      <c r="AH100" s="1591"/>
      <c r="AI100" s="1591"/>
      <c r="AJ100" s="1592"/>
      <c r="AK100" s="1409"/>
      <c r="AL100" s="1591"/>
      <c r="AM100" s="1591"/>
      <c r="AN100" s="1591"/>
      <c r="AO100" s="1591"/>
      <c r="AP100" s="1591"/>
      <c r="AQ100" s="1593"/>
      <c r="AR100" s="1505"/>
      <c r="AS100" s="1508"/>
      <c r="AT100" s="650"/>
      <c r="AU100" s="1426"/>
      <c r="AV100" s="1427"/>
      <c r="AW100" s="1427"/>
      <c r="AX100" s="1427"/>
      <c r="AY100" s="1427"/>
      <c r="AZ100" s="1427"/>
      <c r="BA100" s="1427"/>
      <c r="BB100" s="1427"/>
      <c r="BC100" s="1427"/>
      <c r="BD100" s="1427"/>
      <c r="BE100" s="1427"/>
      <c r="BF100" s="1427"/>
      <c r="BG100" s="1427"/>
      <c r="BH100" s="1427"/>
      <c r="BI100" s="1427"/>
      <c r="BJ100" s="1427"/>
      <c r="BK100" s="1427"/>
      <c r="BL100" s="1427"/>
      <c r="BM100" s="1427"/>
      <c r="BN100" s="1427"/>
      <c r="BO100" s="1427"/>
      <c r="BP100" s="1427"/>
      <c r="BQ100" s="1427"/>
      <c r="BR100" s="1428"/>
    </row>
    <row r="101" spans="2:70" ht="18" customHeight="1">
      <c r="B101" s="1499"/>
      <c r="C101" s="1500"/>
      <c r="D101" s="1500"/>
      <c r="E101" s="1500"/>
      <c r="F101" s="1500"/>
      <c r="G101" s="1500"/>
      <c r="H101" s="1500"/>
      <c r="I101" s="1502"/>
      <c r="J101" s="1500"/>
      <c r="K101" s="1500"/>
      <c r="L101" s="1500"/>
      <c r="M101" s="1500"/>
      <c r="N101" s="1500"/>
      <c r="O101" s="1500"/>
      <c r="P101" s="1500"/>
      <c r="Q101" s="1500"/>
      <c r="R101" s="1500"/>
      <c r="S101" s="1500"/>
      <c r="T101" s="1500"/>
      <c r="U101" s="1503"/>
      <c r="W101" s="1499"/>
      <c r="X101" s="1500"/>
      <c r="Y101" s="1500"/>
      <c r="Z101" s="1502"/>
      <c r="AA101" s="1588"/>
      <c r="AB101" s="1588"/>
      <c r="AC101" s="1588"/>
      <c r="AD101" s="1588"/>
      <c r="AE101" s="1588"/>
      <c r="AF101" s="1588"/>
      <c r="AG101" s="1588"/>
      <c r="AH101" s="1588"/>
      <c r="AI101" s="1588"/>
      <c r="AJ101" s="1589"/>
      <c r="AK101" s="1412"/>
      <c r="AL101" s="1588"/>
      <c r="AM101" s="1588"/>
      <c r="AN101" s="1588"/>
      <c r="AO101" s="1588"/>
      <c r="AP101" s="1588"/>
      <c r="AQ101" s="1590"/>
      <c r="AR101" s="1500"/>
      <c r="AS101" s="1503"/>
      <c r="AT101" s="650"/>
      <c r="AU101" s="1426"/>
      <c r="AV101" s="1427"/>
      <c r="AW101" s="1427"/>
      <c r="AX101" s="1427"/>
      <c r="AY101" s="1427"/>
      <c r="AZ101" s="1427"/>
      <c r="BA101" s="1427"/>
      <c r="BB101" s="1427"/>
      <c r="BC101" s="1427"/>
      <c r="BD101" s="1427"/>
      <c r="BE101" s="1427"/>
      <c r="BF101" s="1427"/>
      <c r="BG101" s="1427"/>
      <c r="BH101" s="1427"/>
      <c r="BI101" s="1427"/>
      <c r="BJ101" s="1427"/>
      <c r="BK101" s="1427"/>
      <c r="BL101" s="1427"/>
      <c r="BM101" s="1427"/>
      <c r="BN101" s="1427"/>
      <c r="BO101" s="1427"/>
      <c r="BP101" s="1427"/>
      <c r="BQ101" s="1427"/>
      <c r="BR101" s="1428"/>
    </row>
    <row r="102" spans="2:70" ht="18" customHeight="1">
      <c r="B102" s="1504"/>
      <c r="C102" s="1505"/>
      <c r="D102" s="1505"/>
      <c r="E102" s="1505"/>
      <c r="F102" s="1505"/>
      <c r="G102" s="1505"/>
      <c r="H102" s="1505"/>
      <c r="I102" s="1507"/>
      <c r="J102" s="1505"/>
      <c r="K102" s="1505"/>
      <c r="L102" s="1505"/>
      <c r="M102" s="1505"/>
      <c r="N102" s="1505"/>
      <c r="O102" s="1505"/>
      <c r="P102" s="1505"/>
      <c r="Q102" s="1505"/>
      <c r="R102" s="1505"/>
      <c r="S102" s="1505"/>
      <c r="T102" s="1505"/>
      <c r="U102" s="1508"/>
      <c r="W102" s="1504"/>
      <c r="X102" s="1505"/>
      <c r="Y102" s="1505"/>
      <c r="Z102" s="1507"/>
      <c r="AA102" s="1591"/>
      <c r="AB102" s="1591"/>
      <c r="AC102" s="1591"/>
      <c r="AD102" s="1591"/>
      <c r="AE102" s="1591"/>
      <c r="AF102" s="1591"/>
      <c r="AG102" s="1591"/>
      <c r="AH102" s="1591"/>
      <c r="AI102" s="1591"/>
      <c r="AJ102" s="1592"/>
      <c r="AK102" s="1409"/>
      <c r="AL102" s="1591"/>
      <c r="AM102" s="1591"/>
      <c r="AN102" s="1591"/>
      <c r="AO102" s="1591"/>
      <c r="AP102" s="1591"/>
      <c r="AQ102" s="1593"/>
      <c r="AR102" s="1505"/>
      <c r="AS102" s="1508"/>
      <c r="AT102" s="650"/>
      <c r="AU102" s="1426"/>
      <c r="AV102" s="1427"/>
      <c r="AW102" s="1427"/>
      <c r="AX102" s="1427"/>
      <c r="AY102" s="1427"/>
      <c r="AZ102" s="1427"/>
      <c r="BA102" s="1427"/>
      <c r="BB102" s="1427"/>
      <c r="BC102" s="1427"/>
      <c r="BD102" s="1427"/>
      <c r="BE102" s="1427"/>
      <c r="BF102" s="1427"/>
      <c r="BG102" s="1427"/>
      <c r="BH102" s="1427"/>
      <c r="BI102" s="1427"/>
      <c r="BJ102" s="1427"/>
      <c r="BK102" s="1427"/>
      <c r="BL102" s="1427"/>
      <c r="BM102" s="1427"/>
      <c r="BN102" s="1427"/>
      <c r="BO102" s="1427"/>
      <c r="BP102" s="1427"/>
      <c r="BQ102" s="1427"/>
      <c r="BR102" s="1428"/>
    </row>
    <row r="103" spans="2:70" ht="18" customHeight="1">
      <c r="B103" s="1499"/>
      <c r="C103" s="1500"/>
      <c r="D103" s="1500"/>
      <c r="E103" s="1500"/>
      <c r="F103" s="1500"/>
      <c r="G103" s="1500"/>
      <c r="H103" s="1500"/>
      <c r="I103" s="1502"/>
      <c r="J103" s="1500"/>
      <c r="K103" s="1500"/>
      <c r="L103" s="1500"/>
      <c r="M103" s="1500"/>
      <c r="N103" s="1500"/>
      <c r="O103" s="1500"/>
      <c r="P103" s="1500"/>
      <c r="Q103" s="1500"/>
      <c r="R103" s="1500"/>
      <c r="S103" s="1500"/>
      <c r="T103" s="1500"/>
      <c r="U103" s="1503"/>
      <c r="W103" s="1499"/>
      <c r="X103" s="1500"/>
      <c r="Y103" s="1500"/>
      <c r="Z103" s="1502"/>
      <c r="AA103" s="1588"/>
      <c r="AB103" s="1588"/>
      <c r="AC103" s="1588"/>
      <c r="AD103" s="1588"/>
      <c r="AE103" s="1588"/>
      <c r="AF103" s="1588"/>
      <c r="AG103" s="1588"/>
      <c r="AH103" s="1588"/>
      <c r="AI103" s="1588"/>
      <c r="AJ103" s="1589"/>
      <c r="AK103" s="1412"/>
      <c r="AL103" s="1588"/>
      <c r="AM103" s="1588"/>
      <c r="AN103" s="1588"/>
      <c r="AO103" s="1588"/>
      <c r="AP103" s="1588"/>
      <c r="AQ103" s="1590"/>
      <c r="AR103" s="1500"/>
      <c r="AS103" s="1503"/>
      <c r="AU103" s="1429"/>
      <c r="AV103" s="1430"/>
      <c r="AW103" s="1430"/>
      <c r="AX103" s="1430"/>
      <c r="AY103" s="1430"/>
      <c r="AZ103" s="1430"/>
      <c r="BA103" s="1430"/>
      <c r="BB103" s="1430"/>
      <c r="BC103" s="1430"/>
      <c r="BD103" s="1430"/>
      <c r="BE103" s="1430"/>
      <c r="BF103" s="1430"/>
      <c r="BG103" s="1430"/>
      <c r="BH103" s="1430"/>
      <c r="BI103" s="1430"/>
      <c r="BJ103" s="1430"/>
      <c r="BK103" s="1430"/>
      <c r="BL103" s="1430"/>
      <c r="BM103" s="1430"/>
      <c r="BN103" s="1430"/>
      <c r="BO103" s="1430"/>
      <c r="BP103" s="1430"/>
      <c r="BQ103" s="1430"/>
      <c r="BR103" s="1431"/>
    </row>
    <row r="104" spans="2:70" ht="18" customHeight="1">
      <c r="B104" s="1504"/>
      <c r="C104" s="1505"/>
      <c r="D104" s="1505"/>
      <c r="E104" s="1505"/>
      <c r="F104" s="1505"/>
      <c r="G104" s="1505"/>
      <c r="H104" s="1505"/>
      <c r="I104" s="1507"/>
      <c r="J104" s="1505"/>
      <c r="K104" s="1505"/>
      <c r="L104" s="1505"/>
      <c r="M104" s="1505"/>
      <c r="N104" s="1505"/>
      <c r="O104" s="1505"/>
      <c r="P104" s="1505"/>
      <c r="Q104" s="1505"/>
      <c r="R104" s="1505"/>
      <c r="S104" s="1505"/>
      <c r="T104" s="1505"/>
      <c r="U104" s="1508"/>
      <c r="W104" s="1504"/>
      <c r="X104" s="1505"/>
      <c r="Y104" s="1505"/>
      <c r="Z104" s="1507"/>
      <c r="AA104" s="1591"/>
      <c r="AB104" s="1591"/>
      <c r="AC104" s="1591"/>
      <c r="AD104" s="1591"/>
      <c r="AE104" s="1591"/>
      <c r="AF104" s="1591"/>
      <c r="AG104" s="1591"/>
      <c r="AH104" s="1591"/>
      <c r="AI104" s="1591"/>
      <c r="AJ104" s="1592"/>
      <c r="AK104" s="1409"/>
      <c r="AL104" s="1591"/>
      <c r="AM104" s="1591"/>
      <c r="AN104" s="1591"/>
      <c r="AO104" s="1591"/>
      <c r="AP104" s="1591"/>
      <c r="AQ104" s="1593"/>
      <c r="AR104" s="1505"/>
      <c r="AS104" s="1508"/>
      <c r="AU104" s="1594" t="s">
        <v>250</v>
      </c>
      <c r="AV104" s="1595"/>
      <c r="AW104" s="1595"/>
      <c r="AX104" s="1595"/>
      <c r="AY104" s="1595"/>
      <c r="AZ104" s="1595"/>
      <c r="BA104" s="1595"/>
      <c r="BB104" s="1595"/>
      <c r="BC104" s="1595"/>
      <c r="BD104" s="1595"/>
      <c r="BE104" s="1595"/>
      <c r="BF104" s="1595"/>
      <c r="BG104" s="1595"/>
      <c r="BH104" s="1595"/>
      <c r="BI104" s="1595"/>
      <c r="BJ104" s="1595"/>
      <c r="BK104" s="1595"/>
      <c r="BL104" s="1595"/>
      <c r="BM104" s="1595"/>
      <c r="BN104" s="1595"/>
      <c r="BO104" s="1595"/>
      <c r="BP104" s="1595"/>
      <c r="BQ104" s="1595"/>
      <c r="BR104" s="1596"/>
    </row>
    <row r="105" spans="2:70" ht="18" customHeight="1">
      <c r="B105" s="1499"/>
      <c r="C105" s="1500"/>
      <c r="D105" s="1500"/>
      <c r="E105" s="1500"/>
      <c r="F105" s="1500"/>
      <c r="G105" s="1500"/>
      <c r="H105" s="1500"/>
      <c r="I105" s="1502"/>
      <c r="J105" s="1500"/>
      <c r="K105" s="1500"/>
      <c r="L105" s="1500"/>
      <c r="M105" s="1500"/>
      <c r="N105" s="1500"/>
      <c r="O105" s="1500"/>
      <c r="P105" s="1500"/>
      <c r="Q105" s="1500"/>
      <c r="R105" s="1500"/>
      <c r="S105" s="1500"/>
      <c r="T105" s="1500"/>
      <c r="U105" s="1503"/>
      <c r="W105" s="1499"/>
      <c r="X105" s="1500"/>
      <c r="Y105" s="1500"/>
      <c r="Z105" s="1502"/>
      <c r="AA105" s="1588"/>
      <c r="AB105" s="1588"/>
      <c r="AC105" s="1588"/>
      <c r="AD105" s="1588"/>
      <c r="AE105" s="1588"/>
      <c r="AF105" s="1588"/>
      <c r="AG105" s="1588"/>
      <c r="AH105" s="1588"/>
      <c r="AI105" s="1588"/>
      <c r="AJ105" s="1589"/>
      <c r="AK105" s="1412"/>
      <c r="AL105" s="1588"/>
      <c r="AM105" s="1588"/>
      <c r="AN105" s="1588"/>
      <c r="AO105" s="1588"/>
      <c r="AP105" s="1588"/>
      <c r="AQ105" s="1590"/>
      <c r="AR105" s="1500"/>
      <c r="AS105" s="1503"/>
      <c r="AU105" s="1340" t="str">
        <f>附表!AP22</f>
        <v>总统：
   唐纳德·特朗普（共和党）</v>
      </c>
      <c r="AV105" s="1341"/>
      <c r="AW105" s="1341"/>
      <c r="AX105" s="1341"/>
      <c r="AY105" s="1341"/>
      <c r="AZ105" s="1341"/>
      <c r="BA105" s="1341"/>
      <c r="BB105" s="1341"/>
      <c r="BC105" s="1341"/>
      <c r="BD105" s="1341"/>
      <c r="BE105" s="1341"/>
      <c r="BF105" s="1341"/>
      <c r="BG105" s="1341"/>
      <c r="BH105" s="1341"/>
      <c r="BI105" s="1341"/>
      <c r="BJ105" s="1341"/>
      <c r="BK105" s="1341"/>
      <c r="BL105" s="1341"/>
      <c r="BM105" s="1341"/>
      <c r="BN105" s="1341"/>
      <c r="BO105" s="1341"/>
      <c r="BP105" s="1341"/>
      <c r="BQ105" s="1341"/>
      <c r="BR105" s="1342"/>
    </row>
    <row r="106" spans="2:70" ht="18" customHeight="1">
      <c r="B106" s="1504"/>
      <c r="C106" s="1505"/>
      <c r="D106" s="1505"/>
      <c r="E106" s="1505"/>
      <c r="F106" s="1505"/>
      <c r="G106" s="1505"/>
      <c r="H106" s="1505"/>
      <c r="I106" s="1507"/>
      <c r="J106" s="1505"/>
      <c r="K106" s="1505"/>
      <c r="L106" s="1505"/>
      <c r="M106" s="1505"/>
      <c r="N106" s="1505"/>
      <c r="O106" s="1505"/>
      <c r="P106" s="1505"/>
      <c r="Q106" s="1505"/>
      <c r="R106" s="1505"/>
      <c r="S106" s="1505"/>
      <c r="T106" s="1505"/>
      <c r="U106" s="1508"/>
      <c r="W106" s="1504"/>
      <c r="X106" s="1505"/>
      <c r="Y106" s="1505"/>
      <c r="Z106" s="1507"/>
      <c r="AA106" s="1591"/>
      <c r="AB106" s="1591"/>
      <c r="AC106" s="1591"/>
      <c r="AD106" s="1591"/>
      <c r="AE106" s="1591"/>
      <c r="AF106" s="1591"/>
      <c r="AG106" s="1591"/>
      <c r="AH106" s="1591"/>
      <c r="AI106" s="1591"/>
      <c r="AJ106" s="1592"/>
      <c r="AK106" s="1409"/>
      <c r="AL106" s="1591"/>
      <c r="AM106" s="1591"/>
      <c r="AN106" s="1591"/>
      <c r="AO106" s="1591"/>
      <c r="AP106" s="1591"/>
      <c r="AQ106" s="1593"/>
      <c r="AR106" s="1505"/>
      <c r="AS106" s="1508"/>
      <c r="AU106" s="1340"/>
      <c r="AV106" s="1341"/>
      <c r="AW106" s="1341"/>
      <c r="AX106" s="1341"/>
      <c r="AY106" s="1341"/>
      <c r="AZ106" s="1341"/>
      <c r="BA106" s="1341"/>
      <c r="BB106" s="1341"/>
      <c r="BC106" s="1341"/>
      <c r="BD106" s="1341"/>
      <c r="BE106" s="1341"/>
      <c r="BF106" s="1341"/>
      <c r="BG106" s="1341"/>
      <c r="BH106" s="1341"/>
      <c r="BI106" s="1341"/>
      <c r="BJ106" s="1341"/>
      <c r="BK106" s="1341"/>
      <c r="BL106" s="1341"/>
      <c r="BM106" s="1341"/>
      <c r="BN106" s="1341"/>
      <c r="BO106" s="1341"/>
      <c r="BP106" s="1341"/>
      <c r="BQ106" s="1341"/>
      <c r="BR106" s="1342"/>
    </row>
    <row r="107" spans="2:70" ht="18" customHeight="1">
      <c r="B107" s="1499"/>
      <c r="C107" s="1500"/>
      <c r="D107" s="1500"/>
      <c r="E107" s="1500"/>
      <c r="F107" s="1500"/>
      <c r="G107" s="1500"/>
      <c r="H107" s="1500"/>
      <c r="I107" s="1502"/>
      <c r="J107" s="1500"/>
      <c r="K107" s="1500"/>
      <c r="L107" s="1500"/>
      <c r="M107" s="1500"/>
      <c r="N107" s="1500"/>
      <c r="O107" s="1500"/>
      <c r="P107" s="1500"/>
      <c r="Q107" s="1500"/>
      <c r="R107" s="1500"/>
      <c r="S107" s="1500"/>
      <c r="T107" s="1500"/>
      <c r="U107" s="1503"/>
      <c r="W107" s="1499"/>
      <c r="X107" s="1500"/>
      <c r="Y107" s="1500"/>
      <c r="Z107" s="1502"/>
      <c r="AA107" s="1588"/>
      <c r="AB107" s="1588"/>
      <c r="AC107" s="1588"/>
      <c r="AD107" s="1588"/>
      <c r="AE107" s="1588"/>
      <c r="AF107" s="1588"/>
      <c r="AG107" s="1588"/>
      <c r="AH107" s="1588"/>
      <c r="AI107" s="1588"/>
      <c r="AJ107" s="1589"/>
      <c r="AK107" s="1412"/>
      <c r="AL107" s="1588"/>
      <c r="AM107" s="1588"/>
      <c r="AN107" s="1588"/>
      <c r="AO107" s="1588"/>
      <c r="AP107" s="1588"/>
      <c r="AQ107" s="1590"/>
      <c r="AR107" s="1500"/>
      <c r="AS107" s="1503"/>
      <c r="AT107" s="650"/>
      <c r="AU107" s="1340"/>
      <c r="AV107" s="1341"/>
      <c r="AW107" s="1341"/>
      <c r="AX107" s="1341"/>
      <c r="AY107" s="1341"/>
      <c r="AZ107" s="1341"/>
      <c r="BA107" s="1341"/>
      <c r="BB107" s="1341"/>
      <c r="BC107" s="1341"/>
      <c r="BD107" s="1341"/>
      <c r="BE107" s="1341"/>
      <c r="BF107" s="1341"/>
      <c r="BG107" s="1341"/>
      <c r="BH107" s="1341"/>
      <c r="BI107" s="1341"/>
      <c r="BJ107" s="1341"/>
      <c r="BK107" s="1341"/>
      <c r="BL107" s="1341"/>
      <c r="BM107" s="1341"/>
      <c r="BN107" s="1341"/>
      <c r="BO107" s="1341"/>
      <c r="BP107" s="1341"/>
      <c r="BQ107" s="1341"/>
      <c r="BR107" s="1342"/>
    </row>
    <row r="108" spans="2:70" ht="18" customHeight="1">
      <c r="B108" s="1504"/>
      <c r="C108" s="1505"/>
      <c r="D108" s="1505"/>
      <c r="E108" s="1505"/>
      <c r="F108" s="1505"/>
      <c r="G108" s="1505"/>
      <c r="H108" s="1505"/>
      <c r="I108" s="1507"/>
      <c r="J108" s="1505"/>
      <c r="K108" s="1505"/>
      <c r="L108" s="1505"/>
      <c r="M108" s="1505"/>
      <c r="N108" s="1505"/>
      <c r="O108" s="1505"/>
      <c r="P108" s="1505"/>
      <c r="Q108" s="1505"/>
      <c r="R108" s="1505"/>
      <c r="S108" s="1505"/>
      <c r="T108" s="1505"/>
      <c r="U108" s="1508"/>
      <c r="W108" s="1504"/>
      <c r="X108" s="1505"/>
      <c r="Y108" s="1505"/>
      <c r="Z108" s="1507"/>
      <c r="AA108" s="1591"/>
      <c r="AB108" s="1591"/>
      <c r="AC108" s="1591"/>
      <c r="AD108" s="1591"/>
      <c r="AE108" s="1591"/>
      <c r="AF108" s="1591"/>
      <c r="AG108" s="1591"/>
      <c r="AH108" s="1591"/>
      <c r="AI108" s="1591"/>
      <c r="AJ108" s="1592"/>
      <c r="AK108" s="1409"/>
      <c r="AL108" s="1591"/>
      <c r="AM108" s="1591"/>
      <c r="AN108" s="1591"/>
      <c r="AO108" s="1591"/>
      <c r="AP108" s="1591"/>
      <c r="AQ108" s="1593"/>
      <c r="AR108" s="1505"/>
      <c r="AS108" s="1508"/>
      <c r="AT108" s="650"/>
      <c r="AU108" s="1340"/>
      <c r="AV108" s="1341"/>
      <c r="AW108" s="1341"/>
      <c r="AX108" s="1341"/>
      <c r="AY108" s="1341"/>
      <c r="AZ108" s="1341"/>
      <c r="BA108" s="1341"/>
      <c r="BB108" s="1341"/>
      <c r="BC108" s="1341"/>
      <c r="BD108" s="1341"/>
      <c r="BE108" s="1341"/>
      <c r="BF108" s="1341"/>
      <c r="BG108" s="1341"/>
      <c r="BH108" s="1341"/>
      <c r="BI108" s="1341"/>
      <c r="BJ108" s="1341"/>
      <c r="BK108" s="1341"/>
      <c r="BL108" s="1341"/>
      <c r="BM108" s="1341"/>
      <c r="BN108" s="1341"/>
      <c r="BO108" s="1341"/>
      <c r="BP108" s="1341"/>
      <c r="BQ108" s="1341"/>
      <c r="BR108" s="1342"/>
    </row>
    <row r="109" spans="2:70" ht="18" customHeight="1">
      <c r="B109" s="1499"/>
      <c r="C109" s="1500"/>
      <c r="D109" s="1500"/>
      <c r="E109" s="1500"/>
      <c r="F109" s="1500"/>
      <c r="G109" s="1500"/>
      <c r="H109" s="1500"/>
      <c r="I109" s="1502"/>
      <c r="J109" s="1500"/>
      <c r="K109" s="1500"/>
      <c r="L109" s="1500"/>
      <c r="M109" s="1500"/>
      <c r="N109" s="1500"/>
      <c r="O109" s="1500"/>
      <c r="P109" s="1500"/>
      <c r="Q109" s="1500"/>
      <c r="R109" s="1500"/>
      <c r="S109" s="1500"/>
      <c r="T109" s="1500"/>
      <c r="U109" s="1503"/>
      <c r="W109" s="1499"/>
      <c r="X109" s="1500"/>
      <c r="Y109" s="1500"/>
      <c r="Z109" s="1502"/>
      <c r="AA109" s="1588"/>
      <c r="AB109" s="1588"/>
      <c r="AC109" s="1588"/>
      <c r="AD109" s="1588"/>
      <c r="AE109" s="1588"/>
      <c r="AF109" s="1588"/>
      <c r="AG109" s="1588"/>
      <c r="AH109" s="1588"/>
      <c r="AI109" s="1588"/>
      <c r="AJ109" s="1589"/>
      <c r="AK109" s="1412"/>
      <c r="AL109" s="1588"/>
      <c r="AM109" s="1588"/>
      <c r="AN109" s="1588"/>
      <c r="AO109" s="1588"/>
      <c r="AP109" s="1588"/>
      <c r="AQ109" s="1590"/>
      <c r="AR109" s="1500"/>
      <c r="AS109" s="1503"/>
      <c r="AU109" s="1340"/>
      <c r="AV109" s="1341"/>
      <c r="AW109" s="1341"/>
      <c r="AX109" s="1341"/>
      <c r="AY109" s="1341"/>
      <c r="AZ109" s="1341"/>
      <c r="BA109" s="1341"/>
      <c r="BB109" s="1341"/>
      <c r="BC109" s="1341"/>
      <c r="BD109" s="1341"/>
      <c r="BE109" s="1341"/>
      <c r="BF109" s="1341"/>
      <c r="BG109" s="1341"/>
      <c r="BH109" s="1341"/>
      <c r="BI109" s="1341"/>
      <c r="BJ109" s="1341"/>
      <c r="BK109" s="1341"/>
      <c r="BL109" s="1341"/>
      <c r="BM109" s="1341"/>
      <c r="BN109" s="1341"/>
      <c r="BO109" s="1341"/>
      <c r="BP109" s="1341"/>
      <c r="BQ109" s="1341"/>
      <c r="BR109" s="1342"/>
    </row>
    <row r="110" spans="2:70" ht="18" customHeight="1">
      <c r="B110" s="1504"/>
      <c r="C110" s="1505"/>
      <c r="D110" s="1505"/>
      <c r="E110" s="1505"/>
      <c r="F110" s="1505"/>
      <c r="G110" s="1505"/>
      <c r="H110" s="1505"/>
      <c r="I110" s="1507"/>
      <c r="J110" s="1505"/>
      <c r="K110" s="1505"/>
      <c r="L110" s="1505"/>
      <c r="M110" s="1505"/>
      <c r="N110" s="1505"/>
      <c r="O110" s="1505"/>
      <c r="P110" s="1505"/>
      <c r="Q110" s="1505"/>
      <c r="R110" s="1505"/>
      <c r="S110" s="1505"/>
      <c r="T110" s="1505"/>
      <c r="U110" s="1508"/>
      <c r="W110" s="1570"/>
      <c r="X110" s="1571"/>
      <c r="Y110" s="1571"/>
      <c r="Z110" s="1572"/>
      <c r="AA110" s="1573"/>
      <c r="AB110" s="1573"/>
      <c r="AC110" s="1573"/>
      <c r="AD110" s="1573"/>
      <c r="AE110" s="1573"/>
      <c r="AF110" s="1573"/>
      <c r="AG110" s="1573"/>
      <c r="AH110" s="1573"/>
      <c r="AI110" s="1573"/>
      <c r="AJ110" s="1573"/>
      <c r="AK110" s="1574"/>
      <c r="AL110" s="1573"/>
      <c r="AM110" s="1573"/>
      <c r="AN110" s="1573"/>
      <c r="AO110" s="1573"/>
      <c r="AP110" s="1573"/>
      <c r="AQ110" s="1575"/>
      <c r="AR110" s="1571"/>
      <c r="AS110" s="1576"/>
      <c r="AU110" s="1340"/>
      <c r="AV110" s="1341"/>
      <c r="AW110" s="1341"/>
      <c r="AX110" s="1341"/>
      <c r="AY110" s="1341"/>
      <c r="AZ110" s="1341"/>
      <c r="BA110" s="1341"/>
      <c r="BB110" s="1341"/>
      <c r="BC110" s="1341"/>
      <c r="BD110" s="1341"/>
      <c r="BE110" s="1341"/>
      <c r="BF110" s="1341"/>
      <c r="BG110" s="1341"/>
      <c r="BH110" s="1341"/>
      <c r="BI110" s="1341"/>
      <c r="BJ110" s="1341"/>
      <c r="BK110" s="1341"/>
      <c r="BL110" s="1341"/>
      <c r="BM110" s="1341"/>
      <c r="BN110" s="1341"/>
      <c r="BO110" s="1341"/>
      <c r="BP110" s="1341"/>
      <c r="BQ110" s="1341"/>
      <c r="BR110" s="1342"/>
    </row>
    <row r="111" spans="2:70" ht="18" customHeight="1">
      <c r="B111" s="1499"/>
      <c r="C111" s="1500"/>
      <c r="D111" s="1500"/>
      <c r="E111" s="1500"/>
      <c r="F111" s="1500"/>
      <c r="G111" s="1500"/>
      <c r="H111" s="1500"/>
      <c r="I111" s="1502"/>
      <c r="J111" s="1500"/>
      <c r="K111" s="1500"/>
      <c r="L111" s="1500"/>
      <c r="M111" s="1500"/>
      <c r="N111" s="1500"/>
      <c r="O111" s="1500"/>
      <c r="P111" s="1500"/>
      <c r="Q111" s="1500"/>
      <c r="R111" s="1500"/>
      <c r="S111" s="1500"/>
      <c r="T111" s="1500"/>
      <c r="U111" s="1503"/>
      <c r="Y111" s="421"/>
      <c r="AU111" s="1340"/>
      <c r="AV111" s="1341"/>
      <c r="AW111" s="1341"/>
      <c r="AX111" s="1341"/>
      <c r="AY111" s="1341"/>
      <c r="AZ111" s="1341"/>
      <c r="BA111" s="1341"/>
      <c r="BB111" s="1341"/>
      <c r="BC111" s="1341"/>
      <c r="BD111" s="1341"/>
      <c r="BE111" s="1341"/>
      <c r="BF111" s="1341"/>
      <c r="BG111" s="1341"/>
      <c r="BH111" s="1341"/>
      <c r="BI111" s="1341"/>
      <c r="BJ111" s="1341"/>
      <c r="BK111" s="1341"/>
      <c r="BL111" s="1341"/>
      <c r="BM111" s="1341"/>
      <c r="BN111" s="1341"/>
      <c r="BO111" s="1341"/>
      <c r="BP111" s="1341"/>
      <c r="BQ111" s="1341"/>
      <c r="BR111" s="1342"/>
    </row>
    <row r="112" spans="2:70" ht="18" customHeight="1">
      <c r="B112" s="1577"/>
      <c r="C112" s="1578"/>
      <c r="D112" s="1578"/>
      <c r="E112" s="1578"/>
      <c r="F112" s="1578"/>
      <c r="G112" s="1578"/>
      <c r="H112" s="1578"/>
      <c r="I112" s="1579"/>
      <c r="J112" s="1578"/>
      <c r="K112" s="1578"/>
      <c r="L112" s="1578"/>
      <c r="M112" s="1578"/>
      <c r="N112" s="1578"/>
      <c r="O112" s="1578"/>
      <c r="P112" s="1578"/>
      <c r="Q112" s="1578"/>
      <c r="R112" s="1578"/>
      <c r="S112" s="1578"/>
      <c r="T112" s="1578"/>
      <c r="U112" s="1580"/>
      <c r="W112" s="1521" t="s">
        <v>251</v>
      </c>
      <c r="X112" s="1522"/>
      <c r="Y112" s="1522"/>
      <c r="Z112" s="1522"/>
      <c r="AA112" s="1522"/>
      <c r="AB112" s="1522"/>
      <c r="AC112" s="1522"/>
      <c r="AD112" s="1522"/>
      <c r="AE112" s="1522"/>
      <c r="AF112" s="1522"/>
      <c r="AG112" s="1522"/>
      <c r="AH112" s="1522"/>
      <c r="AI112" s="1522"/>
      <c r="AJ112" s="1522"/>
      <c r="AK112" s="1522"/>
      <c r="AL112" s="1522"/>
      <c r="AM112" s="1522"/>
      <c r="AN112" s="1522"/>
      <c r="AO112" s="1522"/>
      <c r="AP112" s="1522"/>
      <c r="AQ112" s="1522"/>
      <c r="AR112" s="1522"/>
      <c r="AS112" s="1523"/>
      <c r="AU112" s="1340"/>
      <c r="AV112" s="1341"/>
      <c r="AW112" s="1341"/>
      <c r="AX112" s="1341"/>
      <c r="AY112" s="1341"/>
      <c r="AZ112" s="1341"/>
      <c r="BA112" s="1341"/>
      <c r="BB112" s="1341"/>
      <c r="BC112" s="1341"/>
      <c r="BD112" s="1341"/>
      <c r="BE112" s="1341"/>
      <c r="BF112" s="1341"/>
      <c r="BG112" s="1341"/>
      <c r="BH112" s="1341"/>
      <c r="BI112" s="1341"/>
      <c r="BJ112" s="1341"/>
      <c r="BK112" s="1341"/>
      <c r="BL112" s="1341"/>
      <c r="BM112" s="1341"/>
      <c r="BN112" s="1341"/>
      <c r="BO112" s="1341"/>
      <c r="BP112" s="1341"/>
      <c r="BQ112" s="1341"/>
      <c r="BR112" s="1342"/>
    </row>
    <row r="113" spans="2:70" ht="18" customHeight="1">
      <c r="B113" s="1555" t="s">
        <v>252</v>
      </c>
      <c r="C113" s="1556"/>
      <c r="D113" s="1556"/>
      <c r="E113" s="1557"/>
      <c r="F113" s="1564" t="s">
        <v>176</v>
      </c>
      <c r="G113" s="1565"/>
      <c r="H113" s="1565"/>
      <c r="I113" s="1565"/>
      <c r="J113" s="1353" t="str">
        <f>"SAN值减少"&amp;附表!C34&amp;"        备注："&amp;附表!E34</f>
        <v>SAN值减少        备注：</v>
      </c>
      <c r="K113" s="1354"/>
      <c r="L113" s="1354"/>
      <c r="M113" s="1354"/>
      <c r="N113" s="1354"/>
      <c r="O113" s="1354"/>
      <c r="P113" s="1354"/>
      <c r="Q113" s="1354"/>
      <c r="R113" s="1354"/>
      <c r="S113" s="1354"/>
      <c r="T113" s="1354"/>
      <c r="U113" s="1355"/>
      <c r="W113" s="1581" t="s">
        <v>253</v>
      </c>
      <c r="X113" s="1582"/>
      <c r="Y113" s="1583" t="s">
        <v>254</v>
      </c>
      <c r="Z113" s="1582"/>
      <c r="AA113" s="1582"/>
      <c r="AB113" s="1584"/>
      <c r="AC113" s="1582" t="s">
        <v>255</v>
      </c>
      <c r="AD113" s="1582"/>
      <c r="AE113" s="1582"/>
      <c r="AF113" s="1582"/>
      <c r="AG113" s="1582"/>
      <c r="AH113" s="1585" t="s">
        <v>256</v>
      </c>
      <c r="AI113" s="1586"/>
      <c r="AJ113" s="1586"/>
      <c r="AK113" s="1586"/>
      <c r="AL113" s="1586"/>
      <c r="AM113" s="1586"/>
      <c r="AN113" s="1586"/>
      <c r="AO113" s="1586"/>
      <c r="AP113" s="1586"/>
      <c r="AQ113" s="1586"/>
      <c r="AR113" s="1586"/>
      <c r="AS113" s="1587"/>
      <c r="AU113" s="1340"/>
      <c r="AV113" s="1341"/>
      <c r="AW113" s="1341"/>
      <c r="AX113" s="1341"/>
      <c r="AY113" s="1341"/>
      <c r="AZ113" s="1341"/>
      <c r="BA113" s="1341"/>
      <c r="BB113" s="1341"/>
      <c r="BC113" s="1341"/>
      <c r="BD113" s="1341"/>
      <c r="BE113" s="1341"/>
      <c r="BF113" s="1341"/>
      <c r="BG113" s="1341"/>
      <c r="BH113" s="1341"/>
      <c r="BI113" s="1341"/>
      <c r="BJ113" s="1341"/>
      <c r="BK113" s="1341"/>
      <c r="BL113" s="1341"/>
      <c r="BM113" s="1341"/>
      <c r="BN113" s="1341"/>
      <c r="BO113" s="1341"/>
      <c r="BP113" s="1341"/>
      <c r="BQ113" s="1341"/>
      <c r="BR113" s="1342"/>
    </row>
    <row r="114" spans="2:70" ht="18" customHeight="1">
      <c r="B114" s="1558"/>
      <c r="C114" s="1559"/>
      <c r="D114" s="1559"/>
      <c r="E114" s="1560"/>
      <c r="F114" s="1566"/>
      <c r="G114" s="1567"/>
      <c r="H114" s="1567"/>
      <c r="I114" s="1567"/>
      <c r="J114" s="1356"/>
      <c r="K114" s="1356"/>
      <c r="L114" s="1356"/>
      <c r="M114" s="1356"/>
      <c r="N114" s="1356"/>
      <c r="O114" s="1356"/>
      <c r="P114" s="1356"/>
      <c r="Q114" s="1356"/>
      <c r="R114" s="1356"/>
      <c r="S114" s="1356"/>
      <c r="T114" s="1356"/>
      <c r="U114" s="1357"/>
      <c r="W114" s="1411" t="s">
        <v>257</v>
      </c>
      <c r="X114" s="1412"/>
      <c r="Y114" s="1412" t="s">
        <v>258</v>
      </c>
      <c r="Z114" s="1412"/>
      <c r="AA114" s="1412"/>
      <c r="AB114" s="1412"/>
      <c r="AC114" s="1412" t="s">
        <v>259</v>
      </c>
      <c r="AD114" s="1412"/>
      <c r="AE114" s="1412"/>
      <c r="AF114" s="1412"/>
      <c r="AG114" s="1412"/>
      <c r="AH114" s="1412" t="s">
        <v>260</v>
      </c>
      <c r="AI114" s="1412"/>
      <c r="AJ114" s="1412"/>
      <c r="AK114" s="1412"/>
      <c r="AL114" s="1412"/>
      <c r="AM114" s="1412"/>
      <c r="AN114" s="1412"/>
      <c r="AO114" s="1412"/>
      <c r="AP114" s="1412"/>
      <c r="AQ114" s="1412"/>
      <c r="AR114" s="1412"/>
      <c r="AS114" s="1552"/>
      <c r="AU114" s="1340"/>
      <c r="AV114" s="1341"/>
      <c r="AW114" s="1341"/>
      <c r="AX114" s="1341"/>
      <c r="AY114" s="1341"/>
      <c r="AZ114" s="1341"/>
      <c r="BA114" s="1341"/>
      <c r="BB114" s="1341"/>
      <c r="BC114" s="1341"/>
      <c r="BD114" s="1341"/>
      <c r="BE114" s="1341"/>
      <c r="BF114" s="1341"/>
      <c r="BG114" s="1341"/>
      <c r="BH114" s="1341"/>
      <c r="BI114" s="1341"/>
      <c r="BJ114" s="1341"/>
      <c r="BK114" s="1341"/>
      <c r="BL114" s="1341"/>
      <c r="BM114" s="1341"/>
      <c r="BN114" s="1341"/>
      <c r="BO114" s="1341"/>
      <c r="BP114" s="1341"/>
      <c r="BQ114" s="1341"/>
      <c r="BR114" s="1342"/>
    </row>
    <row r="115" spans="2:70" ht="18" customHeight="1">
      <c r="B115" s="1558"/>
      <c r="C115" s="1559"/>
      <c r="D115" s="1559"/>
      <c r="E115" s="1560"/>
      <c r="F115" s="1566"/>
      <c r="G115" s="1567"/>
      <c r="H115" s="1567"/>
      <c r="I115" s="1567"/>
      <c r="J115" s="1356"/>
      <c r="K115" s="1356"/>
      <c r="L115" s="1356"/>
      <c r="M115" s="1356"/>
      <c r="N115" s="1356"/>
      <c r="O115" s="1356"/>
      <c r="P115" s="1356"/>
      <c r="Q115" s="1356"/>
      <c r="R115" s="1356"/>
      <c r="S115" s="1356"/>
      <c r="T115" s="1356"/>
      <c r="U115" s="1357"/>
      <c r="W115" s="1408"/>
      <c r="X115" s="1409"/>
      <c r="Y115" s="1409"/>
      <c r="Z115" s="1409"/>
      <c r="AA115" s="1409"/>
      <c r="AB115" s="1409"/>
      <c r="AC115" s="1409"/>
      <c r="AD115" s="1409"/>
      <c r="AE115" s="1409"/>
      <c r="AF115" s="1409"/>
      <c r="AG115" s="1409"/>
      <c r="AH115" s="1409"/>
      <c r="AI115" s="1409"/>
      <c r="AJ115" s="1409"/>
      <c r="AK115" s="1409"/>
      <c r="AL115" s="1409"/>
      <c r="AM115" s="1409"/>
      <c r="AN115" s="1409"/>
      <c r="AO115" s="1409"/>
      <c r="AP115" s="1409"/>
      <c r="AQ115" s="1409"/>
      <c r="AR115" s="1409"/>
      <c r="AS115" s="1410"/>
      <c r="AU115" s="1340"/>
      <c r="AV115" s="1341"/>
      <c r="AW115" s="1341"/>
      <c r="AX115" s="1341"/>
      <c r="AY115" s="1341"/>
      <c r="AZ115" s="1341"/>
      <c r="BA115" s="1341"/>
      <c r="BB115" s="1341"/>
      <c r="BC115" s="1341"/>
      <c r="BD115" s="1341"/>
      <c r="BE115" s="1341"/>
      <c r="BF115" s="1341"/>
      <c r="BG115" s="1341"/>
      <c r="BH115" s="1341"/>
      <c r="BI115" s="1341"/>
      <c r="BJ115" s="1341"/>
      <c r="BK115" s="1341"/>
      <c r="BL115" s="1341"/>
      <c r="BM115" s="1341"/>
      <c r="BN115" s="1341"/>
      <c r="BO115" s="1341"/>
      <c r="BP115" s="1341"/>
      <c r="BQ115" s="1341"/>
      <c r="BR115" s="1342"/>
    </row>
    <row r="116" spans="2:70" ht="18" customHeight="1">
      <c r="B116" s="1561"/>
      <c r="C116" s="1562"/>
      <c r="D116" s="1562"/>
      <c r="E116" s="1563"/>
      <c r="F116" s="1568"/>
      <c r="G116" s="1569"/>
      <c r="H116" s="1569"/>
      <c r="I116" s="1569"/>
      <c r="J116" s="1358"/>
      <c r="K116" s="1358"/>
      <c r="L116" s="1358"/>
      <c r="M116" s="1358"/>
      <c r="N116" s="1358"/>
      <c r="O116" s="1358"/>
      <c r="P116" s="1358"/>
      <c r="Q116" s="1358"/>
      <c r="R116" s="1358"/>
      <c r="S116" s="1358"/>
      <c r="T116" s="1358"/>
      <c r="U116" s="1359"/>
      <c r="W116" s="1411"/>
      <c r="X116" s="1412"/>
      <c r="Y116" s="1412"/>
      <c r="Z116" s="1412"/>
      <c r="AA116" s="1412"/>
      <c r="AB116" s="1412"/>
      <c r="AC116" s="1412"/>
      <c r="AD116" s="1412"/>
      <c r="AE116" s="1412"/>
      <c r="AF116" s="1412"/>
      <c r="AG116" s="1412"/>
      <c r="AH116" s="1412"/>
      <c r="AI116" s="1412"/>
      <c r="AJ116" s="1412"/>
      <c r="AK116" s="1412"/>
      <c r="AL116" s="1412"/>
      <c r="AM116" s="1412"/>
      <c r="AN116" s="1412"/>
      <c r="AO116" s="1412"/>
      <c r="AP116" s="1412"/>
      <c r="AQ116" s="1412"/>
      <c r="AR116" s="1412"/>
      <c r="AS116" s="1552"/>
      <c r="AU116" s="1340"/>
      <c r="AV116" s="1341"/>
      <c r="AW116" s="1341"/>
      <c r="AX116" s="1341"/>
      <c r="AY116" s="1341"/>
      <c r="AZ116" s="1341"/>
      <c r="BA116" s="1341"/>
      <c r="BB116" s="1341"/>
      <c r="BC116" s="1341"/>
      <c r="BD116" s="1341"/>
      <c r="BE116" s="1341"/>
      <c r="BF116" s="1341"/>
      <c r="BG116" s="1341"/>
      <c r="BH116" s="1341"/>
      <c r="BI116" s="1341"/>
      <c r="BJ116" s="1341"/>
      <c r="BK116" s="1341"/>
      <c r="BL116" s="1341"/>
      <c r="BM116" s="1341"/>
      <c r="BN116" s="1341"/>
      <c r="BO116" s="1341"/>
      <c r="BP116" s="1341"/>
      <c r="BQ116" s="1341"/>
      <c r="BR116" s="1342"/>
    </row>
    <row r="117" spans="2:70" ht="18" customHeight="1">
      <c r="L117" s="421"/>
      <c r="W117" s="1408"/>
      <c r="X117" s="1409"/>
      <c r="Y117" s="1409"/>
      <c r="Z117" s="1409"/>
      <c r="AA117" s="1409"/>
      <c r="AB117" s="1409"/>
      <c r="AC117" s="1409"/>
      <c r="AD117" s="1409"/>
      <c r="AE117" s="1409"/>
      <c r="AF117" s="1409"/>
      <c r="AG117" s="1409"/>
      <c r="AH117" s="1409"/>
      <c r="AI117" s="1409"/>
      <c r="AJ117" s="1409"/>
      <c r="AK117" s="1409"/>
      <c r="AL117" s="1409"/>
      <c r="AM117" s="1409"/>
      <c r="AN117" s="1409"/>
      <c r="AO117" s="1409"/>
      <c r="AP117" s="1409"/>
      <c r="AQ117" s="1409"/>
      <c r="AR117" s="1409"/>
      <c r="AS117" s="1410"/>
      <c r="AU117" s="1340"/>
      <c r="AV117" s="1341"/>
      <c r="AW117" s="1341"/>
      <c r="AX117" s="1341"/>
      <c r="AY117" s="1341"/>
      <c r="AZ117" s="1341"/>
      <c r="BA117" s="1341"/>
      <c r="BB117" s="1341"/>
      <c r="BC117" s="1341"/>
      <c r="BD117" s="1341"/>
      <c r="BE117" s="1341"/>
      <c r="BF117" s="1341"/>
      <c r="BG117" s="1341"/>
      <c r="BH117" s="1341"/>
      <c r="BI117" s="1341"/>
      <c r="BJ117" s="1341"/>
      <c r="BK117" s="1341"/>
      <c r="BL117" s="1341"/>
      <c r="BM117" s="1341"/>
      <c r="BN117" s="1341"/>
      <c r="BO117" s="1341"/>
      <c r="BP117" s="1341"/>
      <c r="BQ117" s="1341"/>
      <c r="BR117" s="1342"/>
    </row>
    <row r="118" spans="2:70" ht="18" customHeight="1">
      <c r="B118" s="1534" t="s">
        <v>261</v>
      </c>
      <c r="C118" s="1535"/>
      <c r="D118" s="1535"/>
      <c r="E118" s="1535"/>
      <c r="F118" s="1535"/>
      <c r="G118" s="1535"/>
      <c r="H118" s="1535"/>
      <c r="I118" s="1535"/>
      <c r="J118" s="1535"/>
      <c r="K118" s="1535"/>
      <c r="L118" s="1535"/>
      <c r="M118" s="1535"/>
      <c r="N118" s="1535"/>
      <c r="O118" s="1535"/>
      <c r="P118" s="1535"/>
      <c r="Q118" s="1535"/>
      <c r="R118" s="1535"/>
      <c r="S118" s="1535"/>
      <c r="T118" s="1535"/>
      <c r="U118" s="1536"/>
      <c r="W118" s="1411"/>
      <c r="X118" s="1412"/>
      <c r="Y118" s="1412"/>
      <c r="Z118" s="1412"/>
      <c r="AA118" s="1412"/>
      <c r="AB118" s="1412"/>
      <c r="AC118" s="1412"/>
      <c r="AD118" s="1412"/>
      <c r="AE118" s="1412"/>
      <c r="AF118" s="1412"/>
      <c r="AG118" s="1412"/>
      <c r="AH118" s="1412"/>
      <c r="AI118" s="1412"/>
      <c r="AJ118" s="1412"/>
      <c r="AK118" s="1412"/>
      <c r="AL118" s="1412"/>
      <c r="AM118" s="1412"/>
      <c r="AN118" s="1412"/>
      <c r="AO118" s="1412"/>
      <c r="AP118" s="1412"/>
      <c r="AQ118" s="1412"/>
      <c r="AR118" s="1412"/>
      <c r="AS118" s="1552"/>
      <c r="AU118" s="1340"/>
      <c r="AV118" s="1341"/>
      <c r="AW118" s="1341"/>
      <c r="AX118" s="1341"/>
      <c r="AY118" s="1341"/>
      <c r="AZ118" s="1341"/>
      <c r="BA118" s="1341"/>
      <c r="BB118" s="1341"/>
      <c r="BC118" s="1341"/>
      <c r="BD118" s="1341"/>
      <c r="BE118" s="1341"/>
      <c r="BF118" s="1341"/>
      <c r="BG118" s="1341"/>
      <c r="BH118" s="1341"/>
      <c r="BI118" s="1341"/>
      <c r="BJ118" s="1341"/>
      <c r="BK118" s="1341"/>
      <c r="BL118" s="1341"/>
      <c r="BM118" s="1341"/>
      <c r="BN118" s="1341"/>
      <c r="BO118" s="1341"/>
      <c r="BP118" s="1341"/>
      <c r="BQ118" s="1341"/>
      <c r="BR118" s="1342"/>
    </row>
    <row r="119" spans="2:70" ht="18" customHeight="1">
      <c r="B119" s="1397" t="s">
        <v>262</v>
      </c>
      <c r="C119" s="1298"/>
      <c r="D119" s="1298"/>
      <c r="E119" s="1298"/>
      <c r="F119" s="1406" t="s">
        <v>263</v>
      </c>
      <c r="G119" s="1406"/>
      <c r="H119" s="1406"/>
      <c r="I119" s="1406"/>
      <c r="J119" s="1406"/>
      <c r="K119" s="1406"/>
      <c r="L119" s="1406" t="s">
        <v>264</v>
      </c>
      <c r="M119" s="1406"/>
      <c r="N119" s="1406" t="s">
        <v>265</v>
      </c>
      <c r="O119" s="1406"/>
      <c r="P119" s="1406" t="s">
        <v>266</v>
      </c>
      <c r="Q119" s="1406"/>
      <c r="R119" s="1406" t="s">
        <v>267</v>
      </c>
      <c r="S119" s="1406"/>
      <c r="T119" s="1406" t="s">
        <v>268</v>
      </c>
      <c r="U119" s="1407"/>
      <c r="W119" s="1408"/>
      <c r="X119" s="1409"/>
      <c r="Y119" s="1409"/>
      <c r="Z119" s="1409"/>
      <c r="AA119" s="1409"/>
      <c r="AB119" s="1409"/>
      <c r="AC119" s="1409"/>
      <c r="AD119" s="1409"/>
      <c r="AE119" s="1409"/>
      <c r="AF119" s="1409"/>
      <c r="AG119" s="1409"/>
      <c r="AH119" s="1409"/>
      <c r="AI119" s="1409"/>
      <c r="AJ119" s="1409"/>
      <c r="AK119" s="1409"/>
      <c r="AL119" s="1409"/>
      <c r="AM119" s="1409"/>
      <c r="AN119" s="1409"/>
      <c r="AO119" s="1409"/>
      <c r="AP119" s="1409"/>
      <c r="AQ119" s="1409"/>
      <c r="AR119" s="1409"/>
      <c r="AS119" s="1410"/>
      <c r="AU119" s="1340"/>
      <c r="AV119" s="1341"/>
      <c r="AW119" s="1341"/>
      <c r="AX119" s="1341"/>
      <c r="AY119" s="1341"/>
      <c r="AZ119" s="1341"/>
      <c r="BA119" s="1341"/>
      <c r="BB119" s="1341"/>
      <c r="BC119" s="1341"/>
      <c r="BD119" s="1341"/>
      <c r="BE119" s="1341"/>
      <c r="BF119" s="1341"/>
      <c r="BG119" s="1341"/>
      <c r="BH119" s="1341"/>
      <c r="BI119" s="1341"/>
      <c r="BJ119" s="1341"/>
      <c r="BK119" s="1341"/>
      <c r="BL119" s="1341"/>
      <c r="BM119" s="1341"/>
      <c r="BN119" s="1341"/>
      <c r="BO119" s="1341"/>
      <c r="BP119" s="1341"/>
      <c r="BQ119" s="1341"/>
      <c r="BR119" s="1342"/>
    </row>
    <row r="120" spans="2:70" ht="18" customHeight="1">
      <c r="B120" s="1397"/>
      <c r="C120" s="1298"/>
      <c r="D120" s="1298"/>
      <c r="E120" s="1298"/>
      <c r="F120" s="1298" t="s">
        <v>269</v>
      </c>
      <c r="G120" s="1298"/>
      <c r="H120" s="1298"/>
      <c r="I120" s="1298"/>
      <c r="J120" s="1298"/>
      <c r="K120" s="1298"/>
      <c r="L120" s="1301" t="s">
        <v>270</v>
      </c>
      <c r="M120" s="1301"/>
      <c r="N120" s="1301" t="s">
        <v>271</v>
      </c>
      <c r="O120" s="1301"/>
      <c r="P120" s="1301" t="s">
        <v>272</v>
      </c>
      <c r="Q120" s="1301"/>
      <c r="R120" s="1301" t="s">
        <v>273</v>
      </c>
      <c r="S120" s="1301"/>
      <c r="T120" s="1553">
        <v>1</v>
      </c>
      <c r="U120" s="1554"/>
      <c r="W120" s="1411"/>
      <c r="X120" s="1412"/>
      <c r="Y120" s="1412"/>
      <c r="Z120" s="1412"/>
      <c r="AA120" s="1412"/>
      <c r="AB120" s="1412"/>
      <c r="AC120" s="1412"/>
      <c r="AD120" s="1412"/>
      <c r="AE120" s="1412"/>
      <c r="AF120" s="1412"/>
      <c r="AG120" s="1412"/>
      <c r="AH120" s="1412"/>
      <c r="AI120" s="1412"/>
      <c r="AJ120" s="1412"/>
      <c r="AK120" s="1412"/>
      <c r="AL120" s="1412"/>
      <c r="AM120" s="1412"/>
      <c r="AN120" s="1412"/>
      <c r="AO120" s="1412"/>
      <c r="AP120" s="1412"/>
      <c r="AQ120" s="1412"/>
      <c r="AR120" s="1412"/>
      <c r="AS120" s="1552"/>
      <c r="AU120" s="1340"/>
      <c r="AV120" s="1341"/>
      <c r="AW120" s="1341"/>
      <c r="AX120" s="1341"/>
      <c r="AY120" s="1341"/>
      <c r="AZ120" s="1341"/>
      <c r="BA120" s="1341"/>
      <c r="BB120" s="1341"/>
      <c r="BC120" s="1341"/>
      <c r="BD120" s="1341"/>
      <c r="BE120" s="1341"/>
      <c r="BF120" s="1341"/>
      <c r="BG120" s="1341"/>
      <c r="BH120" s="1341"/>
      <c r="BI120" s="1341"/>
      <c r="BJ120" s="1341"/>
      <c r="BK120" s="1341"/>
      <c r="BL120" s="1341"/>
      <c r="BM120" s="1341"/>
      <c r="BN120" s="1341"/>
      <c r="BO120" s="1341"/>
      <c r="BP120" s="1341"/>
      <c r="BQ120" s="1341"/>
      <c r="BR120" s="1342"/>
    </row>
    <row r="121" spans="2:70" ht="18" customHeight="1">
      <c r="B121" s="1397"/>
      <c r="C121" s="1298"/>
      <c r="D121" s="1298"/>
      <c r="E121" s="1298"/>
      <c r="F121" s="1298"/>
      <c r="G121" s="1298"/>
      <c r="H121" s="1298"/>
      <c r="I121" s="1298"/>
      <c r="J121" s="1298"/>
      <c r="K121" s="1298"/>
      <c r="L121" s="1301"/>
      <c r="M121" s="1301"/>
      <c r="N121" s="1301"/>
      <c r="O121" s="1301"/>
      <c r="P121" s="1301"/>
      <c r="Q121" s="1301"/>
      <c r="R121" s="1301"/>
      <c r="S121" s="1301"/>
      <c r="T121" s="1553"/>
      <c r="U121" s="1554"/>
      <c r="W121" s="1408"/>
      <c r="X121" s="1409"/>
      <c r="Y121" s="1409"/>
      <c r="Z121" s="1409"/>
      <c r="AA121" s="1409"/>
      <c r="AB121" s="1409"/>
      <c r="AC121" s="1409"/>
      <c r="AD121" s="1409"/>
      <c r="AE121" s="1409"/>
      <c r="AF121" s="1409"/>
      <c r="AG121" s="1409"/>
      <c r="AH121" s="1409"/>
      <c r="AI121" s="1409"/>
      <c r="AJ121" s="1409"/>
      <c r="AK121" s="1409"/>
      <c r="AL121" s="1409"/>
      <c r="AM121" s="1409"/>
      <c r="AN121" s="1409"/>
      <c r="AO121" s="1409"/>
      <c r="AP121" s="1409"/>
      <c r="AQ121" s="1409"/>
      <c r="AR121" s="1409"/>
      <c r="AS121" s="1410"/>
      <c r="AT121" s="1269"/>
      <c r="AU121" s="1340"/>
      <c r="AV121" s="1341"/>
      <c r="AW121" s="1341"/>
      <c r="AX121" s="1341"/>
      <c r="AY121" s="1341"/>
      <c r="AZ121" s="1341"/>
      <c r="BA121" s="1341"/>
      <c r="BB121" s="1341"/>
      <c r="BC121" s="1341"/>
      <c r="BD121" s="1341"/>
      <c r="BE121" s="1341"/>
      <c r="BF121" s="1341"/>
      <c r="BG121" s="1341"/>
      <c r="BH121" s="1341"/>
      <c r="BI121" s="1341"/>
      <c r="BJ121" s="1341"/>
      <c r="BK121" s="1341"/>
      <c r="BL121" s="1341"/>
      <c r="BM121" s="1341"/>
      <c r="BN121" s="1341"/>
      <c r="BO121" s="1341"/>
      <c r="BP121" s="1341"/>
      <c r="BQ121" s="1341"/>
      <c r="BR121" s="1342"/>
    </row>
    <row r="122" spans="2:70" ht="18" customHeight="1">
      <c r="B122" s="1397" t="s">
        <v>274</v>
      </c>
      <c r="C122" s="1298"/>
      <c r="D122" s="1298"/>
      <c r="E122" s="1298"/>
      <c r="F122" s="1298"/>
      <c r="G122" s="1298"/>
      <c r="H122" s="1298"/>
      <c r="I122" s="1298"/>
      <c r="J122" s="1298"/>
      <c r="K122" s="1298"/>
      <c r="L122" s="1298"/>
      <c r="M122" s="1298"/>
      <c r="N122" s="1298"/>
      <c r="O122" s="1298"/>
      <c r="P122" s="1298"/>
      <c r="Q122" s="1298"/>
      <c r="R122" s="1298"/>
      <c r="S122" s="1298"/>
      <c r="T122" s="1298"/>
      <c r="U122" s="1299"/>
      <c r="W122" s="1411"/>
      <c r="X122" s="1412"/>
      <c r="Y122" s="1412"/>
      <c r="Z122" s="1412"/>
      <c r="AA122" s="1412"/>
      <c r="AB122" s="1412"/>
      <c r="AC122" s="1412"/>
      <c r="AD122" s="1412"/>
      <c r="AE122" s="1412"/>
      <c r="AF122" s="1412"/>
      <c r="AG122" s="1412"/>
      <c r="AH122" s="1412"/>
      <c r="AI122" s="1412"/>
      <c r="AJ122" s="1412"/>
      <c r="AK122" s="1412"/>
      <c r="AL122" s="1412"/>
      <c r="AM122" s="1412"/>
      <c r="AN122" s="1412"/>
      <c r="AO122" s="1412"/>
      <c r="AP122" s="1412"/>
      <c r="AQ122" s="1412"/>
      <c r="AR122" s="1412"/>
      <c r="AS122" s="1552"/>
      <c r="AT122" s="1269"/>
      <c r="AU122" s="1340"/>
      <c r="AV122" s="1341"/>
      <c r="AW122" s="1341"/>
      <c r="AX122" s="1341"/>
      <c r="AY122" s="1341"/>
      <c r="AZ122" s="1341"/>
      <c r="BA122" s="1341"/>
      <c r="BB122" s="1341"/>
      <c r="BC122" s="1341"/>
      <c r="BD122" s="1341"/>
      <c r="BE122" s="1341"/>
      <c r="BF122" s="1341"/>
      <c r="BG122" s="1341"/>
      <c r="BH122" s="1341"/>
      <c r="BI122" s="1341"/>
      <c r="BJ122" s="1341"/>
      <c r="BK122" s="1341"/>
      <c r="BL122" s="1341"/>
      <c r="BM122" s="1341"/>
      <c r="BN122" s="1341"/>
      <c r="BO122" s="1341"/>
      <c r="BP122" s="1341"/>
      <c r="BQ122" s="1341"/>
      <c r="BR122" s="1342"/>
    </row>
    <row r="123" spans="2:70" ht="18" customHeight="1">
      <c r="B123" s="1397"/>
      <c r="C123" s="1298"/>
      <c r="D123" s="1298"/>
      <c r="E123" s="1298"/>
      <c r="F123" s="1298"/>
      <c r="G123" s="1298"/>
      <c r="H123" s="1298"/>
      <c r="I123" s="1298"/>
      <c r="J123" s="1298"/>
      <c r="K123" s="1298"/>
      <c r="L123" s="1298"/>
      <c r="M123" s="1298"/>
      <c r="N123" s="1298"/>
      <c r="O123" s="1298"/>
      <c r="P123" s="1298"/>
      <c r="Q123" s="1298"/>
      <c r="R123" s="1298"/>
      <c r="S123" s="1298"/>
      <c r="T123" s="1298"/>
      <c r="U123" s="1299"/>
      <c r="W123" s="1408"/>
      <c r="X123" s="1409"/>
      <c r="Y123" s="1409"/>
      <c r="Z123" s="1409"/>
      <c r="AA123" s="1409"/>
      <c r="AB123" s="1409"/>
      <c r="AC123" s="1409"/>
      <c r="AD123" s="1409"/>
      <c r="AE123" s="1409"/>
      <c r="AF123" s="1409"/>
      <c r="AG123" s="1409"/>
      <c r="AH123" s="1409"/>
      <c r="AI123" s="1409"/>
      <c r="AJ123" s="1409"/>
      <c r="AK123" s="1409"/>
      <c r="AL123" s="1409"/>
      <c r="AM123" s="1409"/>
      <c r="AN123" s="1409"/>
      <c r="AO123" s="1409"/>
      <c r="AP123" s="1409"/>
      <c r="AQ123" s="1409"/>
      <c r="AR123" s="1409"/>
      <c r="AS123" s="1410"/>
      <c r="AU123" s="1340"/>
      <c r="AV123" s="1341"/>
      <c r="AW123" s="1341"/>
      <c r="AX123" s="1341"/>
      <c r="AY123" s="1341"/>
      <c r="AZ123" s="1341"/>
      <c r="BA123" s="1341"/>
      <c r="BB123" s="1341"/>
      <c r="BC123" s="1341"/>
      <c r="BD123" s="1341"/>
      <c r="BE123" s="1341"/>
      <c r="BF123" s="1341"/>
      <c r="BG123" s="1341"/>
      <c r="BH123" s="1341"/>
      <c r="BI123" s="1341"/>
      <c r="BJ123" s="1341"/>
      <c r="BK123" s="1341"/>
      <c r="BL123" s="1341"/>
      <c r="BM123" s="1341"/>
      <c r="BN123" s="1341"/>
      <c r="BO123" s="1341"/>
      <c r="BP123" s="1341"/>
      <c r="BQ123" s="1341"/>
      <c r="BR123" s="1342"/>
    </row>
    <row r="124" spans="2:70" ht="18" customHeight="1">
      <c r="B124" s="1529" t="s">
        <v>275</v>
      </c>
      <c r="C124" s="1406"/>
      <c r="D124" s="1406"/>
      <c r="E124" s="1406"/>
      <c r="F124" s="1406"/>
      <c r="G124" s="1406"/>
      <c r="H124" s="1406"/>
      <c r="I124" s="1406"/>
      <c r="J124" s="1406"/>
      <c r="K124" s="1406"/>
      <c r="L124" s="1406" t="s">
        <v>276</v>
      </c>
      <c r="M124" s="1406"/>
      <c r="N124" s="1406"/>
      <c r="O124" s="1406"/>
      <c r="P124" s="1406"/>
      <c r="Q124" s="1406"/>
      <c r="R124" s="1406"/>
      <c r="S124" s="1406"/>
      <c r="T124" s="1406"/>
      <c r="U124" s="1530"/>
      <c r="W124" s="1411"/>
      <c r="X124" s="1412"/>
      <c r="Y124" s="1412"/>
      <c r="Z124" s="1412"/>
      <c r="AA124" s="1412"/>
      <c r="AB124" s="1412"/>
      <c r="AC124" s="1412"/>
      <c r="AD124" s="1412"/>
      <c r="AE124" s="1412"/>
      <c r="AF124" s="1412"/>
      <c r="AG124" s="1412"/>
      <c r="AH124" s="1412"/>
      <c r="AI124" s="1412"/>
      <c r="AJ124" s="1412"/>
      <c r="AK124" s="1412"/>
      <c r="AL124" s="1412"/>
      <c r="AM124" s="1412"/>
      <c r="AN124" s="1412"/>
      <c r="AO124" s="1412"/>
      <c r="AP124" s="1412"/>
      <c r="AQ124" s="1412"/>
      <c r="AR124" s="1412"/>
      <c r="AS124" s="1552"/>
      <c r="AU124" s="1340"/>
      <c r="AV124" s="1341"/>
      <c r="AW124" s="1341"/>
      <c r="AX124" s="1341"/>
      <c r="AY124" s="1341"/>
      <c r="AZ124" s="1341"/>
      <c r="BA124" s="1341"/>
      <c r="BB124" s="1341"/>
      <c r="BC124" s="1341"/>
      <c r="BD124" s="1341"/>
      <c r="BE124" s="1341"/>
      <c r="BF124" s="1341"/>
      <c r="BG124" s="1341"/>
      <c r="BH124" s="1341"/>
      <c r="BI124" s="1341"/>
      <c r="BJ124" s="1341"/>
      <c r="BK124" s="1341"/>
      <c r="BL124" s="1341"/>
      <c r="BM124" s="1341"/>
      <c r="BN124" s="1341"/>
      <c r="BO124" s="1341"/>
      <c r="BP124" s="1341"/>
      <c r="BQ124" s="1341"/>
      <c r="BR124" s="1342"/>
    </row>
    <row r="125" spans="2:70" ht="18" customHeight="1">
      <c r="B125" s="1529" t="s">
        <v>277</v>
      </c>
      <c r="C125" s="1406"/>
      <c r="D125" s="1406" t="s">
        <v>278</v>
      </c>
      <c r="E125" s="1406"/>
      <c r="F125" s="1406"/>
      <c r="G125" s="1406"/>
      <c r="H125" s="1406"/>
      <c r="I125" s="1406"/>
      <c r="J125" s="1406"/>
      <c r="K125" s="1406"/>
      <c r="L125" s="1406"/>
      <c r="M125" s="1406"/>
      <c r="N125" s="1406"/>
      <c r="O125" s="1406"/>
      <c r="P125" s="1406"/>
      <c r="Q125" s="1406"/>
      <c r="R125" s="1406"/>
      <c r="S125" s="1406"/>
      <c r="T125" s="1406"/>
      <c r="U125" s="1530"/>
      <c r="W125" s="1408"/>
      <c r="X125" s="1409"/>
      <c r="Y125" s="1409"/>
      <c r="Z125" s="1409"/>
      <c r="AA125" s="1409"/>
      <c r="AB125" s="1409"/>
      <c r="AC125" s="1409"/>
      <c r="AD125" s="1409"/>
      <c r="AE125" s="1409"/>
      <c r="AF125" s="1409"/>
      <c r="AG125" s="1409"/>
      <c r="AH125" s="1409"/>
      <c r="AI125" s="1409"/>
      <c r="AJ125" s="1409"/>
      <c r="AK125" s="1409"/>
      <c r="AL125" s="1409"/>
      <c r="AM125" s="1409"/>
      <c r="AN125" s="1409"/>
      <c r="AO125" s="1409"/>
      <c r="AP125" s="1409"/>
      <c r="AQ125" s="1409"/>
      <c r="AR125" s="1409"/>
      <c r="AS125" s="1410"/>
      <c r="AU125" s="1340"/>
      <c r="AV125" s="1341"/>
      <c r="AW125" s="1341"/>
      <c r="AX125" s="1341"/>
      <c r="AY125" s="1341"/>
      <c r="AZ125" s="1341"/>
      <c r="BA125" s="1341"/>
      <c r="BB125" s="1341"/>
      <c r="BC125" s="1341"/>
      <c r="BD125" s="1341"/>
      <c r="BE125" s="1341"/>
      <c r="BF125" s="1341"/>
      <c r="BG125" s="1341"/>
      <c r="BH125" s="1341"/>
      <c r="BI125" s="1341"/>
      <c r="BJ125" s="1341"/>
      <c r="BK125" s="1341"/>
      <c r="BL125" s="1341"/>
      <c r="BM125" s="1341"/>
      <c r="BN125" s="1341"/>
      <c r="BO125" s="1341"/>
      <c r="BP125" s="1341"/>
      <c r="BQ125" s="1341"/>
      <c r="BR125" s="1342"/>
    </row>
    <row r="126" spans="2:70" ht="18" customHeight="1">
      <c r="B126" s="1529" t="s">
        <v>279</v>
      </c>
      <c r="C126" s="1406"/>
      <c r="D126" s="1406" t="s">
        <v>280</v>
      </c>
      <c r="E126" s="1406"/>
      <c r="F126" s="1406"/>
      <c r="G126" s="1406"/>
      <c r="H126" s="1406"/>
      <c r="I126" s="1406"/>
      <c r="J126" s="1406"/>
      <c r="K126" s="1406"/>
      <c r="L126" s="1406"/>
      <c r="M126" s="1406"/>
      <c r="N126" s="1406"/>
      <c r="O126" s="1406"/>
      <c r="P126" s="1406"/>
      <c r="Q126" s="1406"/>
      <c r="R126" s="1406"/>
      <c r="S126" s="1406"/>
      <c r="T126" s="1406"/>
      <c r="U126" s="1530"/>
      <c r="W126" s="1531"/>
      <c r="X126" s="1532"/>
      <c r="Y126" s="1532"/>
      <c r="Z126" s="1532"/>
      <c r="AA126" s="1532"/>
      <c r="AB126" s="1532"/>
      <c r="AC126" s="1532"/>
      <c r="AD126" s="1532"/>
      <c r="AE126" s="1532"/>
      <c r="AF126" s="1532"/>
      <c r="AG126" s="1532"/>
      <c r="AH126" s="1532"/>
      <c r="AI126" s="1532"/>
      <c r="AJ126" s="1532"/>
      <c r="AK126" s="1532"/>
      <c r="AL126" s="1532"/>
      <c r="AM126" s="1532"/>
      <c r="AN126" s="1532"/>
      <c r="AO126" s="1532"/>
      <c r="AP126" s="1532"/>
      <c r="AQ126" s="1532"/>
      <c r="AR126" s="1532"/>
      <c r="AS126" s="1533"/>
      <c r="AU126" s="1340"/>
      <c r="AV126" s="1341"/>
      <c r="AW126" s="1341"/>
      <c r="AX126" s="1341"/>
      <c r="AY126" s="1341"/>
      <c r="AZ126" s="1341"/>
      <c r="BA126" s="1341"/>
      <c r="BB126" s="1341"/>
      <c r="BC126" s="1341"/>
      <c r="BD126" s="1341"/>
      <c r="BE126" s="1341"/>
      <c r="BF126" s="1341"/>
      <c r="BG126" s="1341"/>
      <c r="BH126" s="1341"/>
      <c r="BI126" s="1341"/>
      <c r="BJ126" s="1341"/>
      <c r="BK126" s="1341"/>
      <c r="BL126" s="1341"/>
      <c r="BM126" s="1341"/>
      <c r="BN126" s="1341"/>
      <c r="BO126" s="1341"/>
      <c r="BP126" s="1341"/>
      <c r="BQ126" s="1341"/>
      <c r="BR126" s="1342"/>
    </row>
    <row r="127" spans="2:70" ht="18" customHeight="1">
      <c r="B127" s="1529" t="s">
        <v>281</v>
      </c>
      <c r="C127" s="1406"/>
      <c r="D127" s="1298" t="s">
        <v>282</v>
      </c>
      <c r="E127" s="1298"/>
      <c r="F127" s="1298"/>
      <c r="G127" s="1298"/>
      <c r="H127" s="1298"/>
      <c r="I127" s="1298"/>
      <c r="J127" s="1298"/>
      <c r="K127" s="1298"/>
      <c r="L127" s="1298"/>
      <c r="M127" s="1298"/>
      <c r="N127" s="1298"/>
      <c r="O127" s="1298"/>
      <c r="P127" s="1298"/>
      <c r="Q127" s="1298"/>
      <c r="R127" s="1298"/>
      <c r="S127" s="1298"/>
      <c r="T127" s="1298"/>
      <c r="U127" s="1299"/>
      <c r="Y127" s="516"/>
      <c r="AM127" s="673"/>
      <c r="AN127" s="673"/>
      <c r="AO127" s="673"/>
      <c r="AP127" s="673"/>
      <c r="AQ127" s="673"/>
      <c r="AR127" s="673"/>
      <c r="AS127" s="673"/>
      <c r="AU127" s="1340"/>
      <c r="AV127" s="1341"/>
      <c r="AW127" s="1341"/>
      <c r="AX127" s="1341"/>
      <c r="AY127" s="1341"/>
      <c r="AZ127" s="1341"/>
      <c r="BA127" s="1341"/>
      <c r="BB127" s="1341"/>
      <c r="BC127" s="1341"/>
      <c r="BD127" s="1341"/>
      <c r="BE127" s="1341"/>
      <c r="BF127" s="1341"/>
      <c r="BG127" s="1341"/>
      <c r="BH127" s="1341"/>
      <c r="BI127" s="1341"/>
      <c r="BJ127" s="1341"/>
      <c r="BK127" s="1341"/>
      <c r="BL127" s="1341"/>
      <c r="BM127" s="1341"/>
      <c r="BN127" s="1341"/>
      <c r="BO127" s="1341"/>
      <c r="BP127" s="1341"/>
      <c r="BQ127" s="1341"/>
      <c r="BR127" s="1342"/>
    </row>
    <row r="128" spans="2:70" ht="18" customHeight="1">
      <c r="B128" s="1529"/>
      <c r="C128" s="1406"/>
      <c r="D128" s="1298"/>
      <c r="E128" s="1298"/>
      <c r="F128" s="1298"/>
      <c r="G128" s="1298"/>
      <c r="H128" s="1298"/>
      <c r="I128" s="1298"/>
      <c r="J128" s="1298"/>
      <c r="K128" s="1298"/>
      <c r="L128" s="1298"/>
      <c r="M128" s="1298"/>
      <c r="N128" s="1298"/>
      <c r="O128" s="1298"/>
      <c r="P128" s="1298"/>
      <c r="Q128" s="1298"/>
      <c r="R128" s="1298"/>
      <c r="S128" s="1298"/>
      <c r="T128" s="1298"/>
      <c r="U128" s="1299"/>
      <c r="W128" s="1534" t="s">
        <v>283</v>
      </c>
      <c r="X128" s="1535"/>
      <c r="Y128" s="1535"/>
      <c r="Z128" s="1535"/>
      <c r="AA128" s="1535"/>
      <c r="AB128" s="1535"/>
      <c r="AC128" s="1535"/>
      <c r="AD128" s="1535"/>
      <c r="AE128" s="1535"/>
      <c r="AF128" s="1535"/>
      <c r="AG128" s="1535"/>
      <c r="AH128" s="1535"/>
      <c r="AI128" s="1535"/>
      <c r="AJ128" s="1535"/>
      <c r="AK128" s="1535"/>
      <c r="AL128" s="1535"/>
      <c r="AM128" s="1535"/>
      <c r="AN128" s="1535"/>
      <c r="AO128" s="1535"/>
      <c r="AP128" s="1535"/>
      <c r="AQ128" s="1535"/>
      <c r="AR128" s="1535"/>
      <c r="AS128" s="1536"/>
      <c r="AU128" s="1537" t="s">
        <v>284</v>
      </c>
      <c r="AV128" s="1538"/>
      <c r="AW128" s="1538"/>
      <c r="AX128" s="1538"/>
      <c r="AY128" s="1538"/>
      <c r="AZ128" s="1538"/>
      <c r="BA128" s="1538"/>
      <c r="BB128" s="1538"/>
      <c r="BC128" s="1538"/>
      <c r="BD128" s="1538"/>
      <c r="BE128" s="1538"/>
      <c r="BF128" s="1538"/>
      <c r="BG128" s="1538"/>
      <c r="BH128" s="1538"/>
      <c r="BI128" s="1538"/>
      <c r="BJ128" s="1538"/>
      <c r="BK128" s="1538"/>
      <c r="BL128" s="1538"/>
      <c r="BM128" s="1538"/>
      <c r="BN128" s="1538"/>
      <c r="BO128" s="1538"/>
      <c r="BP128" s="1538"/>
      <c r="BQ128" s="1538"/>
      <c r="BR128" s="1539"/>
    </row>
    <row r="129" spans="1:70" ht="18" customHeight="1">
      <c r="B129" s="1540" t="s">
        <v>285</v>
      </c>
      <c r="C129" s="1541"/>
      <c r="D129" s="1541"/>
      <c r="E129" s="1541"/>
      <c r="F129" s="1541"/>
      <c r="G129" s="1541"/>
      <c r="H129" s="1541"/>
      <c r="I129" s="1541"/>
      <c r="J129" s="1541"/>
      <c r="K129" s="1541"/>
      <c r="L129" s="1541" t="s">
        <v>286</v>
      </c>
      <c r="M129" s="1541"/>
      <c r="N129" s="1541"/>
      <c r="O129" s="1541"/>
      <c r="P129" s="1541"/>
      <c r="Q129" s="1541"/>
      <c r="R129" s="1541"/>
      <c r="S129" s="1541"/>
      <c r="T129" s="1541"/>
      <c r="U129" s="1542"/>
      <c r="W129" s="1543" t="s">
        <v>7</v>
      </c>
      <c r="X129" s="1544"/>
      <c r="Y129" s="1544"/>
      <c r="Z129" s="1544"/>
      <c r="AA129" s="1545" t="s">
        <v>12</v>
      </c>
      <c r="AB129" s="1545"/>
      <c r="AC129" s="1545"/>
      <c r="AD129" s="1544" t="s">
        <v>287</v>
      </c>
      <c r="AE129" s="1544"/>
      <c r="AF129" s="1544"/>
      <c r="AG129" s="1544"/>
      <c r="AH129" s="1544"/>
      <c r="AI129" s="1544"/>
      <c r="AJ129" s="1544"/>
      <c r="AK129" s="1544"/>
      <c r="AL129" s="1545" t="s">
        <v>288</v>
      </c>
      <c r="AM129" s="1545"/>
      <c r="AN129" s="1545"/>
      <c r="AO129" s="1545"/>
      <c r="AP129" s="1545" t="s">
        <v>289</v>
      </c>
      <c r="AQ129" s="1545"/>
      <c r="AR129" s="1545"/>
      <c r="AS129" s="1546"/>
      <c r="AU129" s="1547" t="s">
        <v>290</v>
      </c>
      <c r="AV129" s="1548"/>
      <c r="AW129" s="1548"/>
      <c r="AX129" s="1548"/>
      <c r="AY129" s="1548"/>
      <c r="AZ129" s="1549" t="s">
        <v>291</v>
      </c>
      <c r="BA129" s="1549"/>
      <c r="BB129" s="1549"/>
      <c r="BC129" s="1549"/>
      <c r="BD129" s="1549"/>
      <c r="BE129" s="1549"/>
      <c r="BF129" s="1549"/>
      <c r="BG129" s="1548" t="str">
        <f>IF(AZ129=附表!AT29,"要搜索的年份：","")</f>
        <v>要搜索的年份：</v>
      </c>
      <c r="BH129" s="1548"/>
      <c r="BI129" s="1548"/>
      <c r="BJ129" s="1548"/>
      <c r="BK129" s="1548"/>
      <c r="BL129" s="1550">
        <v>1920</v>
      </c>
      <c r="BM129" s="1550"/>
      <c r="BN129" s="1550"/>
      <c r="BO129" s="1550"/>
      <c r="BP129" s="1550"/>
      <c r="BQ129" s="1550"/>
      <c r="BR129" s="1551"/>
    </row>
    <row r="130" spans="1:70" ht="18" customHeight="1">
      <c r="A130" s="650"/>
      <c r="B130" s="1521" t="s">
        <v>292</v>
      </c>
      <c r="C130" s="1522"/>
      <c r="D130" s="1522"/>
      <c r="E130" s="1522"/>
      <c r="F130" s="1522"/>
      <c r="G130" s="1522"/>
      <c r="H130" s="1522"/>
      <c r="I130" s="1522"/>
      <c r="J130" s="1522"/>
      <c r="K130" s="1522"/>
      <c r="L130" s="1522"/>
      <c r="M130" s="1522"/>
      <c r="N130" s="1522"/>
      <c r="O130" s="1522"/>
      <c r="P130" s="1522"/>
      <c r="Q130" s="1522"/>
      <c r="R130" s="1522"/>
      <c r="S130" s="1522"/>
      <c r="T130" s="1522"/>
      <c r="U130" s="1523"/>
      <c r="W130" s="1524" t="s">
        <v>293</v>
      </c>
      <c r="X130" s="1525"/>
      <c r="Y130" s="1525"/>
      <c r="Z130" s="1526"/>
      <c r="AA130" s="1525" t="s">
        <v>294</v>
      </c>
      <c r="AB130" s="1525"/>
      <c r="AC130" s="1525"/>
      <c r="AD130" s="1527" t="s">
        <v>295</v>
      </c>
      <c r="AE130" s="1525"/>
      <c r="AF130" s="1525"/>
      <c r="AG130" s="1525"/>
      <c r="AH130" s="1525"/>
      <c r="AI130" s="1525"/>
      <c r="AJ130" s="1525"/>
      <c r="AK130" s="1526"/>
      <c r="AL130" s="1525" t="s">
        <v>296</v>
      </c>
      <c r="AM130" s="1525"/>
      <c r="AN130" s="1525"/>
      <c r="AO130" s="1525"/>
      <c r="AP130" s="1527" t="s">
        <v>297</v>
      </c>
      <c r="AQ130" s="1525"/>
      <c r="AR130" s="1525"/>
      <c r="AS130" s="1528"/>
      <c r="AU130" s="1331" t="str">
        <f>附表!BA14</f>
        <v>广播电台
茶包</v>
      </c>
      <c r="AV130" s="1332"/>
      <c r="AW130" s="1332"/>
      <c r="AX130" s="1332"/>
      <c r="AY130" s="1332"/>
      <c r="AZ130" s="1332"/>
      <c r="BA130" s="1332"/>
      <c r="BB130" s="1332"/>
      <c r="BC130" s="1332"/>
      <c r="BD130" s="1332"/>
      <c r="BE130" s="1332"/>
      <c r="BF130" s="1332"/>
      <c r="BG130" s="1332"/>
      <c r="BH130" s="1332"/>
      <c r="BI130" s="1332"/>
      <c r="BJ130" s="1332"/>
      <c r="BK130" s="1332"/>
      <c r="BL130" s="1332"/>
      <c r="BM130" s="1332"/>
      <c r="BN130" s="1332"/>
      <c r="BO130" s="1332"/>
      <c r="BP130" s="1332"/>
      <c r="BQ130" s="1332"/>
      <c r="BR130" s="1333"/>
    </row>
    <row r="131" spans="1:70" ht="18" customHeight="1">
      <c r="A131" s="650"/>
      <c r="B131" s="1366" t="s">
        <v>298</v>
      </c>
      <c r="C131" s="1367"/>
      <c r="D131" s="1367"/>
      <c r="E131" s="1367"/>
      <c r="F131" s="1367"/>
      <c r="G131" s="1406" t="s">
        <v>263</v>
      </c>
      <c r="H131" s="1406"/>
      <c r="I131" s="1406"/>
      <c r="J131" s="1406"/>
      <c r="K131" s="1406"/>
      <c r="L131" s="1406"/>
      <c r="M131" s="1406"/>
      <c r="N131" s="1301" t="s">
        <v>264</v>
      </c>
      <c r="O131" s="1301"/>
      <c r="P131" s="1301"/>
      <c r="Q131" s="1301"/>
      <c r="R131" s="1301" t="s">
        <v>265</v>
      </c>
      <c r="S131" s="1301"/>
      <c r="T131" s="1301"/>
      <c r="U131" s="1437"/>
      <c r="W131" s="1515"/>
      <c r="X131" s="1516"/>
      <c r="Y131" s="1516"/>
      <c r="Z131" s="1506"/>
      <c r="AA131" s="1516"/>
      <c r="AB131" s="1516"/>
      <c r="AC131" s="1516"/>
      <c r="AD131" s="1507"/>
      <c r="AE131" s="1516"/>
      <c r="AF131" s="1516"/>
      <c r="AG131" s="1516"/>
      <c r="AH131" s="1516"/>
      <c r="AI131" s="1516"/>
      <c r="AJ131" s="1516"/>
      <c r="AK131" s="1506"/>
      <c r="AL131" s="1516"/>
      <c r="AM131" s="1516"/>
      <c r="AN131" s="1516"/>
      <c r="AO131" s="1516"/>
      <c r="AP131" s="1507"/>
      <c r="AQ131" s="1516"/>
      <c r="AR131" s="1516"/>
      <c r="AS131" s="1517"/>
      <c r="AU131" s="1331"/>
      <c r="AV131" s="1332"/>
      <c r="AW131" s="1332"/>
      <c r="AX131" s="1332"/>
      <c r="AY131" s="1332"/>
      <c r="AZ131" s="1332"/>
      <c r="BA131" s="1332"/>
      <c r="BB131" s="1332"/>
      <c r="BC131" s="1332"/>
      <c r="BD131" s="1332"/>
      <c r="BE131" s="1332"/>
      <c r="BF131" s="1332"/>
      <c r="BG131" s="1332"/>
      <c r="BH131" s="1332"/>
      <c r="BI131" s="1332"/>
      <c r="BJ131" s="1332"/>
      <c r="BK131" s="1332"/>
      <c r="BL131" s="1332"/>
      <c r="BM131" s="1332"/>
      <c r="BN131" s="1332"/>
      <c r="BO131" s="1332"/>
      <c r="BP131" s="1332"/>
      <c r="BQ131" s="1332"/>
      <c r="BR131" s="1333"/>
    </row>
    <row r="132" spans="1:70" ht="18" customHeight="1">
      <c r="A132" s="650"/>
      <c r="B132" s="1366"/>
      <c r="C132" s="1367"/>
      <c r="D132" s="1367"/>
      <c r="E132" s="1367"/>
      <c r="F132" s="1367"/>
      <c r="G132" s="1298" t="s">
        <v>299</v>
      </c>
      <c r="H132" s="1298"/>
      <c r="I132" s="1298"/>
      <c r="J132" s="1298"/>
      <c r="K132" s="1298"/>
      <c r="L132" s="1298"/>
      <c r="M132" s="1298"/>
      <c r="N132" s="1301" t="s">
        <v>300</v>
      </c>
      <c r="O132" s="1301"/>
      <c r="P132" s="1301"/>
      <c r="Q132" s="1301"/>
      <c r="R132" s="1301" t="s">
        <v>301</v>
      </c>
      <c r="S132" s="1301"/>
      <c r="T132" s="1301"/>
      <c r="U132" s="1437"/>
      <c r="W132" s="1518"/>
      <c r="X132" s="1519"/>
      <c r="Y132" s="1519"/>
      <c r="Z132" s="1501"/>
      <c r="AA132" s="1519"/>
      <c r="AB132" s="1519"/>
      <c r="AC132" s="1519"/>
      <c r="AD132" s="1502"/>
      <c r="AE132" s="1519"/>
      <c r="AF132" s="1519"/>
      <c r="AG132" s="1519"/>
      <c r="AH132" s="1519"/>
      <c r="AI132" s="1519"/>
      <c r="AJ132" s="1519"/>
      <c r="AK132" s="1501"/>
      <c r="AL132" s="1519"/>
      <c r="AM132" s="1519"/>
      <c r="AN132" s="1519"/>
      <c r="AO132" s="1519"/>
      <c r="AP132" s="1502"/>
      <c r="AQ132" s="1519"/>
      <c r="AR132" s="1519"/>
      <c r="AS132" s="1520"/>
      <c r="AU132" s="1331"/>
      <c r="AV132" s="1332"/>
      <c r="AW132" s="1332"/>
      <c r="AX132" s="1332"/>
      <c r="AY132" s="1332"/>
      <c r="AZ132" s="1332"/>
      <c r="BA132" s="1332"/>
      <c r="BB132" s="1332"/>
      <c r="BC132" s="1332"/>
      <c r="BD132" s="1332"/>
      <c r="BE132" s="1332"/>
      <c r="BF132" s="1332"/>
      <c r="BG132" s="1332"/>
      <c r="BH132" s="1332"/>
      <c r="BI132" s="1332"/>
      <c r="BJ132" s="1332"/>
      <c r="BK132" s="1332"/>
      <c r="BL132" s="1332"/>
      <c r="BM132" s="1332"/>
      <c r="BN132" s="1332"/>
      <c r="BO132" s="1332"/>
      <c r="BP132" s="1332"/>
      <c r="BQ132" s="1332"/>
      <c r="BR132" s="1333"/>
    </row>
    <row r="133" spans="1:70" ht="18" customHeight="1">
      <c r="A133" s="650"/>
      <c r="B133" s="1366"/>
      <c r="C133" s="1367"/>
      <c r="D133" s="1367"/>
      <c r="E133" s="1367"/>
      <c r="F133" s="1367"/>
      <c r="G133" s="1298"/>
      <c r="H133" s="1298"/>
      <c r="I133" s="1298"/>
      <c r="J133" s="1298"/>
      <c r="K133" s="1298"/>
      <c r="L133" s="1298"/>
      <c r="M133" s="1298"/>
      <c r="N133" s="1301"/>
      <c r="O133" s="1301"/>
      <c r="P133" s="1301"/>
      <c r="Q133" s="1301"/>
      <c r="R133" s="1301"/>
      <c r="S133" s="1301"/>
      <c r="T133" s="1301"/>
      <c r="U133" s="1437"/>
      <c r="W133" s="1515"/>
      <c r="X133" s="1516"/>
      <c r="Y133" s="1516"/>
      <c r="Z133" s="1506"/>
      <c r="AA133" s="1516"/>
      <c r="AB133" s="1516"/>
      <c r="AC133" s="1516"/>
      <c r="AD133" s="1507"/>
      <c r="AE133" s="1516"/>
      <c r="AF133" s="1516"/>
      <c r="AG133" s="1516"/>
      <c r="AH133" s="1516"/>
      <c r="AI133" s="1516"/>
      <c r="AJ133" s="1516"/>
      <c r="AK133" s="1506"/>
      <c r="AL133" s="1516"/>
      <c r="AM133" s="1516"/>
      <c r="AN133" s="1516"/>
      <c r="AO133" s="1516"/>
      <c r="AP133" s="1507"/>
      <c r="AQ133" s="1516"/>
      <c r="AR133" s="1516"/>
      <c r="AS133" s="1517"/>
      <c r="AU133" s="1331"/>
      <c r="AV133" s="1332"/>
      <c r="AW133" s="1332"/>
      <c r="AX133" s="1332"/>
      <c r="AY133" s="1332"/>
      <c r="AZ133" s="1332"/>
      <c r="BA133" s="1332"/>
      <c r="BB133" s="1332"/>
      <c r="BC133" s="1332"/>
      <c r="BD133" s="1332"/>
      <c r="BE133" s="1332"/>
      <c r="BF133" s="1332"/>
      <c r="BG133" s="1332"/>
      <c r="BH133" s="1332"/>
      <c r="BI133" s="1332"/>
      <c r="BJ133" s="1332"/>
      <c r="BK133" s="1332"/>
      <c r="BL133" s="1332"/>
      <c r="BM133" s="1332"/>
      <c r="BN133" s="1332"/>
      <c r="BO133" s="1332"/>
      <c r="BP133" s="1332"/>
      <c r="BQ133" s="1332"/>
      <c r="BR133" s="1333"/>
    </row>
    <row r="134" spans="1:70" ht="18" customHeight="1">
      <c r="A134" s="650"/>
      <c r="B134" s="1300" t="s">
        <v>302</v>
      </c>
      <c r="C134" s="1301"/>
      <c r="D134" s="1301"/>
      <c r="E134" s="1301"/>
      <c r="F134" s="1301"/>
      <c r="G134" s="1367" t="s">
        <v>303</v>
      </c>
      <c r="H134" s="1367"/>
      <c r="I134" s="1367"/>
      <c r="J134" s="1367"/>
      <c r="K134" s="1367"/>
      <c r="L134" s="1367"/>
      <c r="M134" s="1367"/>
      <c r="N134" s="1367" t="s">
        <v>304</v>
      </c>
      <c r="O134" s="1367"/>
      <c r="P134" s="1367"/>
      <c r="Q134" s="1367"/>
      <c r="R134" s="1367" t="s">
        <v>305</v>
      </c>
      <c r="S134" s="1367"/>
      <c r="T134" s="1367"/>
      <c r="U134" s="1496"/>
      <c r="W134" s="1518"/>
      <c r="X134" s="1519"/>
      <c r="Y134" s="1519"/>
      <c r="Z134" s="1501"/>
      <c r="AA134" s="1519"/>
      <c r="AB134" s="1519"/>
      <c r="AC134" s="1519"/>
      <c r="AD134" s="1502"/>
      <c r="AE134" s="1519"/>
      <c r="AF134" s="1519"/>
      <c r="AG134" s="1519"/>
      <c r="AH134" s="1519"/>
      <c r="AI134" s="1519"/>
      <c r="AJ134" s="1519"/>
      <c r="AK134" s="1501"/>
      <c r="AL134" s="1519"/>
      <c r="AM134" s="1519"/>
      <c r="AN134" s="1519"/>
      <c r="AO134" s="1519"/>
      <c r="AP134" s="1502"/>
      <c r="AQ134" s="1519"/>
      <c r="AR134" s="1519"/>
      <c r="AS134" s="1520"/>
      <c r="AU134" s="1331"/>
      <c r="AV134" s="1332"/>
      <c r="AW134" s="1332"/>
      <c r="AX134" s="1332"/>
      <c r="AY134" s="1332"/>
      <c r="AZ134" s="1332"/>
      <c r="BA134" s="1332"/>
      <c r="BB134" s="1332"/>
      <c r="BC134" s="1332"/>
      <c r="BD134" s="1332"/>
      <c r="BE134" s="1332"/>
      <c r="BF134" s="1332"/>
      <c r="BG134" s="1332"/>
      <c r="BH134" s="1332"/>
      <c r="BI134" s="1332"/>
      <c r="BJ134" s="1332"/>
      <c r="BK134" s="1332"/>
      <c r="BL134" s="1332"/>
      <c r="BM134" s="1332"/>
      <c r="BN134" s="1332"/>
      <c r="BO134" s="1332"/>
      <c r="BP134" s="1332"/>
      <c r="BQ134" s="1332"/>
      <c r="BR134" s="1333"/>
    </row>
    <row r="135" spans="1:70" ht="18" customHeight="1">
      <c r="A135" s="650"/>
      <c r="B135" s="1300"/>
      <c r="C135" s="1301"/>
      <c r="D135" s="1301"/>
      <c r="E135" s="1301"/>
      <c r="F135" s="1301"/>
      <c r="G135" s="1367"/>
      <c r="H135" s="1367"/>
      <c r="I135" s="1367"/>
      <c r="J135" s="1367"/>
      <c r="K135" s="1367"/>
      <c r="L135" s="1367"/>
      <c r="M135" s="1367"/>
      <c r="N135" s="1367"/>
      <c r="O135" s="1367"/>
      <c r="P135" s="1367"/>
      <c r="Q135" s="1367"/>
      <c r="R135" s="1367"/>
      <c r="S135" s="1367"/>
      <c r="T135" s="1367"/>
      <c r="U135" s="1496"/>
      <c r="W135" s="1515"/>
      <c r="X135" s="1516"/>
      <c r="Y135" s="1516"/>
      <c r="Z135" s="1506"/>
      <c r="AA135" s="1516"/>
      <c r="AB135" s="1516"/>
      <c r="AC135" s="1516"/>
      <c r="AD135" s="1507"/>
      <c r="AE135" s="1516"/>
      <c r="AF135" s="1516"/>
      <c r="AG135" s="1516"/>
      <c r="AH135" s="1516"/>
      <c r="AI135" s="1516"/>
      <c r="AJ135" s="1516"/>
      <c r="AK135" s="1506"/>
      <c r="AL135" s="1516"/>
      <c r="AM135" s="1516"/>
      <c r="AN135" s="1516"/>
      <c r="AO135" s="1516"/>
      <c r="AP135" s="1507"/>
      <c r="AQ135" s="1516"/>
      <c r="AR135" s="1516"/>
      <c r="AS135" s="1517"/>
      <c r="AU135" s="1331"/>
      <c r="AV135" s="1332"/>
      <c r="AW135" s="1332"/>
      <c r="AX135" s="1332"/>
      <c r="AY135" s="1332"/>
      <c r="AZ135" s="1332"/>
      <c r="BA135" s="1332"/>
      <c r="BB135" s="1332"/>
      <c r="BC135" s="1332"/>
      <c r="BD135" s="1332"/>
      <c r="BE135" s="1332"/>
      <c r="BF135" s="1332"/>
      <c r="BG135" s="1332"/>
      <c r="BH135" s="1332"/>
      <c r="BI135" s="1332"/>
      <c r="BJ135" s="1332"/>
      <c r="BK135" s="1332"/>
      <c r="BL135" s="1332"/>
      <c r="BM135" s="1332"/>
      <c r="BN135" s="1332"/>
      <c r="BO135" s="1332"/>
      <c r="BP135" s="1332"/>
      <c r="BQ135" s="1332"/>
      <c r="BR135" s="1333"/>
    </row>
    <row r="136" spans="1:70" ht="18" customHeight="1">
      <c r="A136" s="650"/>
      <c r="B136" s="1509" t="s">
        <v>306</v>
      </c>
      <c r="C136" s="1510"/>
      <c r="D136" s="1510"/>
      <c r="E136" s="1510" t="s">
        <v>307</v>
      </c>
      <c r="F136" s="1510"/>
      <c r="G136" s="1510"/>
      <c r="H136" s="1510"/>
      <c r="I136" s="1510"/>
      <c r="J136" s="1510"/>
      <c r="K136" s="1510"/>
      <c r="L136" s="1510"/>
      <c r="M136" s="1510"/>
      <c r="N136" s="1510"/>
      <c r="O136" s="1510"/>
      <c r="P136" s="1510"/>
      <c r="Q136" s="1510"/>
      <c r="R136" s="1510"/>
      <c r="S136" s="1510"/>
      <c r="T136" s="1510"/>
      <c r="U136" s="1511"/>
      <c r="W136" s="1499"/>
      <c r="X136" s="1500"/>
      <c r="Y136" s="1500"/>
      <c r="Z136" s="1500"/>
      <c r="AA136" s="1501"/>
      <c r="AB136" s="1500"/>
      <c r="AC136" s="1502"/>
      <c r="AD136" s="1500"/>
      <c r="AE136" s="1500"/>
      <c r="AF136" s="1500"/>
      <c r="AG136" s="1500"/>
      <c r="AH136" s="1500"/>
      <c r="AI136" s="1500"/>
      <c r="AJ136" s="1500"/>
      <c r="AK136" s="1500"/>
      <c r="AL136" s="1501"/>
      <c r="AM136" s="1500"/>
      <c r="AN136" s="1500"/>
      <c r="AO136" s="1502"/>
      <c r="AP136" s="1500"/>
      <c r="AQ136" s="1500"/>
      <c r="AR136" s="1500"/>
      <c r="AS136" s="1503"/>
      <c r="AT136" s="427"/>
      <c r="AU136" s="1331"/>
      <c r="AV136" s="1332"/>
      <c r="AW136" s="1332"/>
      <c r="AX136" s="1332"/>
      <c r="AY136" s="1332"/>
      <c r="AZ136" s="1332"/>
      <c r="BA136" s="1332"/>
      <c r="BB136" s="1332"/>
      <c r="BC136" s="1332"/>
      <c r="BD136" s="1332"/>
      <c r="BE136" s="1332"/>
      <c r="BF136" s="1332"/>
      <c r="BG136" s="1332"/>
      <c r="BH136" s="1332"/>
      <c r="BI136" s="1332"/>
      <c r="BJ136" s="1332"/>
      <c r="BK136" s="1332"/>
      <c r="BL136" s="1332"/>
      <c r="BM136" s="1332"/>
      <c r="BN136" s="1332"/>
      <c r="BO136" s="1332"/>
      <c r="BP136" s="1332"/>
      <c r="BQ136" s="1332"/>
      <c r="BR136" s="1333"/>
    </row>
    <row r="137" spans="1:70" ht="18" customHeight="1">
      <c r="A137" s="650"/>
      <c r="B137" s="1509" t="s">
        <v>308</v>
      </c>
      <c r="C137" s="1510"/>
      <c r="D137" s="1510"/>
      <c r="E137" s="1510" t="s">
        <v>309</v>
      </c>
      <c r="F137" s="1510"/>
      <c r="G137" s="1510"/>
      <c r="H137" s="1510"/>
      <c r="I137" s="1510"/>
      <c r="J137" s="1510"/>
      <c r="K137" s="1510"/>
      <c r="L137" s="1510"/>
      <c r="M137" s="1510"/>
      <c r="N137" s="1510"/>
      <c r="O137" s="1510"/>
      <c r="P137" s="1510"/>
      <c r="Q137" s="1510"/>
      <c r="R137" s="1510"/>
      <c r="S137" s="1510"/>
      <c r="T137" s="1510"/>
      <c r="U137" s="1511"/>
      <c r="W137" s="1504"/>
      <c r="X137" s="1505"/>
      <c r="Y137" s="1505"/>
      <c r="Z137" s="1505"/>
      <c r="AA137" s="1506"/>
      <c r="AB137" s="1505"/>
      <c r="AC137" s="1507"/>
      <c r="AD137" s="1505"/>
      <c r="AE137" s="1505"/>
      <c r="AF137" s="1505"/>
      <c r="AG137" s="1505"/>
      <c r="AH137" s="1505"/>
      <c r="AI137" s="1505"/>
      <c r="AJ137" s="1505"/>
      <c r="AK137" s="1505"/>
      <c r="AL137" s="1506"/>
      <c r="AM137" s="1505"/>
      <c r="AN137" s="1505"/>
      <c r="AO137" s="1507"/>
      <c r="AP137" s="1505"/>
      <c r="AQ137" s="1505"/>
      <c r="AR137" s="1505"/>
      <c r="AS137" s="1508"/>
      <c r="AT137" s="427"/>
      <c r="AU137" s="1331"/>
      <c r="AV137" s="1332"/>
      <c r="AW137" s="1332"/>
      <c r="AX137" s="1332"/>
      <c r="AY137" s="1332"/>
      <c r="AZ137" s="1332"/>
      <c r="BA137" s="1332"/>
      <c r="BB137" s="1332"/>
      <c r="BC137" s="1332"/>
      <c r="BD137" s="1332"/>
      <c r="BE137" s="1332"/>
      <c r="BF137" s="1332"/>
      <c r="BG137" s="1332"/>
      <c r="BH137" s="1332"/>
      <c r="BI137" s="1332"/>
      <c r="BJ137" s="1332"/>
      <c r="BK137" s="1332"/>
      <c r="BL137" s="1332"/>
      <c r="BM137" s="1332"/>
      <c r="BN137" s="1332"/>
      <c r="BO137" s="1332"/>
      <c r="BP137" s="1332"/>
      <c r="BQ137" s="1332"/>
      <c r="BR137" s="1333"/>
    </row>
    <row r="138" spans="1:70" ht="18" customHeight="1">
      <c r="A138" s="650"/>
      <c r="B138" s="1509" t="s">
        <v>310</v>
      </c>
      <c r="C138" s="1510"/>
      <c r="D138" s="1510"/>
      <c r="E138" s="1510" t="s">
        <v>311</v>
      </c>
      <c r="F138" s="1510"/>
      <c r="G138" s="1510"/>
      <c r="H138" s="1510"/>
      <c r="I138" s="1510"/>
      <c r="J138" s="1510"/>
      <c r="K138" s="1510"/>
      <c r="L138" s="1510"/>
      <c r="M138" s="1510"/>
      <c r="N138" s="1510"/>
      <c r="O138" s="1510"/>
      <c r="P138" s="1510"/>
      <c r="Q138" s="1510"/>
      <c r="R138" s="1510"/>
      <c r="S138" s="1510"/>
      <c r="T138" s="1510"/>
      <c r="U138" s="1511"/>
      <c r="W138" s="1499"/>
      <c r="X138" s="1500"/>
      <c r="Y138" s="1500"/>
      <c r="Z138" s="1500"/>
      <c r="AA138" s="1501"/>
      <c r="AB138" s="1500"/>
      <c r="AC138" s="1502"/>
      <c r="AD138" s="1500"/>
      <c r="AE138" s="1500"/>
      <c r="AF138" s="1500"/>
      <c r="AG138" s="1500"/>
      <c r="AH138" s="1500"/>
      <c r="AI138" s="1500"/>
      <c r="AJ138" s="1500"/>
      <c r="AK138" s="1500"/>
      <c r="AL138" s="1501"/>
      <c r="AM138" s="1500"/>
      <c r="AN138" s="1500"/>
      <c r="AO138" s="1502"/>
      <c r="AP138" s="1500"/>
      <c r="AQ138" s="1500"/>
      <c r="AR138" s="1500"/>
      <c r="AS138" s="1503"/>
      <c r="AT138" s="427"/>
      <c r="AU138" s="1331"/>
      <c r="AV138" s="1332"/>
      <c r="AW138" s="1332"/>
      <c r="AX138" s="1332"/>
      <c r="AY138" s="1332"/>
      <c r="AZ138" s="1332"/>
      <c r="BA138" s="1332"/>
      <c r="BB138" s="1332"/>
      <c r="BC138" s="1332"/>
      <c r="BD138" s="1332"/>
      <c r="BE138" s="1332"/>
      <c r="BF138" s="1332"/>
      <c r="BG138" s="1332"/>
      <c r="BH138" s="1332"/>
      <c r="BI138" s="1332"/>
      <c r="BJ138" s="1332"/>
      <c r="BK138" s="1332"/>
      <c r="BL138" s="1332"/>
      <c r="BM138" s="1332"/>
      <c r="BN138" s="1332"/>
      <c r="BO138" s="1332"/>
      <c r="BP138" s="1332"/>
      <c r="BQ138" s="1332"/>
      <c r="BR138" s="1333"/>
    </row>
    <row r="139" spans="1:70" ht="18" customHeight="1">
      <c r="A139" s="650"/>
      <c r="B139" s="1300" t="s">
        <v>312</v>
      </c>
      <c r="C139" s="1301"/>
      <c r="D139" s="1301"/>
      <c r="E139" s="1301"/>
      <c r="F139" s="1301"/>
      <c r="G139" s="1301"/>
      <c r="H139" s="1301" t="s">
        <v>308</v>
      </c>
      <c r="I139" s="1301"/>
      <c r="J139" s="1301"/>
      <c r="K139" s="1301"/>
      <c r="L139" s="1301"/>
      <c r="M139" s="1301" t="s">
        <v>310</v>
      </c>
      <c r="N139" s="1301"/>
      <c r="O139" s="1301"/>
      <c r="P139" s="1301"/>
      <c r="Q139" s="1512" t="s">
        <v>313</v>
      </c>
      <c r="R139" s="1512"/>
      <c r="S139" s="1513">
        <v>1</v>
      </c>
      <c r="T139" s="1513"/>
      <c r="U139" s="1514"/>
      <c r="W139" s="1504"/>
      <c r="X139" s="1505"/>
      <c r="Y139" s="1505"/>
      <c r="Z139" s="1505"/>
      <c r="AA139" s="1506"/>
      <c r="AB139" s="1505"/>
      <c r="AC139" s="1507"/>
      <c r="AD139" s="1505"/>
      <c r="AE139" s="1505"/>
      <c r="AF139" s="1505"/>
      <c r="AG139" s="1505"/>
      <c r="AH139" s="1505"/>
      <c r="AI139" s="1505"/>
      <c r="AJ139" s="1505"/>
      <c r="AK139" s="1505"/>
      <c r="AL139" s="1506"/>
      <c r="AM139" s="1505"/>
      <c r="AN139" s="1505"/>
      <c r="AO139" s="1507"/>
      <c r="AP139" s="1505"/>
      <c r="AQ139" s="1505"/>
      <c r="AR139" s="1505"/>
      <c r="AS139" s="1508"/>
      <c r="AT139" s="427"/>
      <c r="AU139" s="1331"/>
      <c r="AV139" s="1332"/>
      <c r="AW139" s="1332"/>
      <c r="AX139" s="1332"/>
      <c r="AY139" s="1332"/>
      <c r="AZ139" s="1332"/>
      <c r="BA139" s="1332"/>
      <c r="BB139" s="1332"/>
      <c r="BC139" s="1332"/>
      <c r="BD139" s="1332"/>
      <c r="BE139" s="1332"/>
      <c r="BF139" s="1332"/>
      <c r="BG139" s="1332"/>
      <c r="BH139" s="1332"/>
      <c r="BI139" s="1332"/>
      <c r="BJ139" s="1332"/>
      <c r="BK139" s="1332"/>
      <c r="BL139" s="1332"/>
      <c r="BM139" s="1332"/>
      <c r="BN139" s="1332"/>
      <c r="BO139" s="1332"/>
      <c r="BP139" s="1332"/>
      <c r="BQ139" s="1332"/>
      <c r="BR139" s="1333"/>
    </row>
    <row r="140" spans="1:70" ht="18" customHeight="1">
      <c r="A140" s="650"/>
      <c r="B140" s="1343" t="s">
        <v>314</v>
      </c>
      <c r="C140" s="1297"/>
      <c r="D140" s="1297"/>
      <c r="E140" s="1297"/>
      <c r="F140" s="1297"/>
      <c r="G140" s="1297"/>
      <c r="H140" s="1297" t="s">
        <v>315</v>
      </c>
      <c r="I140" s="1297"/>
      <c r="J140" s="1297"/>
      <c r="K140" s="1297"/>
      <c r="L140" s="1297"/>
      <c r="M140" s="1297" t="s">
        <v>316</v>
      </c>
      <c r="N140" s="1297"/>
      <c r="O140" s="1297"/>
      <c r="P140" s="1297"/>
      <c r="Q140" s="1497" t="s">
        <v>317</v>
      </c>
      <c r="R140" s="1497"/>
      <c r="S140" s="1497"/>
      <c r="T140" s="1497"/>
      <c r="U140" s="1498"/>
      <c r="W140" s="1499"/>
      <c r="X140" s="1500"/>
      <c r="Y140" s="1500"/>
      <c r="Z140" s="1500"/>
      <c r="AA140" s="1501"/>
      <c r="AB140" s="1500"/>
      <c r="AC140" s="1502"/>
      <c r="AD140" s="1500"/>
      <c r="AE140" s="1500"/>
      <c r="AF140" s="1500"/>
      <c r="AG140" s="1500"/>
      <c r="AH140" s="1500"/>
      <c r="AI140" s="1500"/>
      <c r="AJ140" s="1500"/>
      <c r="AK140" s="1500"/>
      <c r="AL140" s="1501"/>
      <c r="AM140" s="1500"/>
      <c r="AN140" s="1500"/>
      <c r="AO140" s="1502"/>
      <c r="AP140" s="1500"/>
      <c r="AQ140" s="1500"/>
      <c r="AR140" s="1500"/>
      <c r="AS140" s="1503"/>
      <c r="AT140" s="427"/>
      <c r="AU140" s="1331"/>
      <c r="AV140" s="1332"/>
      <c r="AW140" s="1332"/>
      <c r="AX140" s="1332"/>
      <c r="AY140" s="1332"/>
      <c r="AZ140" s="1332"/>
      <c r="BA140" s="1332"/>
      <c r="BB140" s="1332"/>
      <c r="BC140" s="1332"/>
      <c r="BD140" s="1332"/>
      <c r="BE140" s="1332"/>
      <c r="BF140" s="1332"/>
      <c r="BG140" s="1332"/>
      <c r="BH140" s="1332"/>
      <c r="BI140" s="1332"/>
      <c r="BJ140" s="1332"/>
      <c r="BK140" s="1332"/>
      <c r="BL140" s="1332"/>
      <c r="BM140" s="1332"/>
      <c r="BN140" s="1332"/>
      <c r="BO140" s="1332"/>
      <c r="BP140" s="1332"/>
      <c r="BQ140" s="1332"/>
      <c r="BR140" s="1333"/>
    </row>
    <row r="141" spans="1:70" ht="18" customHeight="1">
      <c r="A141" s="650"/>
      <c r="B141" s="1343"/>
      <c r="C141" s="1297"/>
      <c r="D141" s="1297"/>
      <c r="E141" s="1297"/>
      <c r="F141" s="1297"/>
      <c r="G141" s="1297"/>
      <c r="H141" s="1297"/>
      <c r="I141" s="1297"/>
      <c r="J141" s="1297"/>
      <c r="K141" s="1297"/>
      <c r="L141" s="1297"/>
      <c r="M141" s="1297"/>
      <c r="N141" s="1297"/>
      <c r="O141" s="1297"/>
      <c r="P141" s="1297"/>
      <c r="Q141" s="1440" t="str">
        <f>IF(S139=1,"失忆",IF(S139=2,"假性残疾",IF(S139=3,"暴力倾向",IF(S139=4,"偏执",IF(S139=5,"人际依赖",IF(S139=6,"昏厥",IF(S139=7,"逃避行为",IF(S139=8,"歇斯底里",IF(S139=9,"恐惧",IF(S139=10,"躁狂",))))))))))</f>
        <v>失忆</v>
      </c>
      <c r="R141" s="1440"/>
      <c r="S141" s="1440"/>
      <c r="T141" s="1440"/>
      <c r="U141" s="1441"/>
      <c r="W141" s="1504"/>
      <c r="X141" s="1505"/>
      <c r="Y141" s="1505"/>
      <c r="Z141" s="1505"/>
      <c r="AA141" s="1506"/>
      <c r="AB141" s="1505"/>
      <c r="AC141" s="1507"/>
      <c r="AD141" s="1505"/>
      <c r="AE141" s="1505"/>
      <c r="AF141" s="1505"/>
      <c r="AG141" s="1505"/>
      <c r="AH141" s="1505"/>
      <c r="AI141" s="1505"/>
      <c r="AJ141" s="1505"/>
      <c r="AK141" s="1505"/>
      <c r="AL141" s="1506"/>
      <c r="AM141" s="1505"/>
      <c r="AN141" s="1505"/>
      <c r="AO141" s="1507"/>
      <c r="AP141" s="1505"/>
      <c r="AQ141" s="1505"/>
      <c r="AR141" s="1505"/>
      <c r="AS141" s="1508"/>
      <c r="AT141" s="427"/>
      <c r="AU141" s="1331"/>
      <c r="AV141" s="1332"/>
      <c r="AW141" s="1332"/>
      <c r="AX141" s="1332"/>
      <c r="AY141" s="1332"/>
      <c r="AZ141" s="1332"/>
      <c r="BA141" s="1332"/>
      <c r="BB141" s="1332"/>
      <c r="BC141" s="1332"/>
      <c r="BD141" s="1332"/>
      <c r="BE141" s="1332"/>
      <c r="BF141" s="1332"/>
      <c r="BG141" s="1332"/>
      <c r="BH141" s="1332"/>
      <c r="BI141" s="1332"/>
      <c r="BJ141" s="1332"/>
      <c r="BK141" s="1332"/>
      <c r="BL141" s="1332"/>
      <c r="BM141" s="1332"/>
      <c r="BN141" s="1332"/>
      <c r="BO141" s="1332"/>
      <c r="BP141" s="1332"/>
      <c r="BQ141" s="1332"/>
      <c r="BR141" s="1333"/>
    </row>
    <row r="142" spans="1:70" ht="18" customHeight="1">
      <c r="A142" s="650"/>
      <c r="B142" s="1343"/>
      <c r="C142" s="1297"/>
      <c r="D142" s="1297"/>
      <c r="E142" s="1297"/>
      <c r="F142" s="1297"/>
      <c r="G142" s="1297"/>
      <c r="H142" s="1297"/>
      <c r="I142" s="1297"/>
      <c r="J142" s="1297"/>
      <c r="K142" s="1297"/>
      <c r="L142" s="1297"/>
      <c r="M142" s="1297"/>
      <c r="N142" s="1297"/>
      <c r="O142" s="1297"/>
      <c r="P142" s="1297"/>
      <c r="Q142" s="1440"/>
      <c r="R142" s="1440"/>
      <c r="S142" s="1440"/>
      <c r="T142" s="1440"/>
      <c r="U142" s="1441"/>
      <c r="W142" s="1499"/>
      <c r="X142" s="1500"/>
      <c r="Y142" s="1500"/>
      <c r="Z142" s="1500"/>
      <c r="AA142" s="1501"/>
      <c r="AB142" s="1500"/>
      <c r="AC142" s="1502"/>
      <c r="AD142" s="1500"/>
      <c r="AE142" s="1500"/>
      <c r="AF142" s="1500"/>
      <c r="AG142" s="1500"/>
      <c r="AH142" s="1500"/>
      <c r="AI142" s="1500"/>
      <c r="AJ142" s="1500"/>
      <c r="AK142" s="1500"/>
      <c r="AL142" s="1501"/>
      <c r="AM142" s="1500"/>
      <c r="AN142" s="1500"/>
      <c r="AO142" s="1502"/>
      <c r="AP142" s="1500"/>
      <c r="AQ142" s="1500"/>
      <c r="AR142" s="1500"/>
      <c r="AS142" s="1503"/>
      <c r="AT142" s="427"/>
      <c r="AU142" s="1331"/>
      <c r="AV142" s="1332"/>
      <c r="AW142" s="1332"/>
      <c r="AX142" s="1332"/>
      <c r="AY142" s="1332"/>
      <c r="AZ142" s="1332"/>
      <c r="BA142" s="1332"/>
      <c r="BB142" s="1332"/>
      <c r="BC142" s="1332"/>
      <c r="BD142" s="1332"/>
      <c r="BE142" s="1332"/>
      <c r="BF142" s="1332"/>
      <c r="BG142" s="1332"/>
      <c r="BH142" s="1332"/>
      <c r="BI142" s="1332"/>
      <c r="BJ142" s="1332"/>
      <c r="BK142" s="1332"/>
      <c r="BL142" s="1332"/>
      <c r="BM142" s="1332"/>
      <c r="BN142" s="1332"/>
      <c r="BO142" s="1332"/>
      <c r="BP142" s="1332"/>
      <c r="BQ142" s="1332"/>
      <c r="BR142" s="1333"/>
    </row>
    <row r="143" spans="1:70" ht="18" customHeight="1">
      <c r="A143" s="650"/>
      <c r="B143" s="1343"/>
      <c r="C143" s="1297"/>
      <c r="D143" s="1297"/>
      <c r="E143" s="1297"/>
      <c r="F143" s="1297"/>
      <c r="G143" s="1297"/>
      <c r="H143" s="1297"/>
      <c r="I143" s="1297"/>
      <c r="J143" s="1297"/>
      <c r="K143" s="1297"/>
      <c r="L143" s="1297"/>
      <c r="M143" s="1297"/>
      <c r="N143" s="1297"/>
      <c r="O143" s="1297"/>
      <c r="P143" s="1297"/>
      <c r="Q143" s="1440"/>
      <c r="R143" s="1440"/>
      <c r="S143" s="1440"/>
      <c r="T143" s="1440"/>
      <c r="U143" s="1441"/>
      <c r="W143" s="1504"/>
      <c r="X143" s="1505"/>
      <c r="Y143" s="1505"/>
      <c r="Z143" s="1505"/>
      <c r="AA143" s="1506"/>
      <c r="AB143" s="1505"/>
      <c r="AC143" s="1507"/>
      <c r="AD143" s="1505"/>
      <c r="AE143" s="1505"/>
      <c r="AF143" s="1505"/>
      <c r="AG143" s="1505"/>
      <c r="AH143" s="1505"/>
      <c r="AI143" s="1505"/>
      <c r="AJ143" s="1505"/>
      <c r="AK143" s="1505"/>
      <c r="AL143" s="1506"/>
      <c r="AM143" s="1505"/>
      <c r="AN143" s="1505"/>
      <c r="AO143" s="1507"/>
      <c r="AP143" s="1505"/>
      <c r="AQ143" s="1505"/>
      <c r="AR143" s="1505"/>
      <c r="AS143" s="1508"/>
      <c r="AT143" s="427"/>
      <c r="AU143" s="1442" t="s">
        <v>318</v>
      </c>
      <c r="AV143" s="1443"/>
      <c r="AW143" s="1443"/>
      <c r="AX143" s="1443"/>
      <c r="AY143" s="1443"/>
      <c r="AZ143" s="1443"/>
      <c r="BA143" s="1443"/>
      <c r="BB143" s="1443"/>
      <c r="BC143" s="1443" t="s">
        <v>319</v>
      </c>
      <c r="BD143" s="1443"/>
      <c r="BE143" s="1443"/>
      <c r="BF143" s="1443"/>
      <c r="BG143" s="1443"/>
      <c r="BH143" s="1443"/>
      <c r="BI143" s="1443"/>
      <c r="BJ143" s="1443"/>
      <c r="BK143" s="1443" t="s">
        <v>320</v>
      </c>
      <c r="BL143" s="1443"/>
      <c r="BM143" s="1443"/>
      <c r="BN143" s="1443"/>
      <c r="BO143" s="1443"/>
      <c r="BP143" s="1443"/>
      <c r="BQ143" s="1443"/>
      <c r="BR143" s="1444"/>
    </row>
    <row r="144" spans="1:70" ht="18" customHeight="1">
      <c r="B144" s="1445" t="s">
        <v>321</v>
      </c>
      <c r="C144" s="1446"/>
      <c r="D144" s="1446"/>
      <c r="E144" s="1446"/>
      <c r="F144" s="1446"/>
      <c r="G144" s="1446"/>
      <c r="H144" s="1446"/>
      <c r="I144" s="1446"/>
      <c r="J144" s="1446"/>
      <c r="K144" s="1446"/>
      <c r="L144" s="1446"/>
      <c r="M144" s="1446"/>
      <c r="N144" s="1446"/>
      <c r="O144" s="1446"/>
      <c r="P144" s="1446"/>
      <c r="Q144" s="1446"/>
      <c r="R144" s="1446"/>
      <c r="S144" s="1446"/>
      <c r="T144" s="1446"/>
      <c r="U144" s="1447"/>
      <c r="W144" s="1448"/>
      <c r="X144" s="1449"/>
      <c r="Y144" s="1449"/>
      <c r="Z144" s="1449"/>
      <c r="AA144" s="1450"/>
      <c r="AB144" s="1449"/>
      <c r="AC144" s="1451"/>
      <c r="AD144" s="1449"/>
      <c r="AE144" s="1449"/>
      <c r="AF144" s="1449"/>
      <c r="AG144" s="1449"/>
      <c r="AH144" s="1449"/>
      <c r="AI144" s="1449"/>
      <c r="AJ144" s="1449"/>
      <c r="AK144" s="1449"/>
      <c r="AL144" s="1450"/>
      <c r="AM144" s="1449"/>
      <c r="AN144" s="1449"/>
      <c r="AO144" s="1451"/>
      <c r="AP144" s="1449"/>
      <c r="AQ144" s="1449"/>
      <c r="AR144" s="1449"/>
      <c r="AS144" s="1454"/>
      <c r="AT144" s="427"/>
      <c r="AU144" s="1455" t="s">
        <v>322</v>
      </c>
      <c r="AV144" s="1455"/>
      <c r="AW144" s="1455"/>
      <c r="AX144" s="1455"/>
      <c r="AY144" s="1455"/>
      <c r="AZ144" s="1455"/>
      <c r="BA144" s="1455"/>
      <c r="BB144" s="1456"/>
      <c r="BC144" s="1455" t="s">
        <v>322</v>
      </c>
      <c r="BD144" s="1455"/>
      <c r="BE144" s="1455"/>
      <c r="BF144" s="1455"/>
      <c r="BG144" s="1455"/>
      <c r="BH144" s="1455"/>
      <c r="BI144" s="1455"/>
      <c r="BJ144" s="1456"/>
      <c r="BK144" s="1455" t="s">
        <v>322</v>
      </c>
      <c r="BL144" s="1455"/>
      <c r="BM144" s="1455"/>
      <c r="BN144" s="1455"/>
      <c r="BO144" s="1455"/>
      <c r="BP144" s="1455"/>
      <c r="BQ144" s="1455"/>
      <c r="BR144" s="1456"/>
    </row>
    <row r="145" spans="2:70" ht="18" customHeight="1">
      <c r="B145" s="1457" t="s">
        <v>323</v>
      </c>
      <c r="C145" s="1457"/>
      <c r="D145" s="1457"/>
      <c r="E145" s="1457"/>
      <c r="F145" s="1457"/>
      <c r="G145" s="1457"/>
      <c r="H145" s="1457"/>
      <c r="I145" s="1457"/>
      <c r="J145" s="1457"/>
      <c r="K145" s="1457"/>
      <c r="L145" s="1458" t="s">
        <v>324</v>
      </c>
      <c r="M145" s="1458"/>
      <c r="N145" s="1458"/>
      <c r="O145" s="1458"/>
      <c r="P145" s="1458"/>
      <c r="Q145" s="1458"/>
      <c r="R145" s="1458"/>
      <c r="S145" s="1458"/>
      <c r="T145" s="1458"/>
      <c r="U145" s="1458"/>
      <c r="AI145" s="1272"/>
      <c r="AJ145" s="1272"/>
      <c r="AK145" s="1272"/>
      <c r="AL145" s="1272"/>
      <c r="AM145" s="1272"/>
      <c r="AN145" s="1272"/>
      <c r="AO145" s="1272"/>
      <c r="AP145" s="1272"/>
      <c r="AQ145" s="427"/>
      <c r="AU145" s="1459" t="s">
        <v>325</v>
      </c>
      <c r="AV145" s="1459"/>
      <c r="AW145" s="1459"/>
      <c r="AX145" s="1459"/>
      <c r="AY145" s="1459"/>
      <c r="AZ145" s="1459"/>
      <c r="BA145" s="1459"/>
      <c r="BB145" s="1459"/>
      <c r="BC145" s="1459"/>
      <c r="BD145" s="1459"/>
      <c r="BE145" s="1459"/>
      <c r="BF145" s="1459"/>
      <c r="BG145" s="1459"/>
      <c r="BH145" s="1459"/>
      <c r="BI145" s="1459"/>
      <c r="BJ145" s="1459"/>
      <c r="BK145" s="1459"/>
      <c r="BL145" s="1459"/>
      <c r="BM145" s="1459"/>
      <c r="BN145" s="1459"/>
      <c r="BO145" s="1459"/>
      <c r="BP145" s="1459"/>
      <c r="BQ145" s="1459"/>
      <c r="BR145" s="1459"/>
    </row>
    <row r="146" spans="2:70" ht="18" customHeight="1">
      <c r="AN146" s="1272"/>
      <c r="AO146" s="1272"/>
      <c r="AP146" s="1272"/>
      <c r="AQ146" s="427"/>
    </row>
    <row r="147" spans="2:70" ht="18" customHeight="1">
      <c r="B147" s="1438" t="s">
        <v>326</v>
      </c>
      <c r="C147" s="1438"/>
      <c r="D147" s="1438"/>
      <c r="E147" s="1438"/>
      <c r="F147" s="1438"/>
      <c r="G147" s="1438"/>
      <c r="H147" s="1438"/>
      <c r="I147" s="1438"/>
      <c r="J147" s="1438"/>
      <c r="K147" s="1438"/>
      <c r="L147" s="1438"/>
      <c r="M147" s="1438"/>
      <c r="O147" s="1436" t="s">
        <v>327</v>
      </c>
      <c r="P147" s="1436"/>
      <c r="Q147" s="1436"/>
      <c r="R147" s="1436"/>
      <c r="S147" s="1436"/>
      <c r="T147" s="1436"/>
      <c r="U147" s="1436"/>
      <c r="V147" s="1436"/>
      <c r="W147" s="1436"/>
      <c r="X147" s="1436"/>
      <c r="Y147" s="1436"/>
      <c r="AB147" s="1413" t="s">
        <v>328</v>
      </c>
      <c r="AC147" s="1413"/>
      <c r="AD147" s="1413"/>
      <c r="AE147" s="1413"/>
      <c r="AF147" s="1413"/>
      <c r="AG147" s="1413"/>
      <c r="AH147" s="1413"/>
      <c r="AI147" s="1413"/>
      <c r="AJ147" s="1413"/>
      <c r="AK147" s="1413"/>
      <c r="AL147" s="1413"/>
      <c r="AP147" s="1413" t="s">
        <v>329</v>
      </c>
      <c r="AQ147" s="1413"/>
      <c r="AR147" s="1413"/>
      <c r="AS147" s="1413"/>
      <c r="AT147" s="1413"/>
      <c r="AU147" s="1413"/>
      <c r="AV147" s="1413"/>
      <c r="AW147" s="1413"/>
      <c r="AX147" s="1413"/>
      <c r="AY147" s="1413"/>
      <c r="AZ147" s="1413"/>
      <c r="BA147" s="1413"/>
      <c r="BB147" s="1413"/>
      <c r="BC147" s="1413"/>
      <c r="BD147" s="1413"/>
    </row>
    <row r="148" spans="2:70" ht="18" customHeight="1">
      <c r="B148" s="1438"/>
      <c r="C148" s="1438"/>
      <c r="D148" s="1438"/>
      <c r="E148" s="1438"/>
      <c r="F148" s="1438"/>
      <c r="G148" s="1438"/>
      <c r="H148" s="1438"/>
      <c r="I148" s="1438"/>
      <c r="J148" s="1438"/>
      <c r="K148" s="1438"/>
      <c r="L148" s="1438"/>
      <c r="M148" s="1438"/>
      <c r="O148" s="1436"/>
      <c r="P148" s="1436"/>
      <c r="Q148" s="1436"/>
      <c r="R148" s="1436"/>
      <c r="S148" s="1436"/>
      <c r="T148" s="1436"/>
      <c r="U148" s="1436"/>
      <c r="V148" s="1436"/>
      <c r="W148" s="1436"/>
      <c r="X148" s="1436"/>
      <c r="Y148" s="1436"/>
      <c r="AB148" s="1413"/>
      <c r="AC148" s="1413"/>
      <c r="AD148" s="1413"/>
      <c r="AE148" s="1413"/>
      <c r="AF148" s="1413"/>
      <c r="AG148" s="1413"/>
      <c r="AH148" s="1413"/>
      <c r="AI148" s="1413"/>
      <c r="AJ148" s="1413"/>
      <c r="AK148" s="1413"/>
      <c r="AL148" s="1413"/>
      <c r="AP148" s="1413"/>
      <c r="AQ148" s="1413"/>
      <c r="AR148" s="1413"/>
      <c r="AS148" s="1413"/>
      <c r="AT148" s="1413"/>
      <c r="AU148" s="1413"/>
      <c r="AV148" s="1413"/>
      <c r="AW148" s="1413"/>
      <c r="AX148" s="1413"/>
      <c r="AY148" s="1413"/>
      <c r="AZ148" s="1413"/>
      <c r="BA148" s="1413"/>
      <c r="BB148" s="1413"/>
      <c r="BC148" s="1413"/>
      <c r="BD148" s="1413"/>
    </row>
    <row r="150" spans="2:70" ht="18" customHeight="1">
      <c r="B150" s="614"/>
      <c r="C150" s="614"/>
      <c r="D150" s="614"/>
      <c r="E150" s="614"/>
      <c r="F150" s="614"/>
      <c r="G150" s="614"/>
      <c r="H150" s="614"/>
      <c r="I150" s="614"/>
      <c r="L150" s="614"/>
      <c r="R150" s="614"/>
      <c r="S150" s="614"/>
      <c r="T150" s="614"/>
      <c r="U150" s="614"/>
      <c r="V150" s="614"/>
      <c r="W150" s="614"/>
      <c r="X150" s="614"/>
      <c r="Y150" s="614"/>
    </row>
    <row r="151" spans="2:70" ht="18" customHeight="1">
      <c r="AE151" s="1271"/>
    </row>
    <row r="158" spans="2:70" ht="18" customHeight="1">
      <c r="E158" s="1270"/>
      <c r="F158" s="1270"/>
    </row>
    <row r="164" spans="34:51" ht="18" customHeight="1">
      <c r="AX164" s="650"/>
      <c r="AY164" s="650"/>
    </row>
    <row r="165" spans="34:51" ht="18" customHeight="1">
      <c r="AX165" s="650"/>
      <c r="AY165" s="650"/>
    </row>
    <row r="166" spans="34:51" ht="18" customHeight="1">
      <c r="AX166" s="650"/>
      <c r="AY166" s="650"/>
    </row>
    <row r="167" spans="34:51" ht="18" customHeight="1">
      <c r="AX167" s="650"/>
      <c r="AY167" s="650"/>
    </row>
    <row r="168" spans="34:51" ht="18" customHeight="1">
      <c r="AX168" s="650"/>
      <c r="AY168" s="650"/>
    </row>
    <row r="169" spans="34:51" ht="18" customHeight="1">
      <c r="AX169" s="650"/>
      <c r="AY169" s="650"/>
    </row>
    <row r="170" spans="34:51" ht="18" customHeight="1">
      <c r="AX170" s="650"/>
      <c r="AY170" s="650"/>
    </row>
    <row r="171" spans="34:51" ht="18" customHeight="1">
      <c r="AX171" s="650"/>
      <c r="AY171" s="650"/>
    </row>
    <row r="172" spans="34:51" ht="18" customHeight="1">
      <c r="AH172" s="650"/>
      <c r="AI172" s="650"/>
      <c r="AJ172" s="650"/>
      <c r="AK172" s="650"/>
      <c r="AL172" s="650"/>
      <c r="AM172" s="650"/>
      <c r="AN172" s="650"/>
      <c r="AO172" s="650"/>
      <c r="AP172" s="650"/>
      <c r="AQ172" s="650"/>
      <c r="AR172" s="650"/>
      <c r="AS172" s="650"/>
      <c r="AT172" s="650"/>
      <c r="AV172" s="650"/>
      <c r="AW172" s="650"/>
      <c r="AX172" s="650"/>
      <c r="AY172" s="650"/>
    </row>
    <row r="173" spans="34:51" ht="18" customHeight="1">
      <c r="AH173" s="650"/>
      <c r="AI173" s="650"/>
      <c r="AJ173" s="650"/>
      <c r="AK173" s="650"/>
      <c r="AL173" s="650"/>
      <c r="AM173" s="650"/>
      <c r="AN173" s="650"/>
      <c r="AO173" s="650"/>
      <c r="AP173" s="650"/>
      <c r="AQ173" s="650"/>
      <c r="AR173" s="650"/>
      <c r="AS173" s="650"/>
      <c r="AT173" s="650"/>
      <c r="AV173" s="650"/>
      <c r="AW173" s="650"/>
      <c r="AX173" s="650"/>
      <c r="AY173" s="650"/>
    </row>
    <row r="174" spans="34:51" ht="18" customHeight="1">
      <c r="AH174" s="650"/>
      <c r="AI174" s="650"/>
      <c r="AJ174" s="650"/>
      <c r="AK174" s="650"/>
      <c r="AL174" s="650"/>
      <c r="AM174" s="650"/>
      <c r="AN174" s="650"/>
      <c r="AO174" s="650"/>
      <c r="AP174" s="650"/>
      <c r="AQ174" s="650"/>
      <c r="AR174" s="650"/>
      <c r="AS174" s="650"/>
      <c r="AT174" s="650"/>
      <c r="AV174" s="650"/>
      <c r="AW174" s="650"/>
      <c r="AX174" s="650"/>
      <c r="AY174" s="650"/>
    </row>
    <row r="175" spans="34:51" ht="18" customHeight="1">
      <c r="AH175" s="650"/>
      <c r="AI175" s="650"/>
      <c r="AJ175" s="650"/>
      <c r="AK175" s="650"/>
      <c r="AL175" s="650"/>
      <c r="AM175" s="650"/>
      <c r="AN175" s="650"/>
      <c r="AO175" s="650"/>
      <c r="AP175" s="650"/>
      <c r="AQ175" s="650"/>
      <c r="AR175" s="650"/>
      <c r="AS175" s="650"/>
      <c r="AT175" s="650"/>
      <c r="AV175" s="650"/>
      <c r="AW175" s="650"/>
      <c r="AX175" s="650"/>
      <c r="AY175" s="650"/>
    </row>
    <row r="176" spans="34:51" ht="18" customHeight="1">
      <c r="AH176" s="650"/>
      <c r="AI176" s="650"/>
      <c r="AJ176" s="650"/>
      <c r="AK176" s="650"/>
      <c r="AL176" s="650"/>
      <c r="AM176" s="650"/>
      <c r="AN176" s="650"/>
      <c r="AO176" s="650"/>
      <c r="AP176" s="650"/>
      <c r="AQ176" s="650"/>
      <c r="AR176" s="650"/>
      <c r="AS176" s="650"/>
      <c r="AT176" s="650"/>
      <c r="AV176" s="650"/>
      <c r="AW176" s="650"/>
      <c r="AX176" s="650"/>
      <c r="AY176" s="650"/>
    </row>
    <row r="177" spans="34:51" ht="18" customHeight="1">
      <c r="AH177" s="650"/>
      <c r="AI177" s="650"/>
      <c r="AJ177" s="650"/>
      <c r="AK177" s="650"/>
      <c r="AL177" s="650"/>
      <c r="AM177" s="650"/>
      <c r="AN177" s="650"/>
      <c r="AO177" s="650"/>
      <c r="AP177" s="650"/>
      <c r="AQ177" s="650"/>
      <c r="AR177" s="650"/>
      <c r="AS177" s="650"/>
      <c r="AT177" s="650"/>
      <c r="AV177" s="650"/>
      <c r="AW177" s="650"/>
      <c r="AX177" s="650"/>
      <c r="AY177" s="650"/>
    </row>
    <row r="178" spans="34:51" ht="18" customHeight="1">
      <c r="AH178" s="650"/>
      <c r="AI178" s="650"/>
      <c r="AJ178" s="650"/>
      <c r="AK178" s="650"/>
      <c r="AL178" s="650"/>
      <c r="AM178" s="650"/>
      <c r="AN178" s="650"/>
      <c r="AO178" s="650"/>
      <c r="AP178" s="650"/>
      <c r="AQ178" s="650"/>
      <c r="AR178" s="650"/>
      <c r="AS178" s="650"/>
      <c r="AT178" s="650"/>
    </row>
    <row r="179" spans="34:51" ht="18" customHeight="1">
      <c r="AH179" s="650"/>
      <c r="AI179" s="650"/>
      <c r="AJ179" s="650"/>
      <c r="AK179" s="650"/>
      <c r="AL179" s="650"/>
      <c r="AM179" s="650"/>
      <c r="AN179" s="650"/>
      <c r="AO179" s="650"/>
      <c r="AP179" s="650"/>
      <c r="AQ179" s="650"/>
      <c r="AR179" s="650"/>
      <c r="AS179" s="650"/>
      <c r="AT179" s="650"/>
    </row>
    <row r="180" spans="34:51" ht="18" customHeight="1">
      <c r="AH180" s="650"/>
      <c r="AI180" s="650"/>
      <c r="AJ180" s="650"/>
      <c r="AK180" s="650"/>
      <c r="AL180" s="650"/>
      <c r="AM180" s="650"/>
      <c r="AN180" s="650"/>
      <c r="AO180" s="650"/>
      <c r="AP180" s="650"/>
      <c r="AQ180" s="650"/>
      <c r="AR180" s="650"/>
      <c r="AS180" s="650"/>
      <c r="AT180" s="650"/>
    </row>
    <row r="181" spans="34:51" ht="18" customHeight="1">
      <c r="AH181" s="650"/>
      <c r="AI181" s="650"/>
      <c r="AJ181" s="650"/>
      <c r="AK181" s="650"/>
      <c r="AL181" s="650"/>
      <c r="AM181" s="650"/>
      <c r="AN181" s="650"/>
      <c r="AO181" s="650"/>
      <c r="AP181" s="650"/>
      <c r="AQ181" s="650"/>
      <c r="AR181" s="650"/>
      <c r="AS181" s="650"/>
      <c r="AT181" s="650"/>
    </row>
  </sheetData>
  <sheetProtection sheet="1" selectLockedCells="1"/>
  <protectedRanges>
    <protectedRange sqref="AB37 AB34:AC36 AB31:AB33 AB28:AC30 AB27 AB16:AC26 L27:P27 F46:F49 F42:G45 H34 H38 F23:G33 F20:F22 F16:G19 AE7 Q10:S11 I10:S10 B10 AA3:AH8 W3:Y8 K4:K6 AB2:AB8 B1:B8 K12:R12 T12:AB12 Y10:Y11 B13:X14 B15:L15 R15:W15 J16:J20 J21 J22 X15:AE15 AN15:AS15 J42:J49 F41 F34:F36 F38:F40 F37 AG12:AI12 AC12:AD12 J38 J23:J34 AB38:AC40 AF16:AF40 AF44:AF46 T37:V37 U38:W40 U16:W36 T41:V41 U42:W49 AQ16:AS46 AJ3:AJ6 AK7:AK8 AJ7:AJ8" name="技能表以上"/>
    <protectedRange sqref="B50:AS50 AM51:AS51 AM58 W60 B77 B101 W119 AH95:AM96 D60:K60 W128 X73:Y74 X71:Y72 X61:Y76 X77:Y78 X77:Y78 C60 W121 W123" name="技能表往下"/>
    <protectedRange sqref="AA10:AA11" name="技能表以上_2"/>
    <protectedRange sqref="B51:S53" name="技能表往下_1"/>
    <protectedRange sqref="G54:AJ56" name="技能表往下_2"/>
    <protectedRange sqref="AC41:AC46" name="技能表以上_1"/>
    <protectedRange sqref="AB41:AB46" name="技能表以上_1_1"/>
    <protectedRange sqref="S16:S49" name="技能表以上_3"/>
    <protectedRange sqref="AO16:AO46" name="技能表以上_4"/>
  </protectedRanges>
  <mergeCells count="1453">
    <mergeCell ref="B1:BR1"/>
    <mergeCell ref="B2:Q2"/>
    <mergeCell ref="S2:U2"/>
    <mergeCell ref="V2:Z2"/>
    <mergeCell ref="AA2:AB2"/>
    <mergeCell ref="AC2:AF2"/>
    <mergeCell ref="AG2:AJ2"/>
    <mergeCell ref="AU2:BR2"/>
    <mergeCell ref="B3:D3"/>
    <mergeCell ref="E3:Q3"/>
    <mergeCell ref="W3:X3"/>
    <mergeCell ref="AC3:AD3"/>
    <mergeCell ref="AI3:AJ3"/>
    <mergeCell ref="B4:D4"/>
    <mergeCell ref="E4:I4"/>
    <mergeCell ref="J4:L4"/>
    <mergeCell ref="M4:Q4"/>
    <mergeCell ref="W4:X4"/>
    <mergeCell ref="AC4:AD4"/>
    <mergeCell ref="AI4:AJ4"/>
    <mergeCell ref="AU3:BB4"/>
    <mergeCell ref="BC3:BJ4"/>
    <mergeCell ref="BK3:BR4"/>
    <mergeCell ref="B5:D5"/>
    <mergeCell ref="E5:I5"/>
    <mergeCell ref="J5:L5"/>
    <mergeCell ref="M5:Q5"/>
    <mergeCell ref="W5:X5"/>
    <mergeCell ref="AC5:AD5"/>
    <mergeCell ref="AI5:AJ5"/>
    <mergeCell ref="B6:D6"/>
    <mergeCell ref="E6:I6"/>
    <mergeCell ref="J6:L6"/>
    <mergeCell ref="M6:Q6"/>
    <mergeCell ref="W6:X6"/>
    <mergeCell ref="AC6:AD6"/>
    <mergeCell ref="AI6:AJ6"/>
    <mergeCell ref="B7:D7"/>
    <mergeCell ref="E7:I7"/>
    <mergeCell ref="J7:L7"/>
    <mergeCell ref="M7:Q7"/>
    <mergeCell ref="W7:X7"/>
    <mergeCell ref="AC7:AD7"/>
    <mergeCell ref="AI7:AJ7"/>
    <mergeCell ref="S5:T6"/>
    <mergeCell ref="U5:V6"/>
    <mergeCell ref="Y5:Z6"/>
    <mergeCell ref="AA5:AB6"/>
    <mergeCell ref="AE5:AF6"/>
    <mergeCell ref="AG5:AH6"/>
    <mergeCell ref="B8:D8"/>
    <mergeCell ref="E8:F8"/>
    <mergeCell ref="G8:I8"/>
    <mergeCell ref="J8:K8"/>
    <mergeCell ref="L8:M8"/>
    <mergeCell ref="N8:Q8"/>
    <mergeCell ref="W8:X8"/>
    <mergeCell ref="AC8:AD8"/>
    <mergeCell ref="AI8:AJ8"/>
    <mergeCell ref="B9:E9"/>
    <mergeCell ref="F9:I9"/>
    <mergeCell ref="K9:R9"/>
    <mergeCell ref="T9:AA9"/>
    <mergeCell ref="AC9:AJ9"/>
    <mergeCell ref="AL9:AS9"/>
    <mergeCell ref="I10:J10"/>
    <mergeCell ref="R10:S10"/>
    <mergeCell ref="AA10:AB10"/>
    <mergeCell ref="AI10:AJ10"/>
    <mergeCell ref="I11:J11"/>
    <mergeCell ref="R11:S11"/>
    <mergeCell ref="AA11:AB11"/>
    <mergeCell ref="AI11:AJ11"/>
    <mergeCell ref="B12:C12"/>
    <mergeCell ref="D12:E12"/>
    <mergeCell ref="F12:H12"/>
    <mergeCell ref="I12:J12"/>
    <mergeCell ref="K12:M12"/>
    <mergeCell ref="N12:O12"/>
    <mergeCell ref="P12:Q12"/>
    <mergeCell ref="R12:S12"/>
    <mergeCell ref="T12:W12"/>
    <mergeCell ref="X12:AB12"/>
    <mergeCell ref="AC12:AD12"/>
    <mergeCell ref="AE12:AF12"/>
    <mergeCell ref="AG12:AH12"/>
    <mergeCell ref="AI12:AJ12"/>
    <mergeCell ref="B10:D11"/>
    <mergeCell ref="K10:M11"/>
    <mergeCell ref="T10:V11"/>
    <mergeCell ref="AC10:AE11"/>
    <mergeCell ref="AF10:AH11"/>
    <mergeCell ref="Y10:Z11"/>
    <mergeCell ref="V16:W16"/>
    <mergeCell ref="X16:Y16"/>
    <mergeCell ref="Z16:AA16"/>
    <mergeCell ref="AB16:AE16"/>
    <mergeCell ref="AF16:AG16"/>
    <mergeCell ref="AH16:AI16"/>
    <mergeCell ref="AJ16:AK16"/>
    <mergeCell ref="AL16:AM16"/>
    <mergeCell ref="AK12:AM12"/>
    <mergeCell ref="AN12:AY12"/>
    <mergeCell ref="B13:AS13"/>
    <mergeCell ref="B14:AS14"/>
    <mergeCell ref="B15:C15"/>
    <mergeCell ref="D15:E15"/>
    <mergeCell ref="F15:I15"/>
    <mergeCell ref="J15:K15"/>
    <mergeCell ref="L15:M15"/>
    <mergeCell ref="N15:O15"/>
    <mergeCell ref="P15:Q15"/>
    <mergeCell ref="R15:W15"/>
    <mergeCell ref="X15:Y15"/>
    <mergeCell ref="Z15:AA15"/>
    <mergeCell ref="AB15:AE15"/>
    <mergeCell ref="AF15:AG15"/>
    <mergeCell ref="AH15:AI15"/>
    <mergeCell ref="AJ15:AK15"/>
    <mergeCell ref="AL15:AM15"/>
    <mergeCell ref="AN15:AS15"/>
    <mergeCell ref="AN16:AO16"/>
    <mergeCell ref="AP16:AQ16"/>
    <mergeCell ref="AR16:AS16"/>
    <mergeCell ref="B17:C17"/>
    <mergeCell ref="D17:E17"/>
    <mergeCell ref="F17:I17"/>
    <mergeCell ref="J17:K17"/>
    <mergeCell ref="L17:M17"/>
    <mergeCell ref="N17:O17"/>
    <mergeCell ref="P17:Q17"/>
    <mergeCell ref="R17:S17"/>
    <mergeCell ref="T17:U17"/>
    <mergeCell ref="V17:W17"/>
    <mergeCell ref="X17:Y17"/>
    <mergeCell ref="Z17:AA17"/>
    <mergeCell ref="AB17:AE17"/>
    <mergeCell ref="AF17:AG17"/>
    <mergeCell ref="AH17:AI17"/>
    <mergeCell ref="AJ17:AK17"/>
    <mergeCell ref="AL17:AM17"/>
    <mergeCell ref="AN17:AO17"/>
    <mergeCell ref="AP17:AQ17"/>
    <mergeCell ref="AR17:AS17"/>
    <mergeCell ref="B16:C16"/>
    <mergeCell ref="D16:E16"/>
    <mergeCell ref="F16:I16"/>
    <mergeCell ref="J16:K16"/>
    <mergeCell ref="L16:M16"/>
    <mergeCell ref="N16:O16"/>
    <mergeCell ref="P16:Q16"/>
    <mergeCell ref="R16:S16"/>
    <mergeCell ref="T16:U16"/>
    <mergeCell ref="AU17:AZ17"/>
    <mergeCell ref="BA17:BR17"/>
    <mergeCell ref="B18:C18"/>
    <mergeCell ref="D18:E18"/>
    <mergeCell ref="F18:I18"/>
    <mergeCell ref="J18:K18"/>
    <mergeCell ref="L18:M18"/>
    <mergeCell ref="N18:O18"/>
    <mergeCell ref="P18:Q18"/>
    <mergeCell ref="R18:S18"/>
    <mergeCell ref="T18:U18"/>
    <mergeCell ref="V18:W18"/>
    <mergeCell ref="X18:Y18"/>
    <mergeCell ref="Z18:AA18"/>
    <mergeCell ref="AB18:AE18"/>
    <mergeCell ref="AF18:AG18"/>
    <mergeCell ref="AH18:AI18"/>
    <mergeCell ref="AJ18:AK18"/>
    <mergeCell ref="AL18:AM18"/>
    <mergeCell ref="AN18:AO18"/>
    <mergeCell ref="AP18:AQ18"/>
    <mergeCell ref="AR18:AS18"/>
    <mergeCell ref="AU18:AZ18"/>
    <mergeCell ref="BA18:BI18"/>
    <mergeCell ref="BJ18:BR18"/>
    <mergeCell ref="AF20:AG20"/>
    <mergeCell ref="AH20:AI20"/>
    <mergeCell ref="AJ20:AK20"/>
    <mergeCell ref="AL20:AM20"/>
    <mergeCell ref="AN20:AO20"/>
    <mergeCell ref="AP20:AQ20"/>
    <mergeCell ref="AR20:AS20"/>
    <mergeCell ref="BA20:BI20"/>
    <mergeCell ref="BJ20:BR20"/>
    <mergeCell ref="B19:C19"/>
    <mergeCell ref="D19:E19"/>
    <mergeCell ref="F19:I19"/>
    <mergeCell ref="J19:K19"/>
    <mergeCell ref="L19:M19"/>
    <mergeCell ref="N19:O19"/>
    <mergeCell ref="P19:Q19"/>
    <mergeCell ref="R19:S19"/>
    <mergeCell ref="T19:U19"/>
    <mergeCell ref="V19:W19"/>
    <mergeCell ref="X19:Y19"/>
    <mergeCell ref="Z19:AA19"/>
    <mergeCell ref="AB19:AE19"/>
    <mergeCell ref="AF19:AG19"/>
    <mergeCell ref="AH19:AI19"/>
    <mergeCell ref="AJ19:AK19"/>
    <mergeCell ref="AL19:AM19"/>
    <mergeCell ref="AN22:AO22"/>
    <mergeCell ref="AP22:AQ22"/>
    <mergeCell ref="AR22:AS22"/>
    <mergeCell ref="BA22:BI22"/>
    <mergeCell ref="BJ22:BR22"/>
    <mergeCell ref="B21:C21"/>
    <mergeCell ref="D21:E21"/>
    <mergeCell ref="F21:G21"/>
    <mergeCell ref="H21:I21"/>
    <mergeCell ref="J21:K21"/>
    <mergeCell ref="L21:M21"/>
    <mergeCell ref="N21:O21"/>
    <mergeCell ref="P21:Q21"/>
    <mergeCell ref="AN19:AO19"/>
    <mergeCell ref="AP19:AQ19"/>
    <mergeCell ref="AR19:AS19"/>
    <mergeCell ref="BA19:BI19"/>
    <mergeCell ref="BJ19:BR19"/>
    <mergeCell ref="B20:C20"/>
    <mergeCell ref="D20:E20"/>
    <mergeCell ref="F20:G20"/>
    <mergeCell ref="H20:I20"/>
    <mergeCell ref="J20:K20"/>
    <mergeCell ref="L20:M20"/>
    <mergeCell ref="N20:O20"/>
    <mergeCell ref="P20:Q20"/>
    <mergeCell ref="R20:S20"/>
    <mergeCell ref="T20:U20"/>
    <mergeCell ref="V20:W20"/>
    <mergeCell ref="X20:Y20"/>
    <mergeCell ref="Z20:AA20"/>
    <mergeCell ref="AB20:AE20"/>
    <mergeCell ref="B22:C22"/>
    <mergeCell ref="D22:E22"/>
    <mergeCell ref="F22:G22"/>
    <mergeCell ref="H22:I22"/>
    <mergeCell ref="J22:K22"/>
    <mergeCell ref="L22:M22"/>
    <mergeCell ref="N22:O22"/>
    <mergeCell ref="P22:Q22"/>
    <mergeCell ref="R22:S22"/>
    <mergeCell ref="T22:U22"/>
    <mergeCell ref="V22:W22"/>
    <mergeCell ref="X22:Y22"/>
    <mergeCell ref="Z22:AA22"/>
    <mergeCell ref="AB22:AE22"/>
    <mergeCell ref="AF22:AG22"/>
    <mergeCell ref="AH22:AI22"/>
    <mergeCell ref="AJ22:AK22"/>
    <mergeCell ref="N23:O23"/>
    <mergeCell ref="P23:Q23"/>
    <mergeCell ref="R23:S23"/>
    <mergeCell ref="T23:U23"/>
    <mergeCell ref="V23:W23"/>
    <mergeCell ref="X23:Y23"/>
    <mergeCell ref="Z23:AA23"/>
    <mergeCell ref="AB23:AE23"/>
    <mergeCell ref="AF23:AG23"/>
    <mergeCell ref="AH23:AI23"/>
    <mergeCell ref="AJ23:AK23"/>
    <mergeCell ref="AL23:AM23"/>
    <mergeCell ref="AL21:AM21"/>
    <mergeCell ref="AN21:AO21"/>
    <mergeCell ref="AP21:AQ21"/>
    <mergeCell ref="AR21:AS21"/>
    <mergeCell ref="BA21:BI21"/>
    <mergeCell ref="R21:S21"/>
    <mergeCell ref="T21:U21"/>
    <mergeCell ref="V21:W21"/>
    <mergeCell ref="X21:Y21"/>
    <mergeCell ref="Z21:AA21"/>
    <mergeCell ref="AB21:AE21"/>
    <mergeCell ref="AF21:AG21"/>
    <mergeCell ref="AH21:AI21"/>
    <mergeCell ref="AJ21:AK21"/>
    <mergeCell ref="AN23:AO23"/>
    <mergeCell ref="AP23:AQ23"/>
    <mergeCell ref="AR23:AS23"/>
    <mergeCell ref="AU23:BR23"/>
    <mergeCell ref="BJ21:BR21"/>
    <mergeCell ref="AL22:AM22"/>
    <mergeCell ref="B24:C24"/>
    <mergeCell ref="D24:E24"/>
    <mergeCell ref="F24:I24"/>
    <mergeCell ref="J24:K24"/>
    <mergeCell ref="L24:M24"/>
    <mergeCell ref="N24:O24"/>
    <mergeCell ref="P24:Q24"/>
    <mergeCell ref="R24:S24"/>
    <mergeCell ref="T24:U24"/>
    <mergeCell ref="V24:W24"/>
    <mergeCell ref="X24:Y24"/>
    <mergeCell ref="Z24:AA24"/>
    <mergeCell ref="AB24:AE24"/>
    <mergeCell ref="AF24:AG24"/>
    <mergeCell ref="AH24:AI24"/>
    <mergeCell ref="AJ24:AK24"/>
    <mergeCell ref="AL24:AM24"/>
    <mergeCell ref="AN24:AO24"/>
    <mergeCell ref="AP24:AQ24"/>
    <mergeCell ref="AR24:AS24"/>
    <mergeCell ref="AU24:BB24"/>
    <mergeCell ref="BC24:BJ24"/>
    <mergeCell ref="BK24:BR24"/>
    <mergeCell ref="B23:C23"/>
    <mergeCell ref="D23:E23"/>
    <mergeCell ref="F23:I23"/>
    <mergeCell ref="J23:K23"/>
    <mergeCell ref="L23:M23"/>
    <mergeCell ref="B25:C25"/>
    <mergeCell ref="D25:E25"/>
    <mergeCell ref="F25:I25"/>
    <mergeCell ref="J25:K25"/>
    <mergeCell ref="L25:M25"/>
    <mergeCell ref="N25:O25"/>
    <mergeCell ref="P25:Q25"/>
    <mergeCell ref="R25:S25"/>
    <mergeCell ref="T25:U25"/>
    <mergeCell ref="V25:W25"/>
    <mergeCell ref="X25:Y25"/>
    <mergeCell ref="Z25:AA25"/>
    <mergeCell ref="AB25:AE25"/>
    <mergeCell ref="AF25:AG25"/>
    <mergeCell ref="AH25:AI25"/>
    <mergeCell ref="AJ25:AK25"/>
    <mergeCell ref="AL25:AM25"/>
    <mergeCell ref="AN25:AO25"/>
    <mergeCell ref="AP25:AQ25"/>
    <mergeCell ref="AR25:AS25"/>
    <mergeCell ref="AU25:AZ25"/>
    <mergeCell ref="BA25:BB25"/>
    <mergeCell ref="BC25:BJ25"/>
    <mergeCell ref="BK25:BR25"/>
    <mergeCell ref="B26:C26"/>
    <mergeCell ref="D26:E26"/>
    <mergeCell ref="F26:I26"/>
    <mergeCell ref="J26:K26"/>
    <mergeCell ref="L26:M26"/>
    <mergeCell ref="N26:O26"/>
    <mergeCell ref="P26:Q26"/>
    <mergeCell ref="R26:S26"/>
    <mergeCell ref="T26:U26"/>
    <mergeCell ref="V26:W26"/>
    <mergeCell ref="X26:Y26"/>
    <mergeCell ref="Z26:AA26"/>
    <mergeCell ref="AB26:AE26"/>
    <mergeCell ref="AF26:AG26"/>
    <mergeCell ref="AH26:AI26"/>
    <mergeCell ref="AJ26:AK26"/>
    <mergeCell ref="AL26:AM26"/>
    <mergeCell ref="AN26:AO26"/>
    <mergeCell ref="AP26:AQ26"/>
    <mergeCell ref="AR26:AS26"/>
    <mergeCell ref="AU26:AZ26"/>
    <mergeCell ref="BA26:BB26"/>
    <mergeCell ref="BC26:BJ26"/>
    <mergeCell ref="BK26:BN26"/>
    <mergeCell ref="BO26:BR26"/>
    <mergeCell ref="AL28:AM28"/>
    <mergeCell ref="AN28:AO28"/>
    <mergeCell ref="AP28:AQ28"/>
    <mergeCell ref="AR28:AS28"/>
    <mergeCell ref="AU28:AZ28"/>
    <mergeCell ref="BA28:BB28"/>
    <mergeCell ref="B27:C27"/>
    <mergeCell ref="D27:E27"/>
    <mergeCell ref="F27:I27"/>
    <mergeCell ref="J27:K27"/>
    <mergeCell ref="L27:M27"/>
    <mergeCell ref="N27:O27"/>
    <mergeCell ref="P27:Q27"/>
    <mergeCell ref="R27:S27"/>
    <mergeCell ref="T27:U27"/>
    <mergeCell ref="V27:W27"/>
    <mergeCell ref="X27:Y27"/>
    <mergeCell ref="Z27:AA27"/>
    <mergeCell ref="AB27:AC27"/>
    <mergeCell ref="AD27:AE27"/>
    <mergeCell ref="AF27:AG27"/>
    <mergeCell ref="AH27:AI27"/>
    <mergeCell ref="AJ27:AK27"/>
    <mergeCell ref="AN29:AO29"/>
    <mergeCell ref="AP29:AQ29"/>
    <mergeCell ref="AR29:AS29"/>
    <mergeCell ref="AU29:AZ29"/>
    <mergeCell ref="BA29:BB29"/>
    <mergeCell ref="BC29:BJ29"/>
    <mergeCell ref="AL27:AM27"/>
    <mergeCell ref="AN27:AO27"/>
    <mergeCell ref="AP27:AQ27"/>
    <mergeCell ref="AR27:AS27"/>
    <mergeCell ref="AU27:AZ27"/>
    <mergeCell ref="BA27:BB27"/>
    <mergeCell ref="BC27:BF27"/>
    <mergeCell ref="BG27:BJ27"/>
    <mergeCell ref="BK27:BN27"/>
    <mergeCell ref="BO27:BR27"/>
    <mergeCell ref="B28:C28"/>
    <mergeCell ref="D28:E28"/>
    <mergeCell ref="F28:I28"/>
    <mergeCell ref="J28:K28"/>
    <mergeCell ref="L28:M28"/>
    <mergeCell ref="N28:O28"/>
    <mergeCell ref="P28:Q28"/>
    <mergeCell ref="R28:S28"/>
    <mergeCell ref="T28:U28"/>
    <mergeCell ref="V28:W28"/>
    <mergeCell ref="X28:Y28"/>
    <mergeCell ref="Z28:AA28"/>
    <mergeCell ref="AB28:AE28"/>
    <mergeCell ref="AF28:AG28"/>
    <mergeCell ref="AH28:AI28"/>
    <mergeCell ref="AJ28:AK28"/>
    <mergeCell ref="L30:M30"/>
    <mergeCell ref="N30:O30"/>
    <mergeCell ref="P30:Q30"/>
    <mergeCell ref="R30:S30"/>
    <mergeCell ref="T30:U30"/>
    <mergeCell ref="V30:W30"/>
    <mergeCell ref="X30:Y30"/>
    <mergeCell ref="Z30:AA30"/>
    <mergeCell ref="AB30:AE30"/>
    <mergeCell ref="AF30:AG30"/>
    <mergeCell ref="AH30:AI30"/>
    <mergeCell ref="AJ30:AK30"/>
    <mergeCell ref="AL30:AM30"/>
    <mergeCell ref="BC28:BF28"/>
    <mergeCell ref="BG28:BJ28"/>
    <mergeCell ref="B29:C29"/>
    <mergeCell ref="D29:E29"/>
    <mergeCell ref="F29:I29"/>
    <mergeCell ref="J29:K29"/>
    <mergeCell ref="L29:M29"/>
    <mergeCell ref="N29:O29"/>
    <mergeCell ref="P29:Q29"/>
    <mergeCell ref="R29:S29"/>
    <mergeCell ref="T29:U29"/>
    <mergeCell ref="V29:W29"/>
    <mergeCell ref="X29:Y29"/>
    <mergeCell ref="Z29:AA29"/>
    <mergeCell ref="AB29:AE29"/>
    <mergeCell ref="AF29:AG29"/>
    <mergeCell ref="AH29:AI29"/>
    <mergeCell ref="AJ29:AK29"/>
    <mergeCell ref="AL29:AM29"/>
    <mergeCell ref="AN30:AO30"/>
    <mergeCell ref="AP30:AQ30"/>
    <mergeCell ref="AR30:AS30"/>
    <mergeCell ref="AU30:AZ30"/>
    <mergeCell ref="BA30:BB30"/>
    <mergeCell ref="B31:C31"/>
    <mergeCell ref="D31:E31"/>
    <mergeCell ref="F31:I31"/>
    <mergeCell ref="J31:K31"/>
    <mergeCell ref="L31:M31"/>
    <mergeCell ref="N31:O31"/>
    <mergeCell ref="P31:Q31"/>
    <mergeCell ref="R31:S31"/>
    <mergeCell ref="T31:U31"/>
    <mergeCell ref="V31:W31"/>
    <mergeCell ref="X31:Y31"/>
    <mergeCell ref="Z31:AA31"/>
    <mergeCell ref="AB31:AC31"/>
    <mergeCell ref="AD31:AE31"/>
    <mergeCell ref="AF31:AG31"/>
    <mergeCell ref="AH31:AI31"/>
    <mergeCell ref="AJ31:AK31"/>
    <mergeCell ref="AL31:AM31"/>
    <mergeCell ref="AN31:AO31"/>
    <mergeCell ref="AP31:AQ31"/>
    <mergeCell ref="AR31:AS31"/>
    <mergeCell ref="AU31:AZ31"/>
    <mergeCell ref="BA31:BB31"/>
    <mergeCell ref="B30:C30"/>
    <mergeCell ref="D30:E30"/>
    <mergeCell ref="F30:I30"/>
    <mergeCell ref="J30:K30"/>
    <mergeCell ref="AU32:AZ32"/>
    <mergeCell ref="BA32:BB32"/>
    <mergeCell ref="B33:C33"/>
    <mergeCell ref="D33:E33"/>
    <mergeCell ref="F33:I33"/>
    <mergeCell ref="J33:K33"/>
    <mergeCell ref="L33:M33"/>
    <mergeCell ref="N33:O33"/>
    <mergeCell ref="P33:Q33"/>
    <mergeCell ref="R33:S33"/>
    <mergeCell ref="T33:U33"/>
    <mergeCell ref="V33:W33"/>
    <mergeCell ref="X33:Y33"/>
    <mergeCell ref="Z33:AA33"/>
    <mergeCell ref="AB33:AC33"/>
    <mergeCell ref="AD33:AE33"/>
    <mergeCell ref="AF33:AG33"/>
    <mergeCell ref="AH33:AI33"/>
    <mergeCell ref="AJ33:AK33"/>
    <mergeCell ref="AL33:AM33"/>
    <mergeCell ref="AN33:AO33"/>
    <mergeCell ref="AP33:AQ33"/>
    <mergeCell ref="AR33:AS33"/>
    <mergeCell ref="AU33:AZ33"/>
    <mergeCell ref="BA33:BB33"/>
    <mergeCell ref="B32:C32"/>
    <mergeCell ref="D32:E32"/>
    <mergeCell ref="F32:I32"/>
    <mergeCell ref="J32:K32"/>
    <mergeCell ref="L32:M32"/>
    <mergeCell ref="N32:O32"/>
    <mergeCell ref="P32:Q32"/>
    <mergeCell ref="R34:S34"/>
    <mergeCell ref="T34:U34"/>
    <mergeCell ref="V34:W34"/>
    <mergeCell ref="X34:Y34"/>
    <mergeCell ref="Z34:AA34"/>
    <mergeCell ref="AB34:AE34"/>
    <mergeCell ref="AF34:AG34"/>
    <mergeCell ref="AH34:AI34"/>
    <mergeCell ref="AJ34:AK34"/>
    <mergeCell ref="AL32:AM32"/>
    <mergeCell ref="AN32:AO32"/>
    <mergeCell ref="AP32:AQ32"/>
    <mergeCell ref="AR32:AS32"/>
    <mergeCell ref="R32:S32"/>
    <mergeCell ref="T32:U32"/>
    <mergeCell ref="V32:W32"/>
    <mergeCell ref="X32:Y32"/>
    <mergeCell ref="Z32:AA32"/>
    <mergeCell ref="AB32:AC32"/>
    <mergeCell ref="AD32:AE32"/>
    <mergeCell ref="AF32:AG32"/>
    <mergeCell ref="AH32:AI32"/>
    <mergeCell ref="AJ32:AK32"/>
    <mergeCell ref="AL34:AM34"/>
    <mergeCell ref="AN34:AO34"/>
    <mergeCell ref="AP34:AQ34"/>
    <mergeCell ref="AR34:AS34"/>
    <mergeCell ref="AU34:AZ34"/>
    <mergeCell ref="BA34:BB34"/>
    <mergeCell ref="B35:C35"/>
    <mergeCell ref="D35:E35"/>
    <mergeCell ref="F35:G35"/>
    <mergeCell ref="H35:I35"/>
    <mergeCell ref="J35:K35"/>
    <mergeCell ref="L35:M35"/>
    <mergeCell ref="N35:O35"/>
    <mergeCell ref="P35:Q35"/>
    <mergeCell ref="R35:S35"/>
    <mergeCell ref="T35:U35"/>
    <mergeCell ref="V35:W35"/>
    <mergeCell ref="X35:Y35"/>
    <mergeCell ref="Z35:AA35"/>
    <mergeCell ref="AB35:AE35"/>
    <mergeCell ref="AF35:AG35"/>
    <mergeCell ref="AH35:AI35"/>
    <mergeCell ref="AJ35:AK35"/>
    <mergeCell ref="AL35:AM35"/>
    <mergeCell ref="AN35:AO35"/>
    <mergeCell ref="AP35:AQ35"/>
    <mergeCell ref="AR35:AS35"/>
    <mergeCell ref="AU35:BB35"/>
    <mergeCell ref="B34:C34"/>
    <mergeCell ref="D34:E34"/>
    <mergeCell ref="F34:G34"/>
    <mergeCell ref="H34:I34"/>
    <mergeCell ref="J34:K34"/>
    <mergeCell ref="L34:M34"/>
    <mergeCell ref="N34:O34"/>
    <mergeCell ref="P34:Q34"/>
    <mergeCell ref="BK35:BR35"/>
    <mergeCell ref="B36:C36"/>
    <mergeCell ref="D36:E36"/>
    <mergeCell ref="F36:G36"/>
    <mergeCell ref="H36:I36"/>
    <mergeCell ref="J36:K36"/>
    <mergeCell ref="L36:M36"/>
    <mergeCell ref="N36:O36"/>
    <mergeCell ref="P36:Q36"/>
    <mergeCell ref="R36:S36"/>
    <mergeCell ref="T36:U36"/>
    <mergeCell ref="V36:W36"/>
    <mergeCell ref="X36:Y36"/>
    <mergeCell ref="Z36:AA36"/>
    <mergeCell ref="AB36:AE36"/>
    <mergeCell ref="AF36:AG36"/>
    <mergeCell ref="AH36:AI36"/>
    <mergeCell ref="AJ36:AK36"/>
    <mergeCell ref="AL36:AM36"/>
    <mergeCell ref="AN36:AO36"/>
    <mergeCell ref="AP36:AQ36"/>
    <mergeCell ref="AR36:AS36"/>
    <mergeCell ref="AU36:BB36"/>
    <mergeCell ref="BK36:BN36"/>
    <mergeCell ref="BO36:BR36"/>
    <mergeCell ref="BO37:BR37"/>
    <mergeCell ref="B38:C38"/>
    <mergeCell ref="D38:E38"/>
    <mergeCell ref="F38:G38"/>
    <mergeCell ref="H38:I38"/>
    <mergeCell ref="J38:K38"/>
    <mergeCell ref="L38:M38"/>
    <mergeCell ref="N38:O38"/>
    <mergeCell ref="P38:Q38"/>
    <mergeCell ref="R38:S38"/>
    <mergeCell ref="T38:U38"/>
    <mergeCell ref="V38:W38"/>
    <mergeCell ref="X38:Y38"/>
    <mergeCell ref="Z38:AA38"/>
    <mergeCell ref="AB38:AE38"/>
    <mergeCell ref="AF38:AG38"/>
    <mergeCell ref="AH38:AI38"/>
    <mergeCell ref="AJ38:AK38"/>
    <mergeCell ref="AL38:AM38"/>
    <mergeCell ref="AN38:AO38"/>
    <mergeCell ref="AP38:AQ38"/>
    <mergeCell ref="AR38:AS38"/>
    <mergeCell ref="BC30:BJ37"/>
    <mergeCell ref="B37:C37"/>
    <mergeCell ref="D37:E37"/>
    <mergeCell ref="F37:G37"/>
    <mergeCell ref="H37:I37"/>
    <mergeCell ref="J37:K37"/>
    <mergeCell ref="L37:M37"/>
    <mergeCell ref="N37:O37"/>
    <mergeCell ref="P37:Q37"/>
    <mergeCell ref="R37:S37"/>
    <mergeCell ref="AJ37:AK37"/>
    <mergeCell ref="AL37:AM37"/>
    <mergeCell ref="AN37:AO37"/>
    <mergeCell ref="AP37:AQ37"/>
    <mergeCell ref="AR37:AS37"/>
    <mergeCell ref="AU37:BB37"/>
    <mergeCell ref="BK37:BN37"/>
    <mergeCell ref="T37:U37"/>
    <mergeCell ref="V37:W37"/>
    <mergeCell ref="X37:Y37"/>
    <mergeCell ref="Z37:AA37"/>
    <mergeCell ref="AB37:AC37"/>
    <mergeCell ref="AD37:AE37"/>
    <mergeCell ref="AF37:AG37"/>
    <mergeCell ref="AH37:AI37"/>
    <mergeCell ref="AL39:AM39"/>
    <mergeCell ref="AN39:AO39"/>
    <mergeCell ref="AP39:AQ39"/>
    <mergeCell ref="AR39:AS39"/>
    <mergeCell ref="H40:I40"/>
    <mergeCell ref="J40:K40"/>
    <mergeCell ref="L40:M40"/>
    <mergeCell ref="N40:O40"/>
    <mergeCell ref="P40:Q40"/>
    <mergeCell ref="R40:S40"/>
    <mergeCell ref="T40:U40"/>
    <mergeCell ref="V40:W40"/>
    <mergeCell ref="X40:Y40"/>
    <mergeCell ref="Z40:AA40"/>
    <mergeCell ref="AB40:AE40"/>
    <mergeCell ref="AF40:AG40"/>
    <mergeCell ref="AH40:AI40"/>
    <mergeCell ref="AJ40:AK40"/>
    <mergeCell ref="P39:Q39"/>
    <mergeCell ref="R39:S39"/>
    <mergeCell ref="T39:U39"/>
    <mergeCell ref="V39:W39"/>
    <mergeCell ref="X39:Y39"/>
    <mergeCell ref="Z39:AA39"/>
    <mergeCell ref="AB39:AE39"/>
    <mergeCell ref="AF39:AG39"/>
    <mergeCell ref="AH39:AI39"/>
    <mergeCell ref="AJ39:AK39"/>
    <mergeCell ref="AL40:AM40"/>
    <mergeCell ref="AN40:AO40"/>
    <mergeCell ref="AP40:AQ40"/>
    <mergeCell ref="AR40:AS40"/>
    <mergeCell ref="B39:C39"/>
    <mergeCell ref="D39:E39"/>
    <mergeCell ref="F39:G39"/>
    <mergeCell ref="H39:I39"/>
    <mergeCell ref="J39:K39"/>
    <mergeCell ref="L39:M39"/>
    <mergeCell ref="N39:O39"/>
    <mergeCell ref="AR42:AS42"/>
    <mergeCell ref="B41:C41"/>
    <mergeCell ref="D41:E41"/>
    <mergeCell ref="F41:G41"/>
    <mergeCell ref="H41:I41"/>
    <mergeCell ref="J41:K41"/>
    <mergeCell ref="L41:M41"/>
    <mergeCell ref="N41:O41"/>
    <mergeCell ref="P41:Q41"/>
    <mergeCell ref="R41:S41"/>
    <mergeCell ref="T41:U41"/>
    <mergeCell ref="V41:W41"/>
    <mergeCell ref="X41:Y41"/>
    <mergeCell ref="Z41:AA41"/>
    <mergeCell ref="AB41:AE41"/>
    <mergeCell ref="AF41:AG41"/>
    <mergeCell ref="AH41:AI41"/>
    <mergeCell ref="AJ41:AK41"/>
    <mergeCell ref="B40:C40"/>
    <mergeCell ref="D40:E40"/>
    <mergeCell ref="F40:G40"/>
    <mergeCell ref="T43:U43"/>
    <mergeCell ref="V43:W43"/>
    <mergeCell ref="X43:Y43"/>
    <mergeCell ref="Z43:AA43"/>
    <mergeCell ref="AB43:AE43"/>
    <mergeCell ref="AF43:AG43"/>
    <mergeCell ref="AH43:AI43"/>
    <mergeCell ref="AJ43:AK43"/>
    <mergeCell ref="AL43:AM43"/>
    <mergeCell ref="AL41:AM41"/>
    <mergeCell ref="AN41:AO41"/>
    <mergeCell ref="AP41:AQ41"/>
    <mergeCell ref="AR41:AS41"/>
    <mergeCell ref="B42:C42"/>
    <mergeCell ref="D42:E42"/>
    <mergeCell ref="F42:I42"/>
    <mergeCell ref="J42:K42"/>
    <mergeCell ref="L42:M42"/>
    <mergeCell ref="N42:O42"/>
    <mergeCell ref="P42:Q42"/>
    <mergeCell ref="R42:S42"/>
    <mergeCell ref="T42:U42"/>
    <mergeCell ref="V42:W42"/>
    <mergeCell ref="X42:Y42"/>
    <mergeCell ref="Z42:AA42"/>
    <mergeCell ref="AB42:AE42"/>
    <mergeCell ref="AF42:AG42"/>
    <mergeCell ref="AH42:AI42"/>
    <mergeCell ref="AJ42:AK42"/>
    <mergeCell ref="AL42:AM42"/>
    <mergeCell ref="AN42:AO42"/>
    <mergeCell ref="AP42:AQ42"/>
    <mergeCell ref="AN43:AO43"/>
    <mergeCell ref="AP43:AQ43"/>
    <mergeCell ref="AR43:AS43"/>
    <mergeCell ref="AU43:BR43"/>
    <mergeCell ref="B44:C44"/>
    <mergeCell ref="D44:E44"/>
    <mergeCell ref="F44:I44"/>
    <mergeCell ref="J44:K44"/>
    <mergeCell ref="L44:M44"/>
    <mergeCell ref="N44:O44"/>
    <mergeCell ref="P44:Q44"/>
    <mergeCell ref="R44:S44"/>
    <mergeCell ref="T44:U44"/>
    <mergeCell ref="V44:W44"/>
    <mergeCell ref="X44:Y44"/>
    <mergeCell ref="Z44:AA44"/>
    <mergeCell ref="AB44:AE44"/>
    <mergeCell ref="AF44:AG44"/>
    <mergeCell ref="AH44:AI44"/>
    <mergeCell ref="AJ44:AK44"/>
    <mergeCell ref="AL44:AM44"/>
    <mergeCell ref="AN44:AO44"/>
    <mergeCell ref="AP44:AQ44"/>
    <mergeCell ref="AR44:AS44"/>
    <mergeCell ref="B43:C43"/>
    <mergeCell ref="D43:E43"/>
    <mergeCell ref="F43:I43"/>
    <mergeCell ref="J43:K43"/>
    <mergeCell ref="L43:M43"/>
    <mergeCell ref="N43:O43"/>
    <mergeCell ref="P43:Q43"/>
    <mergeCell ref="R43:S43"/>
    <mergeCell ref="AP45:AQ45"/>
    <mergeCell ref="AR45:AS45"/>
    <mergeCell ref="B46:C46"/>
    <mergeCell ref="D46:E46"/>
    <mergeCell ref="F46:G46"/>
    <mergeCell ref="H46:I46"/>
    <mergeCell ref="J46:K46"/>
    <mergeCell ref="L46:M46"/>
    <mergeCell ref="N46:O46"/>
    <mergeCell ref="P46:Q46"/>
    <mergeCell ref="R46:S46"/>
    <mergeCell ref="T46:U46"/>
    <mergeCell ref="V46:W46"/>
    <mergeCell ref="X46:Y46"/>
    <mergeCell ref="Z46:AA46"/>
    <mergeCell ref="AB46:AE46"/>
    <mergeCell ref="AF46:AG46"/>
    <mergeCell ref="AH46:AI46"/>
    <mergeCell ref="AJ46:AK46"/>
    <mergeCell ref="AL46:AM46"/>
    <mergeCell ref="AN46:AO46"/>
    <mergeCell ref="AP46:AQ46"/>
    <mergeCell ref="AR46:AS46"/>
    <mergeCell ref="B45:C45"/>
    <mergeCell ref="D45:E45"/>
    <mergeCell ref="F45:I45"/>
    <mergeCell ref="J45:K45"/>
    <mergeCell ref="L45:M45"/>
    <mergeCell ref="N45:O45"/>
    <mergeCell ref="P45:Q45"/>
    <mergeCell ref="R45:S45"/>
    <mergeCell ref="T45:U45"/>
    <mergeCell ref="D47:E47"/>
    <mergeCell ref="F47:G47"/>
    <mergeCell ref="H47:I47"/>
    <mergeCell ref="J47:K47"/>
    <mergeCell ref="L47:M47"/>
    <mergeCell ref="N47:O47"/>
    <mergeCell ref="P47:Q47"/>
    <mergeCell ref="R47:S47"/>
    <mergeCell ref="T47:U47"/>
    <mergeCell ref="V47:W47"/>
    <mergeCell ref="X47:Y47"/>
    <mergeCell ref="Z47:AA47"/>
    <mergeCell ref="AB47:AC47"/>
    <mergeCell ref="AD47:AE47"/>
    <mergeCell ref="AF47:AG47"/>
    <mergeCell ref="AH47:AI47"/>
    <mergeCell ref="AN45:AO45"/>
    <mergeCell ref="V45:W45"/>
    <mergeCell ref="X45:Y45"/>
    <mergeCell ref="Z45:AA45"/>
    <mergeCell ref="AB45:AE45"/>
    <mergeCell ref="AF45:AG45"/>
    <mergeCell ref="AH45:AI45"/>
    <mergeCell ref="AJ45:AK45"/>
    <mergeCell ref="AL45:AM45"/>
    <mergeCell ref="Z49:AA49"/>
    <mergeCell ref="AB49:AE49"/>
    <mergeCell ref="AF49:AG49"/>
    <mergeCell ref="AH49:AI49"/>
    <mergeCell ref="AJ49:AK49"/>
    <mergeCell ref="AJ47:AK47"/>
    <mergeCell ref="AL47:AM47"/>
    <mergeCell ref="AN47:AO47"/>
    <mergeCell ref="AP47:AQ47"/>
    <mergeCell ref="AR47:AS47"/>
    <mergeCell ref="B48:C48"/>
    <mergeCell ref="D48:E48"/>
    <mergeCell ref="F48:G48"/>
    <mergeCell ref="H48:I48"/>
    <mergeCell ref="J48:K48"/>
    <mergeCell ref="L48:M48"/>
    <mergeCell ref="N48:O48"/>
    <mergeCell ref="P48:Q48"/>
    <mergeCell ref="R48:S48"/>
    <mergeCell ref="T48:U48"/>
    <mergeCell ref="V48:W48"/>
    <mergeCell ref="X48:Y48"/>
    <mergeCell ref="Z48:AA48"/>
    <mergeCell ref="AB48:AE48"/>
    <mergeCell ref="AF48:AG48"/>
    <mergeCell ref="AH48:AI48"/>
    <mergeCell ref="AJ48:AK48"/>
    <mergeCell ref="AL48:AM48"/>
    <mergeCell ref="AN48:AO48"/>
    <mergeCell ref="AP48:AQ48"/>
    <mergeCell ref="AR48:AS48"/>
    <mergeCell ref="B47:C47"/>
    <mergeCell ref="AL49:AM49"/>
    <mergeCell ref="AN49:AO49"/>
    <mergeCell ref="AP49:AQ49"/>
    <mergeCell ref="AR49:AS49"/>
    <mergeCell ref="B50:H50"/>
    <mergeCell ref="J50:AS50"/>
    <mergeCell ref="B51:AK51"/>
    <mergeCell ref="AM51:AS51"/>
    <mergeCell ref="B52:F52"/>
    <mergeCell ref="G52:L52"/>
    <mergeCell ref="M52:P52"/>
    <mergeCell ref="Q52:V52"/>
    <mergeCell ref="W52:Z52"/>
    <mergeCell ref="AA52:AB52"/>
    <mergeCell ref="AC52:AD52"/>
    <mergeCell ref="AE52:AF52"/>
    <mergeCell ref="AG52:AI52"/>
    <mergeCell ref="AJ52:AK52"/>
    <mergeCell ref="AM52:AO54"/>
    <mergeCell ref="AP52:AS54"/>
    <mergeCell ref="B49:C49"/>
    <mergeCell ref="D49:E49"/>
    <mergeCell ref="F49:G49"/>
    <mergeCell ref="H49:I49"/>
    <mergeCell ref="J49:K49"/>
    <mergeCell ref="L49:M49"/>
    <mergeCell ref="N49:O49"/>
    <mergeCell ref="P49:Q49"/>
    <mergeCell ref="R49:S49"/>
    <mergeCell ref="T49:U49"/>
    <mergeCell ref="V49:W49"/>
    <mergeCell ref="X49:Y49"/>
    <mergeCell ref="B53:F53"/>
    <mergeCell ref="G53:L53"/>
    <mergeCell ref="M53:P53"/>
    <mergeCell ref="Q53:R53"/>
    <mergeCell ref="S53:T53"/>
    <mergeCell ref="U53:V53"/>
    <mergeCell ref="W53:Z53"/>
    <mergeCell ref="AA53:AB53"/>
    <mergeCell ref="AC53:AD53"/>
    <mergeCell ref="AE53:AF53"/>
    <mergeCell ref="AG53:AI53"/>
    <mergeCell ref="AJ53:AK53"/>
    <mergeCell ref="B54:F54"/>
    <mergeCell ref="G54:L54"/>
    <mergeCell ref="M54:P54"/>
    <mergeCell ref="Q54:R54"/>
    <mergeCell ref="S54:T54"/>
    <mergeCell ref="U54:V54"/>
    <mergeCell ref="W54:Z54"/>
    <mergeCell ref="AA54:AB54"/>
    <mergeCell ref="AC54:AD54"/>
    <mergeCell ref="AE54:AF54"/>
    <mergeCell ref="AG54:AI54"/>
    <mergeCell ref="AJ54:AK54"/>
    <mergeCell ref="B55:F55"/>
    <mergeCell ref="G55:L55"/>
    <mergeCell ref="M55:P55"/>
    <mergeCell ref="Q55:R55"/>
    <mergeCell ref="S55:T55"/>
    <mergeCell ref="U55:V55"/>
    <mergeCell ref="W55:Z55"/>
    <mergeCell ref="AA55:AB55"/>
    <mergeCell ref="AC55:AD55"/>
    <mergeCell ref="AE55:AF55"/>
    <mergeCell ref="AG55:AI55"/>
    <mergeCell ref="AJ55:AK55"/>
    <mergeCell ref="B56:F56"/>
    <mergeCell ref="G56:L56"/>
    <mergeCell ref="M56:P56"/>
    <mergeCell ref="Q56:R56"/>
    <mergeCell ref="S56:T56"/>
    <mergeCell ref="U56:V56"/>
    <mergeCell ref="W56:Z56"/>
    <mergeCell ref="AA56:AB56"/>
    <mergeCell ref="AC56:AD56"/>
    <mergeCell ref="AE56:AF56"/>
    <mergeCell ref="AG56:AI56"/>
    <mergeCell ref="AJ56:AK56"/>
    <mergeCell ref="B57:F57"/>
    <mergeCell ref="G57:L57"/>
    <mergeCell ref="M57:P57"/>
    <mergeCell ref="Q57:R57"/>
    <mergeCell ref="S57:T57"/>
    <mergeCell ref="U57:V57"/>
    <mergeCell ref="W57:Z57"/>
    <mergeCell ref="AA57:AB57"/>
    <mergeCell ref="AC57:AD57"/>
    <mergeCell ref="AE57:AF57"/>
    <mergeCell ref="AG57:AI57"/>
    <mergeCell ref="AJ57:AK57"/>
    <mergeCell ref="AR57:AS57"/>
    <mergeCell ref="B58:F58"/>
    <mergeCell ref="G58:L58"/>
    <mergeCell ref="M58:P58"/>
    <mergeCell ref="Q58:R58"/>
    <mergeCell ref="S58:T58"/>
    <mergeCell ref="U58:V58"/>
    <mergeCell ref="W58:Z58"/>
    <mergeCell ref="AA58:AB58"/>
    <mergeCell ref="AC58:AD58"/>
    <mergeCell ref="AE58:AF58"/>
    <mergeCell ref="AG58:AI58"/>
    <mergeCell ref="AJ58:AK58"/>
    <mergeCell ref="AR58:AS58"/>
    <mergeCell ref="AM57:AO58"/>
    <mergeCell ref="B60:U60"/>
    <mergeCell ref="W60:AS60"/>
    <mergeCell ref="B61:E61"/>
    <mergeCell ref="F61:H61"/>
    <mergeCell ref="I61:K61"/>
    <mergeCell ref="L61:N61"/>
    <mergeCell ref="O61:R61"/>
    <mergeCell ref="S61:U61"/>
    <mergeCell ref="B62:E62"/>
    <mergeCell ref="F62:H62"/>
    <mergeCell ref="I62:K62"/>
    <mergeCell ref="L62:N62"/>
    <mergeCell ref="O62:R62"/>
    <mergeCell ref="S62:U62"/>
    <mergeCell ref="AU62:BR62"/>
    <mergeCell ref="AU63:AY63"/>
    <mergeCell ref="AZ63:BE63"/>
    <mergeCell ref="BF63:BK63"/>
    <mergeCell ref="BL63:BR63"/>
    <mergeCell ref="AZ64:BE64"/>
    <mergeCell ref="BF64:BK64"/>
    <mergeCell ref="BL64:BR64"/>
    <mergeCell ref="AZ65:BE65"/>
    <mergeCell ref="BF65:BK65"/>
    <mergeCell ref="BL65:BR65"/>
    <mergeCell ref="AZ66:BE66"/>
    <mergeCell ref="BF66:BK66"/>
    <mergeCell ref="BL66:BR66"/>
    <mergeCell ref="AU67:BR67"/>
    <mergeCell ref="B68:U68"/>
    <mergeCell ref="B69:E69"/>
    <mergeCell ref="F69:I69"/>
    <mergeCell ref="J69:M69"/>
    <mergeCell ref="N69:Q69"/>
    <mergeCell ref="R69:U69"/>
    <mergeCell ref="B75:E75"/>
    <mergeCell ref="F75:I75"/>
    <mergeCell ref="J75:M75"/>
    <mergeCell ref="N75:Q75"/>
    <mergeCell ref="R75:U75"/>
    <mergeCell ref="AA69:AQ70"/>
    <mergeCell ref="AA65:AQ66"/>
    <mergeCell ref="AR67:AS68"/>
    <mergeCell ref="AA63:AQ64"/>
    <mergeCell ref="AA71:AQ72"/>
    <mergeCell ref="AA75:AQ76"/>
    <mergeCell ref="B76:I76"/>
    <mergeCell ref="J76:M76"/>
    <mergeCell ref="N76:U76"/>
    <mergeCell ref="AR63:AS64"/>
    <mergeCell ref="W69:Z70"/>
    <mergeCell ref="B77:U77"/>
    <mergeCell ref="B78:C78"/>
    <mergeCell ref="D78:E78"/>
    <mergeCell ref="F78:M78"/>
    <mergeCell ref="N78:U78"/>
    <mergeCell ref="B79:C79"/>
    <mergeCell ref="D79:E79"/>
    <mergeCell ref="F79:M79"/>
    <mergeCell ref="N79:U79"/>
    <mergeCell ref="B80:C80"/>
    <mergeCell ref="D80:E80"/>
    <mergeCell ref="F80:M80"/>
    <mergeCell ref="N80:U80"/>
    <mergeCell ref="B81:C81"/>
    <mergeCell ref="D81:E81"/>
    <mergeCell ref="F81:M81"/>
    <mergeCell ref="N81:U81"/>
    <mergeCell ref="B90:C90"/>
    <mergeCell ref="D90:E90"/>
    <mergeCell ref="F90:M90"/>
    <mergeCell ref="N90:U90"/>
    <mergeCell ref="B91:C91"/>
    <mergeCell ref="D91:E91"/>
    <mergeCell ref="F91:M91"/>
    <mergeCell ref="N91:U91"/>
    <mergeCell ref="B82:C82"/>
    <mergeCell ref="D82:E82"/>
    <mergeCell ref="F82:M82"/>
    <mergeCell ref="N82:U82"/>
    <mergeCell ref="B83:C83"/>
    <mergeCell ref="D83:E83"/>
    <mergeCell ref="F83:M83"/>
    <mergeCell ref="N83:U83"/>
    <mergeCell ref="B84:C84"/>
    <mergeCell ref="D84:E84"/>
    <mergeCell ref="F84:M84"/>
    <mergeCell ref="N84:U84"/>
    <mergeCell ref="B85:C85"/>
    <mergeCell ref="D85:E85"/>
    <mergeCell ref="F85:M85"/>
    <mergeCell ref="N85:U85"/>
    <mergeCell ref="B86:C86"/>
    <mergeCell ref="D86:E86"/>
    <mergeCell ref="F86:M86"/>
    <mergeCell ref="N86:U86"/>
    <mergeCell ref="B92:C92"/>
    <mergeCell ref="D92:E92"/>
    <mergeCell ref="F92:M92"/>
    <mergeCell ref="N92:U92"/>
    <mergeCell ref="B93:C93"/>
    <mergeCell ref="D93:E93"/>
    <mergeCell ref="F93:M93"/>
    <mergeCell ref="N93:U93"/>
    <mergeCell ref="B95:U95"/>
    <mergeCell ref="W95:AS95"/>
    <mergeCell ref="B96:I96"/>
    <mergeCell ref="J96:U96"/>
    <mergeCell ref="W96:AS96"/>
    <mergeCell ref="B97:I97"/>
    <mergeCell ref="J97:U97"/>
    <mergeCell ref="W97:Z97"/>
    <mergeCell ref="AA97:AJ97"/>
    <mergeCell ref="AK97:AQ97"/>
    <mergeCell ref="AR97:AS97"/>
    <mergeCell ref="W77:AS93"/>
    <mergeCell ref="B87:C87"/>
    <mergeCell ref="D87:E87"/>
    <mergeCell ref="F87:M87"/>
    <mergeCell ref="N87:U87"/>
    <mergeCell ref="B88:C88"/>
    <mergeCell ref="D88:E88"/>
    <mergeCell ref="F88:M88"/>
    <mergeCell ref="N88:U88"/>
    <mergeCell ref="B89:C89"/>
    <mergeCell ref="D89:E89"/>
    <mergeCell ref="F89:M89"/>
    <mergeCell ref="N89:U89"/>
    <mergeCell ref="B98:I98"/>
    <mergeCell ref="J98:U98"/>
    <mergeCell ref="W98:Z98"/>
    <mergeCell ref="AA98:AJ98"/>
    <mergeCell ref="AK98:AQ98"/>
    <mergeCell ref="AR98:AS98"/>
    <mergeCell ref="B99:I99"/>
    <mergeCell ref="J99:U99"/>
    <mergeCell ref="W99:Z99"/>
    <mergeCell ref="AA99:AJ99"/>
    <mergeCell ref="AK99:AQ99"/>
    <mergeCell ref="AR99:AS99"/>
    <mergeCell ref="B100:I100"/>
    <mergeCell ref="J100:U100"/>
    <mergeCell ref="W100:Z100"/>
    <mergeCell ref="AA100:AJ100"/>
    <mergeCell ref="AK100:AQ100"/>
    <mergeCell ref="AR100:AS100"/>
    <mergeCell ref="B101:I101"/>
    <mergeCell ref="J101:U101"/>
    <mergeCell ref="W101:Z101"/>
    <mergeCell ref="AA101:AJ101"/>
    <mergeCell ref="AK101:AQ101"/>
    <mergeCell ref="AR101:AS101"/>
    <mergeCell ref="B102:I102"/>
    <mergeCell ref="J102:U102"/>
    <mergeCell ref="W102:Z102"/>
    <mergeCell ref="AA102:AJ102"/>
    <mergeCell ref="AK102:AQ102"/>
    <mergeCell ref="AR102:AS102"/>
    <mergeCell ref="B103:I103"/>
    <mergeCell ref="J103:U103"/>
    <mergeCell ref="W103:Z103"/>
    <mergeCell ref="AA103:AJ103"/>
    <mergeCell ref="AK103:AQ103"/>
    <mergeCell ref="AR103:AS103"/>
    <mergeCell ref="B104:I104"/>
    <mergeCell ref="J104:U104"/>
    <mergeCell ref="W104:Z104"/>
    <mergeCell ref="AA104:AJ104"/>
    <mergeCell ref="AK104:AQ104"/>
    <mergeCell ref="AR104:AS104"/>
    <mergeCell ref="AU104:BR104"/>
    <mergeCell ref="B105:I105"/>
    <mergeCell ref="J105:U105"/>
    <mergeCell ref="W105:Z105"/>
    <mergeCell ref="AA105:AJ105"/>
    <mergeCell ref="AK105:AQ105"/>
    <mergeCell ref="AR105:AS105"/>
    <mergeCell ref="B106:I106"/>
    <mergeCell ref="J106:U106"/>
    <mergeCell ref="W106:Z106"/>
    <mergeCell ref="AA106:AJ106"/>
    <mergeCell ref="AK106:AQ106"/>
    <mergeCell ref="AR106:AS106"/>
    <mergeCell ref="B107:I107"/>
    <mergeCell ref="J107:U107"/>
    <mergeCell ref="W107:Z107"/>
    <mergeCell ref="AA107:AJ107"/>
    <mergeCell ref="AK107:AQ107"/>
    <mergeCell ref="AR107:AS107"/>
    <mergeCell ref="B108:I108"/>
    <mergeCell ref="J108:U108"/>
    <mergeCell ref="W108:Z108"/>
    <mergeCell ref="AA108:AJ108"/>
    <mergeCell ref="AK108:AQ108"/>
    <mergeCell ref="AR108:AS108"/>
    <mergeCell ref="B109:I109"/>
    <mergeCell ref="J109:U109"/>
    <mergeCell ref="W109:Z109"/>
    <mergeCell ref="AA109:AJ109"/>
    <mergeCell ref="AK109:AQ109"/>
    <mergeCell ref="AR109:AS109"/>
    <mergeCell ref="B110:I110"/>
    <mergeCell ref="J110:U110"/>
    <mergeCell ref="W110:Z110"/>
    <mergeCell ref="AA110:AJ110"/>
    <mergeCell ref="AK110:AQ110"/>
    <mergeCell ref="AR110:AS110"/>
    <mergeCell ref="B111:I111"/>
    <mergeCell ref="J111:U111"/>
    <mergeCell ref="B112:I112"/>
    <mergeCell ref="J112:U112"/>
    <mergeCell ref="W112:AS112"/>
    <mergeCell ref="W113:X113"/>
    <mergeCell ref="Y113:AB113"/>
    <mergeCell ref="AC113:AG113"/>
    <mergeCell ref="AH113:AS113"/>
    <mergeCell ref="W114:X114"/>
    <mergeCell ref="Y114:AB114"/>
    <mergeCell ref="AC114:AG114"/>
    <mergeCell ref="AH114:AS114"/>
    <mergeCell ref="T120:U121"/>
    <mergeCell ref="W115:X115"/>
    <mergeCell ref="Y115:AB115"/>
    <mergeCell ref="AC115:AG115"/>
    <mergeCell ref="AH115:AS115"/>
    <mergeCell ref="W116:X116"/>
    <mergeCell ref="Y116:AB116"/>
    <mergeCell ref="AC116:AG116"/>
    <mergeCell ref="AH116:AS116"/>
    <mergeCell ref="W117:X117"/>
    <mergeCell ref="Y117:AB117"/>
    <mergeCell ref="AC117:AG117"/>
    <mergeCell ref="AH117:AS117"/>
    <mergeCell ref="B118:U118"/>
    <mergeCell ref="W118:X118"/>
    <mergeCell ref="Y118:AB118"/>
    <mergeCell ref="AC118:AG118"/>
    <mergeCell ref="AH118:AS118"/>
    <mergeCell ref="B113:E116"/>
    <mergeCell ref="F113:I116"/>
    <mergeCell ref="W122:X122"/>
    <mergeCell ref="Y122:AB122"/>
    <mergeCell ref="AC122:AG122"/>
    <mergeCell ref="AH122:AS122"/>
    <mergeCell ref="W123:X123"/>
    <mergeCell ref="Y123:AB123"/>
    <mergeCell ref="AC123:AG123"/>
    <mergeCell ref="AH123:AS123"/>
    <mergeCell ref="B124:K124"/>
    <mergeCell ref="L124:U124"/>
    <mergeCell ref="W124:X124"/>
    <mergeCell ref="Y124:AB124"/>
    <mergeCell ref="AC124:AG124"/>
    <mergeCell ref="AH124:AS124"/>
    <mergeCell ref="B125:C125"/>
    <mergeCell ref="D125:U125"/>
    <mergeCell ref="W125:X125"/>
    <mergeCell ref="Y125:AB125"/>
    <mergeCell ref="AC125:AG125"/>
    <mergeCell ref="AH125:AS125"/>
    <mergeCell ref="B126:C126"/>
    <mergeCell ref="D126:U126"/>
    <mergeCell ref="W126:X126"/>
    <mergeCell ref="Y126:AB126"/>
    <mergeCell ref="AC126:AG126"/>
    <mergeCell ref="AH126:AS126"/>
    <mergeCell ref="W128:AS128"/>
    <mergeCell ref="AU128:BR128"/>
    <mergeCell ref="B129:K129"/>
    <mergeCell ref="L129:U129"/>
    <mergeCell ref="W129:Z129"/>
    <mergeCell ref="AA129:AC129"/>
    <mergeCell ref="AD129:AK129"/>
    <mergeCell ref="AL129:AO129"/>
    <mergeCell ref="AP129:AS129"/>
    <mergeCell ref="AU129:AY129"/>
    <mergeCell ref="AZ129:BF129"/>
    <mergeCell ref="BG129:BK129"/>
    <mergeCell ref="BL129:BR129"/>
    <mergeCell ref="B127:C128"/>
    <mergeCell ref="B136:D136"/>
    <mergeCell ref="E136:U136"/>
    <mergeCell ref="W136:Z136"/>
    <mergeCell ref="AA136:AC136"/>
    <mergeCell ref="AD136:AK136"/>
    <mergeCell ref="AL136:AO136"/>
    <mergeCell ref="AP136:AS136"/>
    <mergeCell ref="B131:F133"/>
    <mergeCell ref="B130:U130"/>
    <mergeCell ref="W130:Z130"/>
    <mergeCell ref="AA130:AC130"/>
    <mergeCell ref="AD130:AK130"/>
    <mergeCell ref="AL130:AO130"/>
    <mergeCell ref="AP130:AS130"/>
    <mergeCell ref="G131:M131"/>
    <mergeCell ref="N131:Q131"/>
    <mergeCell ref="R131:U131"/>
    <mergeCell ref="W131:Z131"/>
    <mergeCell ref="AA131:AC131"/>
    <mergeCell ref="AD131:AK131"/>
    <mergeCell ref="AL131:AO131"/>
    <mergeCell ref="AP131:AS131"/>
    <mergeCell ref="W132:Z132"/>
    <mergeCell ref="AA132:AC132"/>
    <mergeCell ref="AD132:AK132"/>
    <mergeCell ref="AL132:AO132"/>
    <mergeCell ref="AP132:AS132"/>
    <mergeCell ref="G134:M135"/>
    <mergeCell ref="S139:U139"/>
    <mergeCell ref="W139:Z139"/>
    <mergeCell ref="AA139:AC139"/>
    <mergeCell ref="AD139:AK139"/>
    <mergeCell ref="AL139:AO139"/>
    <mergeCell ref="AP139:AS139"/>
    <mergeCell ref="W133:Z133"/>
    <mergeCell ref="AA133:AC133"/>
    <mergeCell ref="AD133:AK133"/>
    <mergeCell ref="AL133:AO133"/>
    <mergeCell ref="AP133:AS133"/>
    <mergeCell ref="W134:Z134"/>
    <mergeCell ref="AA134:AC134"/>
    <mergeCell ref="AD134:AK134"/>
    <mergeCell ref="AL134:AO134"/>
    <mergeCell ref="AP134:AS134"/>
    <mergeCell ref="W135:Z135"/>
    <mergeCell ref="AA135:AC135"/>
    <mergeCell ref="AD135:AK135"/>
    <mergeCell ref="AL135:AO135"/>
    <mergeCell ref="AP135:AS135"/>
    <mergeCell ref="AA141:AC141"/>
    <mergeCell ref="AD141:AK141"/>
    <mergeCell ref="AL141:AO141"/>
    <mergeCell ref="AP141:AS141"/>
    <mergeCell ref="W142:Z142"/>
    <mergeCell ref="AA142:AC142"/>
    <mergeCell ref="AD142:AK142"/>
    <mergeCell ref="AL142:AO142"/>
    <mergeCell ref="AP142:AS142"/>
    <mergeCell ref="W143:Z143"/>
    <mergeCell ref="AA143:AC143"/>
    <mergeCell ref="AD143:AK143"/>
    <mergeCell ref="AL143:AO143"/>
    <mergeCell ref="AP143:AS143"/>
    <mergeCell ref="B137:D137"/>
    <mergeCell ref="E137:U137"/>
    <mergeCell ref="W137:Z137"/>
    <mergeCell ref="AA137:AC137"/>
    <mergeCell ref="AD137:AK137"/>
    <mergeCell ref="AL137:AO137"/>
    <mergeCell ref="AP137:AS137"/>
    <mergeCell ref="B138:D138"/>
    <mergeCell ref="E138:U138"/>
    <mergeCell ref="W138:Z138"/>
    <mergeCell ref="AA138:AC138"/>
    <mergeCell ref="AD138:AK138"/>
    <mergeCell ref="AL138:AO138"/>
    <mergeCell ref="AP138:AS138"/>
    <mergeCell ref="B139:G139"/>
    <mergeCell ref="H139:L139"/>
    <mergeCell ref="M139:P139"/>
    <mergeCell ref="Q139:R139"/>
    <mergeCell ref="AL144:AO144"/>
    <mergeCell ref="AP144:AS144"/>
    <mergeCell ref="AU144:BB144"/>
    <mergeCell ref="BC144:BJ144"/>
    <mergeCell ref="BK144:BR144"/>
    <mergeCell ref="B145:K145"/>
    <mergeCell ref="L145:U145"/>
    <mergeCell ref="AU145:BR145"/>
    <mergeCell ref="AU38:AU42"/>
    <mergeCell ref="S7:T8"/>
    <mergeCell ref="U7:V8"/>
    <mergeCell ref="Y7:Z8"/>
    <mergeCell ref="AA7:AB8"/>
    <mergeCell ref="AE7:AF8"/>
    <mergeCell ref="AG7:AH8"/>
    <mergeCell ref="BK28:BN34"/>
    <mergeCell ref="BO28:BR34"/>
    <mergeCell ref="N10:O11"/>
    <mergeCell ref="P10:Q11"/>
    <mergeCell ref="AR10:AS11"/>
    <mergeCell ref="N134:Q135"/>
    <mergeCell ref="R134:U135"/>
    <mergeCell ref="L120:M121"/>
    <mergeCell ref="N120:O121"/>
    <mergeCell ref="P120:Q121"/>
    <mergeCell ref="Q140:U140"/>
    <mergeCell ref="W140:Z140"/>
    <mergeCell ref="AA140:AC140"/>
    <mergeCell ref="AD140:AK140"/>
    <mergeCell ref="AL140:AO140"/>
    <mergeCell ref="AP140:AS140"/>
    <mergeCell ref="W141:Z141"/>
    <mergeCell ref="AP147:BD148"/>
    <mergeCell ref="AA67:AQ68"/>
    <mergeCell ref="AU19:AZ22"/>
    <mergeCell ref="S3:T4"/>
    <mergeCell ref="U3:V4"/>
    <mergeCell ref="Y3:Z4"/>
    <mergeCell ref="AA3:AB4"/>
    <mergeCell ref="AE3:AF4"/>
    <mergeCell ref="AG3:AH4"/>
    <mergeCell ref="AU68:BR103"/>
    <mergeCell ref="B122:U123"/>
    <mergeCell ref="F120:K121"/>
    <mergeCell ref="W75:Z76"/>
    <mergeCell ref="AU5:BB6"/>
    <mergeCell ref="BC5:BJ6"/>
    <mergeCell ref="BK5:BR6"/>
    <mergeCell ref="O147:Y148"/>
    <mergeCell ref="N132:Q133"/>
    <mergeCell ref="R132:U133"/>
    <mergeCell ref="B147:M148"/>
    <mergeCell ref="AB147:AL148"/>
    <mergeCell ref="W71:Z72"/>
    <mergeCell ref="AA61:AQ62"/>
    <mergeCell ref="Q141:U143"/>
    <mergeCell ref="AU143:BB143"/>
    <mergeCell ref="BC143:BJ143"/>
    <mergeCell ref="BK143:BR143"/>
    <mergeCell ref="B144:U144"/>
    <mergeCell ref="W144:Z144"/>
    <mergeCell ref="AA144:AC144"/>
    <mergeCell ref="AD144:AK144"/>
    <mergeCell ref="W10:X11"/>
    <mergeCell ref="AT10:AY11"/>
    <mergeCell ref="AA73:AQ74"/>
    <mergeCell ref="AR73:AS74"/>
    <mergeCell ref="AP57:AQ58"/>
    <mergeCell ref="W61:Z62"/>
    <mergeCell ref="B119:E121"/>
    <mergeCell ref="BX9:BY10"/>
    <mergeCell ref="AR75:AS76"/>
    <mergeCell ref="B70:E74"/>
    <mergeCell ref="F70:I74"/>
    <mergeCell ref="J70:M74"/>
    <mergeCell ref="N70:Q74"/>
    <mergeCell ref="R70:U74"/>
    <mergeCell ref="F119:K119"/>
    <mergeCell ref="L119:M119"/>
    <mergeCell ref="N119:O119"/>
    <mergeCell ref="P119:Q119"/>
    <mergeCell ref="R119:S119"/>
    <mergeCell ref="T119:U119"/>
    <mergeCell ref="W119:X119"/>
    <mergeCell ref="Y119:AB119"/>
    <mergeCell ref="AC119:AG119"/>
    <mergeCell ref="AH119:AS119"/>
    <mergeCell ref="W120:X120"/>
    <mergeCell ref="Y120:AB120"/>
    <mergeCell ref="AC120:AG120"/>
    <mergeCell ref="AH120:AS120"/>
    <mergeCell ref="W121:X121"/>
    <mergeCell ref="Y121:AB121"/>
    <mergeCell ref="AC121:AG121"/>
    <mergeCell ref="AH121:AS121"/>
    <mergeCell ref="R120:S121"/>
    <mergeCell ref="M140:P143"/>
    <mergeCell ref="D127:U128"/>
    <mergeCell ref="B134:F135"/>
    <mergeCell ref="AU44:BR61"/>
    <mergeCell ref="W63:Z64"/>
    <mergeCell ref="AR69:AS70"/>
    <mergeCell ref="AR65:AS66"/>
    <mergeCell ref="B63:K67"/>
    <mergeCell ref="L63:U67"/>
    <mergeCell ref="AL2:AS8"/>
    <mergeCell ref="AU130:BR142"/>
    <mergeCell ref="AV38:BR42"/>
    <mergeCell ref="AU105:BR127"/>
    <mergeCell ref="G132:M133"/>
    <mergeCell ref="H140:L143"/>
    <mergeCell ref="B140:G143"/>
    <mergeCell ref="W73:Z74"/>
    <mergeCell ref="AR71:AS72"/>
    <mergeCell ref="AN10:AQ11"/>
    <mergeCell ref="W65:Z66"/>
    <mergeCell ref="J113:U116"/>
    <mergeCell ref="AP55:AS56"/>
    <mergeCell ref="AK10:AM11"/>
    <mergeCell ref="W67:Z68"/>
    <mergeCell ref="AM55:AO56"/>
    <mergeCell ref="AR61:AS62"/>
    <mergeCell ref="AU64:AY66"/>
    <mergeCell ref="AU7:BB8"/>
    <mergeCell ref="BC7:BJ8"/>
    <mergeCell ref="BK7:BR8"/>
    <mergeCell ref="E10:F11"/>
    <mergeCell ref="G10:H11"/>
  </mergeCells>
  <phoneticPr fontId="188" type="noConversion"/>
  <conditionalFormatting sqref="D37">
    <cfRule type="cellIs" dxfId="55" priority="18" operator="equal">
      <formula>"⊙"</formula>
    </cfRule>
    <cfRule type="cellIs" dxfId="54" priority="20" operator="equal">
      <formula>"★"</formula>
    </cfRule>
    <cfRule type="cellIs" dxfId="53" priority="17" operator="equal">
      <formula>"※"</formula>
    </cfRule>
    <cfRule type="cellIs" dxfId="52" priority="19" operator="equal">
      <formula>"☆"</formula>
    </cfRule>
    <cfRule type="cellIs" dxfId="51" priority="16" operator="equal">
      <formula>"×"</formula>
    </cfRule>
  </conditionalFormatting>
  <conditionalFormatting sqref="D41">
    <cfRule type="cellIs" dxfId="50" priority="21" operator="equal">
      <formula>"×"</formula>
    </cfRule>
    <cfRule type="cellIs" dxfId="49" priority="22" operator="equal">
      <formula>"※"</formula>
    </cfRule>
    <cfRule type="cellIs" dxfId="48" priority="23" operator="equal">
      <formula>"⊙"</formula>
    </cfRule>
    <cfRule type="cellIs" dxfId="47" priority="25" operator="equal">
      <formula>"★"</formula>
    </cfRule>
    <cfRule type="cellIs" dxfId="46" priority="24" operator="equal">
      <formula>"☆"</formula>
    </cfRule>
  </conditionalFormatting>
  <conditionalFormatting sqref="Z47">
    <cfRule type="cellIs" dxfId="45" priority="6" operator="equal">
      <formula>"×"</formula>
    </cfRule>
    <cfRule type="cellIs" dxfId="44" priority="9" operator="equal">
      <formula>"☆"</formula>
    </cfRule>
    <cfRule type="cellIs" dxfId="43" priority="10" operator="equal">
      <formula>"★"</formula>
    </cfRule>
    <cfRule type="cellIs" dxfId="42" priority="7" operator="equal">
      <formula>"※"</formula>
    </cfRule>
    <cfRule type="cellIs" dxfId="41" priority="8" operator="equal">
      <formula>"⊙"</formula>
    </cfRule>
  </conditionalFormatting>
  <conditionalFormatting sqref="Z48">
    <cfRule type="cellIs" dxfId="40" priority="3" operator="equal">
      <formula>"⊙"</formula>
    </cfRule>
    <cfRule type="cellIs" dxfId="39" priority="2" operator="equal">
      <formula>"※"</formula>
    </cfRule>
    <cfRule type="cellIs" dxfId="38" priority="5" operator="equal">
      <formula>"★"</formula>
    </cfRule>
    <cfRule type="cellIs" dxfId="37" priority="1" operator="equal">
      <formula>"×"</formula>
    </cfRule>
    <cfRule type="cellIs" dxfId="36" priority="4" operator="equal">
      <formula>"☆"</formula>
    </cfRule>
  </conditionalFormatting>
  <conditionalFormatting sqref="Z49">
    <cfRule type="cellIs" dxfId="35" priority="58" operator="equal">
      <formula>"⊙"</formula>
    </cfRule>
    <cfRule type="cellIs" dxfId="34" priority="59" operator="equal">
      <formula>"☆"</formula>
    </cfRule>
    <cfRule type="cellIs" dxfId="33" priority="56" operator="equal">
      <formula>"×"</formula>
    </cfRule>
    <cfRule type="cellIs" dxfId="32" priority="60" operator="equal">
      <formula>"★"</formula>
    </cfRule>
    <cfRule type="cellIs" dxfId="31" priority="57" operator="equal">
      <formula>"※"</formula>
    </cfRule>
  </conditionalFormatting>
  <conditionalFormatting sqref="Z16:Z46">
    <cfRule type="cellIs" dxfId="30" priority="15" operator="equal">
      <formula>"★"</formula>
    </cfRule>
    <cfRule type="cellIs" dxfId="29" priority="11" operator="equal">
      <formula>"×"</formula>
    </cfRule>
    <cfRule type="cellIs" dxfId="28" priority="12" operator="equal">
      <formula>"※"</formula>
    </cfRule>
    <cfRule type="cellIs" dxfId="27" priority="14" operator="equal">
      <formula>"☆"</formula>
    </cfRule>
    <cfRule type="cellIs" dxfId="26" priority="13" operator="equal">
      <formula>"⊙"</formula>
    </cfRule>
  </conditionalFormatting>
  <conditionalFormatting sqref="D38:D40 D42:D49 D16:D36">
    <cfRule type="cellIs" dxfId="25" priority="26" operator="equal">
      <formula>"×"</formula>
    </cfRule>
    <cfRule type="cellIs" dxfId="24" priority="30" operator="equal">
      <formula>"★"</formula>
    </cfRule>
    <cfRule type="cellIs" dxfId="23" priority="28" operator="equal">
      <formula>"⊙"</formula>
    </cfRule>
    <cfRule type="cellIs" dxfId="22" priority="29" operator="equal">
      <formula>"☆"</formula>
    </cfRule>
    <cfRule type="cellIs" dxfId="21" priority="27" operator="equal">
      <formula>"※"</formula>
    </cfRule>
  </conditionalFormatting>
  <dataValidations count="90">
    <dataValidation allowBlank="1" showInputMessage="1" showErrorMessage="1" promptTitle="提示" prompt="MP是每小时恢复一次的_x000a_人类一般来说都会一小时恢复1点_x000a_但是有极少数人可以达到一小时恢复2点" sqref="AA10" xr:uid="{00000000-0002-0000-0000-000000000000}"/>
    <dataValidation type="list" allowBlank="1" showInputMessage="1" showErrorMessage="1" sqref="M4:N4" xr:uid="{00000000-0002-0000-0000-000001000000}">
      <formula1>"1920s,现代,其他"</formula1>
    </dataValidation>
    <dataValidation allowBlank="1" showInputMessage="1" showErrorMessage="1" promptTitle="Occult (05%)" prompt="- 使用者可以识别出神秘学道具，用语和概念，以及民间传统，并且可以辨认魔法书以及神秘学记号。_x000a_- 神秘学家对有着代代相传的神秘知识的家庭十分熟悉，包括从埃及和苏美尔，从中世纪和文艺复兴时期的西方，以及也许从亚洲或者非洲。_x000a_- 理解特定的书籍可能可以增加神秘学技能的百分比。这项技能不能运用于与克苏鲁神话相关的咒术，书本，以及魔法，尽管旧日支配者的崇拜者对于神秘学有着很高的接受能力。" sqref="AB24:AC24" xr:uid="{00000000-0002-0000-0000-000002000000}"/>
    <dataValidation allowBlank="1" showInputMessage="1" showErrorMessage="1" promptTitle="Fast Talk (05%) 也译作“快速交谈”" prompt="- 话术特别限定于言语上的哄骗，欺骗以及误导，例如迷惑一名门卫来让你进入一间俱乐部，误导警察看向另一边，以及诸如此类的。_x000a_- 这项技能的对立技能为心理学或者话术。_x000a_- 经过一段时间的相信期后（通常在使用话术的人离开场景之后），对方会意识到自己被欺骗了。如果达成了更高的难度等级可能会使这个时间更加长一点。_x000a_- 可以被用来对一件物品或者服务的价格进行砍价。如果成功，卖家会暂时性地觉得这是一场不错得交易；然而，如果买家打算归还或者试图购买别的物品，卖家可能会拒绝继续降价，并且甚至可能会提高价格为了补回他们的损失" sqref="F33:H33" xr:uid="{00000000-0002-0000-0000-000003000000}"/>
    <dataValidation type="list" allowBlank="1" showInputMessage="1" showErrorMessage="1" sqref="E8" xr:uid="{00000000-0002-0000-0000-000004000000}">
      <formula1>"公元,公元前"</formula1>
    </dataValidation>
    <dataValidation type="list" allowBlank="1" showInputMessage="1" showErrorMessage="1" sqref="CH8" xr:uid="{00000000-0002-0000-0000-000005000000}">
      <formula1>"未启用,启用"</formula1>
    </dataValidation>
    <dataValidation allowBlank="1" showInputMessage="1" showErrorMessage="1" sqref="J8 L8 N8 Q8 AG12 AU25 BC25 BK25 AU27 BC27 AU29 AU31 AD33 AU33 H37 AD37 H41 AD47 AS62 B93 D93 BQ117:BR117 AU122:AW122 Q140 T140:U140 B26:B27 B90:B92 D90:D92 Z48:Z49" xr:uid="{00000000-0002-0000-0000-000006000000}"/>
    <dataValidation type="whole" errorStyle="warning" allowBlank="1" showInputMessage="1" showErrorMessage="1" errorTitle="提示" error="人类年龄最高记录为122岁_x000a__x000a_请输入整数" promptTitle="一般来说，年龄应在15-90之间" prompt="15-19:STR,SIZ共-5，EDU-5,幸运骰2选高_x000a_20-39:EDU进步检定*1_x000a_40+:进步检定*2,STR CON DEX中共-5 APP-5_x000a_50+:进步检定*3, S C D中共-10 APP-10_x000a_60+:进步检定*4, S C D中共-20 APP-15_x000a_70+:进步检定*4, S C D中共-40 APP-20_x000a_80+:进步检定*4, S C D中共-80 APP-25" sqref="E6:I6" xr:uid="{00000000-0002-0000-0000-000007000000}">
      <formula1>1</formula1>
      <formula2>120</formula2>
    </dataValidation>
    <dataValidation allowBlank="1" showErrorMessage="1" sqref="AI10 H49 L61 N61 O61 R61 S61 B68:K68" xr:uid="{00000000-0002-0000-0000-000008000000}"/>
    <dataValidation type="whole" errorStyle="warning" operator="notEqual" allowBlank="1" showInputMessage="1" showErrorMessage="1" errorTitle="提示" error="仅能输入整数，请不要填写数字外的字符（包括汉字）" promptTitle="提示" prompt="仅能输入整数，请不要填写数字外的字符（包括汉字）" sqref="G8" xr:uid="{00000000-0002-0000-0000-000009000000}">
      <formula1>32767</formula1>
    </dataValidation>
    <dataValidation type="list" allowBlank="1" showInputMessage="1" showErrorMessage="1" sqref="R11:S11" xr:uid="{00000000-0002-0000-0000-00000A000000}">
      <formula1>"清醒,临时性疯狂,不定性疯狂,永久疯狂"</formula1>
    </dataValidation>
    <dataValidation type="list" allowBlank="1" showInputMessage="1" showErrorMessage="1" promptTitle="可成长标记" prompt="如果是短团，技能成功后可以选择勾号标记，在结束时KP宣布幕间成长，则成功技能可进行成长鉴定；_x000a_如果是长团，技能成功后可以选择勾号标记，在每一章结束时KP宣布幕间成长，则成功技能可进行成长鉴定。" sqref="B37 B41 X47 X48 X49 B16:B25 B28:B36 B38:B40 B42:B49 X16:X46" xr:uid="{00000000-0002-0000-0000-00000B000000}">
      <formula1>"☐,☑"</formula1>
    </dataValidation>
    <dataValidation allowBlank="1" showInputMessage="1" showErrorMessage="1" promptTitle="提示" prompt="你可以在下方“法术一览”内输入法术并且在这里输入成功使用过的法术的编号" sqref="U12 X12 AB12" xr:uid="{00000000-0002-0000-0000-00000C000000}"/>
    <dataValidation allowBlank="1" showInputMessage="1" showErrorMessage="1" promptTitle="Listen (20%)" prompt="- 衡量一名调查员理解声音的能力，包括偶然听到_x000a_的对话，一扇关着的门后的轻声嘀咕，以及咖啡厅里的私语。_x000a_- KP 可以用这来决定一场即将发生的遭遇的形式：是你的调查员因被踩碎的树枝的声音而警觉到了到来的遭遇？_x000a_- 甚至此外，一个较高的聆听技能可以指一名角色有着较高的警觉能力。" sqref="AB18:AC18" xr:uid="{00000000-0002-0000-0000-00000D000000}"/>
    <dataValidation type="list" allowBlank="1" showInputMessage="1" sqref="AD31:AE31 AD32:AE32" xr:uid="{00000000-0002-0000-0000-00000E000000}">
      <formula1>"地质学,化学,生物学,数学,天文学,物理学,药学,植物学,动物学,密码学,工程学,气象学,司法科学,"</formula1>
    </dataValidation>
    <dataValidation allowBlank="1" showInputMessage="1" showErrorMessage="1" promptTitle="Locksmith (01%)" prompt="- 锁匠技能可以打开车门，热线自动装置，用铁撬撬开图书馆的窗子，解决中国机关箱（比如鲁班锁），以及穿过常规的商用警报系统。_x000a_- 使用者可能会修复锁，制作钥匙，或者在万能钥匙，开锁工具或者其他工具的帮助下打开锁。_x000a_- 特别困难的锁可能会需要一个更高的难度等级。" sqref="AB19:AC19" xr:uid="{00000000-0002-0000-0000-00000F000000}"/>
    <dataValidation type="list" allowBlank="1" showInputMessage="1" showErrorMessage="1" sqref="AE12" xr:uid="{00000000-0002-0000-0000-000010000000}">
      <formula1>"步式,轮式,履带,滑行,飞行,游泳,潜水,其他"</formula1>
    </dataValidation>
    <dataValidation type="list" allowBlank="1" showInputMessage="1" showErrorMessage="1" sqref="AI12" xr:uid="{00000000-0002-0000-0000-000011000000}">
      <formula1>"开,关"</formula1>
    </dataValidation>
    <dataValidation allowBlank="1" showInputMessage="1" showErrorMessage="1" promptTitle="Electronics (01%)" prompt="- 用来发现并对电子设备的故障进行维修。_x000a_- 允许制作简单的电子设备。_x000a_- 这是个现代技能——在 1920 年代则是使用物理学以及电气维修来应对电子设备。_x000a_- 不像电气维修技能，电子学工作的部件通常是不_x000a_能临时配备的：它们通过精密的工作被设计出来通_x000a_常如果没有正确的微晶片或者电路板，技能的使用者就无法进行工作，除非他们可以策划出一些形式的应急方案。" sqref="F32:H32" xr:uid="{00000000-0002-0000-0000-000012000000}"/>
    <dataValidation allowBlank="1" showInputMessage="1" showErrorMessage="1" promptTitle="Pilot (01%)" prompt="- 相当于水上或者空中的汽车驾驶，这时使用空中飞行或者水上航行交通供给的技巧。你可以花费技能点来获得任何专业化技能。_x000a_- 作为属类的驾驶技能不能被获得。一名调查员可以在调查员表格的空档下写上许多不同种的这一技巧（例如驾驶飞行器，驾驶飞艇等等）。_x000a_- 每个的初始都是 01%。 _x000a_- 不良的天气，极差的可见度，以及器材的损伤都可能会提高驾驶飞行器或水上航具的技能检定的难度等级。" sqref="AB27" xr:uid="{00000000-0002-0000-0000-000013000000}"/>
    <dataValidation allowBlank="1" showInputMessage="1" showErrorMessage="1" promptTitle="Accounting (05%)" prompt="- 使你理解会计工作的流程以及一个企业或者个人的金融职务。_x000a_- 通过检查账簿，你可以发现做假账的员工，对资金的偷偷挪用，对行贿或者敲诈的款项支付，以及经济状况是否比表面陈述的更好或者更差。_x000a_- 通过仔细检查旧账户，你可以了解过去的资金的得与失（谷物，奴隶贸易，威士忌酒的运营等）以及这些资金是付给了谁以及为了什么款项而支付。" sqref="F16:H16" xr:uid="{00000000-0002-0000-0000-000014000000}"/>
    <dataValidation allowBlank="1" showInputMessage="1" showErrorMessage="1" promptTitle="Mechanical Repair (10%)" prompt="- 这项技能允许调查员修理一个破损的机器或者制_x000a_造一个新的。_x000a_- 基础的木工手艺和管道项目也可以执行，制作物品也同样可以（例如一组滑轮系统）以及维修物品（例如蒸汽泵）。_x000a_- 在使用技能中可能会需要特殊的工具或者部件。_x000a_- 这项技能可以用来打开普通的家庭锁，但是更加专业的就不能了——见锁匠技能来打开更加复杂的锁。_x000a_- 机械维修是一个与电气维修相伴随的技能，并且两者都可能需要来为了修理一个复杂的设备，例如汽车或者飞行器。" sqref="AB20:AC20" xr:uid="{00000000-0002-0000-0000-000015000000}"/>
    <dataValidation allowBlank="1" showInputMessage="1" showErrorMessage="1" promptTitle="Law (05%)" prompt="- 代表你对相关法律、早期事件、法庭辩术或者法院程序了解的可能性。_x000a_- 一个在法律实务上的专家可能会获得巨大的奖励以及政治事务所，但是这可能需要长达几年的认真申请——一个较高的信用评级在这关系_x000a_上也十分重要。_x000a_- 在美国，一个州的州法庭（State Bar）必须批准某人的法律实务。_x000a_当到一个外国国家时，使用这项技能的难度等级可能会上升，除非这名角色花费数月的时间来学习这个国家的法律系统。" sqref="AB16:AC16" xr:uid="{00000000-0002-0000-0000-000016000000}"/>
    <dataValidation allowBlank="1" showInputMessage="1" showErrorMessage="1" promptTitle="Anthropology (01%)" prompt="- 使使用者能够通过观察来辨认和理解一个人的生活方式。_x000a_- 如果技能使用者持续观察一个其他的文化一段时间，或者在有着关于某种已消失文化的正确资料环境下工作，那么他可以对文化方式以及道德习惯进行简单的预测，即使证据可能并不完整。_x000a_- 通过学习文化一个月或者更久，人类学家开始理解这种文化是如何运作的以及，如果结合心理学，可以预测那些研究文化的行为和信仰。" sqref="F17:H17" xr:uid="{00000000-0002-0000-0000-000017000000}"/>
    <dataValidation allowBlank="1" showInputMessage="1" showErrorMessage="1" promptTitle="Library Use (20%)" prompt="- 图书馆使用使一名调查员能在图书馆找到一些信息，例如特定的一本书，新闻或者参考书，搜集文件或者资料库，假设需要的东西确实在那里的话。_x000a_- 使用这个技能需要数小时的连续的调查。_x000a_- 这项技能可以定位寻找一件隐藏的案例或者一本特殊收藏的稀有书籍，但是说服，话术，魅惑，恐吓，信用评级，或者特殊的证明书可能会需要来获得阅读这书或者信息的许可。" sqref="AB17:AC17" xr:uid="{00000000-0002-0000-0000-000018000000}"/>
    <dataValidation allowBlank="1" showInputMessage="1" showErrorMessage="1" promptTitle="Appraise (05%)" prompt="- 用来估计某种物品的价值，包括质量，使用的材料以及工艺。_x000a_- 相关的，技能使用者可以准确地辨认出物品的年龄，评估它的历史关联性以及发现赝品。" sqref="F18:H18" xr:uid="{00000000-0002-0000-0000-000019000000}"/>
    <dataValidation allowBlank="1" showInputMessage="1" showErrorMessage="1" promptTitle="Archaeology (01%)" prompt="- 允许从过去的文化中鉴定一件古董的年代以及辨别它，以及可以用来发现赝品。_x000a_- 使获得建立以及开掘一个挖掘遗址的专业知识。_x000a_通过对遗址的勘察，使用者可以推断留下这遗址的生物的目的和生活方式。_x000a_- 人类学可能对此会有所帮助。_x000a_- 考古学还有助于辨认已消失的人类语言的书面形式。" sqref="F19:H19" xr:uid="{00000000-0002-0000-0000-00001A000000}"/>
    <dataValidation allowBlank="1" showInputMessage="1" showErrorMessage="1" promptTitle="Survival (10%)" prompt="- 提供专业的如何在极端环境下生存的知识和技巧，例如在沙漠中或者极地环境，也包括海洋上或者荒野。_x000a_- 内容包括狩猎的知识，搭建住所，可能遇到的危险的知识（例如如何避开有毒性的植物）等等，取决于所处的环境。_x000a_- 你可以花费技能点来获得任何的专业化技能。_x000a_- 作为属类的“生存”技能本身不能被获得。_x000a_- 专业环境的生存技巧应当在技能选择时就决定下来，例如：生存（沙漠），（海洋），（极地），等等。" sqref="AB37" xr:uid="{00000000-0002-0000-0000-00001B000000}"/>
    <dataValidation allowBlank="1" showInputMessage="1" showErrorMessage="1" promptTitle="Art and Craft (05%)" prompt="- 许多这些例子都是与专业直接相联系的技能，但是这些技能可能只是休闲嗜好。你可以花费技能在任意专业化技能上。_x000a_- 不可以加点在作为类属的“艺术与手艺”上。_x000a_- 这项技能可能能使你制作或者修理一样东西—通常需要工具和时间，由 KP 来决定，如果必要的话。_x000a_- 在适用成功程度分度的情况下，一个更高等级的成功表示这件物品有着高品质以及/或精致度高。_x000a_（请点击下一个技艺）" sqref="F20" xr:uid="{00000000-0002-0000-0000-00001C000000}"/>
    <dataValidation allowBlank="1" showInputMessage="1" showErrorMessage="1" promptTitle="Drive Auto (20%)" prompt="- 任何有着这项技能的人都可以驾驶一辆汽车或者_x000a_轻型卡车，进行常规的移动，并且处理机动车的一般毛病。_x000a_- 如果调查员想要甩掉一名追踪者或者追踪某人，则需要一个汽车驾驶检定。_x000a_- 一些其他的文化可能用相似的事物来取代这个技_x000a_能；因纽特人可能使用狗撬驾驶，或者维多利亚人可能使用四轮马车驾驶。" sqref="F30:H30" xr:uid="{00000000-0002-0000-0000-00001D000000}"/>
    <dataValidation allowBlank="1" showInputMessage="1" showErrorMessage="1" promptTitle="Art and Craft (05%)" prompt="- 一个艺术或者手艺技能可能可以用于制作一个复_x000a_制品或者赝品。在这情况下，难度等级将取决于需要复制的原品的复杂程度以及独特性。_x000a_- 在伪造文件的场合下，将使用一个专门的专业化技能（伪造）。_x000a_- 一个成功的检定可能可以提供一个物品的相关信_x000a_息，例如这个物品在何时以及哪里被制造，与之相关的一些历史或者技艺，或者谁可能制作了它。拥有这个技能的专家将会在某个专门的领域里有着广泛的知识—对于物品本身，它的历史以及当代从事相关行业的人的知识，以及去实践知识的能力。" sqref="F21" xr:uid="{00000000-0002-0000-0000-00001E000000}"/>
    <dataValidation type="list" allowBlank="1" showInputMessage="1" sqref="H20:I20" xr:uid="{00000000-0002-0000-0000-00001F000000}">
      <formula1>"表演,美术,摄影,伪造,写作,书法,乐理,厨艺,裁缝,理发,建筑,舞蹈,酿酒,捕鱼,歌唱,制陶,雕塑,杂技,风水,技术制图,耕作,打字,速记,木匠,莫里斯舞蹈,歌剧歌唱,粉刷匠与油漆工,吹真空管"</formula1>
    </dataValidation>
    <dataValidation allowBlank="1" showInputMessage="1" showErrorMessage="1" promptTitle="Credit Rating (00%)" prompt="- 衡量了调查员表现出来的富裕程度以及经济上的_x000a_自信度。_x000a_- 钱是敲门砖；如果调查员尝试用他的经济地位来达成某个目标，那么也许使用信用评级技能会比较合适。_x000a_- 信用评级可以被用来取代 APP 来评估第一印_x000a_象。_x000a_- 信用评级并不是一个被用于评估经济富裕度的技能，也不应该与其他技能挂钩。一个高信用评级在游戏中将会是一个有用的资源，并且应当在创造调查员时加上一定的点数。" sqref="F26:H26" xr:uid="{00000000-0002-0000-0000-000020000000}"/>
    <dataValidation type="list" allowBlank="1" showInputMessage="1" sqref="H21:I21" xr:uid="{00000000-0002-0000-0000-000021000000}">
      <formula1>"表演,美术,摄影,伪造,写作,书法,乐理,厨艺,裁缝,理发,建筑,舞蹈,酿酒,捕鱼,歌唱,制陶,雕塑,杂技,风水,技术制图,耕作,打字,速记,木匠,莫里斯舞蹈,歌剧歌唱,粉刷匠与油漆工,吹真空管,"</formula1>
    </dataValidation>
    <dataValidation allowBlank="1" showInputMessage="1" showErrorMessage="1" promptTitle="Sleight of Hand (10%)" prompt="- 允许对物体进行视觉上的遮住，藏匿，或者掩盖，也许通过残害，衣服或者其他的干涉或促成错觉_x000a_的材料，也许通过使用一个秘密的嵌板或者隔间。_x000a_- 任何种类的巨大物件应当增加藏匿的难度。_x000a_- 妙手包括偷窃，卡牌魔术，以及秘密使用手机。" sqref="AB34:AC34" xr:uid="{00000000-0002-0000-0000-000022000000}"/>
    <dataValidation allowBlank="1" showInputMessage="1" showErrorMessage="1" promptTitle="Medicine (01%)" prompt="- 使用者可以诊断并治疗事故，创伤，疾病，毒药_x000a_等，并且可以提供公共健康建议。_x000a_- 如果一个时代还并没有好的治疗某种疾病的疗法，那么这项技能的效果是有限的，不确定的，或者无效的。_x000a_- 医学技能能给予大范围的对于药片以及药剂，是自然还是人造的知识，以及对副作用以及禁忌症状的理解。_x000a_- 用医学技能来进行治疗最少要花费 1 小时时间，并且可以在造成了伤害后的任何时间进行处理，但是如果这并没有在同一天内进行处理，难度等级将会上升（需要一个困难难度的成功）。" sqref="AB21:AC21" xr:uid="{00000000-0002-0000-0000-000023000000}"/>
    <dataValidation allowBlank="1" showInputMessage="1" showErrorMessage="1" promptTitle="Natural World (10%) 也译作“自然学”" prompt="- 起初指对于在自然环境中的植物以及动物生命的研究。_x000a_- 直到 19 世纪，这门学科被分开到一系列的学术学科（生物学，植物学，等等）。_x000a_- 作为一个技能，博物学达标了传统的（非科学的）知识以及农民，渔民，优秀的业余者，以及单纯的爱好者的个人观察。_x000a_- 它可以一般地对物种，栖息地进行辨认，并且可以辨认踪迹、足迹以及叫声，也可以允许对什么事物可能对某种特定物种来说很重要进行猜测。_x000a_- 如果要一个对自然世界的科学性的理解，那么应当去看生物学，植物学以及动物学技能。" sqref="AB22:AC22" xr:uid="{00000000-0002-0000-0000-000024000000}"/>
    <dataValidation allowBlank="1" showInputMessage="1" showErrorMessage="1" promptTitle="Charm (15%)" prompt="- 取悦允许通过许多形式来使用，包括肉体魅力、诱惑、奉承或是单纯令人感到温暖的人格魅力。_x000a_- 取悦可能可以被用于迫使某人进行特定的行动，但是不会是与个人日常举止完全相反的行为。_x000a_- 取悦或是心理学技能可以用于对抗取悦技能。_x000a_- 取悦技能可以被用于讨价还价来使一件物品或者服务的价格降低。_x000a_- 如果成功，使用者得到了卖家的赞同，并且他们可能乐意降低一点价格。" sqref="F23:I23" xr:uid="{00000000-0002-0000-0000-000025000000}"/>
    <dataValidation type="list" allowBlank="1" showInputMessage="1" sqref="H39:I39 H40:I40" xr:uid="{00000000-0002-0000-0000-000026000000}">
      <formula1>"步枪/霰弹枪,冲锋枪,弓术,喷射器,机枪,重武器,"</formula1>
    </dataValidation>
    <dataValidation allowBlank="1" showInputMessage="1" showErrorMessage="1" promptTitle="Swim (20%)" prompt="- 有能力在水或者其他液体中漂浮以及移动。_x000a_- 只有在遭遇危险的时候需要进行游泳技能检定，或者当 KP认为合适的时候。" sqref="AB38:AC38" xr:uid="{00000000-0002-0000-0000-000027000000}"/>
    <dataValidation allowBlank="1" showInputMessage="1" showErrorMessage="1" promptTitle="Navigate (10%) " prompt="- 允许使用者在早上或者晚上，在暴风雨或者晴朗天气中认清自己的路。_x000a_- 有着更高技能的人将对天文表图和工具，以及卫星定位装置十分熟悉，如果他们是在有着那些东西的时代的话。_x000a_- 一名角色也可以用这项技能来测量以及对一块区域进行绘图（制图学），判断是有着几平方米的小岛或者是一块内陆区域—使用现代工具可以降低甚至取消难度等级。_x000a_- KP 可以将这个技能的检定作为隐藏骰进行处理—调查员需要尝试去解决的一件事情，并且最后承受结果。_x000a_- 如果角色对该区域十分熟悉，那么在这个检定上可以得到一个奖励骰。" sqref="AB23:AE23" xr:uid="{00000000-0002-0000-0000-000028000000}"/>
    <dataValidation allowBlank="1" showInputMessage="1" showErrorMessage="1" promptTitle="Climb (20%)" prompt="- 这项技能允许一名角色借助或者不借助绳索或者登山工具进行爬树、墙以及其他垂直表面。_x000a_- 这项技能也同样包括用绳索下降。攀爬表面是否坚固，是否有可以用手握住的地方，风力，可见度，雨等等坏境状况都可能会影响难度等级。_x000a_- 第一次在这个技能上失败可能意味着这攀爬超出了调查员的能力范围。在孤注一掷上失败则可能意味着摔落了下来，同时因此受到伤害。_x000a_- 一个成功的攀爬检定应当允许调查员在任何场合下完成攀爬（而不是进行反复检定）。_x000a_- 一次富有挑战性或者长距离的攀爬则应当增加难度等级。" sqref="F24:H24" xr:uid="{00000000-0002-0000-0000-000029000000}"/>
    <dataValidation allowBlank="1" showInputMessage="1" showErrorMessage="1" promptTitle="Computer Use (05%)" prompt="- 这项技能允许调查员用各种不同的电脑语言进行编程；恢复或者分析隐藏的数据；解除被加了保护的系统；探索一个复杂的网络；或者发现别人的骇入、后门程序、病毒。对电脑系统的特殊操作可能会需要这个检定。_x000a_- 互联网将大量的信息放置在了调查员的指尖上。_x000a_- 使用互联网来找到高度详细以及/或模糊不清的咨询可能会需要一个计算机使用和图书馆使用的组合检定。_x000a_- 这项技能在用电脑上网，检查电子邮件，或者运行一般的商品化软件时不需要使用。_x000a_- 仅在现代可用。" sqref="F25:H25" xr:uid="{00000000-0002-0000-0000-00002A000000}"/>
    <dataValidation allowBlank="1" showInputMessage="1" showErrorMessage="1" promptTitle="Operate Heavy Machinery (01%)" prompt="- 当驾驶以及操纵一辆坦克，反铲挖土机，蒸汽挖土机或者其他巨型建造机械时需要这个技能。_x000a_- 对于种类非常不同的机械，KP 可以决定提高难度等级，如果遇到的问题是极大程度上不熟悉的；例如，过去常常开推土机的某人，不会立刻能够掌握对船的引擎舱中的蒸汽涡轮机的使用。" sqref="AB25:AC25" xr:uid="{00000000-0002-0000-0000-00002B000000}"/>
    <dataValidation allowBlank="1" showInputMessage="1" showErrorMessage="1" promptTitle="Disguise (05%)" prompt="- 使用在当你想要演出除你自己外的别人时。_x000a_- 使用者改变了态度，习惯，以及/或声音来进行一个乔装，以另一个人或者另一类人的形象出现。_x000a_- 戏剧化妆品可能会有所帮助，还有伪造的身份证。" sqref="F28:H28" xr:uid="{00000000-0002-0000-0000-00002C000000}"/>
    <dataValidation allowBlank="1" showInputMessage="1" showErrorMessage="1" promptTitle="提示" prompt="信用评级至少要用职业点点至信用范围最低值才能使用兴趣点增加信用评级" sqref="P26" xr:uid="{00000000-0002-0000-0000-00002D000000}"/>
    <dataValidation allowBlank="1" showInputMessage="1" showErrorMessage="1" promptTitle="Persuade (10%)" prompt="- 使用说服来通过一场有理有据的论述、争辩以及讨论让目标相信一个确切的想法，概念，或者信仰。_x000a_说服并不一定需要涉及真实的内容。成功的说服技能的运用将花费不少的时间：至少半小时。_x000a_- 如果你想快速地说服某人，你应该使用话术技能。_x000a_取决于玩家表述的目标，如果调查员花费了足够的时间，说服造成的影响可能一直持续下去，并且无意识地影响着别人；可能会持续好几年，直到某件事件或者另一次得说服改变了目标的想法。_x000a_- 说服可以被用于讨价还价，以此来削低某样物品或者服务的价格。如果成功，卖家将会完全地相信自己做了一场好买卖。" sqref="AB26:AC26" xr:uid="{00000000-0002-0000-0000-00002E000000}"/>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F27" xr:uid="{00000000-0002-0000-0000-00002F000000}"/>
    <dataValidation type="list" allowBlank="1" showInputMessage="1" sqref="AD27:AE27" xr:uid="{00000000-0002-0000-0000-000030000000}">
      <formula1>"飞行器,船,"</formula1>
    </dataValidation>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AB28" xr:uid="{00000000-0002-0000-0000-000031000000}"/>
    <dataValidation allowBlank="1" showInputMessage="1" showErrorMessage="1" promptTitle="Spot Hidden (25%)" prompt="- 这项技能允许使用者发现密门或者秘密隔间，注意到隐藏的闯入者，发现并不明显的线索，发现重新涂过漆的汽车，意识到埋伏，注意到鼓出的口袋，或者任何类似的事情。_x000a_- 对于调查员来说，这是一个重要的技能。" sqref="AB35:AC35" xr:uid="{00000000-0002-0000-0000-000032000000}"/>
    <dataValidation allowBlank="1" showInputMessage="1" showErrorMessage="1" promptTitle="Dodge (DEX/2) [无法孤注一骰]" prompt="- 允许调查员本能地闪避攻击，投掷过来的投射物以及诸如此类的。_x000a_- 一名角色可以尝试在一场战斗轮中使用任何次数的闪避（但是对抗一次特定的攻击只能一次）。_x000a_- 闪避可以通过经验来提升，就像其他的技能一样。_x000a_- 如果一次攻击可以被看见，一名角色可以尝试闪避开它。_x000a_- 想要闪避子弹是不可能的，因为运动中的它们是不可能被看见的；一名角色所能做到的最好的是做逃避的行动来造成自己更难被命中（“寻找掩体（可以在武器列表的可选规则里看见）“）。" sqref="F29:H29" xr:uid="{00000000-0002-0000-0000-000033000000}"/>
    <dataValidation allowBlank="1" showInputMessage="1" showErrorMessage="1" promptTitle="Psychology (10%)" prompt="对所有人来说都很通用的察觉方面的技能，允许使用者研究个人并且形成对于其他某人动机和人格的了解。" sqref="AB29:AC29" xr:uid="{00000000-0002-0000-0000-000034000000}"/>
    <dataValidation allowBlank="1" showInputMessage="1" showErrorMessage="1" promptTitle="Ride (05%)" prompt="- 这项技能被用于给坐在鞍上驾驭马，驴子或者骡子，以及获得对这些骑乘动物、骑乘工具的基础照料知识，以及如何在疾驰中或困难地形上操纵坐骑。_x000a_- 当坐骑出乎意外地抬起身子或失足时，骑手保持自己在坐骑上不摔落的几率等同于他的骑术技能。_x000a_偏坐在马鞍上进行骑乘将会提高一个等级的难度等级。_x000a_- 对于不熟悉的坐骑（例如骆驼）也可以成功地骑乘，但是可能会需要更高的难度等级。" sqref="AB30:AC30" xr:uid="{00000000-0002-0000-0000-000035000000}"/>
    <dataValidation allowBlank="1" showInputMessage="1" showErrorMessage="1" promptTitle="Stealth (20%)" prompt="- 安静地移动以及/或者躲藏的技巧，不惊扰到那些可能在听或者看的人们。_x000a_- 当尝试躲避探查，玩家应当进行一个潜行的技能检定。_x000a_- 与这项技能相关的能力意味着要么角色能够安静地移动（轻声轻足）以及/或者在伪装技巧上有所训练。_x000a_- 这项技能也同样意味着角色可以在长时间维持一定程度的谨慎心态以及冷静的头脑来使自己保持静止和隐秘。" sqref="AB36:AC36" xr:uid="{00000000-0002-0000-0000-000036000000}"/>
    <dataValidation allowBlank="1" showInputMessage="1" showErrorMessage="1" promptTitle="Electrical Repair (10%)" prompt="- 使调查员能够修理或者改装电气设备，例如自动点火装置，电动机，保险丝盒，以及防盗自动警铃。_x000a_- 在现代，这项技能对现代电子器件几乎做不到什么。_x000a_- 为了维修电气设备，可能需要特殊的部件或者工具。_x000a_- 在 1920 年代的职业可能会需要这个技能，并且需要机械维修技能作为组合。_x000a_- 电气维修也可能在现代的爆破上被使用，例如雷管，C-4 塑料炸弹，以及地雷。_x000a_- 这些武器被设计得简单易用；只有一个大失败的结果才会造成不启动（记住这检定可以使用孤注一掷）。_x000a_- 拆除爆炸物是远远更为复杂的，因为它们可能被安装了反" sqref="F31:H31" xr:uid="{00000000-0002-0000-0000-000037000000}"/>
    <dataValidation type="list" allowBlank="1" showInputMessage="1" sqref="H35:I35 H36:I36" xr:uid="{00000000-0002-0000-0000-000038000000}">
      <formula1>"鞭子,电锯,链枷,绞具,斧,剑,矛,"</formula1>
    </dataValidation>
    <dataValidation allowBlank="1" showInputMessage="1" showErrorMessage="1" promptTitle="Throw (20%)" prompt="- 当需要用物体击中目标或者用物件的正确部分击中目标（例如小刀或者短柄小斧的刃）时，使用投掷技能。_x000a_- 一件有着合理平衡构架的可以藏于手中大小的物品可以被投掷至多等同于 STR 码距离。" sqref="AB39:AC39" xr:uid="{00000000-0002-0000-0000-000039000000}"/>
    <dataValidation allowBlank="1" showInputMessage="1" showErrorMessage="1" promptTitle="编号" prompt="编号用于属性栏内的“使用过的魔法”。" sqref="W113" xr:uid="{00000000-0002-0000-0000-00003A000000}"/>
    <dataValidation allowBlank="1" showInputMessage="1" showErrorMessage="1" promptTitle="Track (10%)" prompt="- 一名调查员可以凭借追踪技能来通过土壤上的脚_x000a_印，或是物体通过植被时留下的印记来追踪别人，或者是交通工具以及地球上的动物。_x000a_- 时间的经过，雨，以及土地的种类都可能会影响追踪的难度等级。" sqref="AB40:AC40" xr:uid="{00000000-0002-0000-0000-00003B000000}"/>
    <dataValidation type="whole" errorStyle="warning" allowBlank="1" showInputMessage="1" showErrorMessage="1" errorTitle="警告" error="人类教育范围为0~99" sqref="AG5:AG6" xr:uid="{00000000-0002-0000-0000-00003C000000}">
      <formula1>0</formula1>
      <formula2>99</formula2>
    </dataValidation>
    <dataValidation allowBlank="1" showInputMessage="1" showErrorMessage="1" promptTitle="Beast Training(05%)[非常规]" prompt="- 命令以及训练已驯化动物去完成一些简单任务的技能。_x000a_- 这个技能最常用于狗上，但也包括鸟、猫、猴子以及其他（取决于 KP 的判断）。_x000a_- 至于对动物的骑乘，例如马或者骆驼，则要用骑术技能来进行行动以及操控这些坐骑。" sqref="AB41:AC41" xr:uid="{00000000-0002-0000-0000-00003D000000}"/>
    <dataValidation allowBlank="1" showInputMessage="1" showErrorMessage="1" promptTitle="First Aid (30%)" prompt="- 使用者可以提供紧急的医疗处理。这包括：对摔断了的腿用夹板进行处理，止血，处理烧伤，溺水复苏，包扎以及清理伤口等等。急救不能用于治疗疾病（这需要医学技能）。_x000a_- 急救必须在一小时内进行，在这种情况能回复 1 生命值的损伤。_x000a_- 这项技能可以尝试一次，后续的尝试将为进行孤注一掷。_x000a_- 两个人可以合作进行急救，只要其中一人成功便可以让生命值回复。_x000a_- 成功的急救可以将一名昏迷的角色唤醒过来。_x000a_- 一名角色只能进行一次成功的急救或者医学，直到受到其他伤害。" sqref="F42:H42" xr:uid="{00000000-0002-0000-0000-00003E000000}"/>
    <dataValidation allowBlank="1" showInputMessage="1" showErrorMessage="1" promptTitle="Diving (01%)[非常规]" prompt="- 使用者接受过在深海游泳的使用以及维持潜水设_x000a_备的训练，水下导航，合适的下潜配重，以及应对紧急情况的方法。_x000a_- 在 1942 年的水肺[潜水氧气筒]发明前，严格的潜水套装是装备着能从水面输送空气的连接管道。_x000a_- 在现代，一名水肺潜水员将会熟悉当呼吸增压氧气时发生的潜水时的物理现象，气压，以及生理学的过程。" sqref="AB42:AC42" xr:uid="{00000000-0002-0000-0000-00003F000000}"/>
    <dataValidation allowBlank="1" showInputMessage="1" showErrorMessage="1" promptTitle="History (05%)" prompt="- 让一名调查员能够记住一个国家，城市，区域或_x000a_者个人及其相关的重要情报。_x000a_- 一个成功的检定可以用来帮助辨认先祖所熟悉的工具，科技，或者想法，但是对当下的所知甚少。" sqref="F43:H43" xr:uid="{00000000-0002-0000-0000-000040000000}"/>
    <dataValidation allowBlank="1" showInputMessage="1" showErrorMessage="1" promptTitle="Demolitions (01%)[非常规]" prompt="- 在这项技能的帮助下，使用者将熟练于安全使用爆破，包括设置以及拆除炸药。_x000a_- 地雷以及相似的设备被设计得容易设置（不需要检定）但是相对较为困难地进行除去或拆除。_x000a_- 这项技能也包含军用等级的爆炸物（反人类地雷，塑料炸弹，等）。_x000a_- 给予足够的时间和资源，这些专家可以装设炸药来摧毁一幢建筑，清除一个被堵住的隧道，以及赋予炸药不同用处（例如构造微量炸药，诡雷，以及其他）。" sqref="AB43:AC43" xr:uid="{00000000-0002-0000-0000-000041000000}"/>
    <dataValidation allowBlank="1" showInputMessage="1" showErrorMessage="1" promptTitle="Intimidate (15%)" prompt="- 恐吓可以以许多形式使用，包括武力威慑，心理操控，以及威胁。这通常被用来使某人害怕，并迫使其进行某种特定的行为。_x000a_- 恐吓的对抗技能为恐吓或者心理学。_x000a_- 携带武器或者其他的有力的威胁或诱因来协助恐吓可能可以降低难度等级。_x000a_- 当在恐吓上使用孤注一掷时，失败的可能结果之一是对目标进行了远远超过本身意图的恐吓。_x000a_- 恐吓可以被用于降低一件物品或者服务的价格。如果成功，卖家可能会降低价格，或者免费交出，但是根据情况，对方可能会将这事情举报给警察或者当地犯罪组织的成员。" sqref="F44:H44" xr:uid="{00000000-0002-0000-0000-000042000000}"/>
    <dataValidation allowBlank="1" showInputMessage="1" showErrorMessage="1" promptTitle="Read Lips (01%)[非常规]" prompt="- 这项技能允许好奇的调查员听懂一段交谈对话，而不需要听见对方说了什么。_x000a_- 能看到对方的视线是必须的，并且如果只能看到其中一名说话者的唇（另一名可能只能看到背），那么只能辨认出一半的对话。_x000a_- 读唇也可以用于与另一个人进行无声的交流（如果双方都是专家），允许相对更加复杂的短语以及含义。" sqref="AB44:AC44" xr:uid="{00000000-0002-0000-0000-000043000000}"/>
    <dataValidation allowBlank="1" showInputMessage="1" showErrorMessage="1" promptTitle="Jump (20%)" prompt="- 如果成功，调查员可以在垂直方向上跳起或跳下，或者从一个站立点或起步点水平向外跳。_x000a_- 为了分辨哪些算在正常跳跃，困难跳跃以及极难跳跃，必须对判断进行训练。_x000a_- 作为指导，当调查员想要安全地从垂直等同于其自身高度的地方跳下来时，需要一个常规难度的成功，或者水平地从其站立点跳过长度等同于他自身高度的坑，或者助跑后跳过两倍于其自身高度的距离。_x000a_- 如果要达成两倍距离的跳跃，则需要一个极难难度的成功，牢记，最长跳跃的世界纪录为大约 8.95米。_x000a_- 如果从高处摔落下来，一个成功的跳跃检定可以使对坠落有所准备，" sqref="F45:H45" xr:uid="{00000000-0002-0000-0000-000044000000}"/>
    <dataValidation allowBlank="1" showInputMessage="1" showErrorMessage="1" promptTitle="Hypnosis (01%)[非常规]" prompt="- 使用者可以在一名自愿并经历过高度暗示、放松的目标身上引出出神似的状态，并且可能回忆起忘却_x000a_的记忆。_x000a_- 对于催眠的限制应当由 KP 根据适应自己游戏的情况来制定；这可能是只有自愿的目标可以被催眠，或者 KP 可能会允许这项技能以一种更加富有侵略_x000a_性的方式被用在非自愿的目标身上。_x000a_- 对那些遭受了精神创伤的人，这项技能可以当_x000a_做催眠疗法来使用，减轻一名病人的恐惧或者狂躁（成功的使用这个技能意味着这名病人在该场合克服了恐惧或者狂躁），需要1D6次疗程。" sqref="AB45:AC45" xr:uid="{00000000-0002-0000-0000-000045000000}"/>
    <dataValidation allowBlank="1" showInputMessage="1" showErrorMessage="1" promptTitle="Artillery (01%) [无法孤注一骰][非常规]" prompt="- 这项技能呈现出对一些形式的军事训练和经历。使用者具有在战争中操作战地武器的经验：可以在一个工作队或“派遣队”中工作，进行对超过个人武器射击距离的武器的操作。_x000a_- 这些武器通常过于巨大以至于无法单人进行操作,并且个人无法再没有工作队支援的情况下使用这武器，或者应当提高难度等级（取决于KP 的判断，也取决于使用的武器类型）。_x000a_- 存在着许多不同的专业化武器，取决于游戏设定的时期，包括加农炮、榴弹炮、迫击炮以及火箭发射_x000a_器。_x000a_-作为一个战斗技能，炮术不能孤注一掷。" sqref="AB46:AC46" xr:uid="{00000000-0002-0000-0000-000046000000}"/>
    <dataValidation allowBlank="1" showInputMessage="1" showErrorMessage="1" promptTitle="Knowledge （不定）[非常规]" prompt="这项技能代表一名觉得对一个超出人类常规知识范畴的事物的专业理解。学问的专业化应该具体并且不同寻常，例如：_x000a_·梦学问_x000a_·死灵之书学问（e.g.历史的）_x000a_·UFO 学问_x000a_·吸血鬼学问_x000a_·狼人学问_x000a_·亚狄斯星人学问" sqref="AB47" xr:uid="{00000000-0002-0000-0000-000047000000}"/>
    <dataValidation allowBlank="1" showInputMessage="1" showErrorMessage="1" promptTitle="Language (EDU)" prompt="- 当选择这项技能时，必须明确一门具体的语言并_x000a_且写在技能的后面。_x000a_- 在婴儿期或者童年早期，大多数人使用单一一门语言。_x000a_- 玩家所选择作为母语的语言自动地以等同于调查员教育（EDU）属性为起始；此后，调查员以那个百分比或者更高的来进行理解，说，读以及写（如果更多的技能点数在调查员创作时加了上去）。" sqref="F49" xr:uid="{00000000-0002-0000-0000-000048000000}"/>
    <dataValidation allowBlank="1" showInputMessage="1" showErrorMessage="1" promptTitle="关键链接" prompt="在背景故事中，选出你认为最重要的一个描述作为关键连接。_x000a_关键连接不会被KP更改和设计、在你面对关键连接的危机时如果没有掷骰子的机会，那他就不能被KP摧毁、杀害、移除。玩家必须至少有一次掷骰子的机会来拯救该关键连接。_x000a__x000a_·关键连接可以帮助调查员恢复san值，但是如果失去关键连接则会进行一个1/1D6的SC。_x000a__x000a_·如果选择使用关键连接，会在SC的时候增加一个奖励骰，除了恢复1D6san还可以从不定性疯狂中恢复；但如果sc失败就会失去这个连接。_x000a__x000a_·关键连接仅能在幕间成长时由玩家更改、替换。" sqref="AR61" xr:uid="{00000000-0002-0000-0000-000049000000}"/>
    <dataValidation type="list" allowBlank="1" showInputMessage="1" showErrorMessage="1" sqref="AR67 AR71 AR63:AR66 AR69:AR70 AR73:AR74 AR75:AR76" xr:uid="{00000000-0002-0000-0000-00004A000000}">
      <formula1>"☐,☑"</formula1>
    </dataValidation>
    <dataValidation allowBlank="1" showInputMessage="1" showErrorMessage="1" promptTitle="语言水平" prompt="05%：正确辨认语言的种类_x000a_10%：可以沟通简单的想法_x000a_30%：可以对社交上的需求进行理解_x000a_50%：可以进行流畅的交流_x000a_75%：可以像是当地人一样使用语言_x000a_辨认现代语言： 投掷教育（知识）_x000a_辨认灭绝人类语言：考古学或历史_x000a_辨认外星语言：克苏鲁神话或神秘学" sqref="H46:H48" xr:uid="{00000000-0002-0000-0000-00004B000000}"/>
    <dataValidation allowBlank="1" showInputMessage="1" showErrorMessage="1" promptTitle="提示" prompt="物品状态分为两种：_x000a_显露：显露的物品可以一眼被看见，这包括衣服、背包、手里的东西、背后的枪等。_x000a_隐藏：隐藏的物品不代表无法被看见，只是比较难以被看见而已，这里包括被头发掩盖的耳机、兜里的钥匙、藏在衣服里被锯短的枪。" sqref="B78" xr:uid="{00000000-0002-0000-0000-00004C000000}"/>
    <dataValidation type="whole" allowBlank="1" showInputMessage="1" showErrorMessage="1" sqref="BL129:BR129" xr:uid="{00000000-0002-0000-0000-00004D000000}">
      <formula1>1890</formula1>
      <formula2>2020</formula2>
    </dataValidation>
    <dataValidation type="list" allowBlank="1" showInputMessage="1" showErrorMessage="1" sqref="S139 U139" xr:uid="{00000000-0002-0000-0000-00004E000000}">
      <formula1>"1,2,3,4,5,6,7,8,9,10"</formula1>
    </dataValidation>
    <dataValidation allowBlank="1" showInputMessage="1" showErrorMessage="1" promptTitle="Fighting (不定) [无法孤注一骰]" prompt="- 格斗技能指的是一名角色在近距离战斗上的技能。你可以花费一定的点数来获得任何的专业化技能。_x000a_- 作为类属的“格斗”技能不能够获得。选择对你的调查员的职业以及当时历史合适的专业格斗技能。_x000a_- 那些有着 50%或者以上的格斗（斗殴）技能的_x000a_调查员可能会希望选择一种正规的训练，并且作为背景的一部分来对他们的技能程度进行解释。_x000a_- 格斗方式存在着各种各样的。武术只是单纯的一种提升一个人战斗技巧的方式。决定角色是如何学习格斗的，是否是从正规的军队训练，武术教室，或者以自己的努力从街头格斗中学会。[例如跆拳道]" sqref="F34:F37" xr:uid="{00000000-0002-0000-0000-00004F000000}"/>
    <dataValidation allowBlank="1" showInputMessage="1" showErrorMessage="1" promptTitle="Firearms (不定) [无法孤注一骰]" prompt="- 包括了各种形式的火器，也包括了弓箭和弩。_x000a_- 你可以花费技能点数来获得任何专业化技能。_x000a_- 作为属类的“射击”技能不能被获得。选择与你调查员的职业与时代历史相契合的专业化技能。" sqref="F38:F41" xr:uid="{00000000-0002-0000-0000-000050000000}"/>
    <dataValidation allowBlank="1" showInputMessage="1" showErrorMessage="1" promptTitle="Language (Other)[01%]" prompt="- 当选择这个技能，必须明确一个具体的语言并且_x000a_写在技能后面。_x000a_- 一个人可以了解任何数量的语言。这项技能代表使用者可以了解，说，读以及写一门不是他母语的语言的可能性。_x000a_- 远古或者不知名语言（例如 Aklo，Hyperborean_x000a_这两种神话语言）不能被选择（除非 KP 同意）_x000a_- 通常意义上的早期语言可以被选择。KP 可以提高难度等级，如果遇见了用那门语言的古式的演讲或者写作。_x000a_- 单次的其他语言技能检定的成功通常允许对整本书的理解。" sqref="F46:F48" xr:uid="{00000000-0002-0000-0000-000051000000}"/>
    <dataValidation type="whole" errorStyle="warning" allowBlank="1" showErrorMessage="1" errorTitle="警告" error="人类力量范围为0~99" sqref="U3:U4" xr:uid="{00000000-0002-0000-0000-000052000000}">
      <formula1>1</formula1>
      <formula2>99</formula2>
    </dataValidation>
    <dataValidation type="whole" errorStyle="warning" allowBlank="1" showInputMessage="1" showErrorMessage="1" errorTitle="警告" error="人类体质范围为0~99" sqref="U5:U6" xr:uid="{00000000-0002-0000-0000-000053000000}">
      <formula1>0</formula1>
      <formula2>99</formula2>
    </dataValidation>
    <dataValidation type="whole" errorStyle="warning" operator="greaterThanOrEqual" allowBlank="1" showInputMessage="1" promptTitle="提示" prompt="部分人类体型可以超99" sqref="U7:U8" xr:uid="{00000000-0002-0000-0000-000054000000}">
      <formula1>9</formula1>
    </dataValidation>
    <dataValidation type="whole" errorStyle="warning" allowBlank="1" showInputMessage="1" showErrorMessage="1" errorTitle="警告" error="人类敏捷范围为0~99" sqref="AA3:AA4" xr:uid="{00000000-0002-0000-0000-000055000000}">
      <formula1>0</formula1>
      <formula2>99</formula2>
    </dataValidation>
    <dataValidation type="whole" errorStyle="warning" allowBlank="1" showInputMessage="1" showErrorMessage="1" errorTitle="警告" error="人类外貌范围为0~99" sqref="AA5:AA6" xr:uid="{00000000-0002-0000-0000-000056000000}">
      <formula1>0</formula1>
      <formula2>99</formula2>
    </dataValidation>
    <dataValidation type="whole" errorStyle="warning" allowBlank="1" showInputMessage="1" showErrorMessage="1" errorTitle="警告" error="人类智力范围为0~99" sqref="AA7:AA8" xr:uid="{00000000-0002-0000-0000-000057000000}">
      <formula1>0</formula1>
      <formula2>99</formula2>
    </dataValidation>
    <dataValidation allowBlank="1" showInputMessage="1" showErrorMessage="1" promptTitle="Science (01%)" prompt="- 科学专业上的理论和实践的能力，拥有这个技能的人接受过一定程度的正式的教育或者训练，尽管一名博览群书的业余科学家也是可能存在的。_x000a_- 对于知识的理解和认识受到游戏时代的限制。你可以花费点数_x000a_来获得任何你想要的专业化技能。_x000a_- 作为属类的“科学”技能不能被获得。_x000a_- 每个专业化技能包括了一门专门的学科，并且列表所给出的并不是全部。许多专业跨越了不同的知识领域，并且有所重叠，例如数学和密码学，植物学和生物学，化学和药学。" sqref="AB31:AB33" xr:uid="{00000000-0002-0000-0000-000058000000}"/>
    <dataValidation type="whole" operator="greaterThanOrEqual" allowBlank="1" showInputMessage="1" showErrorMessage="1" promptTitle="提示" prompt="人类意志可以超越100，但这是特例" sqref="AG3:AG4" xr:uid="{00000000-0002-0000-0000-000059000000}">
      <formula1>0</formula1>
    </dataValidation>
  </dataValidations>
  <pageMargins left="0.75" right="0.75" top="1" bottom="1" header="0.50902777777777797" footer="0.50902777777777797"/>
  <drawing r:id="rId1"/>
  <legacyDrawing r:id="rId2"/>
  <extLst>
    <ext xmlns:x14="http://schemas.microsoft.com/office/spreadsheetml/2009/9/main" uri="{CCE6A557-97BC-4b89-ADB6-D9C93CAAB3DF}">
      <x14:dataValidations xmlns:xm="http://schemas.microsoft.com/office/excel/2006/main" count="13">
        <x14:dataValidation type="list" allowBlank="1" showInputMessage="1" showErrorMessage="1" xr:uid="{00000000-0002-0000-0000-00005A000000}">
          <x14:formula1>
            <xm:f>职业列表!$A$2:$A$232</xm:f>
          </x14:formula1>
          <xm:sqref>M5:N5</xm:sqref>
        </x14:dataValidation>
        <x14:dataValidation type="list" allowBlank="1" showInputMessage="1" showErrorMessage="1" xr:uid="{00000000-0002-0000-0000-00005B000000}">
          <x14:formula1>
            <xm:f>附表!$R$17:$R$21</xm:f>
          </x14:formula1>
          <xm:sqref>I11:J11</xm:sqref>
        </x14:dataValidation>
        <x14:dataValidation type="list" allowBlank="1" showInputMessage="1" showErrorMessage="1" xr:uid="{00000000-0002-0000-0000-00005C000000}">
          <x14:formula1>
            <xm:f>'防具表 载具表'!$B$2:$B$82</xm:f>
          </x14:formula1>
          <xm:sqref>AN12</xm:sqref>
        </x14:dataValidation>
        <x14:dataValidation type="list" allowBlank="1" showInputMessage="1" showErrorMessage="1" xr:uid="{00000000-0002-0000-0000-00005D000000}">
          <x14:formula1>
            <xm:f>附表!$Z$243:$Z$263</xm:f>
          </x14:formula1>
          <xm:sqref>S62:U62</xm:sqref>
        </x14:dataValidation>
        <x14:dataValidation type="list" allowBlank="1" showInputMessage="1" showErrorMessage="1" xr:uid="{00000000-0002-0000-0000-00005E000000}">
          <x14:formula1>
            <xm:f>附表!$Q$23:$Q$25</xm:f>
          </x14:formula1>
          <xm:sqref>B88 B89 B79:B85 B86:B87</xm:sqref>
        </x14:dataValidation>
        <x14:dataValidation type="list" allowBlank="1" showInputMessage="1" showErrorMessage="1" xr:uid="{00000000-0002-0000-0000-00005F000000}">
          <x14:formula1>
            <xm:f>附表!$O$16:$O$58</xm:f>
          </x14:formula1>
          <xm:sqref>D88 D89 D79:D85 D86:D87</xm:sqref>
        </x14:dataValidation>
        <x14:dataValidation type="list" allowBlank="1" showInputMessage="1" showErrorMessage="1" xr:uid="{00000000-0002-0000-0000-000060000000}">
          <x14:formula1>
            <xm:f>附表!$AT$25:$AT$30</xm:f>
          </x14:formula1>
          <xm:sqref>AZ129</xm:sqref>
        </x14:dataValidation>
        <x14:dataValidation type="list" allowBlank="1" showInputMessage="1" showErrorMessage="1" xr:uid="{00000000-0002-0000-0000-000061000000}">
          <x14:formula1>
            <xm:f>附表!$AK$167:$AK$492</xm:f>
          </x14:formula1>
          <xm:sqref>AU144:BB144</xm:sqref>
        </x14:dataValidation>
        <x14:dataValidation type="list" allowBlank="1" showInputMessage="1" showErrorMessage="1" xr:uid="{00000000-0002-0000-0000-000062000000}">
          <x14:formula1>
            <xm:f>附表!$AI$167:$AI$212</xm:f>
          </x14:formula1>
          <xm:sqref>BC144:BJ144</xm:sqref>
        </x14:dataValidation>
        <x14:dataValidation type="list" allowBlank="1" showInputMessage="1" showErrorMessage="1" xr:uid="{00000000-0002-0000-0000-000063000000}">
          <x14:formula1>
            <xm:f>附表!$AF$167:$AF$189</xm:f>
          </x14:formula1>
          <xm:sqref>BK144:BR144</xm:sqref>
        </x14:dataValidation>
        <x14:dataValidation type="list" allowBlank="1" showInputMessage="1" showErrorMessage="1" xr:uid="{00000000-0002-0000-0000-000064000000}">
          <x14:formula1>
            <xm:f>'武器列表 战斗'!$B$2:$B$106</xm:f>
          </x14:formula1>
          <xm:sqref>G54:G56</xm:sqref>
        </x14:dataValidation>
        <x14:dataValidation type="list" allowBlank="1" showInputMessage="1" showErrorMessage="1" xr:uid="{00000000-0002-0000-0000-000065000000}">
          <x14:formula1>
            <xm:f>附表!$B$20:$B$26</xm:f>
          </x14:formula1>
          <xm:sqref>F113:I116</xm:sqref>
        </x14:dataValidation>
        <x14:dataValidation type="list" allowBlank="1" showInputMessage="1" showErrorMessage="1" xr:uid="{00000000-0002-0000-0000-000066000000}">
          <x14:formula1>
            <xm:f>附表!$X$25:$X$92</xm:f>
          </x14:formula1>
          <xm:sqref>BA18:BR22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K339"/>
  <sheetViews>
    <sheetView showGridLines="0" zoomScale="75" zoomScaleNormal="75" workbookViewId="0">
      <pane ySplit="1" topLeftCell="A2" activePane="bottomLeft" state="frozen"/>
      <selection pane="bottomLeft"/>
    </sheetView>
  </sheetViews>
  <sheetFormatPr defaultColWidth="8.88671875" defaultRowHeight="13.8"/>
  <cols>
    <col min="1" max="1" width="3.33203125" style="33" customWidth="1"/>
    <col min="2" max="2" width="30" style="33" customWidth="1"/>
    <col min="3" max="3" width="12.109375" style="33" customWidth="1"/>
    <col min="4" max="4" width="14.77734375" style="33" customWidth="1"/>
    <col min="5" max="5" width="8.77734375" style="33" customWidth="1"/>
    <col min="6" max="6" width="4.6640625" style="33" customWidth="1"/>
    <col min="7" max="7" width="10.77734375" style="33" customWidth="1"/>
    <col min="8" max="8" width="8" style="33" customWidth="1"/>
    <col min="9" max="9" width="7.77734375" style="33" customWidth="1"/>
    <col min="10" max="10" width="9.6640625" style="33" customWidth="1"/>
    <col min="11" max="12" width="13" style="34" customWidth="1"/>
    <col min="13" max="13" width="8.6640625" style="34" customWidth="1"/>
    <col min="14" max="14" width="9.109375" style="34" customWidth="1"/>
    <col min="15" max="17" width="8.88671875" style="34" customWidth="1"/>
    <col min="18" max="18" width="10.21875" style="34" customWidth="1"/>
    <col min="19" max="21" width="8.88671875" style="34" customWidth="1"/>
    <col min="22" max="22" width="30" style="34" customWidth="1"/>
    <col min="23" max="23" width="12.109375" style="34" customWidth="1"/>
    <col min="24" max="24" width="14.77734375" style="34" customWidth="1"/>
    <col min="25" max="25" width="8.77734375" style="34" customWidth="1"/>
    <col min="26" max="26" width="4.6640625" style="34" customWidth="1"/>
    <col min="27" max="27" width="15.21875" style="34" customWidth="1"/>
    <col min="28" max="29" width="7.77734375" style="34" customWidth="1"/>
    <col min="30" max="30" width="9.6640625" style="34" customWidth="1"/>
    <col min="31" max="31" width="13" style="34" customWidth="1"/>
    <col min="32" max="36" width="8.88671875" style="35" customWidth="1"/>
    <col min="37" max="37" width="9.6640625" style="35" customWidth="1"/>
    <col min="38" max="38" width="8.88671875" style="34" customWidth="1"/>
    <col min="39" max="16384" width="8.88671875" style="34"/>
  </cols>
  <sheetData>
    <row r="1" spans="2:37" ht="21" customHeight="1">
      <c r="B1" s="101" t="s">
        <v>4545</v>
      </c>
      <c r="C1" s="102" t="s">
        <v>330</v>
      </c>
      <c r="D1" s="102" t="s">
        <v>169</v>
      </c>
      <c r="E1" s="102" t="s">
        <v>170</v>
      </c>
      <c r="F1" s="102" t="s">
        <v>171</v>
      </c>
      <c r="G1" s="102" t="s">
        <v>4546</v>
      </c>
      <c r="H1" s="102" t="s">
        <v>173</v>
      </c>
      <c r="I1" s="102" t="s">
        <v>174</v>
      </c>
      <c r="J1" s="102" t="s">
        <v>4547</v>
      </c>
      <c r="K1" s="309" t="s">
        <v>4548</v>
      </c>
      <c r="L1" s="310" t="s">
        <v>4549</v>
      </c>
      <c r="M1" s="147" t="s">
        <v>166</v>
      </c>
      <c r="N1" s="3287" t="s">
        <v>287</v>
      </c>
      <c r="O1" s="3287"/>
      <c r="P1" s="3287"/>
      <c r="Q1" s="3287"/>
      <c r="R1" s="3287"/>
      <c r="S1" s="81"/>
      <c r="T1" s="81"/>
      <c r="V1" s="181"/>
      <c r="W1" s="181"/>
      <c r="X1" s="181"/>
      <c r="Y1" s="181"/>
      <c r="Z1" s="181"/>
      <c r="AA1" s="181"/>
      <c r="AB1" s="181"/>
      <c r="AC1" s="181"/>
      <c r="AD1" s="181"/>
      <c r="AE1" s="335"/>
      <c r="AF1" s="181"/>
      <c r="AG1" s="181"/>
      <c r="AH1" s="181"/>
      <c r="AI1" s="181"/>
      <c r="AJ1" s="181"/>
      <c r="AK1" s="181"/>
    </row>
    <row r="2" spans="2:37" ht="14.25" customHeight="1">
      <c r="B2" s="268" t="s">
        <v>4550</v>
      </c>
      <c r="C2" s="269" t="s">
        <v>1409</v>
      </c>
      <c r="D2" s="270" t="s">
        <v>4551</v>
      </c>
      <c r="E2" s="270" t="s">
        <v>4552</v>
      </c>
      <c r="F2" s="270" t="s">
        <v>179</v>
      </c>
      <c r="G2" s="270" t="s">
        <v>4553</v>
      </c>
      <c r="H2" s="270" t="s">
        <v>4553</v>
      </c>
      <c r="I2" s="270" t="s">
        <v>4554</v>
      </c>
      <c r="J2" s="270" t="s">
        <v>4555</v>
      </c>
      <c r="K2" s="270" t="s">
        <v>4556</v>
      </c>
      <c r="L2" s="311" t="s">
        <v>99</v>
      </c>
      <c r="M2" s="3007" t="s">
        <v>4557</v>
      </c>
      <c r="N2" s="3302" t="s">
        <v>4558</v>
      </c>
      <c r="O2" s="3318" t="s">
        <v>4559</v>
      </c>
      <c r="P2" s="3318"/>
      <c r="Q2" s="3318"/>
      <c r="R2" s="3318"/>
      <c r="S2" s="81"/>
      <c r="T2" s="328" t="s">
        <v>4560</v>
      </c>
      <c r="V2" s="329"/>
      <c r="W2" s="330"/>
      <c r="X2" s="329"/>
      <c r="Y2" s="329"/>
      <c r="Z2" s="329"/>
      <c r="AA2" s="329"/>
      <c r="AB2" s="329"/>
      <c r="AC2" s="329"/>
      <c r="AD2" s="329"/>
      <c r="AE2" s="336"/>
      <c r="AF2" s="337"/>
      <c r="AG2" s="182"/>
      <c r="AH2" s="182"/>
      <c r="AI2" s="182"/>
      <c r="AJ2" s="182"/>
      <c r="AK2" s="182"/>
    </row>
    <row r="3" spans="2:37" ht="14.25" customHeight="1">
      <c r="B3" s="271" t="s">
        <v>4561</v>
      </c>
      <c r="C3" s="272" t="s">
        <v>126</v>
      </c>
      <c r="D3" s="273" t="s">
        <v>4562</v>
      </c>
      <c r="E3" s="273" t="s">
        <v>4563</v>
      </c>
      <c r="F3" s="273" t="s">
        <v>179</v>
      </c>
      <c r="G3" s="273" t="s">
        <v>4553</v>
      </c>
      <c r="H3" s="273" t="s">
        <v>99</v>
      </c>
      <c r="I3" s="273" t="s">
        <v>99</v>
      </c>
      <c r="J3" s="273" t="s">
        <v>4555</v>
      </c>
      <c r="K3" s="273" t="s">
        <v>4564</v>
      </c>
      <c r="L3" s="312" t="s">
        <v>99</v>
      </c>
      <c r="M3" s="3008"/>
      <c r="N3" s="3303"/>
      <c r="O3" s="3319"/>
      <c r="P3" s="3319"/>
      <c r="Q3" s="3319"/>
      <c r="R3" s="3319"/>
      <c r="S3" s="81"/>
      <c r="T3" s="328" t="s">
        <v>4565</v>
      </c>
      <c r="U3" s="331"/>
      <c r="V3" s="329"/>
      <c r="W3" s="330"/>
      <c r="X3" s="329"/>
      <c r="Y3" s="329"/>
      <c r="Z3" s="329"/>
      <c r="AA3" s="329"/>
      <c r="AB3" s="329"/>
      <c r="AC3" s="329"/>
      <c r="AD3" s="329"/>
      <c r="AE3" s="338"/>
      <c r="AF3" s="337"/>
      <c r="AG3" s="182"/>
      <c r="AH3" s="182"/>
      <c r="AI3" s="182"/>
      <c r="AJ3" s="182"/>
      <c r="AK3" s="182"/>
    </row>
    <row r="4" spans="2:37" ht="14.25" customHeight="1">
      <c r="B4" s="268" t="s">
        <v>4566</v>
      </c>
      <c r="C4" s="269" t="s">
        <v>2629</v>
      </c>
      <c r="D4" s="270" t="s">
        <v>4567</v>
      </c>
      <c r="E4" s="270" t="s">
        <v>4568</v>
      </c>
      <c r="F4" s="270" t="s">
        <v>179</v>
      </c>
      <c r="G4" s="270" t="s">
        <v>4553</v>
      </c>
      <c r="H4" s="270" t="s">
        <v>99</v>
      </c>
      <c r="I4" s="270" t="s">
        <v>99</v>
      </c>
      <c r="J4" s="270" t="s">
        <v>4569</v>
      </c>
      <c r="K4" s="270" t="s">
        <v>4570</v>
      </c>
      <c r="L4" s="311" t="s">
        <v>99</v>
      </c>
      <c r="M4" s="3008"/>
      <c r="N4" s="3303"/>
      <c r="O4" s="3319"/>
      <c r="P4" s="3319"/>
      <c r="Q4" s="3319"/>
      <c r="R4" s="3319"/>
      <c r="S4" s="81"/>
      <c r="T4" s="328" t="s">
        <v>4571</v>
      </c>
      <c r="U4" s="256"/>
      <c r="V4" s="329"/>
      <c r="W4" s="330"/>
      <c r="X4" s="329"/>
      <c r="Y4" s="329"/>
      <c r="Z4" s="329"/>
      <c r="AA4" s="329"/>
      <c r="AB4" s="329"/>
      <c r="AC4" s="329"/>
      <c r="AD4" s="329"/>
      <c r="AE4" s="329"/>
      <c r="AF4" s="337"/>
      <c r="AG4" s="182"/>
      <c r="AH4" s="182"/>
      <c r="AI4" s="182"/>
      <c r="AJ4" s="182"/>
      <c r="AK4" s="182"/>
    </row>
    <row r="5" spans="2:37" ht="14.25" customHeight="1">
      <c r="B5" s="271" t="s">
        <v>4572</v>
      </c>
      <c r="C5" s="272" t="s">
        <v>126</v>
      </c>
      <c r="D5" s="273" t="s">
        <v>4573</v>
      </c>
      <c r="E5" s="273" t="s">
        <v>4563</v>
      </c>
      <c r="F5" s="273" t="s">
        <v>179</v>
      </c>
      <c r="G5" s="273" t="s">
        <v>4553</v>
      </c>
      <c r="H5" s="273" t="s">
        <v>99</v>
      </c>
      <c r="I5" s="273" t="s">
        <v>99</v>
      </c>
      <c r="J5" s="273" t="s">
        <v>4555</v>
      </c>
      <c r="K5" s="273" t="s">
        <v>4574</v>
      </c>
      <c r="L5" s="312" t="s">
        <v>99</v>
      </c>
      <c r="M5" s="3008"/>
      <c r="N5" s="3303"/>
      <c r="O5" s="3319"/>
      <c r="P5" s="3319"/>
      <c r="Q5" s="3319"/>
      <c r="R5" s="3319"/>
      <c r="S5" s="81"/>
      <c r="T5" s="328" t="s">
        <v>4575</v>
      </c>
      <c r="V5" s="329"/>
      <c r="W5" s="330"/>
      <c r="X5" s="329"/>
      <c r="Y5" s="329"/>
      <c r="Z5" s="329"/>
      <c r="AA5" s="329"/>
      <c r="AB5" s="329"/>
      <c r="AC5" s="329"/>
      <c r="AD5" s="329"/>
      <c r="AE5" s="329"/>
      <c r="AF5" s="337"/>
      <c r="AG5" s="182"/>
      <c r="AH5" s="182"/>
      <c r="AI5" s="182"/>
      <c r="AJ5" s="182"/>
      <c r="AK5" s="182"/>
    </row>
    <row r="6" spans="2:37" ht="14.25" customHeight="1">
      <c r="B6" s="274" t="s">
        <v>2640</v>
      </c>
      <c r="C6" s="275" t="s">
        <v>2640</v>
      </c>
      <c r="D6" s="276" t="s">
        <v>4576</v>
      </c>
      <c r="E6" s="276" t="s">
        <v>4563</v>
      </c>
      <c r="F6" s="276" t="s">
        <v>539</v>
      </c>
      <c r="G6" s="276" t="s">
        <v>4553</v>
      </c>
      <c r="H6" s="276" t="s">
        <v>99</v>
      </c>
      <c r="I6" s="276" t="s">
        <v>4577</v>
      </c>
      <c r="J6" s="276" t="s">
        <v>14</v>
      </c>
      <c r="K6" s="276" t="s">
        <v>4578</v>
      </c>
      <c r="L6" s="313" t="s">
        <v>4579</v>
      </c>
      <c r="M6" s="3008"/>
      <c r="N6" s="3303"/>
      <c r="O6" s="3319"/>
      <c r="P6" s="3319"/>
      <c r="Q6" s="3319"/>
      <c r="R6" s="3319"/>
      <c r="S6" s="81"/>
      <c r="T6" s="328" t="s">
        <v>4576</v>
      </c>
      <c r="V6" s="332"/>
      <c r="W6" s="330"/>
      <c r="X6" s="329"/>
      <c r="Y6" s="329"/>
      <c r="Z6" s="329"/>
      <c r="AA6" s="329"/>
      <c r="AB6" s="329"/>
      <c r="AC6" s="329"/>
      <c r="AD6" s="329"/>
      <c r="AE6" s="338"/>
      <c r="AF6" s="337"/>
      <c r="AG6" s="182"/>
      <c r="AH6" s="182"/>
      <c r="AI6" s="182"/>
      <c r="AJ6" s="182"/>
      <c r="AK6" s="182"/>
    </row>
    <row r="7" spans="2:37" ht="14.25" customHeight="1">
      <c r="B7" s="277" t="s">
        <v>4580</v>
      </c>
      <c r="C7" s="272" t="s">
        <v>126</v>
      </c>
      <c r="D7" s="273" t="s">
        <v>4581</v>
      </c>
      <c r="E7" s="273" t="s">
        <v>4563</v>
      </c>
      <c r="F7" s="273" t="s">
        <v>179</v>
      </c>
      <c r="G7" s="273" t="s">
        <v>4553</v>
      </c>
      <c r="H7" s="273" t="s">
        <v>99</v>
      </c>
      <c r="I7" s="273" t="s">
        <v>99</v>
      </c>
      <c r="J7" s="273" t="s">
        <v>4555</v>
      </c>
      <c r="K7" s="273" t="s">
        <v>4582</v>
      </c>
      <c r="L7" s="312" t="s">
        <v>4583</v>
      </c>
      <c r="M7" s="3008"/>
      <c r="N7" s="3303"/>
      <c r="O7" s="3319"/>
      <c r="P7" s="3319"/>
      <c r="Q7" s="3319"/>
      <c r="R7" s="3319"/>
      <c r="S7" s="81"/>
      <c r="T7" s="328" t="s">
        <v>4584</v>
      </c>
      <c r="V7" s="329"/>
      <c r="W7" s="330"/>
      <c r="X7" s="329"/>
      <c r="Y7" s="329"/>
      <c r="Z7" s="329"/>
      <c r="AA7" s="329"/>
      <c r="AB7" s="329"/>
      <c r="AC7" s="329"/>
      <c r="AD7" s="329"/>
      <c r="AE7" s="329"/>
      <c r="AF7" s="337"/>
      <c r="AG7" s="182"/>
      <c r="AH7" s="182"/>
      <c r="AI7" s="182"/>
      <c r="AJ7" s="182"/>
      <c r="AK7" s="182"/>
    </row>
    <row r="8" spans="2:37" ht="14.25" customHeight="1">
      <c r="B8" s="268" t="s">
        <v>4585</v>
      </c>
      <c r="C8" s="269" t="s">
        <v>126</v>
      </c>
      <c r="D8" s="270" t="s">
        <v>4581</v>
      </c>
      <c r="E8" s="270" t="s">
        <v>4563</v>
      </c>
      <c r="F8" s="270" t="s">
        <v>179</v>
      </c>
      <c r="G8" s="270" t="s">
        <v>4553</v>
      </c>
      <c r="H8" s="270" t="s">
        <v>99</v>
      </c>
      <c r="I8" s="270" t="s">
        <v>99</v>
      </c>
      <c r="J8" s="270" t="s">
        <v>4555</v>
      </c>
      <c r="K8" s="270" t="s">
        <v>4586</v>
      </c>
      <c r="L8" s="311" t="s">
        <v>99</v>
      </c>
      <c r="M8" s="3008"/>
      <c r="N8" s="3303"/>
      <c r="O8" s="3319"/>
      <c r="P8" s="3319"/>
      <c r="Q8" s="3319"/>
      <c r="R8" s="3319"/>
      <c r="S8" s="81"/>
      <c r="T8" s="328" t="s">
        <v>4584</v>
      </c>
      <c r="V8" s="329"/>
      <c r="W8" s="330"/>
      <c r="X8" s="329"/>
      <c r="Y8" s="329"/>
      <c r="Z8" s="329"/>
      <c r="AA8" s="329"/>
      <c r="AB8" s="329"/>
      <c r="AC8" s="329"/>
      <c r="AD8" s="329"/>
      <c r="AE8" s="329"/>
      <c r="AF8" s="337"/>
      <c r="AG8" s="182"/>
      <c r="AH8" s="182"/>
      <c r="AI8" s="182"/>
      <c r="AJ8" s="182"/>
      <c r="AK8" s="182"/>
    </row>
    <row r="9" spans="2:37" ht="14.25" customHeight="1">
      <c r="B9" s="271" t="s">
        <v>4587</v>
      </c>
      <c r="C9" s="272" t="s">
        <v>126</v>
      </c>
      <c r="D9" s="273" t="s">
        <v>4588</v>
      </c>
      <c r="E9" s="273" t="s">
        <v>4563</v>
      </c>
      <c r="F9" s="273" t="s">
        <v>179</v>
      </c>
      <c r="G9" s="273" t="s">
        <v>4553</v>
      </c>
      <c r="H9" s="273" t="s">
        <v>99</v>
      </c>
      <c r="I9" s="273" t="s">
        <v>99</v>
      </c>
      <c r="J9" s="273" t="s">
        <v>4555</v>
      </c>
      <c r="K9" s="273" t="s">
        <v>4586</v>
      </c>
      <c r="L9" s="312" t="s">
        <v>99</v>
      </c>
      <c r="M9" s="3008"/>
      <c r="N9" s="3303"/>
      <c r="O9" s="3319"/>
      <c r="P9" s="3319"/>
      <c r="Q9" s="3319"/>
      <c r="R9" s="3319"/>
      <c r="S9" s="81"/>
      <c r="T9" s="328" t="s">
        <v>4589</v>
      </c>
      <c r="V9" s="329"/>
      <c r="W9" s="330"/>
      <c r="X9" s="329"/>
      <c r="Y9" s="329"/>
      <c r="Z9" s="329"/>
      <c r="AA9" s="329"/>
      <c r="AB9" s="329"/>
      <c r="AC9" s="329"/>
      <c r="AD9" s="329"/>
      <c r="AE9" s="329"/>
      <c r="AF9" s="337"/>
      <c r="AG9" s="182"/>
      <c r="AH9" s="182"/>
      <c r="AI9" s="182"/>
      <c r="AJ9" s="182"/>
      <c r="AK9" s="182"/>
    </row>
    <row r="10" spans="2:37" ht="14.25" customHeight="1">
      <c r="B10" s="268" t="s">
        <v>4590</v>
      </c>
      <c r="C10" s="269" t="s">
        <v>1409</v>
      </c>
      <c r="D10" s="270" t="s">
        <v>4591</v>
      </c>
      <c r="E10" s="270" t="s">
        <v>4592</v>
      </c>
      <c r="F10" s="270" t="s">
        <v>539</v>
      </c>
      <c r="G10" s="270" t="s">
        <v>4593</v>
      </c>
      <c r="H10" s="270" t="s">
        <v>4553</v>
      </c>
      <c r="I10" s="270" t="s">
        <v>4594</v>
      </c>
      <c r="J10" s="270" t="s">
        <v>4555</v>
      </c>
      <c r="K10" s="270" t="s">
        <v>4595</v>
      </c>
      <c r="L10" s="311" t="s">
        <v>4596</v>
      </c>
      <c r="M10" s="3008"/>
      <c r="N10" s="3303"/>
      <c r="O10" s="3319"/>
      <c r="P10" s="3319"/>
      <c r="Q10" s="3319"/>
      <c r="R10" s="3319"/>
      <c r="S10" s="81"/>
      <c r="T10" s="328" t="s">
        <v>4591</v>
      </c>
      <c r="V10" s="329"/>
      <c r="W10" s="330"/>
      <c r="X10" s="329"/>
      <c r="Y10" s="329"/>
      <c r="Z10" s="329"/>
      <c r="AA10" s="329"/>
      <c r="AB10" s="329"/>
      <c r="AC10" s="329"/>
      <c r="AD10" s="329"/>
      <c r="AE10" s="329"/>
      <c r="AF10" s="337"/>
      <c r="AG10" s="183"/>
      <c r="AH10" s="183"/>
      <c r="AI10" s="183"/>
      <c r="AJ10" s="183"/>
      <c r="AK10" s="183"/>
    </row>
    <row r="11" spans="2:37" ht="14.25" customHeight="1">
      <c r="B11" s="278" t="s">
        <v>2668</v>
      </c>
      <c r="C11" s="279" t="s">
        <v>2668</v>
      </c>
      <c r="D11" s="280" t="s">
        <v>4588</v>
      </c>
      <c r="E11" s="280" t="s">
        <v>4563</v>
      </c>
      <c r="F11" s="280" t="s">
        <v>539</v>
      </c>
      <c r="G11" s="280" t="s">
        <v>4553</v>
      </c>
      <c r="H11" s="280" t="s">
        <v>99</v>
      </c>
      <c r="I11" s="280" t="s">
        <v>99</v>
      </c>
      <c r="J11" s="280" t="s">
        <v>4555</v>
      </c>
      <c r="K11" s="280" t="s">
        <v>4597</v>
      </c>
      <c r="L11" s="314" t="s">
        <v>99</v>
      </c>
      <c r="M11" s="3008"/>
      <c r="N11" s="3303"/>
      <c r="O11" s="3325" t="s">
        <v>4598</v>
      </c>
      <c r="P11" s="3325"/>
      <c r="Q11" s="3325"/>
      <c r="R11" s="3326"/>
      <c r="S11" s="81"/>
      <c r="T11" s="328" t="s">
        <v>4589</v>
      </c>
      <c r="V11" s="329"/>
      <c r="W11" s="330"/>
      <c r="X11" s="329"/>
      <c r="Y11" s="329"/>
      <c r="Z11" s="329"/>
      <c r="AA11" s="329"/>
      <c r="AB11" s="329"/>
      <c r="AC11" s="329"/>
      <c r="AD11" s="329"/>
      <c r="AE11" s="329"/>
      <c r="AF11" s="337"/>
      <c r="AG11" s="183"/>
      <c r="AH11" s="183"/>
      <c r="AI11" s="183"/>
      <c r="AJ11" s="183"/>
      <c r="AK11" s="183"/>
    </row>
    <row r="12" spans="2:37" ht="14.25" customHeight="1">
      <c r="B12" s="268" t="s">
        <v>4599</v>
      </c>
      <c r="C12" s="269" t="s">
        <v>2651</v>
      </c>
      <c r="D12" s="270" t="s">
        <v>4600</v>
      </c>
      <c r="E12" s="270" t="s">
        <v>4563</v>
      </c>
      <c r="F12" s="270" t="s">
        <v>539</v>
      </c>
      <c r="G12" s="270" t="s">
        <v>4553</v>
      </c>
      <c r="H12" s="270" t="s">
        <v>99</v>
      </c>
      <c r="I12" s="270" t="s">
        <v>99</v>
      </c>
      <c r="J12" s="270" t="s">
        <v>4555</v>
      </c>
      <c r="K12" s="270" t="s">
        <v>4601</v>
      </c>
      <c r="L12" s="311" t="s">
        <v>99</v>
      </c>
      <c r="M12" s="3008"/>
      <c r="N12" s="3303"/>
      <c r="O12" s="3320"/>
      <c r="P12" s="3321"/>
      <c r="Q12" s="3321"/>
      <c r="R12" s="3322"/>
      <c r="S12" s="81"/>
      <c r="T12" s="328" t="s">
        <v>4602</v>
      </c>
      <c r="V12" s="329"/>
      <c r="W12" s="330"/>
      <c r="X12" s="329"/>
      <c r="Y12" s="329"/>
      <c r="Z12" s="329"/>
      <c r="AA12" s="329"/>
      <c r="AB12" s="329"/>
      <c r="AC12" s="329"/>
      <c r="AD12" s="329"/>
      <c r="AE12" s="329"/>
      <c r="AF12" s="337"/>
      <c r="AG12" s="183"/>
      <c r="AH12" s="183"/>
      <c r="AI12" s="183"/>
      <c r="AJ12" s="183"/>
      <c r="AK12" s="183"/>
    </row>
    <row r="13" spans="2:37" ht="14.25" customHeight="1">
      <c r="B13" s="271" t="s">
        <v>4603</v>
      </c>
      <c r="C13" s="272" t="s">
        <v>126</v>
      </c>
      <c r="D13" s="273" t="s">
        <v>4581</v>
      </c>
      <c r="E13" s="273" t="s">
        <v>4563</v>
      </c>
      <c r="F13" s="273" t="s">
        <v>539</v>
      </c>
      <c r="G13" s="273" t="s">
        <v>4553</v>
      </c>
      <c r="H13" s="273" t="s">
        <v>99</v>
      </c>
      <c r="I13" s="273" t="s">
        <v>99</v>
      </c>
      <c r="J13" s="273" t="s">
        <v>4555</v>
      </c>
      <c r="K13" s="273" t="s">
        <v>4604</v>
      </c>
      <c r="L13" s="312" t="s">
        <v>99</v>
      </c>
      <c r="M13" s="3008"/>
      <c r="N13" s="3303"/>
      <c r="O13" s="3320"/>
      <c r="P13" s="3321"/>
      <c r="Q13" s="3321"/>
      <c r="R13" s="3322"/>
      <c r="S13" s="81"/>
      <c r="T13" s="328" t="s">
        <v>4584</v>
      </c>
      <c r="W13" s="330"/>
      <c r="X13" s="329"/>
      <c r="Y13" s="329"/>
      <c r="Z13" s="329"/>
      <c r="AA13" s="329"/>
      <c r="AB13" s="329"/>
      <c r="AC13" s="329"/>
      <c r="AD13" s="329"/>
      <c r="AE13" s="329"/>
      <c r="AF13" s="337"/>
      <c r="AG13" s="183"/>
      <c r="AH13" s="183"/>
      <c r="AI13" s="183"/>
      <c r="AJ13" s="183"/>
      <c r="AK13" s="183"/>
    </row>
    <row r="14" spans="2:37" ht="14.25" customHeight="1">
      <c r="B14" s="268" t="s">
        <v>4605</v>
      </c>
      <c r="C14" s="269" t="s">
        <v>126</v>
      </c>
      <c r="D14" s="270" t="s">
        <v>4606</v>
      </c>
      <c r="E14" s="270" t="s">
        <v>4563</v>
      </c>
      <c r="F14" s="270" t="s">
        <v>539</v>
      </c>
      <c r="G14" s="270" t="s">
        <v>4553</v>
      </c>
      <c r="H14" s="270" t="s">
        <v>99</v>
      </c>
      <c r="I14" s="270" t="s">
        <v>99</v>
      </c>
      <c r="J14" s="270" t="s">
        <v>4555</v>
      </c>
      <c r="K14" s="270" t="s">
        <v>4582</v>
      </c>
      <c r="L14" s="311" t="s">
        <v>99</v>
      </c>
      <c r="M14" s="3008"/>
      <c r="N14" s="3303"/>
      <c r="O14" s="3320"/>
      <c r="P14" s="3321"/>
      <c r="Q14" s="3321"/>
      <c r="R14" s="3322"/>
      <c r="S14" s="81"/>
      <c r="T14" s="328" t="s">
        <v>4607</v>
      </c>
      <c r="W14" s="330"/>
      <c r="X14" s="329"/>
      <c r="Y14" s="329"/>
      <c r="Z14" s="329"/>
      <c r="AA14" s="329"/>
      <c r="AB14" s="329"/>
      <c r="AC14" s="329"/>
      <c r="AD14" s="329"/>
      <c r="AE14" s="329"/>
      <c r="AF14" s="337"/>
      <c r="AG14" s="183"/>
      <c r="AH14" s="183"/>
      <c r="AI14" s="183"/>
      <c r="AJ14" s="183"/>
      <c r="AK14" s="183"/>
    </row>
    <row r="15" spans="2:37" ht="14.25" customHeight="1">
      <c r="B15" s="271" t="s">
        <v>4608</v>
      </c>
      <c r="C15" s="272" t="s">
        <v>126</v>
      </c>
      <c r="D15" s="273" t="s">
        <v>4609</v>
      </c>
      <c r="E15" s="273" t="s">
        <v>4563</v>
      </c>
      <c r="F15" s="273" t="s">
        <v>539</v>
      </c>
      <c r="G15" s="273" t="s">
        <v>4553</v>
      </c>
      <c r="H15" s="273" t="s">
        <v>99</v>
      </c>
      <c r="I15" s="273" t="s">
        <v>99</v>
      </c>
      <c r="J15" s="273" t="s">
        <v>4555</v>
      </c>
      <c r="K15" s="273" t="s">
        <v>4610</v>
      </c>
      <c r="L15" s="312" t="s">
        <v>99</v>
      </c>
      <c r="M15" s="3008"/>
      <c r="N15" s="3303"/>
      <c r="O15" s="3320" t="s">
        <v>4611</v>
      </c>
      <c r="P15" s="3321"/>
      <c r="Q15" s="3321"/>
      <c r="R15" s="3322"/>
      <c r="S15" s="81"/>
      <c r="T15" s="328" t="s">
        <v>4612</v>
      </c>
      <c r="W15" s="330"/>
      <c r="X15" s="329"/>
      <c r="Y15" s="329"/>
      <c r="Z15" s="329"/>
      <c r="AA15" s="338"/>
      <c r="AB15" s="329"/>
      <c r="AC15" s="329"/>
      <c r="AD15" s="329"/>
      <c r="AE15" s="329"/>
      <c r="AF15" s="337"/>
      <c r="AG15" s="183"/>
      <c r="AH15" s="183"/>
      <c r="AI15" s="183"/>
      <c r="AJ15" s="183"/>
      <c r="AK15" s="183"/>
    </row>
    <row r="16" spans="2:37" ht="14.25" customHeight="1">
      <c r="B16" s="281" t="s">
        <v>4613</v>
      </c>
      <c r="C16" s="282" t="s">
        <v>126</v>
      </c>
      <c r="D16" s="283" t="s">
        <v>4614</v>
      </c>
      <c r="E16" s="283" t="s">
        <v>4563</v>
      </c>
      <c r="F16" s="283" t="s">
        <v>179</v>
      </c>
      <c r="G16" s="283" t="s">
        <v>4553</v>
      </c>
      <c r="H16" s="283" t="s">
        <v>99</v>
      </c>
      <c r="I16" s="283" t="s">
        <v>4577</v>
      </c>
      <c r="J16" s="283" t="s">
        <v>14</v>
      </c>
      <c r="K16" s="283" t="s">
        <v>99</v>
      </c>
      <c r="L16" s="315" t="s">
        <v>4615</v>
      </c>
      <c r="M16" s="3008"/>
      <c r="N16" s="3303" t="s">
        <v>4616</v>
      </c>
      <c r="O16" s="3320"/>
      <c r="P16" s="3321"/>
      <c r="Q16" s="3321"/>
      <c r="R16" s="3322"/>
      <c r="S16" s="81"/>
      <c r="T16" s="328" t="s">
        <v>4576</v>
      </c>
      <c r="W16" s="330"/>
      <c r="X16" s="329"/>
      <c r="Y16" s="329"/>
      <c r="Z16" s="329"/>
      <c r="AA16" s="329"/>
      <c r="AB16" s="329"/>
      <c r="AC16" s="329"/>
      <c r="AD16" s="329"/>
      <c r="AE16" s="329"/>
      <c r="AF16" s="337"/>
      <c r="AG16" s="183"/>
      <c r="AH16" s="183"/>
      <c r="AI16" s="183"/>
      <c r="AJ16" s="183"/>
      <c r="AK16" s="183"/>
    </row>
    <row r="17" spans="2:37" ht="14.25" customHeight="1">
      <c r="B17" s="284" t="s">
        <v>4617</v>
      </c>
      <c r="C17" s="285" t="s">
        <v>126</v>
      </c>
      <c r="D17" s="286" t="s">
        <v>4618</v>
      </c>
      <c r="E17" s="286" t="s">
        <v>4619</v>
      </c>
      <c r="F17" s="286" t="s">
        <v>179</v>
      </c>
      <c r="G17" s="286" t="s">
        <v>4553</v>
      </c>
      <c r="H17" s="286" t="s">
        <v>4620</v>
      </c>
      <c r="I17" s="286" t="s">
        <v>99</v>
      </c>
      <c r="J17" s="286" t="s">
        <v>4555</v>
      </c>
      <c r="K17" s="286" t="s">
        <v>4621</v>
      </c>
      <c r="L17" s="316" t="s">
        <v>4622</v>
      </c>
      <c r="M17" s="3008"/>
      <c r="N17" s="3303"/>
      <c r="O17" s="3323"/>
      <c r="P17" s="3323"/>
      <c r="Q17" s="3323"/>
      <c r="R17" s="3324"/>
      <c r="S17" s="81"/>
      <c r="T17" s="328"/>
      <c r="W17" s="330"/>
      <c r="X17" s="329"/>
      <c r="Y17" s="329"/>
      <c r="Z17" s="329"/>
      <c r="AA17" s="329"/>
      <c r="AB17" s="329"/>
      <c r="AC17" s="329"/>
      <c r="AD17" s="329"/>
      <c r="AE17" s="329"/>
      <c r="AF17" s="337"/>
      <c r="AG17" s="183"/>
      <c r="AH17" s="183"/>
      <c r="AI17" s="183"/>
      <c r="AJ17" s="183"/>
      <c r="AK17" s="183"/>
    </row>
    <row r="18" spans="2:37" ht="14.25" customHeight="1">
      <c r="B18" s="281" t="s">
        <v>4033</v>
      </c>
      <c r="C18" s="282" t="s">
        <v>2674</v>
      </c>
      <c r="D18" s="283" t="s">
        <v>4581</v>
      </c>
      <c r="E18" s="283" t="s">
        <v>4563</v>
      </c>
      <c r="F18" s="283" t="s">
        <v>179</v>
      </c>
      <c r="G18" s="283" t="s">
        <v>4553</v>
      </c>
      <c r="H18" s="283" t="s">
        <v>99</v>
      </c>
      <c r="I18" s="283" t="s">
        <v>99</v>
      </c>
      <c r="J18" s="283" t="s">
        <v>4555</v>
      </c>
      <c r="K18" s="283" t="s">
        <v>4564</v>
      </c>
      <c r="L18" s="315" t="s">
        <v>4623</v>
      </c>
      <c r="M18" s="3008"/>
      <c r="N18" s="3303"/>
      <c r="O18" s="3009" t="s">
        <v>4624</v>
      </c>
      <c r="P18" s="3009"/>
      <c r="Q18" s="3009"/>
      <c r="R18" s="3010"/>
      <c r="S18" s="81"/>
      <c r="T18" s="328" t="s">
        <v>4584</v>
      </c>
      <c r="W18" s="330"/>
      <c r="X18" s="329"/>
      <c r="Y18" s="329"/>
      <c r="Z18" s="329"/>
      <c r="AA18" s="329"/>
      <c r="AB18" s="329"/>
      <c r="AC18" s="329"/>
      <c r="AD18" s="329"/>
      <c r="AE18" s="329"/>
      <c r="AF18" s="337"/>
      <c r="AG18" s="183"/>
      <c r="AH18" s="183"/>
      <c r="AI18" s="183"/>
      <c r="AJ18" s="183"/>
      <c r="AK18" s="183"/>
    </row>
    <row r="19" spans="2:37" ht="14.25" customHeight="1">
      <c r="B19" s="268" t="s">
        <v>4625</v>
      </c>
      <c r="C19" s="269" t="s">
        <v>143</v>
      </c>
      <c r="D19" s="270" t="s">
        <v>4626</v>
      </c>
      <c r="E19" s="270" t="s">
        <v>4627</v>
      </c>
      <c r="F19" s="270" t="s">
        <v>179</v>
      </c>
      <c r="G19" s="270" t="s">
        <v>4553</v>
      </c>
      <c r="H19" s="270" t="s">
        <v>99</v>
      </c>
      <c r="I19" s="270" t="s">
        <v>99</v>
      </c>
      <c r="J19" s="270" t="s">
        <v>4555</v>
      </c>
      <c r="K19" s="270" t="s">
        <v>99</v>
      </c>
      <c r="L19" s="311" t="s">
        <v>99</v>
      </c>
      <c r="M19" s="3008"/>
      <c r="N19" s="3303"/>
      <c r="O19" s="3011"/>
      <c r="P19" s="3012"/>
      <c r="Q19" s="3012"/>
      <c r="R19" s="3013"/>
      <c r="S19" s="81"/>
      <c r="T19" s="328" t="s">
        <v>4628</v>
      </c>
      <c r="W19" s="333"/>
      <c r="X19" s="333"/>
      <c r="Y19" s="333"/>
      <c r="Z19" s="333"/>
      <c r="AA19" s="333"/>
      <c r="AB19" s="333"/>
      <c r="AC19" s="333"/>
      <c r="AD19" s="333"/>
      <c r="AE19" s="333"/>
      <c r="AF19" s="337"/>
      <c r="AG19" s="183"/>
      <c r="AH19" s="183"/>
      <c r="AI19" s="183"/>
      <c r="AJ19" s="183"/>
      <c r="AK19" s="183"/>
    </row>
    <row r="20" spans="2:37" ht="14.25" customHeight="1">
      <c r="B20" s="281" t="s">
        <v>4629</v>
      </c>
      <c r="C20" s="282" t="s">
        <v>143</v>
      </c>
      <c r="D20" s="283" t="s">
        <v>4567</v>
      </c>
      <c r="E20" s="283" t="s">
        <v>4627</v>
      </c>
      <c r="F20" s="283" t="s">
        <v>539</v>
      </c>
      <c r="G20" s="283" t="s">
        <v>4630</v>
      </c>
      <c r="H20" s="283" t="s">
        <v>4631</v>
      </c>
      <c r="I20" s="283" t="s">
        <v>3534</v>
      </c>
      <c r="J20" s="283" t="s">
        <v>4555</v>
      </c>
      <c r="K20" s="283" t="s">
        <v>4597</v>
      </c>
      <c r="L20" s="315" t="s">
        <v>99</v>
      </c>
      <c r="M20" s="3008"/>
      <c r="N20" s="3303"/>
      <c r="O20" s="3011"/>
      <c r="P20" s="3012"/>
      <c r="Q20" s="3012"/>
      <c r="R20" s="3013"/>
      <c r="S20" s="81"/>
      <c r="T20" s="328" t="s">
        <v>4571</v>
      </c>
      <c r="W20" s="333"/>
      <c r="X20" s="333"/>
      <c r="Y20" s="333"/>
      <c r="Z20" s="333"/>
      <c r="AA20" s="333"/>
      <c r="AB20" s="333"/>
      <c r="AC20" s="333"/>
      <c r="AD20" s="333"/>
      <c r="AE20" s="333"/>
      <c r="AF20" s="337"/>
      <c r="AG20" s="183"/>
      <c r="AH20" s="183"/>
      <c r="AI20" s="183"/>
      <c r="AJ20" s="183"/>
      <c r="AK20" s="183"/>
    </row>
    <row r="21" spans="2:37" ht="14.25" customHeight="1">
      <c r="B21" s="268" t="s">
        <v>4632</v>
      </c>
      <c r="C21" s="269" t="s">
        <v>1406</v>
      </c>
      <c r="D21" s="270" t="s">
        <v>4633</v>
      </c>
      <c r="E21" s="270" t="s">
        <v>4563</v>
      </c>
      <c r="F21" s="270" t="s">
        <v>539</v>
      </c>
      <c r="G21" s="270" t="s">
        <v>4553</v>
      </c>
      <c r="H21" s="270" t="s">
        <v>99</v>
      </c>
      <c r="I21" s="270" t="s">
        <v>99</v>
      </c>
      <c r="J21" s="270" t="s">
        <v>4555</v>
      </c>
      <c r="K21" s="270" t="s">
        <v>4634</v>
      </c>
      <c r="L21" s="311" t="s">
        <v>99</v>
      </c>
      <c r="M21" s="3008"/>
      <c r="N21" s="3303"/>
      <c r="O21" s="3011"/>
      <c r="P21" s="3012"/>
      <c r="Q21" s="3012"/>
      <c r="R21" s="3013"/>
      <c r="S21" s="81"/>
      <c r="T21" s="328" t="s">
        <v>4633</v>
      </c>
      <c r="X21" s="333"/>
      <c r="Y21" s="333"/>
      <c r="Z21" s="333"/>
      <c r="AA21" s="333"/>
      <c r="AB21" s="333"/>
      <c r="AC21" s="333"/>
      <c r="AD21" s="333"/>
      <c r="AE21" s="333"/>
      <c r="AF21" s="337"/>
      <c r="AG21" s="183"/>
      <c r="AH21" s="183"/>
      <c r="AI21" s="183"/>
      <c r="AJ21" s="183"/>
      <c r="AK21" s="183"/>
    </row>
    <row r="22" spans="2:37" ht="14.25" customHeight="1">
      <c r="B22" s="281" t="s">
        <v>4635</v>
      </c>
      <c r="C22" s="282" t="s">
        <v>143</v>
      </c>
      <c r="D22" s="283" t="s">
        <v>4636</v>
      </c>
      <c r="E22" s="283" t="s">
        <v>4627</v>
      </c>
      <c r="F22" s="283" t="s">
        <v>539</v>
      </c>
      <c r="G22" s="283" t="s">
        <v>4553</v>
      </c>
      <c r="H22" s="283" t="s">
        <v>99</v>
      </c>
      <c r="I22" s="283" t="s">
        <v>99</v>
      </c>
      <c r="J22" s="283" t="s">
        <v>4637</v>
      </c>
      <c r="K22" s="283" t="s">
        <v>4638</v>
      </c>
      <c r="L22" s="315" t="s">
        <v>99</v>
      </c>
      <c r="M22" s="3008"/>
      <c r="N22" s="3303"/>
      <c r="O22" s="2951" t="s">
        <v>4639</v>
      </c>
      <c r="P22" s="2952"/>
      <c r="Q22" s="2952"/>
      <c r="R22" s="2953"/>
      <c r="S22" s="81"/>
      <c r="T22" s="328" t="s">
        <v>4640</v>
      </c>
      <c r="X22" s="333"/>
      <c r="Y22" s="333"/>
      <c r="Z22" s="333"/>
      <c r="AA22" s="333"/>
      <c r="AB22" s="333"/>
      <c r="AC22" s="333"/>
      <c r="AD22" s="333"/>
      <c r="AE22" s="333"/>
      <c r="AF22" s="337"/>
      <c r="AG22" s="183"/>
      <c r="AH22" s="183"/>
      <c r="AI22" s="183"/>
      <c r="AJ22" s="183"/>
      <c r="AK22" s="183"/>
    </row>
    <row r="23" spans="2:37" ht="14.25" customHeight="1">
      <c r="B23" s="268" t="s">
        <v>4641</v>
      </c>
      <c r="C23" s="269" t="s">
        <v>1407</v>
      </c>
      <c r="D23" s="270" t="s">
        <v>4642</v>
      </c>
      <c r="E23" s="270" t="s">
        <v>4563</v>
      </c>
      <c r="F23" s="270" t="s">
        <v>539</v>
      </c>
      <c r="G23" s="270" t="s">
        <v>4553</v>
      </c>
      <c r="H23" s="270" t="s">
        <v>99</v>
      </c>
      <c r="I23" s="270" t="s">
        <v>99</v>
      </c>
      <c r="J23" s="270" t="s">
        <v>4555</v>
      </c>
      <c r="K23" s="270" t="s">
        <v>4643</v>
      </c>
      <c r="L23" s="311" t="s">
        <v>99</v>
      </c>
      <c r="M23" s="3008"/>
      <c r="N23" s="3303"/>
      <c r="O23" s="2954"/>
      <c r="P23" s="2955"/>
      <c r="Q23" s="2955"/>
      <c r="R23" s="2956"/>
      <c r="S23" s="81"/>
      <c r="T23" s="328" t="s">
        <v>4644</v>
      </c>
      <c r="X23" s="333"/>
      <c r="Y23" s="333"/>
      <c r="Z23" s="333"/>
      <c r="AA23" s="333"/>
      <c r="AB23" s="333"/>
      <c r="AC23" s="333"/>
      <c r="AD23" s="333"/>
      <c r="AE23" s="333"/>
      <c r="AF23" s="337"/>
      <c r="AG23" s="183"/>
      <c r="AH23" s="183"/>
      <c r="AI23" s="183"/>
      <c r="AJ23" s="183"/>
      <c r="AK23" s="183"/>
    </row>
    <row r="24" spans="2:37" ht="14.25" customHeight="1">
      <c r="B24" s="281" t="s">
        <v>4645</v>
      </c>
      <c r="C24" s="282" t="s">
        <v>1407</v>
      </c>
      <c r="D24" s="283" t="s">
        <v>4600</v>
      </c>
      <c r="E24" s="283" t="s">
        <v>4563</v>
      </c>
      <c r="F24" s="283" t="s">
        <v>539</v>
      </c>
      <c r="G24" s="283" t="s">
        <v>4553</v>
      </c>
      <c r="H24" s="283" t="s">
        <v>99</v>
      </c>
      <c r="I24" s="283" t="s">
        <v>99</v>
      </c>
      <c r="J24" s="283" t="s">
        <v>4555</v>
      </c>
      <c r="K24" s="283" t="s">
        <v>4646</v>
      </c>
      <c r="L24" s="315" t="s">
        <v>99</v>
      </c>
      <c r="M24" s="3008"/>
      <c r="N24" s="3303"/>
      <c r="O24" s="2954"/>
      <c r="P24" s="2955"/>
      <c r="Q24" s="2955"/>
      <c r="R24" s="2956"/>
      <c r="S24" s="81"/>
      <c r="T24" s="328" t="s">
        <v>4602</v>
      </c>
      <c r="X24" s="333"/>
      <c r="Y24" s="333"/>
      <c r="Z24" s="333"/>
      <c r="AA24" s="333"/>
      <c r="AB24" s="333"/>
      <c r="AC24" s="333"/>
      <c r="AD24" s="333"/>
      <c r="AE24" s="333"/>
      <c r="AF24" s="337"/>
      <c r="AG24" s="183"/>
      <c r="AH24" s="183"/>
      <c r="AI24" s="183"/>
      <c r="AJ24" s="183"/>
      <c r="AK24" s="183"/>
    </row>
    <row r="25" spans="2:37" ht="14.25" customHeight="1">
      <c r="B25" s="268" t="s">
        <v>4647</v>
      </c>
      <c r="C25" s="269" t="s">
        <v>1407</v>
      </c>
      <c r="D25" s="270" t="s">
        <v>4588</v>
      </c>
      <c r="E25" s="270" t="s">
        <v>4563</v>
      </c>
      <c r="F25" s="270" t="s">
        <v>539</v>
      </c>
      <c r="G25" s="270" t="s">
        <v>4553</v>
      </c>
      <c r="H25" s="270" t="s">
        <v>99</v>
      </c>
      <c r="I25" s="270" t="s">
        <v>99</v>
      </c>
      <c r="J25" s="270" t="s">
        <v>4555</v>
      </c>
      <c r="K25" s="270" t="s">
        <v>4648</v>
      </c>
      <c r="L25" s="311" t="s">
        <v>99</v>
      </c>
      <c r="M25" s="3008"/>
      <c r="N25" s="3303"/>
      <c r="O25" s="2957"/>
      <c r="P25" s="2958"/>
      <c r="Q25" s="2958"/>
      <c r="R25" s="2959"/>
      <c r="S25" s="81"/>
      <c r="T25" s="328" t="s">
        <v>4589</v>
      </c>
      <c r="X25" s="333"/>
      <c r="Y25" s="333"/>
      <c r="Z25" s="333"/>
      <c r="AA25" s="333"/>
      <c r="AB25" s="333"/>
      <c r="AC25" s="333"/>
      <c r="AD25" s="333"/>
      <c r="AE25" s="333"/>
      <c r="AF25" s="337"/>
      <c r="AG25" s="183"/>
      <c r="AH25" s="183"/>
      <c r="AI25" s="183"/>
      <c r="AJ25" s="183"/>
      <c r="AK25" s="183"/>
    </row>
    <row r="26" spans="2:37" ht="14.25" customHeight="1">
      <c r="B26" s="287" t="s">
        <v>4649</v>
      </c>
      <c r="C26" s="288" t="s">
        <v>126</v>
      </c>
      <c r="D26" s="289" t="s">
        <v>4650</v>
      </c>
      <c r="E26" s="289" t="s">
        <v>4563</v>
      </c>
      <c r="F26" s="289" t="s">
        <v>179</v>
      </c>
      <c r="G26" s="289" t="s">
        <v>4553</v>
      </c>
      <c r="H26" s="289" t="s">
        <v>99</v>
      </c>
      <c r="I26" s="289" t="s">
        <v>4554</v>
      </c>
      <c r="J26" s="289" t="s">
        <v>14</v>
      </c>
      <c r="K26" s="289" t="s">
        <v>4651</v>
      </c>
      <c r="L26" s="317" t="s">
        <v>4652</v>
      </c>
      <c r="M26" s="3008"/>
      <c r="N26" s="3303"/>
      <c r="O26" s="81"/>
      <c r="P26" s="81"/>
      <c r="Q26" s="81"/>
      <c r="R26" s="81"/>
      <c r="S26" s="81"/>
      <c r="T26" s="328" t="s">
        <v>4653</v>
      </c>
      <c r="Y26" s="333"/>
      <c r="Z26" s="333"/>
      <c r="AA26" s="333"/>
      <c r="AB26" s="333"/>
      <c r="AC26" s="333"/>
      <c r="AD26" s="333"/>
      <c r="AE26" s="333"/>
      <c r="AF26" s="337"/>
      <c r="AG26" s="183"/>
      <c r="AH26" s="183"/>
      <c r="AI26" s="183"/>
      <c r="AJ26" s="183"/>
      <c r="AK26" s="183"/>
    </row>
    <row r="27" spans="2:37" ht="14.25" customHeight="1">
      <c r="B27" s="290" t="s">
        <v>4654</v>
      </c>
      <c r="C27" s="291" t="s">
        <v>139</v>
      </c>
      <c r="D27" s="292" t="s">
        <v>4650</v>
      </c>
      <c r="E27" s="292" t="s">
        <v>4655</v>
      </c>
      <c r="F27" s="292" t="s">
        <v>179</v>
      </c>
      <c r="G27" s="292" t="s">
        <v>4553</v>
      </c>
      <c r="H27" s="292" t="s">
        <v>4656</v>
      </c>
      <c r="I27" s="292" t="s">
        <v>4577</v>
      </c>
      <c r="J27" s="292" t="s">
        <v>14</v>
      </c>
      <c r="K27" s="292" t="s">
        <v>4657</v>
      </c>
      <c r="L27" s="318" t="s">
        <v>4658</v>
      </c>
      <c r="M27" s="3008"/>
      <c r="N27" s="3303"/>
      <c r="O27" s="81"/>
      <c r="P27" s="81"/>
      <c r="Q27" s="81"/>
      <c r="R27" s="81"/>
      <c r="S27" s="81"/>
      <c r="T27" s="328" t="s">
        <v>4653</v>
      </c>
      <c r="Y27" s="333"/>
      <c r="Z27" s="333"/>
      <c r="AA27" s="333"/>
      <c r="AB27" s="333"/>
      <c r="AC27" s="333"/>
      <c r="AD27" s="333"/>
      <c r="AE27" s="333"/>
      <c r="AF27" s="337"/>
      <c r="AG27" s="183"/>
      <c r="AH27" s="183"/>
      <c r="AI27" s="183"/>
      <c r="AJ27" s="183"/>
      <c r="AK27" s="183"/>
    </row>
    <row r="28" spans="2:37" ht="14.25" customHeight="1">
      <c r="B28" s="281" t="s">
        <v>4659</v>
      </c>
      <c r="C28" s="282" t="s">
        <v>143</v>
      </c>
      <c r="D28" s="283" t="s">
        <v>4636</v>
      </c>
      <c r="E28" s="283" t="s">
        <v>4627</v>
      </c>
      <c r="F28" s="283" t="s">
        <v>179</v>
      </c>
      <c r="G28" s="283" t="s">
        <v>4553</v>
      </c>
      <c r="H28" s="283" t="s">
        <v>99</v>
      </c>
      <c r="I28" s="283" t="s">
        <v>99</v>
      </c>
      <c r="J28" s="283" t="s">
        <v>4637</v>
      </c>
      <c r="K28" s="283" t="s">
        <v>4660</v>
      </c>
      <c r="L28" s="315" t="s">
        <v>99</v>
      </c>
      <c r="M28" s="3008"/>
      <c r="N28" s="3303"/>
      <c r="O28" s="81"/>
      <c r="P28" s="81"/>
      <c r="Q28" s="81"/>
      <c r="R28" s="81"/>
      <c r="S28" s="81"/>
      <c r="T28" s="328" t="s">
        <v>4640</v>
      </c>
      <c r="Y28" s="183"/>
      <c r="Z28" s="183"/>
      <c r="AA28" s="183"/>
      <c r="AB28" s="183"/>
      <c r="AC28" s="183"/>
      <c r="AD28" s="183"/>
      <c r="AE28" s="183"/>
      <c r="AF28" s="337"/>
      <c r="AG28" s="183"/>
      <c r="AH28" s="183"/>
      <c r="AI28" s="183"/>
      <c r="AJ28" s="183"/>
      <c r="AK28" s="183"/>
    </row>
    <row r="29" spans="2:37" ht="14.25" customHeight="1">
      <c r="B29" s="268" t="s">
        <v>4661</v>
      </c>
      <c r="C29" s="269" t="s">
        <v>2651</v>
      </c>
      <c r="D29" s="270" t="s">
        <v>4662</v>
      </c>
      <c r="E29" s="270" t="s">
        <v>4563</v>
      </c>
      <c r="F29" s="270" t="s">
        <v>539</v>
      </c>
      <c r="G29" s="270" t="s">
        <v>4553</v>
      </c>
      <c r="H29" s="270" t="s">
        <v>99</v>
      </c>
      <c r="I29" s="270" t="s">
        <v>99</v>
      </c>
      <c r="J29" s="270" t="s">
        <v>4555</v>
      </c>
      <c r="K29" s="270" t="s">
        <v>4663</v>
      </c>
      <c r="L29" s="311" t="s">
        <v>99</v>
      </c>
      <c r="M29" s="3008"/>
      <c r="N29" s="3304"/>
      <c r="O29" s="81"/>
      <c r="P29" s="81"/>
      <c r="Q29" s="81"/>
      <c r="R29" s="81"/>
      <c r="S29" s="81"/>
      <c r="T29" s="328" t="s">
        <v>4664</v>
      </c>
      <c r="Y29" s="334"/>
      <c r="Z29" s="333"/>
      <c r="AA29" s="333"/>
      <c r="AB29" s="333"/>
      <c r="AC29" s="333"/>
      <c r="AD29" s="333"/>
      <c r="AE29" s="333"/>
      <c r="AF29" s="337"/>
      <c r="AG29" s="183"/>
      <c r="AH29" s="183"/>
      <c r="AI29" s="183"/>
      <c r="AJ29" s="183"/>
      <c r="AK29" s="183"/>
    </row>
    <row r="30" spans="2:37" ht="14.25" customHeight="1">
      <c r="B30" s="293" t="s">
        <v>4665</v>
      </c>
      <c r="C30" s="294" t="s">
        <v>139</v>
      </c>
      <c r="D30" s="295" t="s">
        <v>4666</v>
      </c>
      <c r="E30" s="295" t="s">
        <v>4667</v>
      </c>
      <c r="F30" s="295" t="s">
        <v>539</v>
      </c>
      <c r="G30" s="295" t="s">
        <v>4668</v>
      </c>
      <c r="H30" s="295" t="s">
        <v>4553</v>
      </c>
      <c r="I30" s="295" t="s">
        <v>4577</v>
      </c>
      <c r="J30" s="295" t="s">
        <v>4637</v>
      </c>
      <c r="K30" s="295" t="s">
        <v>4669</v>
      </c>
      <c r="L30" s="319" t="s">
        <v>4670</v>
      </c>
      <c r="M30" s="3183" t="s">
        <v>139</v>
      </c>
      <c r="N30" s="3305" t="s">
        <v>4671</v>
      </c>
      <c r="O30" s="320"/>
      <c r="P30" s="320"/>
      <c r="Q30" s="3029" t="s">
        <v>4672</v>
      </c>
      <c r="R30" s="3030"/>
      <c r="S30" s="81"/>
      <c r="T30" s="328" t="s">
        <v>4666</v>
      </c>
      <c r="Y30" s="333"/>
      <c r="Z30" s="333"/>
      <c r="AA30" s="333"/>
      <c r="AB30" s="333"/>
      <c r="AC30" s="333"/>
      <c r="AD30" s="333"/>
      <c r="AE30" s="333"/>
      <c r="AF30" s="337"/>
      <c r="AG30" s="183"/>
      <c r="AH30" s="183"/>
      <c r="AI30" s="183"/>
      <c r="AJ30" s="183"/>
      <c r="AK30" s="183"/>
    </row>
    <row r="31" spans="2:37" ht="14.25" customHeight="1">
      <c r="B31" s="268" t="s">
        <v>4673</v>
      </c>
      <c r="C31" s="269" t="s">
        <v>139</v>
      </c>
      <c r="D31" s="270" t="s">
        <v>4575</v>
      </c>
      <c r="E31" s="270" t="s">
        <v>4667</v>
      </c>
      <c r="F31" s="270" t="s">
        <v>539</v>
      </c>
      <c r="G31" s="270" t="s">
        <v>4674</v>
      </c>
      <c r="H31" s="270" t="s">
        <v>4675</v>
      </c>
      <c r="I31" s="270" t="s">
        <v>3534</v>
      </c>
      <c r="J31" s="270" t="s">
        <v>4555</v>
      </c>
      <c r="K31" s="270" t="s">
        <v>4676</v>
      </c>
      <c r="L31" s="311" t="s">
        <v>4677</v>
      </c>
      <c r="M31" s="3184"/>
      <c r="N31" s="3306"/>
      <c r="O31" s="320"/>
      <c r="P31" s="320"/>
      <c r="Q31" s="3031"/>
      <c r="R31" s="3032"/>
      <c r="S31" s="81"/>
      <c r="T31" s="328" t="s">
        <v>4575</v>
      </c>
      <c r="Y31" s="333"/>
      <c r="Z31" s="333"/>
      <c r="AA31" s="333"/>
      <c r="AB31" s="333"/>
      <c r="AC31" s="333"/>
      <c r="AD31" s="333"/>
      <c r="AE31" s="333"/>
      <c r="AF31" s="337"/>
      <c r="AG31" s="182"/>
      <c r="AH31" s="182"/>
      <c r="AI31" s="182"/>
      <c r="AJ31" s="182"/>
      <c r="AK31" s="182"/>
    </row>
    <row r="32" spans="2:37" ht="14.25" customHeight="1">
      <c r="B32" s="293" t="s">
        <v>4678</v>
      </c>
      <c r="C32" s="294" t="s">
        <v>139</v>
      </c>
      <c r="D32" s="295" t="s">
        <v>4575</v>
      </c>
      <c r="E32" s="295" t="s">
        <v>4656</v>
      </c>
      <c r="F32" s="295" t="s">
        <v>539</v>
      </c>
      <c r="G32" s="295" t="s">
        <v>4553</v>
      </c>
      <c r="H32" s="295">
        <v>1</v>
      </c>
      <c r="I32" s="295" t="s">
        <v>3534</v>
      </c>
      <c r="J32" s="295" t="s">
        <v>4569</v>
      </c>
      <c r="K32" s="295" t="s">
        <v>4679</v>
      </c>
      <c r="L32" s="319" t="s">
        <v>4680</v>
      </c>
      <c r="M32" s="3184"/>
      <c r="N32" s="3306"/>
      <c r="O32" s="320"/>
      <c r="P32" s="320"/>
      <c r="Q32" s="3031"/>
      <c r="R32" s="3032"/>
      <c r="S32" s="81"/>
      <c r="T32" s="328" t="s">
        <v>4575</v>
      </c>
      <c r="U32" s="256"/>
      <c r="V32" s="334"/>
      <c r="W32" s="334"/>
      <c r="X32" s="333"/>
      <c r="Y32" s="333"/>
      <c r="Z32" s="333"/>
      <c r="AA32" s="333"/>
      <c r="AB32" s="333"/>
      <c r="AC32" s="333"/>
      <c r="AD32" s="333"/>
      <c r="AE32" s="333"/>
      <c r="AF32" s="337"/>
      <c r="AG32" s="182"/>
      <c r="AH32" s="182"/>
      <c r="AI32" s="182"/>
      <c r="AJ32" s="182"/>
      <c r="AK32" s="182"/>
    </row>
    <row r="33" spans="2:37" ht="14.25" customHeight="1">
      <c r="B33" s="268" t="s">
        <v>4681</v>
      </c>
      <c r="C33" s="269" t="s">
        <v>139</v>
      </c>
      <c r="D33" s="270" t="s">
        <v>4682</v>
      </c>
      <c r="E33" s="270" t="s">
        <v>4683</v>
      </c>
      <c r="F33" s="270" t="s">
        <v>539</v>
      </c>
      <c r="G33" s="270" t="s">
        <v>4674</v>
      </c>
      <c r="H33" s="270" t="s">
        <v>4675</v>
      </c>
      <c r="I33" s="270" t="s">
        <v>3534</v>
      </c>
      <c r="J33" s="270" t="s">
        <v>4555</v>
      </c>
      <c r="K33" s="270" t="s">
        <v>4684</v>
      </c>
      <c r="L33" s="311" t="s">
        <v>4685</v>
      </c>
      <c r="M33" s="3184"/>
      <c r="N33" s="3306"/>
      <c r="O33" s="321"/>
      <c r="P33" s="321"/>
      <c r="Q33" s="3031"/>
      <c r="R33" s="3032"/>
      <c r="S33" s="81"/>
      <c r="T33" s="328" t="s">
        <v>4682</v>
      </c>
      <c r="U33" s="256"/>
      <c r="V33" s="334"/>
      <c r="W33" s="334"/>
      <c r="X33" s="333"/>
      <c r="Y33" s="333"/>
      <c r="Z33" s="333"/>
      <c r="AA33" s="333"/>
      <c r="AB33" s="333"/>
      <c r="AC33" s="333"/>
      <c r="AD33" s="333"/>
      <c r="AE33" s="333"/>
      <c r="AF33" s="337"/>
      <c r="AG33" s="182"/>
      <c r="AH33" s="182"/>
      <c r="AI33" s="182"/>
      <c r="AJ33" s="182"/>
      <c r="AK33" s="182"/>
    </row>
    <row r="34" spans="2:37" ht="14.25" customHeight="1">
      <c r="B34" s="293" t="s">
        <v>4686</v>
      </c>
      <c r="C34" s="294" t="s">
        <v>139</v>
      </c>
      <c r="D34" s="295" t="s">
        <v>4682</v>
      </c>
      <c r="E34" s="295" t="s">
        <v>4683</v>
      </c>
      <c r="F34" s="295" t="s">
        <v>539</v>
      </c>
      <c r="G34" s="295" t="s">
        <v>4674</v>
      </c>
      <c r="H34" s="295" t="s">
        <v>4687</v>
      </c>
      <c r="I34" s="295" t="s">
        <v>4688</v>
      </c>
      <c r="J34" s="295" t="s">
        <v>4555</v>
      </c>
      <c r="K34" s="295" t="s">
        <v>4689</v>
      </c>
      <c r="L34" s="319" t="s">
        <v>4685</v>
      </c>
      <c r="M34" s="3184"/>
      <c r="N34" s="3306"/>
      <c r="O34" s="321"/>
      <c r="P34" s="321"/>
      <c r="Q34" s="3031"/>
      <c r="R34" s="3032"/>
      <c r="S34" s="81"/>
      <c r="T34" s="328" t="s">
        <v>4682</v>
      </c>
      <c r="V34" s="333"/>
      <c r="W34" s="334"/>
      <c r="X34" s="333"/>
      <c r="Y34" s="333"/>
      <c r="Z34" s="333"/>
      <c r="AA34" s="333"/>
      <c r="AB34" s="333"/>
      <c r="AC34" s="333"/>
      <c r="AD34" s="333"/>
      <c r="AE34" s="333"/>
      <c r="AF34" s="337"/>
      <c r="AG34" s="182"/>
      <c r="AH34" s="182"/>
      <c r="AI34" s="182"/>
      <c r="AJ34" s="182"/>
      <c r="AK34" s="182"/>
    </row>
    <row r="35" spans="2:37" ht="14.25" customHeight="1">
      <c r="B35" s="268" t="s">
        <v>4690</v>
      </c>
      <c r="C35" s="269" t="s">
        <v>139</v>
      </c>
      <c r="D35" s="270" t="s">
        <v>4691</v>
      </c>
      <c r="E35" s="270" t="s">
        <v>4683</v>
      </c>
      <c r="F35" s="270" t="s">
        <v>539</v>
      </c>
      <c r="G35" s="270" t="s">
        <v>4674</v>
      </c>
      <c r="H35" s="270" t="s">
        <v>4675</v>
      </c>
      <c r="I35" s="270" t="s">
        <v>3534</v>
      </c>
      <c r="J35" s="270" t="s">
        <v>14</v>
      </c>
      <c r="K35" s="270" t="s">
        <v>4692</v>
      </c>
      <c r="L35" s="311" t="s">
        <v>4693</v>
      </c>
      <c r="M35" s="3184"/>
      <c r="N35" s="3306"/>
      <c r="O35" s="321"/>
      <c r="P35" s="321"/>
      <c r="Q35" s="3031"/>
      <c r="R35" s="3032"/>
      <c r="S35" s="81"/>
      <c r="T35" s="328" t="s">
        <v>4691</v>
      </c>
      <c r="V35" s="333"/>
      <c r="W35" s="334"/>
      <c r="X35" s="333"/>
      <c r="Y35" s="333"/>
      <c r="Z35" s="333"/>
      <c r="AA35" s="333"/>
      <c r="AB35" s="333"/>
      <c r="AC35" s="333"/>
      <c r="AD35" s="333"/>
      <c r="AE35" s="333"/>
      <c r="AF35" s="337"/>
      <c r="AG35" s="182"/>
      <c r="AH35" s="182"/>
      <c r="AI35" s="182"/>
      <c r="AJ35" s="182"/>
      <c r="AK35" s="182"/>
    </row>
    <row r="36" spans="2:37" ht="14.25" customHeight="1">
      <c r="B36" s="293" t="s">
        <v>4694</v>
      </c>
      <c r="C36" s="294" t="s">
        <v>139</v>
      </c>
      <c r="D36" s="295" t="s">
        <v>424</v>
      </c>
      <c r="E36" s="295" t="s">
        <v>4683</v>
      </c>
      <c r="F36" s="295" t="s">
        <v>539</v>
      </c>
      <c r="G36" s="295" t="s">
        <v>4674</v>
      </c>
      <c r="H36" s="295" t="s">
        <v>4675</v>
      </c>
      <c r="I36" s="295" t="s">
        <v>3534</v>
      </c>
      <c r="J36" s="295" t="s">
        <v>4555</v>
      </c>
      <c r="K36" s="295" t="s">
        <v>4695</v>
      </c>
      <c r="L36" s="319" t="s">
        <v>4696</v>
      </c>
      <c r="M36" s="3184"/>
      <c r="N36" s="3306"/>
      <c r="O36" s="81"/>
      <c r="P36" s="81"/>
      <c r="Q36" s="3031"/>
      <c r="R36" s="3032"/>
      <c r="S36" s="81"/>
      <c r="T36" s="328" t="s">
        <v>424</v>
      </c>
      <c r="X36" s="333"/>
      <c r="Y36" s="333"/>
      <c r="Z36" s="333"/>
      <c r="AA36" s="333"/>
      <c r="AB36" s="333"/>
      <c r="AC36" s="333"/>
      <c r="AD36" s="333"/>
      <c r="AE36" s="333"/>
      <c r="AF36" s="337"/>
      <c r="AG36" s="182"/>
      <c r="AH36" s="182"/>
      <c r="AI36" s="182"/>
      <c r="AJ36" s="182"/>
      <c r="AK36" s="182"/>
    </row>
    <row r="37" spans="2:37" ht="14.25" customHeight="1">
      <c r="B37" s="268" t="s">
        <v>4697</v>
      </c>
      <c r="C37" s="269" t="s">
        <v>139</v>
      </c>
      <c r="D37" s="270" t="s">
        <v>424</v>
      </c>
      <c r="E37" s="270" t="s">
        <v>4683</v>
      </c>
      <c r="F37" s="270" t="s">
        <v>539</v>
      </c>
      <c r="G37" s="270" t="s">
        <v>4674</v>
      </c>
      <c r="H37" s="270" t="s">
        <v>4687</v>
      </c>
      <c r="I37" s="270" t="s">
        <v>4688</v>
      </c>
      <c r="J37" s="270" t="s">
        <v>4555</v>
      </c>
      <c r="K37" s="270" t="s">
        <v>4698</v>
      </c>
      <c r="L37" s="311" t="s">
        <v>4696</v>
      </c>
      <c r="M37" s="3184"/>
      <c r="N37" s="3306"/>
      <c r="O37" s="322"/>
      <c r="P37" s="81"/>
      <c r="Q37" s="3031"/>
      <c r="R37" s="3032"/>
      <c r="S37" s="81"/>
      <c r="T37" s="328" t="s">
        <v>424</v>
      </c>
      <c r="X37" s="333"/>
      <c r="Y37" s="333"/>
      <c r="Z37" s="333"/>
      <c r="AA37" s="333"/>
      <c r="AB37" s="333"/>
      <c r="AC37" s="333"/>
      <c r="AD37" s="333"/>
      <c r="AE37" s="333"/>
      <c r="AF37" s="337"/>
      <c r="AG37" s="182"/>
      <c r="AH37" s="182"/>
      <c r="AI37" s="182"/>
      <c r="AJ37" s="182"/>
      <c r="AK37" s="182"/>
    </row>
    <row r="38" spans="2:37" ht="14.25" customHeight="1">
      <c r="B38" s="293" t="s">
        <v>4699</v>
      </c>
      <c r="C38" s="294" t="s">
        <v>139</v>
      </c>
      <c r="D38" s="295" t="s">
        <v>424</v>
      </c>
      <c r="E38" s="295" t="s">
        <v>4683</v>
      </c>
      <c r="F38" s="295" t="s">
        <v>539</v>
      </c>
      <c r="G38" s="295" t="s">
        <v>4674</v>
      </c>
      <c r="H38" s="295" t="s">
        <v>4683</v>
      </c>
      <c r="I38" s="295" t="s">
        <v>4700</v>
      </c>
      <c r="J38" s="295" t="s">
        <v>14</v>
      </c>
      <c r="K38" s="295" t="s">
        <v>4701</v>
      </c>
      <c r="L38" s="319" t="s">
        <v>4702</v>
      </c>
      <c r="M38" s="3184"/>
      <c r="N38" s="3306" t="s">
        <v>4703</v>
      </c>
      <c r="O38" s="323"/>
      <c r="P38" s="81"/>
      <c r="Q38" s="3031"/>
      <c r="R38" s="3032"/>
      <c r="S38" s="81"/>
      <c r="T38" s="328" t="s">
        <v>424</v>
      </c>
      <c r="X38" s="333"/>
      <c r="Y38" s="333"/>
      <c r="Z38" s="333"/>
      <c r="AA38" s="333"/>
      <c r="AB38" s="333"/>
      <c r="AC38" s="333"/>
      <c r="AD38" s="333"/>
      <c r="AE38" s="333"/>
      <c r="AF38" s="337"/>
      <c r="AG38" s="182"/>
      <c r="AH38" s="182"/>
      <c r="AI38" s="182"/>
      <c r="AJ38" s="182"/>
      <c r="AK38" s="182"/>
    </row>
    <row r="39" spans="2:37" ht="14.25" customHeight="1">
      <c r="B39" s="268" t="s">
        <v>4704</v>
      </c>
      <c r="C39" s="269" t="s">
        <v>139</v>
      </c>
      <c r="D39" s="270" t="s">
        <v>424</v>
      </c>
      <c r="E39" s="270" t="s">
        <v>4683</v>
      </c>
      <c r="F39" s="270" t="s">
        <v>539</v>
      </c>
      <c r="G39" s="270" t="s">
        <v>4674</v>
      </c>
      <c r="H39" s="270" t="s">
        <v>4705</v>
      </c>
      <c r="I39" s="270" t="s">
        <v>4700</v>
      </c>
      <c r="J39" s="270" t="s">
        <v>14</v>
      </c>
      <c r="K39" s="270" t="s">
        <v>4701</v>
      </c>
      <c r="L39" s="311" t="s">
        <v>4706</v>
      </c>
      <c r="M39" s="3184"/>
      <c r="N39" s="3306"/>
      <c r="O39" s="81"/>
      <c r="P39" s="81"/>
      <c r="Q39" s="3031"/>
      <c r="R39" s="3032"/>
      <c r="S39" s="81"/>
      <c r="T39" s="328" t="s">
        <v>424</v>
      </c>
      <c r="V39" s="333"/>
      <c r="W39" s="334"/>
      <c r="X39" s="333"/>
      <c r="Y39" s="333"/>
      <c r="Z39" s="333"/>
      <c r="AA39" s="333"/>
      <c r="AB39" s="333"/>
      <c r="AC39" s="333"/>
      <c r="AD39" s="333"/>
      <c r="AE39" s="333"/>
      <c r="AF39" s="337"/>
      <c r="AG39" s="182"/>
      <c r="AH39" s="182"/>
      <c r="AI39" s="182"/>
      <c r="AJ39" s="182"/>
      <c r="AK39" s="182"/>
    </row>
    <row r="40" spans="2:37" ht="14.25" customHeight="1">
      <c r="B40" s="293" t="s">
        <v>4707</v>
      </c>
      <c r="C40" s="294" t="s">
        <v>139</v>
      </c>
      <c r="D40" s="295" t="s">
        <v>424</v>
      </c>
      <c r="E40" s="295" t="s">
        <v>4683</v>
      </c>
      <c r="F40" s="295" t="s">
        <v>539</v>
      </c>
      <c r="G40" s="295" t="s">
        <v>4674</v>
      </c>
      <c r="H40" s="295" t="s">
        <v>4687</v>
      </c>
      <c r="I40" s="295" t="s">
        <v>4688</v>
      </c>
      <c r="J40" s="295" t="s">
        <v>4555</v>
      </c>
      <c r="K40" s="295" t="s">
        <v>4708</v>
      </c>
      <c r="L40" s="319" t="s">
        <v>4709</v>
      </c>
      <c r="M40" s="3184"/>
      <c r="N40" s="3306"/>
      <c r="O40" s="81"/>
      <c r="P40" s="81"/>
      <c r="Q40" s="3031"/>
      <c r="R40" s="3032"/>
      <c r="S40" s="81"/>
      <c r="T40" s="328" t="s">
        <v>424</v>
      </c>
      <c r="V40" s="333"/>
      <c r="W40" s="334"/>
      <c r="X40" s="333"/>
      <c r="Y40" s="333"/>
      <c r="Z40" s="333"/>
      <c r="AA40" s="333"/>
      <c r="AB40" s="333"/>
      <c r="AC40" s="333"/>
      <c r="AD40" s="333"/>
      <c r="AE40" s="333"/>
      <c r="AF40" s="337"/>
      <c r="AG40" s="182"/>
      <c r="AH40" s="183"/>
      <c r="AI40" s="183"/>
      <c r="AJ40" s="183"/>
      <c r="AK40" s="183"/>
    </row>
    <row r="41" spans="2:37" ht="14.25" customHeight="1">
      <c r="B41" s="268" t="s">
        <v>4710</v>
      </c>
      <c r="C41" s="269" t="s">
        <v>139</v>
      </c>
      <c r="D41" s="270" t="s">
        <v>424</v>
      </c>
      <c r="E41" s="270" t="s">
        <v>4683</v>
      </c>
      <c r="F41" s="270" t="s">
        <v>539</v>
      </c>
      <c r="G41" s="270" t="s">
        <v>4674</v>
      </c>
      <c r="H41" s="270" t="s">
        <v>4687</v>
      </c>
      <c r="I41" s="270" t="s">
        <v>3534</v>
      </c>
      <c r="J41" s="270" t="s">
        <v>4711</v>
      </c>
      <c r="K41" s="270" t="s">
        <v>4712</v>
      </c>
      <c r="L41" s="311" t="s">
        <v>4713</v>
      </c>
      <c r="M41" s="3184"/>
      <c r="N41" s="3306"/>
      <c r="O41" s="81"/>
      <c r="P41" s="81"/>
      <c r="Q41" s="3031"/>
      <c r="R41" s="3032"/>
      <c r="S41" s="81"/>
      <c r="T41" s="328" t="s">
        <v>424</v>
      </c>
      <c r="V41" s="333"/>
      <c r="W41" s="334"/>
      <c r="X41" s="333"/>
      <c r="Y41" s="333"/>
      <c r="Z41" s="333"/>
      <c r="AA41" s="333"/>
      <c r="AB41" s="333"/>
      <c r="AC41" s="333"/>
      <c r="AD41" s="333"/>
      <c r="AE41" s="333"/>
      <c r="AF41" s="337"/>
      <c r="AG41" s="182"/>
      <c r="AH41" s="183"/>
      <c r="AI41" s="183"/>
      <c r="AJ41" s="183"/>
      <c r="AK41" s="183"/>
    </row>
    <row r="42" spans="2:37" ht="14.25" customHeight="1">
      <c r="B42" s="293" t="s">
        <v>4714</v>
      </c>
      <c r="C42" s="294" t="s">
        <v>139</v>
      </c>
      <c r="D42" s="295" t="s">
        <v>4715</v>
      </c>
      <c r="E42" s="295" t="s">
        <v>4683</v>
      </c>
      <c r="F42" s="295" t="s">
        <v>539</v>
      </c>
      <c r="G42" s="295" t="s">
        <v>4674</v>
      </c>
      <c r="H42" s="295" t="s">
        <v>4675</v>
      </c>
      <c r="I42" s="295" t="s">
        <v>3534</v>
      </c>
      <c r="J42" s="295" t="s">
        <v>14</v>
      </c>
      <c r="K42" s="295">
        <v>475</v>
      </c>
      <c r="L42" s="319" t="s">
        <v>4716</v>
      </c>
      <c r="M42" s="3184"/>
      <c r="N42" s="3306"/>
      <c r="O42" s="81"/>
      <c r="P42" s="81"/>
      <c r="Q42" s="3031"/>
      <c r="R42" s="3032"/>
      <c r="S42" s="81"/>
      <c r="T42" s="328" t="s">
        <v>4715</v>
      </c>
      <c r="V42" s="333"/>
      <c r="W42" s="334"/>
      <c r="X42" s="333"/>
      <c r="Y42" s="333"/>
      <c r="Z42" s="333"/>
      <c r="AA42" s="333"/>
      <c r="AB42" s="333"/>
      <c r="AC42" s="333"/>
      <c r="AD42" s="333"/>
      <c r="AE42" s="333"/>
      <c r="AF42" s="337"/>
      <c r="AG42" s="182"/>
      <c r="AH42" s="183"/>
      <c r="AI42" s="183"/>
      <c r="AJ42" s="183"/>
      <c r="AK42" s="183"/>
    </row>
    <row r="43" spans="2:37" ht="14.25" customHeight="1">
      <c r="B43" s="268" t="s">
        <v>4717</v>
      </c>
      <c r="C43" s="269" t="s">
        <v>139</v>
      </c>
      <c r="D43" s="270" t="s">
        <v>4718</v>
      </c>
      <c r="E43" s="270" t="s">
        <v>4683</v>
      </c>
      <c r="F43" s="270" t="s">
        <v>539</v>
      </c>
      <c r="G43" s="270" t="s">
        <v>4674</v>
      </c>
      <c r="H43" s="270" t="s">
        <v>4675</v>
      </c>
      <c r="I43" s="270" t="s">
        <v>3534</v>
      </c>
      <c r="J43" s="270" t="s">
        <v>4555</v>
      </c>
      <c r="K43" s="270" t="s">
        <v>4669</v>
      </c>
      <c r="L43" s="311" t="s">
        <v>4719</v>
      </c>
      <c r="M43" s="3184"/>
      <c r="N43" s="3306"/>
      <c r="O43" s="81"/>
      <c r="P43" s="81"/>
      <c r="Q43" s="3031"/>
      <c r="R43" s="3032"/>
      <c r="S43" s="81"/>
      <c r="T43" s="328" t="s">
        <v>4718</v>
      </c>
      <c r="V43" s="333"/>
      <c r="W43" s="334"/>
      <c r="X43" s="333"/>
      <c r="Y43" s="333"/>
      <c r="Z43" s="333"/>
      <c r="AA43" s="333"/>
      <c r="AB43" s="333"/>
      <c r="AC43" s="333"/>
      <c r="AD43" s="333"/>
      <c r="AE43" s="333"/>
      <c r="AF43" s="337"/>
      <c r="AG43" s="182"/>
      <c r="AH43" s="183"/>
      <c r="AI43" s="183"/>
      <c r="AJ43" s="183"/>
      <c r="AK43" s="183"/>
    </row>
    <row r="44" spans="2:37" ht="14.25" customHeight="1">
      <c r="B44" s="293" t="s">
        <v>4720</v>
      </c>
      <c r="C44" s="294" t="s">
        <v>139</v>
      </c>
      <c r="D44" s="295" t="s">
        <v>4718</v>
      </c>
      <c r="E44" s="295" t="s">
        <v>4683</v>
      </c>
      <c r="F44" s="295" t="s">
        <v>539</v>
      </c>
      <c r="G44" s="295" t="s">
        <v>4674</v>
      </c>
      <c r="H44" s="295" t="s">
        <v>4721</v>
      </c>
      <c r="I44" s="295" t="s">
        <v>3534</v>
      </c>
      <c r="J44" s="295" t="s">
        <v>4555</v>
      </c>
      <c r="K44" s="295" t="s">
        <v>4722</v>
      </c>
      <c r="L44" s="319" t="s">
        <v>4719</v>
      </c>
      <c r="M44" s="3184"/>
      <c r="N44" s="3306"/>
      <c r="O44" s="81"/>
      <c r="P44" s="81"/>
      <c r="Q44" s="3031"/>
      <c r="R44" s="3032"/>
      <c r="S44" s="81"/>
      <c r="T44" s="328" t="s">
        <v>4718</v>
      </c>
      <c r="V44" s="333"/>
      <c r="W44" s="334"/>
      <c r="X44" s="333"/>
      <c r="Y44" s="333"/>
      <c r="Z44" s="333"/>
      <c r="AA44" s="333"/>
      <c r="AB44" s="333"/>
      <c r="AC44" s="333"/>
      <c r="AD44" s="333"/>
      <c r="AE44" s="333"/>
      <c r="AF44" s="337"/>
      <c r="AG44" s="182"/>
      <c r="AH44" s="183"/>
      <c r="AI44" s="183"/>
      <c r="AJ44" s="183"/>
      <c r="AK44" s="183"/>
    </row>
    <row r="45" spans="2:37" ht="14.25" customHeight="1">
      <c r="B45" s="293" t="s">
        <v>4723</v>
      </c>
      <c r="C45" s="294" t="s">
        <v>139</v>
      </c>
      <c r="D45" s="295" t="s">
        <v>4724</v>
      </c>
      <c r="E45" s="295" t="s">
        <v>4683</v>
      </c>
      <c r="F45" s="295" t="s">
        <v>539</v>
      </c>
      <c r="G45" s="295" t="s">
        <v>4674</v>
      </c>
      <c r="H45" s="295" t="s">
        <v>4721</v>
      </c>
      <c r="I45" s="295" t="s">
        <v>4725</v>
      </c>
      <c r="J45" s="295" t="s">
        <v>14</v>
      </c>
      <c r="K45" s="295">
        <v>650</v>
      </c>
      <c r="L45" s="319" t="s">
        <v>4726</v>
      </c>
      <c r="M45" s="3185"/>
      <c r="N45" s="3307"/>
      <c r="O45" s="81"/>
      <c r="P45" s="81"/>
      <c r="Q45" s="3031"/>
      <c r="R45" s="3032"/>
      <c r="S45" s="81"/>
      <c r="T45" s="328" t="s">
        <v>4724</v>
      </c>
      <c r="V45" s="333"/>
      <c r="W45" s="334"/>
      <c r="X45" s="333"/>
      <c r="Y45" s="333"/>
      <c r="Z45" s="333"/>
      <c r="AA45" s="333"/>
      <c r="AB45" s="333"/>
      <c r="AC45" s="333"/>
      <c r="AD45" s="333"/>
      <c r="AE45" s="333"/>
      <c r="AF45" s="337"/>
      <c r="AG45" s="182"/>
      <c r="AH45" s="183"/>
      <c r="AI45" s="183"/>
      <c r="AJ45" s="183"/>
      <c r="AK45" s="183"/>
    </row>
    <row r="46" spans="2:37" ht="14.25" customHeight="1">
      <c r="B46" s="296" t="s">
        <v>4727</v>
      </c>
      <c r="C46" s="297" t="s">
        <v>393</v>
      </c>
      <c r="D46" s="298" t="s">
        <v>4728</v>
      </c>
      <c r="E46" s="298" t="s">
        <v>4729</v>
      </c>
      <c r="F46" s="298" t="s">
        <v>539</v>
      </c>
      <c r="G46" s="298" t="s">
        <v>4668</v>
      </c>
      <c r="H46" s="298" t="s">
        <v>4553</v>
      </c>
      <c r="I46" s="298" t="s">
        <v>4577</v>
      </c>
      <c r="J46" s="298" t="s">
        <v>4637</v>
      </c>
      <c r="K46" s="298" t="s">
        <v>4730</v>
      </c>
      <c r="L46" s="324" t="s">
        <v>4731</v>
      </c>
      <c r="M46" s="3186" t="s">
        <v>394</v>
      </c>
      <c r="N46" s="3308" t="s">
        <v>4732</v>
      </c>
      <c r="O46" s="3072" t="s">
        <v>4733</v>
      </c>
      <c r="P46" s="3073"/>
      <c r="Q46" s="3031"/>
      <c r="R46" s="3032"/>
      <c r="S46" s="81"/>
      <c r="T46" s="328" t="s">
        <v>4728</v>
      </c>
      <c r="V46" s="333"/>
      <c r="W46" s="334"/>
      <c r="X46" s="333"/>
      <c r="Y46" s="333"/>
      <c r="Z46" s="333"/>
      <c r="AA46" s="333"/>
      <c r="AB46" s="333"/>
      <c r="AC46" s="333"/>
      <c r="AD46" s="333"/>
      <c r="AE46" s="333"/>
      <c r="AF46" s="337"/>
      <c r="AG46" s="182"/>
      <c r="AH46" s="183"/>
      <c r="AI46" s="183"/>
      <c r="AJ46" s="183"/>
      <c r="AK46" s="183"/>
    </row>
    <row r="47" spans="2:37" ht="14.25" customHeight="1">
      <c r="B47" s="268" t="s">
        <v>4734</v>
      </c>
      <c r="C47" s="269" t="s">
        <v>393</v>
      </c>
      <c r="D47" s="270" t="s">
        <v>4666</v>
      </c>
      <c r="E47" s="270" t="s">
        <v>4735</v>
      </c>
      <c r="F47" s="270" t="s">
        <v>539</v>
      </c>
      <c r="G47" s="270" t="s">
        <v>4553</v>
      </c>
      <c r="H47" s="270" t="s">
        <v>4675</v>
      </c>
      <c r="I47" s="270" t="s">
        <v>4688</v>
      </c>
      <c r="J47" s="270" t="s">
        <v>4555</v>
      </c>
      <c r="K47" s="270" t="s">
        <v>4736</v>
      </c>
      <c r="L47" s="311" t="s">
        <v>4677</v>
      </c>
      <c r="M47" s="3187"/>
      <c r="N47" s="3309"/>
      <c r="O47" s="3074"/>
      <c r="P47" s="3075"/>
      <c r="Q47" s="3031"/>
      <c r="R47" s="3032"/>
      <c r="S47" s="81"/>
      <c r="T47" s="328" t="s">
        <v>4666</v>
      </c>
      <c r="V47" s="333"/>
      <c r="W47" s="334"/>
      <c r="X47" s="333"/>
      <c r="Y47" s="333"/>
      <c r="Z47" s="333"/>
      <c r="AA47" s="333"/>
      <c r="AB47" s="333"/>
      <c r="AC47" s="333"/>
      <c r="AD47" s="333"/>
      <c r="AE47" s="333"/>
      <c r="AF47" s="337"/>
      <c r="AG47" s="182"/>
      <c r="AH47" s="183"/>
      <c r="AI47" s="183"/>
      <c r="AJ47" s="183"/>
      <c r="AK47" s="183"/>
    </row>
    <row r="48" spans="2:37" ht="14.25" customHeight="1">
      <c r="B48" s="296" t="s">
        <v>4737</v>
      </c>
      <c r="C48" s="297" t="s">
        <v>393</v>
      </c>
      <c r="D48" s="298" t="s">
        <v>4738</v>
      </c>
      <c r="E48" s="298" t="s">
        <v>3524</v>
      </c>
      <c r="F48" s="298" t="s">
        <v>539</v>
      </c>
      <c r="G48" s="298" t="s">
        <v>4553</v>
      </c>
      <c r="H48" s="298" t="s">
        <v>4675</v>
      </c>
      <c r="I48" s="298" t="s">
        <v>4700</v>
      </c>
      <c r="J48" s="298" t="s">
        <v>4555</v>
      </c>
      <c r="K48" s="298" t="s">
        <v>4739</v>
      </c>
      <c r="L48" s="324" t="s">
        <v>4740</v>
      </c>
      <c r="M48" s="3187"/>
      <c r="N48" s="3309"/>
      <c r="O48" s="3074"/>
      <c r="P48" s="3075"/>
      <c r="Q48" s="3031"/>
      <c r="R48" s="3032"/>
      <c r="S48" s="81"/>
      <c r="T48" s="328" t="s">
        <v>4738</v>
      </c>
      <c r="V48" s="333"/>
      <c r="W48" s="334"/>
      <c r="X48" s="333"/>
      <c r="Y48" s="333"/>
      <c r="Z48" s="333"/>
      <c r="AA48" s="333"/>
      <c r="AB48" s="333"/>
      <c r="AC48" s="333"/>
      <c r="AD48" s="333"/>
      <c r="AE48" s="333"/>
      <c r="AF48" s="337"/>
      <c r="AG48" s="182"/>
      <c r="AH48" s="183"/>
      <c r="AI48" s="183"/>
      <c r="AJ48" s="183"/>
      <c r="AK48" s="183"/>
    </row>
    <row r="49" spans="2:37" ht="14.25" customHeight="1">
      <c r="B49" s="268" t="s">
        <v>4741</v>
      </c>
      <c r="C49" s="269" t="s">
        <v>393</v>
      </c>
      <c r="D49" s="270" t="s">
        <v>4742</v>
      </c>
      <c r="E49" s="270" t="s">
        <v>4743</v>
      </c>
      <c r="F49" s="270" t="s">
        <v>539</v>
      </c>
      <c r="G49" s="270" t="s">
        <v>4744</v>
      </c>
      <c r="H49" s="270" t="s">
        <v>4553</v>
      </c>
      <c r="I49" s="270" t="s">
        <v>3534</v>
      </c>
      <c r="J49" s="270" t="s">
        <v>4569</v>
      </c>
      <c r="K49" s="270" t="s">
        <v>4745</v>
      </c>
      <c r="L49" s="311" t="s">
        <v>4746</v>
      </c>
      <c r="M49" s="3187"/>
      <c r="N49" s="3309"/>
      <c r="O49" s="3074"/>
      <c r="P49" s="3075"/>
      <c r="Q49" s="3031"/>
      <c r="R49" s="3032"/>
      <c r="S49" s="81"/>
      <c r="T49" s="328" t="s">
        <v>4742</v>
      </c>
      <c r="V49" s="333"/>
      <c r="W49" s="334"/>
      <c r="X49" s="333"/>
      <c r="Y49" s="333"/>
      <c r="Z49" s="333"/>
      <c r="AA49" s="333"/>
      <c r="AB49" s="333"/>
      <c r="AC49" s="333"/>
      <c r="AD49" s="333"/>
      <c r="AE49" s="333"/>
      <c r="AF49" s="337"/>
      <c r="AG49" s="182"/>
      <c r="AH49" s="183"/>
      <c r="AI49" s="183"/>
      <c r="AJ49" s="183"/>
      <c r="AK49" s="183"/>
    </row>
    <row r="50" spans="2:37" ht="14.25" customHeight="1">
      <c r="B50" s="299" t="s">
        <v>4747</v>
      </c>
      <c r="C50" s="300" t="s">
        <v>393</v>
      </c>
      <c r="D50" s="301" t="s">
        <v>4748</v>
      </c>
      <c r="E50" s="301" t="s">
        <v>4749</v>
      </c>
      <c r="F50" s="301" t="s">
        <v>539</v>
      </c>
      <c r="G50" s="301" t="s">
        <v>4744</v>
      </c>
      <c r="H50" s="301" t="s">
        <v>4553</v>
      </c>
      <c r="I50" s="301" t="s">
        <v>4750</v>
      </c>
      <c r="J50" s="301" t="s">
        <v>4569</v>
      </c>
      <c r="K50" s="301" t="s">
        <v>4751</v>
      </c>
      <c r="L50" s="325" t="s">
        <v>99</v>
      </c>
      <c r="M50" s="3187"/>
      <c r="N50" s="3309"/>
      <c r="O50" s="3074"/>
      <c r="P50" s="3075"/>
      <c r="Q50" s="3031"/>
      <c r="R50" s="3032"/>
      <c r="S50" s="81"/>
      <c r="T50" s="328" t="s">
        <v>4748</v>
      </c>
      <c r="V50" s="333"/>
      <c r="W50" s="334"/>
      <c r="X50" s="333"/>
      <c r="Y50" s="333"/>
      <c r="Z50" s="333"/>
      <c r="AA50" s="333"/>
      <c r="AB50" s="333"/>
      <c r="AC50" s="333"/>
      <c r="AD50" s="333"/>
      <c r="AE50" s="333"/>
      <c r="AF50" s="337"/>
      <c r="AG50" s="182"/>
      <c r="AH50" s="183"/>
      <c r="AI50" s="183"/>
      <c r="AJ50" s="183"/>
      <c r="AK50" s="183"/>
    </row>
    <row r="51" spans="2:37" ht="14.25" customHeight="1">
      <c r="B51" s="302" t="s">
        <v>4752</v>
      </c>
      <c r="C51" s="303" t="s">
        <v>393</v>
      </c>
      <c r="D51" s="304" t="s">
        <v>4753</v>
      </c>
      <c r="E51" s="304" t="s">
        <v>4754</v>
      </c>
      <c r="F51" s="304" t="s">
        <v>539</v>
      </c>
      <c r="G51" s="304" t="s">
        <v>4553</v>
      </c>
      <c r="H51" s="304" t="s">
        <v>4687</v>
      </c>
      <c r="I51" s="304" t="s">
        <v>3534</v>
      </c>
      <c r="J51" s="304" t="s">
        <v>4755</v>
      </c>
      <c r="K51" s="304" t="s">
        <v>4756</v>
      </c>
      <c r="L51" s="326" t="s">
        <v>4757</v>
      </c>
      <c r="M51" s="3187"/>
      <c r="N51" s="3309"/>
      <c r="O51" s="3074"/>
      <c r="P51" s="3075"/>
      <c r="Q51" s="3031"/>
      <c r="R51" s="3032"/>
      <c r="S51" s="81"/>
      <c r="T51" s="328" t="s">
        <v>4753</v>
      </c>
      <c r="V51" s="183"/>
      <c r="W51" s="183"/>
      <c r="X51" s="183"/>
      <c r="Y51" s="183"/>
      <c r="Z51" s="183"/>
      <c r="AA51" s="183"/>
      <c r="AB51" s="183"/>
      <c r="AC51" s="183"/>
      <c r="AD51" s="183"/>
      <c r="AE51" s="183"/>
      <c r="AF51" s="337"/>
      <c r="AG51" s="182"/>
      <c r="AH51" s="183"/>
      <c r="AI51" s="183"/>
      <c r="AJ51" s="183"/>
      <c r="AK51" s="183"/>
    </row>
    <row r="52" spans="2:37" ht="14.25" customHeight="1">
      <c r="B52" s="217" t="s">
        <v>4758</v>
      </c>
      <c r="C52" s="305" t="s">
        <v>393</v>
      </c>
      <c r="D52" s="218" t="s">
        <v>4748</v>
      </c>
      <c r="E52" s="218" t="s">
        <v>4759</v>
      </c>
      <c r="F52" s="218" t="s">
        <v>539</v>
      </c>
      <c r="G52" s="218" t="s">
        <v>4760</v>
      </c>
      <c r="H52" s="218" t="s">
        <v>4667</v>
      </c>
      <c r="I52" s="218" t="s">
        <v>4554</v>
      </c>
      <c r="J52" s="218" t="s">
        <v>14</v>
      </c>
      <c r="K52" s="218" t="s">
        <v>3543</v>
      </c>
      <c r="L52" s="235" t="s">
        <v>4761</v>
      </c>
      <c r="M52" s="3187"/>
      <c r="N52" s="3309"/>
      <c r="O52" s="3074"/>
      <c r="P52" s="3075"/>
      <c r="Q52" s="3031"/>
      <c r="R52" s="3032"/>
      <c r="S52" s="81"/>
      <c r="T52" s="328" t="s">
        <v>4748</v>
      </c>
      <c r="V52" s="333"/>
      <c r="W52" s="334"/>
      <c r="X52" s="333"/>
      <c r="Y52" s="333"/>
      <c r="Z52" s="333"/>
      <c r="AA52" s="333"/>
      <c r="AB52" s="333"/>
      <c r="AC52" s="333"/>
      <c r="AD52" s="333"/>
      <c r="AE52" s="333"/>
      <c r="AF52" s="337"/>
      <c r="AG52" s="341"/>
      <c r="AH52" s="341"/>
      <c r="AI52" s="183"/>
      <c r="AJ52" s="183"/>
      <c r="AK52" s="183"/>
    </row>
    <row r="53" spans="2:37" ht="14.25" customHeight="1">
      <c r="B53" s="302" t="s">
        <v>4762</v>
      </c>
      <c r="C53" s="303" t="s">
        <v>393</v>
      </c>
      <c r="D53" s="304" t="s">
        <v>4753</v>
      </c>
      <c r="E53" s="304" t="s">
        <v>4754</v>
      </c>
      <c r="F53" s="304" t="s">
        <v>539</v>
      </c>
      <c r="G53" s="304" t="s">
        <v>4553</v>
      </c>
      <c r="H53" s="304" t="s">
        <v>4763</v>
      </c>
      <c r="I53" s="304" t="s">
        <v>3534</v>
      </c>
      <c r="J53" s="304" t="s">
        <v>4555</v>
      </c>
      <c r="K53" s="304" t="s">
        <v>4764</v>
      </c>
      <c r="L53" s="326" t="s">
        <v>4765</v>
      </c>
      <c r="M53" s="3187"/>
      <c r="N53" s="3309"/>
      <c r="O53" s="3074"/>
      <c r="P53" s="3075"/>
      <c r="Q53" s="3031"/>
      <c r="R53" s="3032"/>
      <c r="S53" s="81"/>
      <c r="T53" s="328" t="s">
        <v>4753</v>
      </c>
      <c r="V53" s="333"/>
      <c r="W53" s="334"/>
      <c r="X53" s="333"/>
      <c r="Y53" s="333"/>
      <c r="Z53" s="333"/>
      <c r="AA53" s="333"/>
      <c r="AB53" s="333"/>
      <c r="AC53" s="333"/>
      <c r="AD53" s="333"/>
      <c r="AE53" s="333"/>
      <c r="AF53" s="339"/>
      <c r="AG53" s="341"/>
      <c r="AH53" s="341"/>
      <c r="AI53" s="183"/>
      <c r="AJ53" s="183"/>
      <c r="AK53" s="183"/>
    </row>
    <row r="54" spans="2:37" ht="14.25" customHeight="1">
      <c r="B54" s="217" t="s">
        <v>4766</v>
      </c>
      <c r="C54" s="305" t="s">
        <v>393</v>
      </c>
      <c r="D54" s="218" t="s">
        <v>4753</v>
      </c>
      <c r="E54" s="218" t="s">
        <v>4754</v>
      </c>
      <c r="F54" s="218" t="s">
        <v>539</v>
      </c>
      <c r="G54" s="218" t="s">
        <v>4553</v>
      </c>
      <c r="H54" s="218" t="s">
        <v>4763</v>
      </c>
      <c r="I54" s="218" t="s">
        <v>3534</v>
      </c>
      <c r="J54" s="218" t="s">
        <v>4555</v>
      </c>
      <c r="K54" s="218" t="s">
        <v>4767</v>
      </c>
      <c r="L54" s="235" t="s">
        <v>4740</v>
      </c>
      <c r="M54" s="3187"/>
      <c r="N54" s="3309"/>
      <c r="O54" s="3074"/>
      <c r="P54" s="3075"/>
      <c r="Q54" s="3031"/>
      <c r="R54" s="3032"/>
      <c r="S54" s="81"/>
      <c r="T54" s="328" t="s">
        <v>4753</v>
      </c>
      <c r="V54" s="333"/>
      <c r="W54" s="334"/>
      <c r="X54" s="333"/>
      <c r="Y54" s="333"/>
      <c r="Z54" s="333"/>
      <c r="AA54" s="333"/>
      <c r="AB54" s="333"/>
      <c r="AC54" s="333"/>
      <c r="AD54" s="333"/>
      <c r="AE54" s="333"/>
      <c r="AF54" s="339"/>
      <c r="AG54" s="341"/>
      <c r="AH54" s="341"/>
      <c r="AI54" s="183"/>
      <c r="AJ54" s="183"/>
      <c r="AK54" s="183"/>
    </row>
    <row r="55" spans="2:37" ht="14.25" customHeight="1">
      <c r="B55" s="302" t="s">
        <v>4768</v>
      </c>
      <c r="C55" s="303" t="s">
        <v>393</v>
      </c>
      <c r="D55" s="304" t="s">
        <v>4753</v>
      </c>
      <c r="E55" s="304" t="s">
        <v>4754</v>
      </c>
      <c r="F55" s="304" t="s">
        <v>539</v>
      </c>
      <c r="G55" s="304" t="s">
        <v>4553</v>
      </c>
      <c r="H55" s="304" t="s">
        <v>4763</v>
      </c>
      <c r="I55" s="304" t="s">
        <v>3534</v>
      </c>
      <c r="J55" s="304" t="s">
        <v>14</v>
      </c>
      <c r="K55" s="304" t="s">
        <v>4769</v>
      </c>
      <c r="L55" s="326" t="s">
        <v>4770</v>
      </c>
      <c r="M55" s="3187"/>
      <c r="N55" s="3309"/>
      <c r="O55" s="3074"/>
      <c r="P55" s="3075"/>
      <c r="Q55" s="3031"/>
      <c r="R55" s="3032"/>
      <c r="S55" s="81"/>
      <c r="T55" s="328" t="s">
        <v>4753</v>
      </c>
      <c r="V55" s="333"/>
      <c r="W55" s="334"/>
      <c r="X55" s="333"/>
      <c r="Y55" s="333"/>
      <c r="Z55" s="333"/>
      <c r="AA55" s="333"/>
      <c r="AB55" s="333"/>
      <c r="AC55" s="333"/>
      <c r="AD55" s="333"/>
      <c r="AE55" s="333"/>
      <c r="AF55" s="339"/>
      <c r="AG55" s="182"/>
      <c r="AH55" s="341"/>
      <c r="AI55" s="183"/>
      <c r="AJ55" s="183"/>
      <c r="AK55" s="183"/>
    </row>
    <row r="56" spans="2:37" ht="14.25" customHeight="1">
      <c r="B56" s="217" t="s">
        <v>4771</v>
      </c>
      <c r="C56" s="305" t="s">
        <v>393</v>
      </c>
      <c r="D56" s="218" t="s">
        <v>4772</v>
      </c>
      <c r="E56" s="218" t="s">
        <v>4754</v>
      </c>
      <c r="F56" s="218" t="s">
        <v>539</v>
      </c>
      <c r="G56" s="218" t="s">
        <v>4553</v>
      </c>
      <c r="H56" s="218" t="s">
        <v>4763</v>
      </c>
      <c r="I56" s="218" t="s">
        <v>4700</v>
      </c>
      <c r="J56" s="218" t="s">
        <v>14</v>
      </c>
      <c r="K56" s="218">
        <v>400</v>
      </c>
      <c r="L56" s="235" t="s">
        <v>4615</v>
      </c>
      <c r="M56" s="3187"/>
      <c r="N56" s="3309"/>
      <c r="O56" s="3074"/>
      <c r="P56" s="3075"/>
      <c r="Q56" s="3031"/>
      <c r="R56" s="3032"/>
      <c r="S56" s="81"/>
      <c r="T56" s="328" t="s">
        <v>4772</v>
      </c>
      <c r="V56" s="333"/>
      <c r="W56" s="334"/>
      <c r="X56" s="333"/>
      <c r="Y56" s="333"/>
      <c r="Z56" s="333"/>
      <c r="AA56" s="333"/>
      <c r="AB56" s="333"/>
      <c r="AC56" s="333"/>
      <c r="AD56" s="333"/>
      <c r="AE56" s="333"/>
      <c r="AF56" s="339"/>
      <c r="AG56" s="182"/>
      <c r="AH56" s="341"/>
      <c r="AI56" s="183"/>
      <c r="AJ56" s="183"/>
      <c r="AK56" s="183"/>
    </row>
    <row r="57" spans="2:37" ht="14.25" customHeight="1">
      <c r="B57" s="306" t="s">
        <v>4773</v>
      </c>
      <c r="C57" s="307" t="s">
        <v>393</v>
      </c>
      <c r="D57" s="308" t="s">
        <v>4774</v>
      </c>
      <c r="E57" s="308" t="s">
        <v>3534</v>
      </c>
      <c r="F57" s="308" t="s">
        <v>539</v>
      </c>
      <c r="G57" s="308" t="s">
        <v>4775</v>
      </c>
      <c r="H57" s="308" t="s">
        <v>4630</v>
      </c>
      <c r="I57" s="308" t="s">
        <v>3534</v>
      </c>
      <c r="J57" s="308" t="s">
        <v>4555</v>
      </c>
      <c r="K57" s="308" t="s">
        <v>4776</v>
      </c>
      <c r="L57" s="327" t="s">
        <v>99</v>
      </c>
      <c r="M57" s="3187"/>
      <c r="N57" s="3309"/>
      <c r="O57" s="3074"/>
      <c r="P57" s="3075"/>
      <c r="Q57" s="3031"/>
      <c r="R57" s="3032"/>
      <c r="S57" s="81"/>
      <c r="T57" s="328" t="s">
        <v>4774</v>
      </c>
      <c r="V57" s="333"/>
      <c r="W57" s="334"/>
      <c r="X57" s="333"/>
      <c r="Y57" s="333"/>
      <c r="Z57" s="333"/>
      <c r="AA57" s="333"/>
      <c r="AB57" s="333"/>
      <c r="AC57" s="333"/>
      <c r="AD57" s="333"/>
      <c r="AE57" s="333"/>
      <c r="AF57" s="339"/>
      <c r="AG57" s="182"/>
      <c r="AH57" s="341"/>
      <c r="AI57" s="183"/>
      <c r="AJ57" s="183"/>
      <c r="AK57" s="183"/>
    </row>
    <row r="58" spans="2:37" ht="14.25" customHeight="1">
      <c r="B58" s="296" t="s">
        <v>4777</v>
      </c>
      <c r="C58" s="297" t="s">
        <v>393</v>
      </c>
      <c r="D58" s="298" t="s">
        <v>4778</v>
      </c>
      <c r="E58" s="298" t="s">
        <v>4779</v>
      </c>
      <c r="F58" s="298" t="s">
        <v>179</v>
      </c>
      <c r="G58" s="298" t="s">
        <v>4775</v>
      </c>
      <c r="H58" s="298" t="s">
        <v>4630</v>
      </c>
      <c r="I58" s="298" t="s">
        <v>3534</v>
      </c>
      <c r="J58" s="298" t="s">
        <v>4569</v>
      </c>
      <c r="K58" s="298" t="s">
        <v>4780</v>
      </c>
      <c r="L58" s="3006" t="s">
        <v>4781</v>
      </c>
      <c r="M58" s="3188" t="s">
        <v>4782</v>
      </c>
      <c r="N58" s="3310" t="s">
        <v>4783</v>
      </c>
      <c r="O58" s="2990" t="s">
        <v>4784</v>
      </c>
      <c r="P58" s="2994" t="s">
        <v>4785</v>
      </c>
      <c r="Q58" s="3031"/>
      <c r="R58" s="3032"/>
      <c r="S58" s="81"/>
      <c r="T58" s="328" t="s">
        <v>4738</v>
      </c>
      <c r="V58" s="333"/>
      <c r="W58" s="334"/>
      <c r="X58" s="333"/>
      <c r="Y58" s="333"/>
      <c r="Z58" s="333"/>
      <c r="AA58" s="333"/>
      <c r="AB58" s="333"/>
      <c r="AC58" s="333"/>
      <c r="AD58" s="333"/>
      <c r="AE58" s="333"/>
      <c r="AF58" s="339"/>
      <c r="AG58" s="182"/>
      <c r="AH58" s="341"/>
      <c r="AI58" s="183"/>
      <c r="AJ58" s="183"/>
      <c r="AK58" s="183"/>
    </row>
    <row r="59" spans="2:37" ht="14.25" customHeight="1">
      <c r="B59" s="268" t="s">
        <v>4786</v>
      </c>
      <c r="C59" s="269" t="s">
        <v>393</v>
      </c>
      <c r="D59" s="270" t="s">
        <v>4787</v>
      </c>
      <c r="E59" s="270" t="s">
        <v>4779</v>
      </c>
      <c r="F59" s="270" t="s">
        <v>179</v>
      </c>
      <c r="G59" s="270" t="s">
        <v>4775</v>
      </c>
      <c r="H59" s="270" t="s">
        <v>4630</v>
      </c>
      <c r="I59" s="270" t="s">
        <v>3534</v>
      </c>
      <c r="J59" s="270" t="s">
        <v>4569</v>
      </c>
      <c r="K59" s="270" t="s">
        <v>4788</v>
      </c>
      <c r="L59" s="3006"/>
      <c r="M59" s="3189"/>
      <c r="N59" s="2995"/>
      <c r="O59" s="2991"/>
      <c r="P59" s="2995"/>
      <c r="Q59" s="3031"/>
      <c r="R59" s="3032"/>
      <c r="S59" s="81"/>
      <c r="T59" s="328" t="s">
        <v>4789</v>
      </c>
      <c r="V59" s="333"/>
      <c r="W59" s="334"/>
      <c r="X59" s="333"/>
      <c r="Y59" s="333"/>
      <c r="Z59" s="333"/>
      <c r="AA59" s="333"/>
      <c r="AB59" s="333"/>
      <c r="AC59" s="333"/>
      <c r="AD59" s="333"/>
      <c r="AE59" s="333"/>
      <c r="AF59" s="339"/>
      <c r="AG59" s="182"/>
      <c r="AH59" s="183"/>
      <c r="AI59" s="183"/>
      <c r="AJ59" s="183"/>
      <c r="AK59" s="183"/>
    </row>
    <row r="60" spans="2:37" ht="14.25" customHeight="1">
      <c r="B60" s="296" t="s">
        <v>4790</v>
      </c>
      <c r="C60" s="297" t="s">
        <v>393</v>
      </c>
      <c r="D60" s="298" t="s">
        <v>4791</v>
      </c>
      <c r="E60" s="298" t="s">
        <v>4779</v>
      </c>
      <c r="F60" s="298" t="s">
        <v>179</v>
      </c>
      <c r="G60" s="298" t="s">
        <v>4775</v>
      </c>
      <c r="H60" s="298" t="s">
        <v>4630</v>
      </c>
      <c r="I60" s="298" t="s">
        <v>3534</v>
      </c>
      <c r="J60" s="298" t="s">
        <v>4555</v>
      </c>
      <c r="K60" s="298" t="s">
        <v>4792</v>
      </c>
      <c r="L60" s="3006"/>
      <c r="M60" s="3189"/>
      <c r="N60" s="2995"/>
      <c r="O60" s="2991"/>
      <c r="P60" s="2995"/>
      <c r="Q60" s="3031"/>
      <c r="R60" s="3032"/>
      <c r="S60" s="81"/>
      <c r="T60" s="328" t="s">
        <v>4793</v>
      </c>
      <c r="V60" s="333"/>
      <c r="W60" s="334"/>
      <c r="X60" s="333"/>
      <c r="Y60" s="333"/>
      <c r="Z60" s="333"/>
      <c r="AA60" s="333"/>
      <c r="AB60" s="333"/>
      <c r="AC60" s="333"/>
      <c r="AD60" s="333"/>
      <c r="AE60" s="333"/>
      <c r="AF60" s="339"/>
      <c r="AG60" s="182"/>
      <c r="AH60" s="183"/>
      <c r="AI60" s="183"/>
      <c r="AJ60" s="183"/>
      <c r="AK60" s="183"/>
    </row>
    <row r="61" spans="2:37" ht="14.25" customHeight="1">
      <c r="B61" s="268" t="s">
        <v>4794</v>
      </c>
      <c r="C61" s="269" t="s">
        <v>393</v>
      </c>
      <c r="D61" s="270" t="s">
        <v>4791</v>
      </c>
      <c r="E61" s="270" t="s">
        <v>4779</v>
      </c>
      <c r="F61" s="270" t="s">
        <v>179</v>
      </c>
      <c r="G61" s="270" t="s">
        <v>4553</v>
      </c>
      <c r="H61" s="270" t="s">
        <v>4763</v>
      </c>
      <c r="I61" s="270" t="s">
        <v>3534</v>
      </c>
      <c r="J61" s="270" t="s">
        <v>14</v>
      </c>
      <c r="K61" s="270" t="s">
        <v>4795</v>
      </c>
      <c r="L61" s="3006"/>
      <c r="M61" s="3189"/>
      <c r="N61" s="2995"/>
      <c r="O61" s="2991"/>
      <c r="P61" s="2995"/>
      <c r="Q61" s="3031"/>
      <c r="R61" s="3032"/>
      <c r="S61" s="81"/>
      <c r="T61" s="328" t="s">
        <v>4793</v>
      </c>
      <c r="V61" s="183"/>
      <c r="W61" s="183"/>
      <c r="X61" s="183"/>
      <c r="Y61" s="183"/>
      <c r="Z61" s="183"/>
      <c r="AA61" s="183"/>
      <c r="AB61" s="183"/>
      <c r="AC61" s="183"/>
      <c r="AD61" s="183"/>
      <c r="AE61" s="183"/>
      <c r="AF61" s="339"/>
      <c r="AG61" s="182"/>
      <c r="AH61" s="183"/>
      <c r="AI61" s="183"/>
      <c r="AJ61" s="183"/>
      <c r="AK61" s="183"/>
    </row>
    <row r="62" spans="2:37" ht="14.25" customHeight="1">
      <c r="B62" s="296" t="s">
        <v>4796</v>
      </c>
      <c r="C62" s="297" t="s">
        <v>393</v>
      </c>
      <c r="D62" s="298" t="s">
        <v>4791</v>
      </c>
      <c r="E62" s="298" t="s">
        <v>4779</v>
      </c>
      <c r="F62" s="298" t="s">
        <v>179</v>
      </c>
      <c r="G62" s="298" t="s">
        <v>4760</v>
      </c>
      <c r="H62" s="298" t="s">
        <v>4763</v>
      </c>
      <c r="I62" s="298" t="s">
        <v>3534</v>
      </c>
      <c r="J62" s="298" t="s">
        <v>14</v>
      </c>
      <c r="K62" s="298" t="s">
        <v>4795</v>
      </c>
      <c r="L62" s="3006"/>
      <c r="M62" s="3189"/>
      <c r="N62" s="2995"/>
      <c r="O62" s="2991"/>
      <c r="P62" s="2995"/>
      <c r="Q62" s="3031"/>
      <c r="R62" s="3032"/>
      <c r="S62" s="81"/>
      <c r="T62" s="328" t="s">
        <v>4793</v>
      </c>
      <c r="V62" s="333"/>
      <c r="W62" s="334"/>
      <c r="X62" s="333"/>
      <c r="Y62" s="333"/>
      <c r="Z62" s="333"/>
      <c r="AA62" s="333"/>
      <c r="AB62" s="333"/>
      <c r="AC62" s="333"/>
      <c r="AD62" s="333"/>
      <c r="AE62" s="333"/>
      <c r="AF62" s="339"/>
      <c r="AG62" s="182"/>
      <c r="AH62" s="183"/>
      <c r="AI62" s="183"/>
      <c r="AJ62" s="183"/>
      <c r="AK62" s="183"/>
    </row>
    <row r="63" spans="2:37" ht="14.25" customHeight="1">
      <c r="B63" s="268" t="s">
        <v>4797</v>
      </c>
      <c r="C63" s="269" t="s">
        <v>393</v>
      </c>
      <c r="D63" s="270" t="s">
        <v>4798</v>
      </c>
      <c r="E63" s="270" t="s">
        <v>4663</v>
      </c>
      <c r="F63" s="270" t="s">
        <v>179</v>
      </c>
      <c r="G63" s="270" t="s">
        <v>4775</v>
      </c>
      <c r="H63" s="270" t="s">
        <v>4630</v>
      </c>
      <c r="I63" s="270" t="s">
        <v>3534</v>
      </c>
      <c r="J63" s="270" t="s">
        <v>4569</v>
      </c>
      <c r="K63" s="270" t="s">
        <v>4799</v>
      </c>
      <c r="L63" s="3006"/>
      <c r="M63" s="3189"/>
      <c r="N63" s="2995"/>
      <c r="O63" s="2991"/>
      <c r="P63" s="2995"/>
      <c r="Q63" s="3031"/>
      <c r="R63" s="3032"/>
      <c r="S63" s="81"/>
      <c r="T63" s="328" t="s">
        <v>4793</v>
      </c>
      <c r="V63" s="183"/>
      <c r="W63" s="183"/>
      <c r="X63" s="183"/>
      <c r="Y63" s="183"/>
      <c r="Z63" s="183"/>
      <c r="AA63" s="183"/>
      <c r="AB63" s="183"/>
      <c r="AC63" s="183"/>
      <c r="AD63" s="183"/>
      <c r="AE63" s="183"/>
      <c r="AF63" s="340"/>
      <c r="AG63" s="182"/>
      <c r="AH63" s="183"/>
      <c r="AI63" s="183"/>
      <c r="AJ63" s="183"/>
      <c r="AK63" s="183"/>
    </row>
    <row r="64" spans="2:37" ht="14.25" customHeight="1">
      <c r="B64" s="296" t="s">
        <v>4800</v>
      </c>
      <c r="C64" s="297" t="s">
        <v>393</v>
      </c>
      <c r="D64" s="298" t="s">
        <v>4801</v>
      </c>
      <c r="E64" s="298" t="s">
        <v>4779</v>
      </c>
      <c r="F64" s="298" t="s">
        <v>179</v>
      </c>
      <c r="G64" s="298" t="s">
        <v>4775</v>
      </c>
      <c r="H64" s="298" t="s">
        <v>4630</v>
      </c>
      <c r="I64" s="298" t="s">
        <v>3534</v>
      </c>
      <c r="J64" s="298" t="s">
        <v>4802</v>
      </c>
      <c r="K64" s="298" t="s">
        <v>4803</v>
      </c>
      <c r="L64" s="3006"/>
      <c r="M64" s="3189"/>
      <c r="N64" s="2995"/>
      <c r="O64" s="2991"/>
      <c r="P64" s="2995"/>
      <c r="Q64" s="3031"/>
      <c r="R64" s="3032"/>
      <c r="S64" s="81"/>
      <c r="T64" s="328" t="s">
        <v>4804</v>
      </c>
      <c r="V64" s="183"/>
      <c r="W64" s="183"/>
      <c r="X64" s="183"/>
      <c r="Y64" s="183"/>
      <c r="Z64" s="183"/>
      <c r="AA64" s="183"/>
      <c r="AB64" s="183"/>
      <c r="AC64" s="183"/>
      <c r="AD64" s="183"/>
      <c r="AE64" s="183"/>
      <c r="AF64" s="340"/>
      <c r="AG64" s="182"/>
      <c r="AH64" s="183"/>
      <c r="AI64" s="183"/>
      <c r="AJ64" s="183"/>
      <c r="AK64" s="183"/>
    </row>
    <row r="65" spans="2:37" ht="14.25" customHeight="1">
      <c r="B65" s="268" t="s">
        <v>4805</v>
      </c>
      <c r="C65" s="269" t="s">
        <v>393</v>
      </c>
      <c r="D65" s="270" t="s">
        <v>4791</v>
      </c>
      <c r="E65" s="270" t="s">
        <v>4779</v>
      </c>
      <c r="F65" s="270" t="s">
        <v>179</v>
      </c>
      <c r="G65" s="270" t="s">
        <v>4760</v>
      </c>
      <c r="H65" s="270" t="s">
        <v>4721</v>
      </c>
      <c r="I65" s="270" t="s">
        <v>3534</v>
      </c>
      <c r="J65" s="270" t="s">
        <v>14</v>
      </c>
      <c r="K65" s="270" t="s">
        <v>4806</v>
      </c>
      <c r="L65" s="3006"/>
      <c r="M65" s="3189"/>
      <c r="N65" s="2995"/>
      <c r="O65" s="2991"/>
      <c r="P65" s="2995"/>
      <c r="Q65" s="3031"/>
      <c r="R65" s="3032"/>
      <c r="S65" s="81"/>
      <c r="T65" s="328" t="s">
        <v>4793</v>
      </c>
      <c r="V65" s="183"/>
      <c r="W65" s="183"/>
      <c r="X65" s="183"/>
      <c r="Y65" s="183"/>
      <c r="Z65" s="183"/>
      <c r="AA65" s="183"/>
      <c r="AB65" s="183"/>
      <c r="AC65" s="183"/>
      <c r="AD65" s="183"/>
      <c r="AE65" s="183"/>
      <c r="AF65" s="340"/>
      <c r="AG65" s="182"/>
      <c r="AH65" s="182"/>
      <c r="AI65" s="182"/>
      <c r="AJ65" s="182"/>
      <c r="AK65" s="182"/>
    </row>
    <row r="66" spans="2:37" ht="14.25" customHeight="1">
      <c r="B66" s="296" t="s">
        <v>4807</v>
      </c>
      <c r="C66" s="297" t="s">
        <v>393</v>
      </c>
      <c r="D66" s="298" t="s">
        <v>4791</v>
      </c>
      <c r="E66" s="298" t="s">
        <v>4779</v>
      </c>
      <c r="F66" s="298" t="s">
        <v>179</v>
      </c>
      <c r="G66" s="298" t="s">
        <v>4553</v>
      </c>
      <c r="H66" s="298" t="s">
        <v>4687</v>
      </c>
      <c r="I66" s="298" t="s">
        <v>4700</v>
      </c>
      <c r="J66" s="298" t="s">
        <v>14</v>
      </c>
      <c r="K66" s="298" t="s">
        <v>4808</v>
      </c>
      <c r="L66" s="324" t="s">
        <v>4809</v>
      </c>
      <c r="M66" s="3190"/>
      <c r="N66" s="2996"/>
      <c r="O66" s="2992"/>
      <c r="P66" s="2996"/>
      <c r="Q66" s="3033"/>
      <c r="R66" s="3034"/>
      <c r="S66" s="81"/>
      <c r="T66" s="328" t="s">
        <v>4793</v>
      </c>
      <c r="V66" s="183"/>
      <c r="W66" s="183"/>
      <c r="X66" s="183"/>
      <c r="Y66" s="183"/>
      <c r="Z66" s="183"/>
      <c r="AA66" s="183"/>
      <c r="AB66" s="183"/>
      <c r="AC66" s="183"/>
      <c r="AD66" s="183"/>
      <c r="AE66" s="183"/>
      <c r="AF66" s="340"/>
      <c r="AG66" s="182"/>
      <c r="AH66" s="182"/>
      <c r="AI66" s="182"/>
      <c r="AJ66" s="182"/>
      <c r="AK66" s="182"/>
    </row>
    <row r="67" spans="2:37" ht="14.25" customHeight="1">
      <c r="B67" s="342" t="s">
        <v>4810</v>
      </c>
      <c r="C67" s="343" t="s">
        <v>393</v>
      </c>
      <c r="D67" s="344" t="s">
        <v>4748</v>
      </c>
      <c r="E67" s="344" t="s">
        <v>3534</v>
      </c>
      <c r="F67" s="344" t="s">
        <v>539</v>
      </c>
      <c r="G67" s="344" t="s">
        <v>4811</v>
      </c>
      <c r="H67" s="344" t="s">
        <v>4735</v>
      </c>
      <c r="I67" s="344" t="s">
        <v>3534</v>
      </c>
      <c r="J67" s="344" t="s">
        <v>14</v>
      </c>
      <c r="K67" s="344" t="s">
        <v>4651</v>
      </c>
      <c r="L67" s="369" t="s">
        <v>4812</v>
      </c>
      <c r="M67" s="3191" t="s">
        <v>4813</v>
      </c>
      <c r="N67" s="3311" t="s">
        <v>4814</v>
      </c>
      <c r="O67" s="81"/>
      <c r="P67" s="210"/>
      <c r="Q67" s="3023" t="s">
        <v>4815</v>
      </c>
      <c r="R67" s="3024"/>
      <c r="S67" s="81"/>
      <c r="T67" s="328" t="s">
        <v>4748</v>
      </c>
      <c r="V67" s="183"/>
      <c r="W67" s="183"/>
      <c r="X67" s="183"/>
      <c r="Y67" s="183"/>
      <c r="Z67" s="183"/>
      <c r="AA67" s="183"/>
      <c r="AB67" s="183"/>
      <c r="AC67" s="183"/>
      <c r="AD67" s="183"/>
      <c r="AE67" s="183"/>
      <c r="AF67" s="340"/>
      <c r="AG67" s="183"/>
      <c r="AH67" s="182"/>
      <c r="AI67" s="182"/>
      <c r="AJ67" s="182"/>
      <c r="AK67" s="182"/>
    </row>
    <row r="68" spans="2:37" ht="14.25" customHeight="1">
      <c r="B68" s="268" t="s">
        <v>4816</v>
      </c>
      <c r="C68" s="269" t="s">
        <v>393</v>
      </c>
      <c r="D68" s="270" t="s">
        <v>4748</v>
      </c>
      <c r="E68" s="270" t="s">
        <v>4754</v>
      </c>
      <c r="F68" s="270" t="s">
        <v>539</v>
      </c>
      <c r="G68" s="270" t="s">
        <v>4811</v>
      </c>
      <c r="H68" s="270" t="s">
        <v>4735</v>
      </c>
      <c r="I68" s="270" t="s">
        <v>4554</v>
      </c>
      <c r="J68" s="270" t="s">
        <v>14</v>
      </c>
      <c r="K68" s="270" t="s">
        <v>4817</v>
      </c>
      <c r="L68" s="311" t="s">
        <v>4658</v>
      </c>
      <c r="M68" s="3192"/>
      <c r="N68" s="3311"/>
      <c r="O68" s="81"/>
      <c r="P68" s="210"/>
      <c r="Q68" s="3025"/>
      <c r="R68" s="3026"/>
      <c r="S68" s="81"/>
      <c r="T68" s="328" t="s">
        <v>4738</v>
      </c>
      <c r="V68" s="183"/>
      <c r="W68" s="183"/>
      <c r="X68" s="183"/>
      <c r="Y68" s="183"/>
      <c r="Z68" s="183"/>
      <c r="AA68" s="183"/>
      <c r="AB68" s="183"/>
      <c r="AC68" s="183"/>
      <c r="AD68" s="183"/>
      <c r="AE68" s="183"/>
      <c r="AF68" s="340"/>
      <c r="AG68" s="183"/>
      <c r="AH68" s="183"/>
      <c r="AI68" s="183"/>
      <c r="AJ68" s="183"/>
      <c r="AK68" s="183"/>
    </row>
    <row r="69" spans="2:37" ht="14.25" customHeight="1">
      <c r="B69" s="342" t="s">
        <v>4818</v>
      </c>
      <c r="C69" s="343" t="s">
        <v>393</v>
      </c>
      <c r="D69" s="344" t="s">
        <v>4819</v>
      </c>
      <c r="E69" s="344" t="s">
        <v>4820</v>
      </c>
      <c r="F69" s="344" t="s">
        <v>539</v>
      </c>
      <c r="G69" s="344" t="s">
        <v>4553</v>
      </c>
      <c r="H69" s="344" t="s">
        <v>4821</v>
      </c>
      <c r="I69" s="344" t="s">
        <v>4594</v>
      </c>
      <c r="J69" s="344" t="s">
        <v>14</v>
      </c>
      <c r="K69" s="344" t="s">
        <v>4822</v>
      </c>
      <c r="L69" s="369" t="s">
        <v>4823</v>
      </c>
      <c r="M69" s="3192"/>
      <c r="N69" s="3311"/>
      <c r="O69" s="81"/>
      <c r="P69" s="210"/>
      <c r="Q69" s="3025"/>
      <c r="R69" s="3026"/>
      <c r="S69" s="81"/>
      <c r="T69" s="328" t="s">
        <v>4819</v>
      </c>
      <c r="V69" s="183"/>
      <c r="W69" s="183"/>
      <c r="X69" s="183"/>
      <c r="Y69" s="183"/>
      <c r="Z69" s="183"/>
      <c r="AA69" s="183"/>
      <c r="AB69" s="183"/>
      <c r="AC69" s="183"/>
      <c r="AD69" s="183"/>
      <c r="AE69" s="183"/>
      <c r="AF69" s="340"/>
      <c r="AG69" s="183"/>
      <c r="AH69" s="183"/>
      <c r="AI69" s="183"/>
      <c r="AJ69" s="183"/>
      <c r="AK69" s="183"/>
    </row>
    <row r="70" spans="2:37" ht="14.25" customHeight="1">
      <c r="B70" s="268" t="s">
        <v>4824</v>
      </c>
      <c r="C70" s="269" t="s">
        <v>393</v>
      </c>
      <c r="D70" s="270" t="s">
        <v>4753</v>
      </c>
      <c r="E70" s="270" t="s">
        <v>4754</v>
      </c>
      <c r="F70" s="270" t="s">
        <v>539</v>
      </c>
      <c r="G70" s="270" t="s">
        <v>4825</v>
      </c>
      <c r="H70" s="270" t="s">
        <v>4749</v>
      </c>
      <c r="I70" s="270" t="s">
        <v>4554</v>
      </c>
      <c r="J70" s="270" t="s">
        <v>14</v>
      </c>
      <c r="K70" s="270" t="s">
        <v>4826</v>
      </c>
      <c r="L70" s="311" t="s">
        <v>4827</v>
      </c>
      <c r="M70" s="3192"/>
      <c r="N70" s="3311"/>
      <c r="O70" s="81"/>
      <c r="P70" s="210"/>
      <c r="Q70" s="3025"/>
      <c r="R70" s="3026"/>
      <c r="S70" s="81"/>
      <c r="T70" s="328" t="s">
        <v>4753</v>
      </c>
      <c r="V70" s="183"/>
      <c r="W70" s="183"/>
      <c r="X70" s="183"/>
      <c r="Y70" s="183"/>
      <c r="Z70" s="183"/>
      <c r="AA70" s="183"/>
      <c r="AB70" s="183"/>
      <c r="AC70" s="183"/>
      <c r="AD70" s="183"/>
      <c r="AE70" s="183"/>
      <c r="AF70" s="340"/>
      <c r="AG70" s="183"/>
      <c r="AH70" s="183"/>
      <c r="AI70" s="183"/>
      <c r="AJ70" s="183"/>
      <c r="AK70" s="183"/>
    </row>
    <row r="71" spans="2:37" ht="14.25" customHeight="1">
      <c r="B71" s="342" t="s">
        <v>4828</v>
      </c>
      <c r="C71" s="343" t="s">
        <v>393</v>
      </c>
      <c r="D71" s="344" t="s">
        <v>4738</v>
      </c>
      <c r="E71" s="344" t="s">
        <v>4754</v>
      </c>
      <c r="F71" s="344" t="s">
        <v>539</v>
      </c>
      <c r="G71" s="344" t="s">
        <v>4829</v>
      </c>
      <c r="H71" s="344" t="s">
        <v>4749</v>
      </c>
      <c r="I71" s="344" t="s">
        <v>4700</v>
      </c>
      <c r="J71" s="344" t="s">
        <v>14</v>
      </c>
      <c r="K71" s="344" t="s">
        <v>4830</v>
      </c>
      <c r="L71" s="369" t="s">
        <v>4831</v>
      </c>
      <c r="M71" s="3192"/>
      <c r="N71" s="3311"/>
      <c r="O71" s="81"/>
      <c r="P71" s="210"/>
      <c r="Q71" s="3025"/>
      <c r="R71" s="3026"/>
      <c r="S71" s="81"/>
      <c r="T71" s="328" t="s">
        <v>4738</v>
      </c>
      <c r="V71" s="183"/>
      <c r="W71" s="183"/>
      <c r="X71" s="183"/>
      <c r="Y71" s="183"/>
      <c r="Z71" s="183"/>
      <c r="AA71" s="183"/>
      <c r="AB71" s="183"/>
      <c r="AC71" s="183"/>
      <c r="AD71" s="183"/>
      <c r="AE71" s="183"/>
      <c r="AF71" s="340"/>
      <c r="AG71" s="182"/>
      <c r="AH71" s="183"/>
      <c r="AI71" s="183"/>
      <c r="AJ71" s="183"/>
      <c r="AK71" s="183"/>
    </row>
    <row r="72" spans="2:37" ht="14.25" customHeight="1">
      <c r="B72" s="268" t="s">
        <v>4832</v>
      </c>
      <c r="C72" s="269" t="s">
        <v>393</v>
      </c>
      <c r="D72" s="270" t="s">
        <v>4738</v>
      </c>
      <c r="E72" s="270" t="s">
        <v>4754</v>
      </c>
      <c r="F72" s="270" t="s">
        <v>539</v>
      </c>
      <c r="G72" s="270" t="s">
        <v>4825</v>
      </c>
      <c r="H72" s="270" t="s">
        <v>4735</v>
      </c>
      <c r="I72" s="270" t="s">
        <v>4554</v>
      </c>
      <c r="J72" s="270" t="s">
        <v>14</v>
      </c>
      <c r="K72" s="270" t="s">
        <v>4799</v>
      </c>
      <c r="L72" s="311" t="s">
        <v>4833</v>
      </c>
      <c r="M72" s="3192"/>
      <c r="N72" s="3311"/>
      <c r="O72" s="81"/>
      <c r="P72" s="210"/>
      <c r="Q72" s="3025"/>
      <c r="R72" s="3026"/>
      <c r="S72" s="81"/>
      <c r="T72" s="328" t="s">
        <v>4738</v>
      </c>
      <c r="V72" s="183"/>
      <c r="W72" s="183"/>
      <c r="X72" s="183"/>
      <c r="Y72" s="183"/>
      <c r="Z72" s="183"/>
      <c r="AA72" s="183"/>
      <c r="AB72" s="183"/>
      <c r="AC72" s="183"/>
      <c r="AD72" s="183"/>
      <c r="AE72" s="183"/>
      <c r="AF72" s="340"/>
      <c r="AG72" s="182"/>
      <c r="AH72" s="183"/>
      <c r="AI72" s="183"/>
      <c r="AJ72" s="183"/>
      <c r="AK72" s="183"/>
    </row>
    <row r="73" spans="2:37" ht="14.25" customHeight="1">
      <c r="B73" s="342" t="s">
        <v>4834</v>
      </c>
      <c r="C73" s="343" t="s">
        <v>393</v>
      </c>
      <c r="D73" s="344" t="s">
        <v>4738</v>
      </c>
      <c r="E73" s="344" t="s">
        <v>4759</v>
      </c>
      <c r="F73" s="344" t="s">
        <v>539</v>
      </c>
      <c r="G73" s="344" t="s">
        <v>4835</v>
      </c>
      <c r="H73" s="344" t="s">
        <v>4735</v>
      </c>
      <c r="I73" s="344" t="s">
        <v>4554</v>
      </c>
      <c r="J73" s="344" t="s">
        <v>14</v>
      </c>
      <c r="K73" s="344" t="s">
        <v>4799</v>
      </c>
      <c r="L73" s="369" t="s">
        <v>4836</v>
      </c>
      <c r="M73" s="3192"/>
      <c r="N73" s="3311"/>
      <c r="O73" s="81"/>
      <c r="P73" s="210"/>
      <c r="Q73" s="3025"/>
      <c r="R73" s="3026"/>
      <c r="S73" s="81"/>
      <c r="T73" s="328" t="s">
        <v>4738</v>
      </c>
      <c r="V73" s="183"/>
      <c r="W73" s="183"/>
      <c r="X73" s="183"/>
      <c r="Y73" s="183"/>
      <c r="Z73" s="183"/>
      <c r="AA73" s="183"/>
      <c r="AB73" s="183"/>
      <c r="AC73" s="183"/>
      <c r="AD73" s="183"/>
      <c r="AE73" s="183"/>
      <c r="AF73" s="340"/>
      <c r="AG73" s="182"/>
      <c r="AH73" s="183"/>
      <c r="AI73" s="183"/>
      <c r="AJ73" s="183"/>
      <c r="AK73" s="183"/>
    </row>
    <row r="74" spans="2:37" ht="14.25" customHeight="1">
      <c r="B74" s="268" t="s">
        <v>4837</v>
      </c>
      <c r="C74" s="269" t="s">
        <v>393</v>
      </c>
      <c r="D74" s="270" t="s">
        <v>4738</v>
      </c>
      <c r="E74" s="270" t="s">
        <v>4754</v>
      </c>
      <c r="F74" s="270" t="s">
        <v>539</v>
      </c>
      <c r="G74" s="270" t="s">
        <v>4811</v>
      </c>
      <c r="H74" s="270" t="s">
        <v>4735</v>
      </c>
      <c r="I74" s="270" t="s">
        <v>4688</v>
      </c>
      <c r="J74" s="270" t="s">
        <v>14</v>
      </c>
      <c r="K74" s="270" t="s">
        <v>4838</v>
      </c>
      <c r="L74" s="311" t="s">
        <v>4839</v>
      </c>
      <c r="M74" s="3192"/>
      <c r="N74" s="3311"/>
      <c r="O74" s="81"/>
      <c r="P74" s="210"/>
      <c r="Q74" s="3025"/>
      <c r="R74" s="3026"/>
      <c r="S74" s="81"/>
      <c r="T74" s="328" t="s">
        <v>4738</v>
      </c>
      <c r="V74" s="183"/>
      <c r="W74" s="183"/>
      <c r="X74" s="183"/>
      <c r="Y74" s="183"/>
      <c r="Z74" s="183"/>
      <c r="AA74" s="183"/>
      <c r="AB74" s="183"/>
      <c r="AC74" s="183"/>
      <c r="AD74" s="183"/>
      <c r="AE74" s="183"/>
      <c r="AF74" s="340"/>
      <c r="AG74" s="182"/>
      <c r="AH74" s="183"/>
      <c r="AI74" s="183"/>
      <c r="AJ74" s="183"/>
      <c r="AK74" s="183"/>
    </row>
    <row r="75" spans="2:37" ht="14.25" customHeight="1">
      <c r="B75" s="342" t="s">
        <v>4840</v>
      </c>
      <c r="C75" s="343" t="s">
        <v>393</v>
      </c>
      <c r="D75" s="344" t="s">
        <v>4738</v>
      </c>
      <c r="E75" s="344" t="s">
        <v>4754</v>
      </c>
      <c r="F75" s="344" t="s">
        <v>539</v>
      </c>
      <c r="G75" s="344" t="s">
        <v>4841</v>
      </c>
      <c r="H75" s="344" t="s">
        <v>4735</v>
      </c>
      <c r="I75" s="344" t="s">
        <v>4688</v>
      </c>
      <c r="J75" s="344" t="s">
        <v>14</v>
      </c>
      <c r="K75" s="344" t="s">
        <v>4842</v>
      </c>
      <c r="L75" s="369" t="s">
        <v>99</v>
      </c>
      <c r="M75" s="3193"/>
      <c r="N75" s="3312"/>
      <c r="O75" s="81"/>
      <c r="P75" s="210"/>
      <c r="Q75" s="3027"/>
      <c r="R75" s="3028"/>
      <c r="S75" s="81"/>
      <c r="T75" s="328" t="s">
        <v>4738</v>
      </c>
      <c r="V75" s="333"/>
      <c r="W75" s="334"/>
      <c r="X75" s="333"/>
      <c r="Y75" s="333"/>
      <c r="Z75" s="333"/>
      <c r="AA75" s="388"/>
      <c r="AB75" s="333"/>
      <c r="AC75" s="333"/>
      <c r="AD75" s="333"/>
      <c r="AE75" s="333"/>
      <c r="AF75" s="340"/>
      <c r="AG75" s="182"/>
      <c r="AH75" s="182"/>
      <c r="AI75" s="182"/>
      <c r="AJ75" s="182"/>
      <c r="AK75" s="182"/>
    </row>
    <row r="76" spans="2:37" ht="14.25" customHeight="1">
      <c r="B76" s="345" t="s">
        <v>4843</v>
      </c>
      <c r="C76" s="346" t="s">
        <v>2718</v>
      </c>
      <c r="D76" s="347" t="s">
        <v>424</v>
      </c>
      <c r="E76" s="347" t="s">
        <v>4749</v>
      </c>
      <c r="F76" s="347" t="s">
        <v>539</v>
      </c>
      <c r="G76" s="347" t="s">
        <v>4811</v>
      </c>
      <c r="H76" s="347" t="s">
        <v>4844</v>
      </c>
      <c r="I76" s="347" t="s">
        <v>4594</v>
      </c>
      <c r="J76" s="347" t="s">
        <v>4569</v>
      </c>
      <c r="K76" s="347" t="s">
        <v>4845</v>
      </c>
      <c r="L76" s="370" t="s">
        <v>4846</v>
      </c>
      <c r="M76" s="3194" t="s">
        <v>2718</v>
      </c>
      <c r="N76" s="3313" t="s">
        <v>4847</v>
      </c>
      <c r="O76" s="371"/>
      <c r="P76" s="210"/>
      <c r="Q76" s="3023" t="s">
        <v>4848</v>
      </c>
      <c r="R76" s="3024"/>
      <c r="S76" s="81"/>
      <c r="T76" s="328" t="s">
        <v>424</v>
      </c>
      <c r="V76" s="333"/>
      <c r="W76" s="334"/>
      <c r="X76" s="333"/>
      <c r="Y76" s="333"/>
      <c r="Z76" s="333"/>
      <c r="AA76" s="388"/>
      <c r="AB76" s="333"/>
      <c r="AC76" s="333"/>
      <c r="AD76" s="333"/>
      <c r="AE76" s="333"/>
      <c r="AF76" s="340"/>
      <c r="AG76" s="182"/>
      <c r="AH76" s="182"/>
      <c r="AI76" s="182"/>
      <c r="AJ76" s="182"/>
      <c r="AK76" s="182"/>
    </row>
    <row r="77" spans="2:37" ht="14.25" customHeight="1">
      <c r="B77" s="268" t="s">
        <v>4849</v>
      </c>
      <c r="C77" s="269" t="s">
        <v>2718</v>
      </c>
      <c r="D77" s="270" t="s">
        <v>424</v>
      </c>
      <c r="E77" s="270" t="s">
        <v>4749</v>
      </c>
      <c r="F77" s="270" t="s">
        <v>539</v>
      </c>
      <c r="G77" s="270" t="s">
        <v>4811</v>
      </c>
      <c r="H77" s="270" t="s">
        <v>4850</v>
      </c>
      <c r="I77" s="270" t="s">
        <v>4554</v>
      </c>
      <c r="J77" s="270" t="s">
        <v>14</v>
      </c>
      <c r="K77" s="270" t="s">
        <v>4799</v>
      </c>
      <c r="L77" s="311" t="s">
        <v>4851</v>
      </c>
      <c r="M77" s="3194"/>
      <c r="N77" s="3314"/>
      <c r="O77" s="371"/>
      <c r="P77" s="210"/>
      <c r="Q77" s="3025"/>
      <c r="R77" s="3026"/>
      <c r="S77" s="81"/>
      <c r="T77" s="328" t="s">
        <v>424</v>
      </c>
      <c r="V77" s="333"/>
      <c r="W77" s="334"/>
      <c r="X77" s="333"/>
      <c r="Y77" s="333"/>
      <c r="Z77" s="333"/>
      <c r="AA77" s="388"/>
      <c r="AB77" s="333"/>
      <c r="AC77" s="333"/>
      <c r="AD77" s="333"/>
      <c r="AE77" s="333"/>
      <c r="AF77" s="340"/>
      <c r="AG77" s="182"/>
      <c r="AH77" s="182"/>
      <c r="AI77" s="182"/>
      <c r="AJ77" s="182"/>
      <c r="AK77" s="182"/>
    </row>
    <row r="78" spans="2:37" ht="14.25" customHeight="1">
      <c r="B78" s="345" t="s">
        <v>4852</v>
      </c>
      <c r="C78" s="346" t="s">
        <v>2718</v>
      </c>
      <c r="D78" s="347" t="s">
        <v>424</v>
      </c>
      <c r="E78" s="347" t="s">
        <v>4683</v>
      </c>
      <c r="F78" s="347" t="s">
        <v>539</v>
      </c>
      <c r="G78" s="347" t="s">
        <v>4853</v>
      </c>
      <c r="H78" s="347" t="s">
        <v>4854</v>
      </c>
      <c r="I78" s="347" t="s">
        <v>4594</v>
      </c>
      <c r="J78" s="347" t="s">
        <v>14</v>
      </c>
      <c r="K78" s="347" t="s">
        <v>4855</v>
      </c>
      <c r="L78" s="370" t="s">
        <v>4856</v>
      </c>
      <c r="M78" s="3194"/>
      <c r="N78" s="3314"/>
      <c r="O78" s="371"/>
      <c r="P78" s="210"/>
      <c r="Q78" s="3025"/>
      <c r="R78" s="3026"/>
      <c r="S78" s="81"/>
      <c r="T78" s="328" t="s">
        <v>424</v>
      </c>
      <c r="V78" s="333"/>
      <c r="W78" s="334"/>
      <c r="X78" s="333"/>
      <c r="Y78" s="333"/>
      <c r="Z78" s="333"/>
      <c r="AA78" s="388"/>
      <c r="AB78" s="333"/>
      <c r="AC78" s="333"/>
      <c r="AD78" s="333"/>
      <c r="AE78" s="333"/>
      <c r="AF78" s="340"/>
      <c r="AG78" s="182"/>
      <c r="AH78" s="182"/>
      <c r="AI78" s="182"/>
      <c r="AJ78" s="182"/>
      <c r="AK78" s="182"/>
    </row>
    <row r="79" spans="2:37" ht="14.25" customHeight="1">
      <c r="B79" s="268" t="s">
        <v>4857</v>
      </c>
      <c r="C79" s="269" t="s">
        <v>2718</v>
      </c>
      <c r="D79" s="270" t="s">
        <v>4682</v>
      </c>
      <c r="E79" s="270" t="s">
        <v>4683</v>
      </c>
      <c r="F79" s="270" t="s">
        <v>539</v>
      </c>
      <c r="G79" s="270" t="s">
        <v>4853</v>
      </c>
      <c r="H79" s="270" t="s">
        <v>4749</v>
      </c>
      <c r="I79" s="270" t="s">
        <v>4594</v>
      </c>
      <c r="J79" s="270" t="s">
        <v>14</v>
      </c>
      <c r="K79" s="270" t="s">
        <v>4799</v>
      </c>
      <c r="L79" s="311" t="s">
        <v>4858</v>
      </c>
      <c r="M79" s="3194"/>
      <c r="N79" s="3314"/>
      <c r="O79" s="371"/>
      <c r="P79" s="210"/>
      <c r="Q79" s="3025"/>
      <c r="R79" s="3026"/>
      <c r="S79" s="81"/>
      <c r="T79" s="328" t="s">
        <v>4682</v>
      </c>
      <c r="V79" s="183"/>
      <c r="W79" s="183"/>
      <c r="X79" s="183"/>
      <c r="Y79" s="183"/>
      <c r="Z79" s="183"/>
      <c r="AA79" s="183"/>
      <c r="AB79" s="183"/>
      <c r="AC79" s="183"/>
      <c r="AD79" s="183"/>
      <c r="AE79" s="183"/>
      <c r="AF79" s="340"/>
      <c r="AG79" s="182"/>
      <c r="AH79" s="182"/>
      <c r="AI79" s="182"/>
      <c r="AJ79" s="182"/>
      <c r="AK79" s="182"/>
    </row>
    <row r="80" spans="2:37" ht="14.25" customHeight="1">
      <c r="B80" s="345" t="s">
        <v>4247</v>
      </c>
      <c r="C80" s="346" t="s">
        <v>2718</v>
      </c>
      <c r="D80" s="347" t="s">
        <v>4718</v>
      </c>
      <c r="E80" s="347" t="s">
        <v>4749</v>
      </c>
      <c r="F80" s="347" t="s">
        <v>539</v>
      </c>
      <c r="G80" s="347" t="s">
        <v>4841</v>
      </c>
      <c r="H80" s="347" t="s">
        <v>4859</v>
      </c>
      <c r="I80" s="347" t="s">
        <v>4594</v>
      </c>
      <c r="J80" s="347" t="s">
        <v>4569</v>
      </c>
      <c r="K80" s="347" t="s">
        <v>4860</v>
      </c>
      <c r="L80" s="370" t="s">
        <v>4861</v>
      </c>
      <c r="M80" s="3194"/>
      <c r="N80" s="3314"/>
      <c r="O80" s="371"/>
      <c r="P80" s="210"/>
      <c r="Q80" s="3025"/>
      <c r="R80" s="3026"/>
      <c r="S80" s="81"/>
      <c r="T80" s="328" t="s">
        <v>4718</v>
      </c>
      <c r="V80" s="333"/>
      <c r="W80" s="334"/>
      <c r="X80" s="333"/>
      <c r="Y80" s="333"/>
      <c r="Z80" s="333"/>
      <c r="AA80" s="388"/>
      <c r="AB80" s="333"/>
      <c r="AC80" s="333"/>
      <c r="AD80" s="333"/>
      <c r="AE80" s="333"/>
      <c r="AF80" s="340"/>
      <c r="AG80" s="182"/>
      <c r="AH80" s="182"/>
      <c r="AI80" s="182"/>
      <c r="AJ80" s="182"/>
      <c r="AK80" s="182"/>
    </row>
    <row r="81" spans="2:37" ht="14.25" customHeight="1">
      <c r="B81" s="345" t="s">
        <v>4862</v>
      </c>
      <c r="C81" s="346" t="s">
        <v>2718</v>
      </c>
      <c r="D81" s="347" t="s">
        <v>424</v>
      </c>
      <c r="E81" s="347" t="s">
        <v>4749</v>
      </c>
      <c r="F81" s="347" t="s">
        <v>539</v>
      </c>
      <c r="G81" s="347" t="s">
        <v>4811</v>
      </c>
      <c r="H81" s="347" t="s">
        <v>4854</v>
      </c>
      <c r="I81" s="347" t="s">
        <v>4700</v>
      </c>
      <c r="J81" s="347" t="s">
        <v>14</v>
      </c>
      <c r="K81" s="347" t="s">
        <v>4817</v>
      </c>
      <c r="L81" s="370" t="s">
        <v>4827</v>
      </c>
      <c r="M81" s="3194"/>
      <c r="N81" s="3315"/>
      <c r="O81" s="372"/>
      <c r="P81" s="210"/>
      <c r="Q81" s="3025"/>
      <c r="R81" s="3026"/>
      <c r="S81" s="81"/>
      <c r="T81" s="328" t="s">
        <v>424</v>
      </c>
      <c r="V81" s="333"/>
      <c r="W81" s="334"/>
      <c r="X81" s="333"/>
      <c r="Y81" s="333"/>
      <c r="Z81" s="333"/>
      <c r="AA81" s="333"/>
      <c r="AB81" s="333"/>
      <c r="AC81" s="333"/>
      <c r="AD81" s="333"/>
      <c r="AE81" s="388"/>
      <c r="AF81" s="340"/>
      <c r="AG81" s="182"/>
      <c r="AH81" s="182"/>
      <c r="AI81" s="182"/>
      <c r="AJ81" s="182"/>
      <c r="AK81" s="182"/>
    </row>
    <row r="82" spans="2:37" ht="14.25" customHeight="1">
      <c r="B82" s="348" t="s">
        <v>4863</v>
      </c>
      <c r="C82" s="349" t="s">
        <v>2749</v>
      </c>
      <c r="D82" s="350" t="s">
        <v>4753</v>
      </c>
      <c r="E82" s="350" t="s">
        <v>3534</v>
      </c>
      <c r="F82" s="350" t="s">
        <v>539</v>
      </c>
      <c r="G82" s="350" t="s">
        <v>4864</v>
      </c>
      <c r="H82" s="350" t="s">
        <v>4751</v>
      </c>
      <c r="I82" s="350" t="s">
        <v>4594</v>
      </c>
      <c r="J82" s="350" t="s">
        <v>4802</v>
      </c>
      <c r="K82" s="350" t="s">
        <v>4865</v>
      </c>
      <c r="L82" s="373" t="s">
        <v>4866</v>
      </c>
      <c r="M82" s="3195" t="s">
        <v>2749</v>
      </c>
      <c r="N82" s="3316" t="s">
        <v>4867</v>
      </c>
      <c r="O82" s="3327" t="s">
        <v>4868</v>
      </c>
      <c r="P82" s="3328"/>
      <c r="Q82" s="3025"/>
      <c r="R82" s="3026"/>
      <c r="S82" s="81"/>
      <c r="T82" s="328" t="s">
        <v>4753</v>
      </c>
      <c r="V82" s="333"/>
      <c r="W82" s="334"/>
      <c r="X82" s="333"/>
      <c r="Y82" s="333"/>
      <c r="Z82" s="333"/>
      <c r="AA82" s="333"/>
      <c r="AB82" s="333"/>
      <c r="AC82" s="333"/>
      <c r="AD82" s="333"/>
      <c r="AE82" s="388"/>
      <c r="AF82" s="340"/>
      <c r="AG82" s="182"/>
      <c r="AH82" s="182"/>
      <c r="AI82" s="183"/>
      <c r="AJ82" s="182"/>
      <c r="AK82" s="182"/>
    </row>
    <row r="83" spans="2:37" ht="14.25" customHeight="1">
      <c r="B83" s="217" t="s">
        <v>4869</v>
      </c>
      <c r="C83" s="305" t="s">
        <v>2749</v>
      </c>
      <c r="D83" s="218" t="s">
        <v>4753</v>
      </c>
      <c r="E83" s="218" t="s">
        <v>4759</v>
      </c>
      <c r="F83" s="218" t="s">
        <v>539</v>
      </c>
      <c r="G83" s="218" t="s">
        <v>4811</v>
      </c>
      <c r="H83" s="218" t="s">
        <v>4749</v>
      </c>
      <c r="I83" s="218" t="s">
        <v>3534</v>
      </c>
      <c r="J83" s="218" t="s">
        <v>4569</v>
      </c>
      <c r="K83" s="218" t="s">
        <v>4870</v>
      </c>
      <c r="L83" s="235" t="s">
        <v>4846</v>
      </c>
      <c r="M83" s="3195"/>
      <c r="N83" s="3317"/>
      <c r="O83" s="3329"/>
      <c r="P83" s="3328"/>
      <c r="Q83" s="3025"/>
      <c r="R83" s="3026"/>
      <c r="S83" s="81"/>
      <c r="T83" s="328" t="s">
        <v>4753</v>
      </c>
      <c r="V83" s="333"/>
      <c r="W83" s="334"/>
      <c r="X83" s="333"/>
      <c r="Y83" s="333"/>
      <c r="Z83" s="333"/>
      <c r="AA83" s="333"/>
      <c r="AB83" s="333"/>
      <c r="AC83" s="333"/>
      <c r="AD83" s="333"/>
      <c r="AE83" s="388"/>
      <c r="AF83" s="340"/>
      <c r="AG83" s="182"/>
      <c r="AH83" s="182"/>
      <c r="AI83" s="183"/>
      <c r="AJ83" s="182"/>
      <c r="AK83" s="182"/>
    </row>
    <row r="84" spans="2:37" ht="14.25" customHeight="1">
      <c r="B84" s="348" t="s">
        <v>4871</v>
      </c>
      <c r="C84" s="349" t="s">
        <v>2749</v>
      </c>
      <c r="D84" s="350" t="s">
        <v>4753</v>
      </c>
      <c r="E84" s="350" t="s">
        <v>3541</v>
      </c>
      <c r="F84" s="350" t="s">
        <v>539</v>
      </c>
      <c r="G84" s="350" t="s">
        <v>4864</v>
      </c>
      <c r="H84" s="350" t="s">
        <v>4820</v>
      </c>
      <c r="I84" s="350" t="s">
        <v>4594</v>
      </c>
      <c r="J84" s="350" t="s">
        <v>4569</v>
      </c>
      <c r="K84" s="350" t="s">
        <v>4872</v>
      </c>
      <c r="L84" s="373" t="s">
        <v>4873</v>
      </c>
      <c r="M84" s="3195"/>
      <c r="N84" s="3317"/>
      <c r="O84" s="3329"/>
      <c r="P84" s="3328"/>
      <c r="Q84" s="3025"/>
      <c r="R84" s="3026"/>
      <c r="S84" s="81"/>
      <c r="T84" s="328" t="s">
        <v>4753</v>
      </c>
      <c r="V84" s="333"/>
      <c r="W84" s="334"/>
      <c r="X84" s="333"/>
      <c r="Y84" s="333"/>
      <c r="Z84" s="333"/>
      <c r="AA84" s="333"/>
      <c r="AB84" s="333"/>
      <c r="AC84" s="333"/>
      <c r="AD84" s="333"/>
      <c r="AE84" s="388"/>
      <c r="AF84" s="340"/>
      <c r="AG84" s="182"/>
      <c r="AH84" s="182"/>
      <c r="AI84" s="183"/>
      <c r="AJ84" s="182"/>
      <c r="AK84" s="182"/>
    </row>
    <row r="85" spans="2:37" ht="14.25" customHeight="1">
      <c r="B85" s="217" t="s">
        <v>4874</v>
      </c>
      <c r="C85" s="305" t="s">
        <v>2749</v>
      </c>
      <c r="D85" s="218" t="s">
        <v>4753</v>
      </c>
      <c r="E85" s="218" t="s">
        <v>4754</v>
      </c>
      <c r="F85" s="218" t="s">
        <v>539</v>
      </c>
      <c r="G85" s="218" t="s">
        <v>4841</v>
      </c>
      <c r="H85" s="218" t="s">
        <v>4875</v>
      </c>
      <c r="I85" s="218" t="s">
        <v>4594</v>
      </c>
      <c r="J85" s="218" t="s">
        <v>4569</v>
      </c>
      <c r="K85" s="218" t="s">
        <v>4876</v>
      </c>
      <c r="L85" s="235" t="s">
        <v>4861</v>
      </c>
      <c r="M85" s="3195"/>
      <c r="N85" s="3317"/>
      <c r="O85" s="3329"/>
      <c r="P85" s="3328"/>
      <c r="Q85" s="3025"/>
      <c r="R85" s="3026"/>
      <c r="S85" s="81"/>
      <c r="T85" s="328" t="s">
        <v>4753</v>
      </c>
      <c r="V85" s="333"/>
      <c r="W85" s="334"/>
      <c r="X85" s="333"/>
      <c r="Y85" s="333"/>
      <c r="Z85" s="333"/>
      <c r="AA85" s="333"/>
      <c r="AB85" s="333"/>
      <c r="AC85" s="333"/>
      <c r="AD85" s="333"/>
      <c r="AE85" s="388"/>
      <c r="AF85" s="340"/>
      <c r="AG85" s="182"/>
      <c r="AH85" s="182"/>
      <c r="AI85" s="183"/>
      <c r="AJ85" s="182"/>
      <c r="AK85" s="182"/>
    </row>
    <row r="86" spans="2:37" ht="14.25" customHeight="1">
      <c r="B86" s="348" t="s">
        <v>4877</v>
      </c>
      <c r="C86" s="349" t="s">
        <v>2749</v>
      </c>
      <c r="D86" s="350" t="s">
        <v>4753</v>
      </c>
      <c r="E86" s="350" t="s">
        <v>4754</v>
      </c>
      <c r="F86" s="350" t="s">
        <v>539</v>
      </c>
      <c r="G86" s="350" t="s">
        <v>4864</v>
      </c>
      <c r="H86" s="350" t="s">
        <v>4878</v>
      </c>
      <c r="I86" s="350" t="s">
        <v>4594</v>
      </c>
      <c r="J86" s="350" t="s">
        <v>4569</v>
      </c>
      <c r="K86" s="350" t="s">
        <v>4879</v>
      </c>
      <c r="L86" s="373" t="s">
        <v>4880</v>
      </c>
      <c r="M86" s="3195"/>
      <c r="N86" s="3317" t="s">
        <v>4881</v>
      </c>
      <c r="O86" s="3329"/>
      <c r="P86" s="3328"/>
      <c r="Q86" s="3025"/>
      <c r="R86" s="3026"/>
      <c r="S86" s="81"/>
      <c r="T86" s="328" t="s">
        <v>4753</v>
      </c>
      <c r="V86" s="333"/>
      <c r="W86" s="334"/>
      <c r="X86" s="333"/>
      <c r="Y86" s="333"/>
      <c r="Z86" s="333"/>
      <c r="AA86" s="333"/>
      <c r="AB86" s="333"/>
      <c r="AC86" s="333"/>
      <c r="AD86" s="333"/>
      <c r="AE86" s="388"/>
      <c r="AF86" s="340"/>
      <c r="AG86" s="183"/>
      <c r="AH86" s="182"/>
      <c r="AI86" s="183"/>
      <c r="AJ86" s="182"/>
      <c r="AK86" s="182"/>
    </row>
    <row r="87" spans="2:37" ht="14.25" customHeight="1">
      <c r="B87" s="351" t="s">
        <v>4882</v>
      </c>
      <c r="C87" s="352" t="s">
        <v>2749</v>
      </c>
      <c r="D87" s="353" t="s">
        <v>4753</v>
      </c>
      <c r="E87" s="353" t="s">
        <v>4751</v>
      </c>
      <c r="F87" s="353" t="s">
        <v>539</v>
      </c>
      <c r="G87" s="353" t="s">
        <v>4864</v>
      </c>
      <c r="H87" s="353" t="s">
        <v>4883</v>
      </c>
      <c r="I87" s="353" t="s">
        <v>4700</v>
      </c>
      <c r="J87" s="353" t="s">
        <v>14</v>
      </c>
      <c r="K87" s="353" t="s">
        <v>4799</v>
      </c>
      <c r="L87" s="374" t="s">
        <v>4884</v>
      </c>
      <c r="M87" s="3195"/>
      <c r="N87" s="3317"/>
      <c r="O87" s="3329"/>
      <c r="P87" s="3328"/>
      <c r="Q87" s="3025"/>
      <c r="R87" s="3026"/>
      <c r="S87" s="81"/>
      <c r="T87" s="328" t="s">
        <v>4753</v>
      </c>
      <c r="V87" s="333"/>
      <c r="W87" s="334"/>
      <c r="X87" s="333"/>
      <c r="Y87" s="333"/>
      <c r="Z87" s="333"/>
      <c r="AA87" s="333"/>
      <c r="AB87" s="333"/>
      <c r="AC87" s="333"/>
      <c r="AD87" s="333"/>
      <c r="AE87" s="388"/>
      <c r="AF87" s="340"/>
      <c r="AG87" s="183"/>
      <c r="AH87" s="182"/>
      <c r="AI87" s="183"/>
      <c r="AJ87" s="182"/>
      <c r="AK87" s="182"/>
    </row>
    <row r="88" spans="2:37" ht="14.25" customHeight="1">
      <c r="B88" s="217" t="s">
        <v>4885</v>
      </c>
      <c r="C88" s="305" t="s">
        <v>2749</v>
      </c>
      <c r="D88" s="218" t="s">
        <v>4738</v>
      </c>
      <c r="E88" s="218" t="s">
        <v>4754</v>
      </c>
      <c r="F88" s="218" t="s">
        <v>539</v>
      </c>
      <c r="G88" s="218" t="s">
        <v>4864</v>
      </c>
      <c r="H88" s="218" t="s">
        <v>4886</v>
      </c>
      <c r="I88" s="218" t="s">
        <v>4688</v>
      </c>
      <c r="J88" s="218" t="s">
        <v>14</v>
      </c>
      <c r="K88" s="218" t="s">
        <v>4799</v>
      </c>
      <c r="L88" s="235" t="s">
        <v>4726</v>
      </c>
      <c r="M88" s="3195"/>
      <c r="N88" s="3317"/>
      <c r="O88" s="3329"/>
      <c r="P88" s="3328"/>
      <c r="Q88" s="3025"/>
      <c r="R88" s="3026"/>
      <c r="S88" s="81"/>
      <c r="T88" s="328" t="s">
        <v>4738</v>
      </c>
      <c r="V88" s="333"/>
      <c r="W88" s="333"/>
      <c r="X88" s="333"/>
      <c r="Y88" s="333"/>
      <c r="Z88" s="333"/>
      <c r="AA88" s="333"/>
      <c r="AB88" s="333"/>
      <c r="AC88" s="333"/>
      <c r="AD88" s="333"/>
      <c r="AE88" s="333"/>
      <c r="AF88" s="337"/>
      <c r="AG88" s="183"/>
      <c r="AH88" s="182"/>
      <c r="AI88" s="183"/>
      <c r="AJ88" s="182"/>
      <c r="AK88" s="182"/>
    </row>
    <row r="89" spans="2:37" ht="14.25" customHeight="1">
      <c r="B89" s="348" t="s">
        <v>4887</v>
      </c>
      <c r="C89" s="349" t="s">
        <v>2749</v>
      </c>
      <c r="D89" s="350" t="s">
        <v>4753</v>
      </c>
      <c r="E89" s="350" t="s">
        <v>4754</v>
      </c>
      <c r="F89" s="350" t="s">
        <v>539</v>
      </c>
      <c r="G89" s="350" t="s">
        <v>4864</v>
      </c>
      <c r="H89" s="350" t="s">
        <v>4820</v>
      </c>
      <c r="I89" s="350" t="s">
        <v>4688</v>
      </c>
      <c r="J89" s="350" t="s">
        <v>4569</v>
      </c>
      <c r="K89" s="350" t="s">
        <v>4799</v>
      </c>
      <c r="L89" s="373" t="s">
        <v>4622</v>
      </c>
      <c r="M89" s="3195"/>
      <c r="N89" s="3317"/>
      <c r="O89" s="3329"/>
      <c r="P89" s="3330"/>
      <c r="Q89" s="3027"/>
      <c r="R89" s="3028"/>
      <c r="S89" s="81"/>
      <c r="T89" s="328" t="s">
        <v>4753</v>
      </c>
      <c r="V89" s="333"/>
      <c r="W89" s="333"/>
      <c r="X89" s="333"/>
      <c r="Y89" s="333"/>
      <c r="Z89" s="333"/>
      <c r="AA89" s="333"/>
      <c r="AB89" s="333"/>
      <c r="AC89" s="333"/>
      <c r="AD89" s="333"/>
      <c r="AE89" s="333"/>
      <c r="AF89" s="337"/>
      <c r="AG89" s="183"/>
      <c r="AH89" s="182"/>
      <c r="AI89" s="183"/>
      <c r="AJ89" s="182"/>
      <c r="AK89" s="182"/>
    </row>
    <row r="90" spans="2:37" ht="14.25" customHeight="1">
      <c r="B90" s="354" t="s">
        <v>4888</v>
      </c>
      <c r="C90" s="305" t="s">
        <v>143</v>
      </c>
      <c r="D90" s="218" t="s">
        <v>4889</v>
      </c>
      <c r="E90" s="218" t="s">
        <v>4890</v>
      </c>
      <c r="F90" s="218" t="s">
        <v>539</v>
      </c>
      <c r="G90" s="218" t="s">
        <v>4593</v>
      </c>
      <c r="H90" s="218" t="s">
        <v>4631</v>
      </c>
      <c r="I90" s="218" t="s">
        <v>4577</v>
      </c>
      <c r="J90" s="218" t="s">
        <v>4555</v>
      </c>
      <c r="K90" s="218" t="s">
        <v>4799</v>
      </c>
      <c r="L90" s="235" t="s">
        <v>4757</v>
      </c>
      <c r="M90" s="3196" t="s">
        <v>4891</v>
      </c>
      <c r="N90" s="2891" t="s">
        <v>4892</v>
      </c>
      <c r="O90" s="2891"/>
      <c r="P90" s="3206" t="s">
        <v>4893</v>
      </c>
      <c r="Q90" s="3207"/>
      <c r="R90" s="3208"/>
      <c r="S90" s="81"/>
      <c r="T90" s="328" t="s">
        <v>4738</v>
      </c>
      <c r="V90" s="333"/>
      <c r="W90" s="333"/>
      <c r="X90" s="333"/>
      <c r="Y90" s="333"/>
      <c r="Z90" s="333"/>
      <c r="AA90" s="333"/>
      <c r="AB90" s="333"/>
      <c r="AC90" s="333"/>
      <c r="AD90" s="333"/>
      <c r="AE90" s="333"/>
      <c r="AF90" s="337"/>
      <c r="AG90" s="183"/>
      <c r="AH90" s="183"/>
      <c r="AI90" s="183"/>
      <c r="AJ90" s="183"/>
      <c r="AK90" s="183"/>
    </row>
    <row r="91" spans="2:37" ht="14.25" customHeight="1">
      <c r="B91" s="268" t="s">
        <v>4894</v>
      </c>
      <c r="C91" s="269" t="s">
        <v>139</v>
      </c>
      <c r="D91" s="270" t="s">
        <v>4895</v>
      </c>
      <c r="E91" s="270" t="s">
        <v>4667</v>
      </c>
      <c r="F91" s="270" t="s">
        <v>539</v>
      </c>
      <c r="G91" s="270" t="s">
        <v>4593</v>
      </c>
      <c r="H91" s="270" t="s">
        <v>4553</v>
      </c>
      <c r="I91" s="270" t="s">
        <v>3534</v>
      </c>
      <c r="J91" s="270" t="s">
        <v>4555</v>
      </c>
      <c r="K91" s="270" t="s">
        <v>4896</v>
      </c>
      <c r="L91" s="311" t="s">
        <v>99</v>
      </c>
      <c r="M91" s="3196"/>
      <c r="N91" s="2891"/>
      <c r="O91" s="2891"/>
      <c r="P91" s="3209"/>
      <c r="Q91" s="3210"/>
      <c r="R91" s="3211"/>
      <c r="S91" s="81"/>
      <c r="T91" s="328" t="s">
        <v>4897</v>
      </c>
      <c r="V91" s="333"/>
      <c r="W91" s="333"/>
      <c r="X91" s="333"/>
      <c r="Y91" s="333"/>
      <c r="Z91" s="333"/>
      <c r="AA91" s="333"/>
      <c r="AB91" s="333"/>
      <c r="AC91" s="333"/>
      <c r="AD91" s="333"/>
      <c r="AE91" s="333"/>
      <c r="AF91" s="337"/>
      <c r="AG91" s="183"/>
      <c r="AH91" s="183"/>
      <c r="AI91" s="183"/>
      <c r="AJ91" s="183"/>
      <c r="AK91" s="183"/>
    </row>
    <row r="92" spans="2:37" ht="14.25" customHeight="1">
      <c r="B92" s="354" t="s">
        <v>4898</v>
      </c>
      <c r="C92" s="269" t="s">
        <v>2762</v>
      </c>
      <c r="D92" s="270" t="s">
        <v>4899</v>
      </c>
      <c r="E92" s="270" t="s">
        <v>4749</v>
      </c>
      <c r="F92" s="270" t="s">
        <v>539</v>
      </c>
      <c r="G92" s="270" t="s">
        <v>4744</v>
      </c>
      <c r="H92" s="270" t="s">
        <v>4553</v>
      </c>
      <c r="I92" s="270" t="s">
        <v>4688</v>
      </c>
      <c r="J92" s="270" t="s">
        <v>14</v>
      </c>
      <c r="K92" s="270" t="s">
        <v>4799</v>
      </c>
      <c r="L92" s="315" t="s">
        <v>4858</v>
      </c>
      <c r="M92" s="3197"/>
      <c r="N92" s="2891"/>
      <c r="O92" s="2891"/>
      <c r="P92" s="3209"/>
      <c r="Q92" s="3210"/>
      <c r="R92" s="3211"/>
      <c r="S92" s="81"/>
      <c r="T92" s="328" t="s">
        <v>4900</v>
      </c>
      <c r="V92" s="333"/>
      <c r="W92" s="333"/>
      <c r="X92" s="333"/>
      <c r="Y92" s="333"/>
      <c r="Z92" s="333"/>
      <c r="AA92" s="333"/>
      <c r="AB92" s="333"/>
      <c r="AC92" s="333"/>
      <c r="AD92" s="333"/>
      <c r="AE92" s="333"/>
      <c r="AF92" s="337"/>
      <c r="AG92" s="183"/>
      <c r="AH92" s="183"/>
      <c r="AI92" s="183"/>
      <c r="AJ92" s="183"/>
      <c r="AK92" s="183"/>
    </row>
    <row r="93" spans="2:37" ht="14.25" customHeight="1">
      <c r="B93" s="355" t="s">
        <v>4901</v>
      </c>
      <c r="C93" s="356" t="s">
        <v>143</v>
      </c>
      <c r="D93" s="357" t="s">
        <v>4902</v>
      </c>
      <c r="E93" s="357" t="s">
        <v>4903</v>
      </c>
      <c r="F93" s="357" t="s">
        <v>539</v>
      </c>
      <c r="G93" s="357" t="s">
        <v>4593</v>
      </c>
      <c r="H93" s="357" t="s">
        <v>4631</v>
      </c>
      <c r="I93" s="357" t="s">
        <v>4688</v>
      </c>
      <c r="J93" s="357" t="s">
        <v>4555</v>
      </c>
      <c r="K93" s="357" t="s">
        <v>4904</v>
      </c>
      <c r="L93" s="375" t="s">
        <v>99</v>
      </c>
      <c r="M93" s="3196"/>
      <c r="N93" s="2891"/>
      <c r="O93" s="2891"/>
      <c r="P93" s="3209"/>
      <c r="Q93" s="3210"/>
      <c r="R93" s="3211"/>
      <c r="S93" s="81"/>
      <c r="T93" s="328" t="s">
        <v>1619</v>
      </c>
      <c r="V93" s="333"/>
      <c r="W93" s="333"/>
      <c r="X93" s="333"/>
      <c r="Y93" s="333"/>
      <c r="Z93" s="333"/>
      <c r="AA93" s="333"/>
      <c r="AB93" s="333"/>
      <c r="AC93" s="333"/>
      <c r="AD93" s="333"/>
      <c r="AE93" s="333"/>
      <c r="AF93" s="337"/>
      <c r="AG93" s="183"/>
      <c r="AH93" s="183"/>
      <c r="AI93" s="183"/>
      <c r="AJ93" s="183"/>
      <c r="AK93" s="183"/>
    </row>
    <row r="94" spans="2:37" ht="14.25" customHeight="1">
      <c r="B94" s="354" t="s">
        <v>4905</v>
      </c>
      <c r="C94" s="269" t="s">
        <v>117</v>
      </c>
      <c r="D94" s="270" t="s">
        <v>4906</v>
      </c>
      <c r="E94" s="270" t="s">
        <v>4799</v>
      </c>
      <c r="F94" s="270" t="s">
        <v>539</v>
      </c>
      <c r="G94" s="270" t="s">
        <v>4799</v>
      </c>
      <c r="H94" s="270" t="s">
        <v>4631</v>
      </c>
      <c r="I94" s="270" t="s">
        <v>3534</v>
      </c>
      <c r="J94" s="270" t="s">
        <v>4555</v>
      </c>
      <c r="K94" s="270" t="s">
        <v>4907</v>
      </c>
      <c r="L94" s="315" t="s">
        <v>4908</v>
      </c>
      <c r="M94" s="3196"/>
      <c r="N94" s="2891"/>
      <c r="O94" s="2891"/>
      <c r="P94" s="3209"/>
      <c r="Q94" s="3210"/>
      <c r="R94" s="3211"/>
      <c r="S94" s="81"/>
      <c r="T94" s="328" t="s">
        <v>1724</v>
      </c>
      <c r="V94" s="333"/>
      <c r="W94" s="333"/>
      <c r="X94" s="333"/>
      <c r="Y94" s="333"/>
      <c r="Z94" s="333"/>
      <c r="AA94" s="333"/>
      <c r="AB94" s="333"/>
      <c r="AC94" s="333"/>
      <c r="AD94" s="333"/>
      <c r="AE94" s="333"/>
      <c r="AF94" s="337"/>
      <c r="AG94" s="183"/>
      <c r="AH94" s="183"/>
      <c r="AI94" s="183"/>
      <c r="AJ94" s="183"/>
      <c r="AK94" s="183"/>
    </row>
    <row r="95" spans="2:37" ht="14.25" customHeight="1">
      <c r="B95" s="358" t="s">
        <v>4909</v>
      </c>
      <c r="C95" s="272" t="s">
        <v>151</v>
      </c>
      <c r="D95" s="273" t="s">
        <v>4910</v>
      </c>
      <c r="E95" s="273" t="s">
        <v>4911</v>
      </c>
      <c r="F95" s="273" t="s">
        <v>539</v>
      </c>
      <c r="G95" s="273" t="s">
        <v>4912</v>
      </c>
      <c r="H95" s="273" t="s">
        <v>4631</v>
      </c>
      <c r="I95" s="273" t="s">
        <v>4577</v>
      </c>
      <c r="J95" s="273" t="s">
        <v>4555</v>
      </c>
      <c r="K95" s="273" t="s">
        <v>4799</v>
      </c>
      <c r="L95" s="311" t="s">
        <v>4913</v>
      </c>
      <c r="M95" s="3196"/>
      <c r="N95" s="2891"/>
      <c r="O95" s="2891"/>
      <c r="P95" s="3209"/>
      <c r="Q95" s="3210"/>
      <c r="R95" s="3211"/>
      <c r="S95" s="81"/>
      <c r="T95" s="328" t="s">
        <v>424</v>
      </c>
      <c r="V95" s="333"/>
      <c r="W95" s="333"/>
      <c r="X95" s="333"/>
      <c r="Y95" s="333"/>
      <c r="Z95" s="333"/>
      <c r="AA95" s="333"/>
      <c r="AB95" s="333"/>
      <c r="AC95" s="333"/>
      <c r="AD95" s="333"/>
      <c r="AE95" s="333"/>
      <c r="AF95" s="337"/>
      <c r="AG95" s="183"/>
      <c r="AH95" s="183"/>
      <c r="AI95" s="183"/>
      <c r="AJ95" s="183"/>
      <c r="AK95" s="183"/>
    </row>
    <row r="96" spans="2:37" ht="14.25" customHeight="1">
      <c r="B96" s="354" t="s">
        <v>4914</v>
      </c>
      <c r="C96" s="269" t="s">
        <v>151</v>
      </c>
      <c r="D96" s="270" t="s">
        <v>4915</v>
      </c>
      <c r="E96" s="270" t="s">
        <v>4911</v>
      </c>
      <c r="F96" s="270" t="s">
        <v>539</v>
      </c>
      <c r="G96" s="270" t="s">
        <v>4912</v>
      </c>
      <c r="H96" s="270" t="s">
        <v>4631</v>
      </c>
      <c r="I96" s="270" t="s">
        <v>4688</v>
      </c>
      <c r="J96" s="270" t="s">
        <v>14</v>
      </c>
      <c r="K96" s="270" t="s">
        <v>4799</v>
      </c>
      <c r="L96" s="315" t="s">
        <v>4916</v>
      </c>
      <c r="M96" s="3196"/>
      <c r="N96" s="2891"/>
      <c r="O96" s="2891"/>
      <c r="P96" s="3209"/>
      <c r="Q96" s="3210"/>
      <c r="R96" s="3211"/>
      <c r="S96" s="81"/>
      <c r="T96" s="328" t="s">
        <v>4917</v>
      </c>
      <c r="V96" s="333"/>
      <c r="W96" s="333"/>
      <c r="X96" s="333"/>
      <c r="Y96" s="333"/>
      <c r="Z96" s="333"/>
      <c r="AA96" s="333"/>
      <c r="AB96" s="333"/>
      <c r="AC96" s="333"/>
      <c r="AD96" s="333"/>
      <c r="AE96" s="333"/>
      <c r="AF96" s="337"/>
      <c r="AG96" s="183"/>
      <c r="AH96" s="183"/>
      <c r="AI96" s="183"/>
      <c r="AJ96" s="183"/>
      <c r="AK96" s="183"/>
    </row>
    <row r="97" spans="1:37" ht="14.25" customHeight="1">
      <c r="B97" s="355" t="s">
        <v>4918</v>
      </c>
      <c r="C97" s="356" t="s">
        <v>143</v>
      </c>
      <c r="D97" s="357" t="s">
        <v>4902</v>
      </c>
      <c r="E97" s="357" t="s">
        <v>4903</v>
      </c>
      <c r="F97" s="357" t="s">
        <v>539</v>
      </c>
      <c r="G97" s="357" t="s">
        <v>4593</v>
      </c>
      <c r="H97" s="357" t="s">
        <v>4631</v>
      </c>
      <c r="I97" s="357" t="s">
        <v>4688</v>
      </c>
      <c r="J97" s="357" t="s">
        <v>4555</v>
      </c>
      <c r="K97" s="357" t="s">
        <v>4799</v>
      </c>
      <c r="L97" s="375" t="s">
        <v>4919</v>
      </c>
      <c r="M97" s="3196"/>
      <c r="N97" s="2891"/>
      <c r="O97" s="2891"/>
      <c r="P97" s="3212"/>
      <c r="Q97" s="3213"/>
      <c r="R97" s="3214"/>
      <c r="S97" s="81"/>
      <c r="T97" s="328" t="s">
        <v>1619</v>
      </c>
      <c r="V97" s="333"/>
      <c r="W97" s="333"/>
      <c r="X97" s="333"/>
      <c r="Y97" s="333"/>
      <c r="Z97" s="333"/>
      <c r="AA97" s="333"/>
      <c r="AB97" s="333"/>
      <c r="AC97" s="333"/>
      <c r="AD97" s="333"/>
      <c r="AE97" s="333"/>
      <c r="AF97" s="337"/>
      <c r="AG97" s="183"/>
      <c r="AH97" s="183"/>
      <c r="AI97" s="183"/>
      <c r="AJ97" s="183"/>
      <c r="AK97" s="183"/>
    </row>
    <row r="98" spans="1:37" ht="14.25" customHeight="1">
      <c r="B98" s="354" t="s">
        <v>4920</v>
      </c>
      <c r="C98" s="269" t="s">
        <v>157</v>
      </c>
      <c r="D98" s="270" t="s">
        <v>4921</v>
      </c>
      <c r="E98" s="270" t="s">
        <v>4922</v>
      </c>
      <c r="F98" s="270" t="s">
        <v>539</v>
      </c>
      <c r="G98" s="270" t="s">
        <v>4630</v>
      </c>
      <c r="H98" s="270" t="s">
        <v>4923</v>
      </c>
      <c r="I98" s="270" t="s">
        <v>3534</v>
      </c>
      <c r="J98" s="270" t="s">
        <v>14</v>
      </c>
      <c r="K98" s="270" t="s">
        <v>4799</v>
      </c>
      <c r="L98" s="311" t="s">
        <v>4719</v>
      </c>
      <c r="M98" s="3196"/>
      <c r="N98" s="3114" t="s">
        <v>4924</v>
      </c>
      <c r="O98" s="3115"/>
      <c r="P98" s="376" t="s">
        <v>4925</v>
      </c>
      <c r="Q98" s="3114" t="s">
        <v>4926</v>
      </c>
      <c r="R98" s="3115"/>
      <c r="S98" s="81"/>
      <c r="T98" s="328" t="s">
        <v>4917</v>
      </c>
      <c r="V98" s="333"/>
      <c r="W98" s="333"/>
      <c r="X98" s="333"/>
      <c r="Y98" s="333"/>
      <c r="Z98" s="333"/>
      <c r="AA98" s="333"/>
      <c r="AB98" s="333"/>
      <c r="AC98" s="333"/>
      <c r="AD98" s="333"/>
      <c r="AE98" s="333"/>
      <c r="AF98" s="337"/>
      <c r="AG98" s="183"/>
      <c r="AH98" s="183"/>
      <c r="AI98" s="183"/>
      <c r="AJ98" s="183"/>
      <c r="AK98" s="183"/>
    </row>
    <row r="99" spans="1:37" ht="14.25" customHeight="1">
      <c r="B99" s="359" t="s">
        <v>4927</v>
      </c>
      <c r="C99" s="282" t="s">
        <v>157</v>
      </c>
      <c r="D99" s="283" t="s">
        <v>4928</v>
      </c>
      <c r="E99" s="283" t="s">
        <v>4922</v>
      </c>
      <c r="F99" s="283" t="s">
        <v>539</v>
      </c>
      <c r="G99" s="283" t="s">
        <v>4668</v>
      </c>
      <c r="H99" s="283" t="s">
        <v>4923</v>
      </c>
      <c r="I99" s="283" t="s">
        <v>4688</v>
      </c>
      <c r="J99" s="283" t="s">
        <v>4555</v>
      </c>
      <c r="K99" s="283" t="s">
        <v>4929</v>
      </c>
      <c r="L99" s="315" t="s">
        <v>4930</v>
      </c>
      <c r="M99" s="3196"/>
      <c r="N99" s="3093"/>
      <c r="O99" s="3094"/>
      <c r="P99" s="376" t="s">
        <v>4931</v>
      </c>
      <c r="Q99" s="3093"/>
      <c r="R99" s="3094"/>
      <c r="S99" s="81"/>
      <c r="T99" s="328" t="s">
        <v>4932</v>
      </c>
      <c r="V99" s="333"/>
      <c r="W99" s="333"/>
      <c r="X99" s="333"/>
      <c r="Y99" s="333"/>
      <c r="Z99" s="333"/>
      <c r="AA99" s="333"/>
      <c r="AB99" s="333"/>
      <c r="AC99" s="333"/>
      <c r="AD99" s="333"/>
      <c r="AE99" s="333"/>
      <c r="AF99" s="337"/>
      <c r="AG99" s="183"/>
      <c r="AH99" s="183"/>
      <c r="AI99" s="183"/>
      <c r="AJ99" s="183"/>
      <c r="AK99" s="183"/>
    </row>
    <row r="100" spans="1:37" ht="14.25" customHeight="1">
      <c r="B100" s="354" t="s">
        <v>4933</v>
      </c>
      <c r="C100" s="269" t="s">
        <v>157</v>
      </c>
      <c r="D100" s="270" t="s">
        <v>4928</v>
      </c>
      <c r="E100" s="270" t="s">
        <v>4934</v>
      </c>
      <c r="F100" s="270" t="s">
        <v>539</v>
      </c>
      <c r="G100" s="270" t="s">
        <v>4553</v>
      </c>
      <c r="H100" s="270" t="s">
        <v>4923</v>
      </c>
      <c r="I100" s="270" t="s">
        <v>3534</v>
      </c>
      <c r="J100" s="270" t="s">
        <v>14</v>
      </c>
      <c r="K100" s="270" t="s">
        <v>4799</v>
      </c>
      <c r="L100" s="311" t="s">
        <v>4873</v>
      </c>
      <c r="M100" s="3196"/>
      <c r="N100" s="3093"/>
      <c r="O100" s="3094"/>
      <c r="P100" s="376" t="s">
        <v>1619</v>
      </c>
      <c r="Q100" s="3093"/>
      <c r="R100" s="3094"/>
      <c r="S100" s="81"/>
      <c r="T100" s="328" t="s">
        <v>4935</v>
      </c>
      <c r="V100" s="333"/>
      <c r="W100" s="333"/>
      <c r="X100" s="333"/>
      <c r="Y100" s="333"/>
      <c r="Z100" s="333"/>
      <c r="AA100" s="333"/>
      <c r="AB100" s="333"/>
      <c r="AC100" s="333"/>
      <c r="AD100" s="333"/>
      <c r="AE100" s="333"/>
      <c r="AF100" s="337"/>
      <c r="AG100" s="183"/>
      <c r="AH100" s="183"/>
      <c r="AI100" s="183"/>
      <c r="AJ100" s="183"/>
      <c r="AK100" s="183"/>
    </row>
    <row r="101" spans="1:37" ht="14.25" customHeight="1">
      <c r="B101" s="359" t="s">
        <v>4936</v>
      </c>
      <c r="C101" s="282" t="s">
        <v>157</v>
      </c>
      <c r="D101" s="283" t="s">
        <v>4937</v>
      </c>
      <c r="E101" s="283" t="s">
        <v>4938</v>
      </c>
      <c r="F101" s="283" t="s">
        <v>539</v>
      </c>
      <c r="G101" s="283">
        <v>1</v>
      </c>
      <c r="H101" s="283" t="s">
        <v>4939</v>
      </c>
      <c r="I101" s="283" t="s">
        <v>4700</v>
      </c>
      <c r="J101" s="283" t="s">
        <v>14</v>
      </c>
      <c r="K101" s="283" t="s">
        <v>4799</v>
      </c>
      <c r="L101" s="315" t="s">
        <v>4940</v>
      </c>
      <c r="M101" s="3196"/>
      <c r="N101" s="3093"/>
      <c r="O101" s="3094"/>
      <c r="P101" s="376" t="s">
        <v>1724</v>
      </c>
      <c r="Q101" s="3093"/>
      <c r="R101" s="3094"/>
      <c r="S101" s="81"/>
      <c r="T101" s="328" t="s">
        <v>4941</v>
      </c>
      <c r="V101" s="333"/>
      <c r="W101" s="333"/>
      <c r="X101" s="333"/>
      <c r="Y101" s="333"/>
      <c r="Z101" s="333"/>
      <c r="AA101" s="333"/>
      <c r="AB101" s="333"/>
      <c r="AC101" s="333"/>
      <c r="AD101" s="333"/>
      <c r="AE101" s="333"/>
      <c r="AF101" s="337"/>
      <c r="AG101" s="183"/>
      <c r="AH101" s="183"/>
      <c r="AI101" s="183"/>
      <c r="AJ101" s="183"/>
      <c r="AK101" s="183"/>
    </row>
    <row r="102" spans="1:37" ht="14.25" customHeight="1">
      <c r="B102" s="354" t="s">
        <v>4942</v>
      </c>
      <c r="C102" s="269" t="s">
        <v>151</v>
      </c>
      <c r="D102" s="270" t="s">
        <v>4943</v>
      </c>
      <c r="E102" s="270" t="s">
        <v>4911</v>
      </c>
      <c r="F102" s="270" t="s">
        <v>539</v>
      </c>
      <c r="G102" s="270" t="s">
        <v>4944</v>
      </c>
      <c r="H102" s="270" t="s">
        <v>4631</v>
      </c>
      <c r="I102" s="270" t="s">
        <v>4688</v>
      </c>
      <c r="J102" s="270" t="s">
        <v>4555</v>
      </c>
      <c r="K102" s="270" t="s">
        <v>4799</v>
      </c>
      <c r="L102" s="311" t="s">
        <v>4945</v>
      </c>
      <c r="M102" s="3196"/>
      <c r="N102" s="3093"/>
      <c r="O102" s="3094"/>
      <c r="P102" s="376" t="s">
        <v>424</v>
      </c>
      <c r="Q102" s="3093" t="s">
        <v>4946</v>
      </c>
      <c r="R102" s="3094"/>
      <c r="S102" s="81"/>
      <c r="T102" s="328" t="s">
        <v>1619</v>
      </c>
      <c r="V102" s="333"/>
      <c r="W102" s="333"/>
      <c r="X102" s="333"/>
      <c r="Y102" s="333"/>
      <c r="Z102" s="333"/>
      <c r="AA102" s="333"/>
      <c r="AB102" s="333"/>
      <c r="AC102" s="333"/>
      <c r="AD102" s="333"/>
      <c r="AE102" s="333"/>
      <c r="AF102" s="337"/>
      <c r="AG102" s="183"/>
      <c r="AH102" s="183"/>
      <c r="AI102" s="183"/>
      <c r="AJ102" s="183"/>
      <c r="AK102" s="183"/>
    </row>
    <row r="103" spans="1:37" ht="14.25" customHeight="1">
      <c r="B103" s="359" t="s">
        <v>4947</v>
      </c>
      <c r="C103" s="360" t="s">
        <v>151</v>
      </c>
      <c r="D103" s="361" t="s">
        <v>4948</v>
      </c>
      <c r="E103" s="361" t="s">
        <v>4911</v>
      </c>
      <c r="F103" s="361" t="s">
        <v>539</v>
      </c>
      <c r="G103" s="361" t="s">
        <v>4944</v>
      </c>
      <c r="H103" s="361" t="s">
        <v>4631</v>
      </c>
      <c r="I103" s="361" t="s">
        <v>4688</v>
      </c>
      <c r="J103" s="361" t="s">
        <v>14</v>
      </c>
      <c r="K103" s="361" t="s">
        <v>4799</v>
      </c>
      <c r="L103" s="377" t="s">
        <v>4740</v>
      </c>
      <c r="M103" s="3196"/>
      <c r="N103" s="3093" t="s">
        <v>4949</v>
      </c>
      <c r="O103" s="3094"/>
      <c r="P103" s="376" t="s">
        <v>4682</v>
      </c>
      <c r="Q103" s="3093"/>
      <c r="R103" s="3094"/>
      <c r="S103" s="81"/>
      <c r="T103" s="328" t="s">
        <v>4950</v>
      </c>
      <c r="V103" s="333"/>
      <c r="W103" s="333"/>
      <c r="X103" s="333"/>
      <c r="Y103" s="333"/>
      <c r="Z103" s="333"/>
      <c r="AA103" s="333"/>
      <c r="AB103" s="333"/>
      <c r="AC103" s="333"/>
      <c r="AD103" s="333"/>
      <c r="AE103" s="333"/>
      <c r="AF103" s="337"/>
      <c r="AG103" s="183"/>
      <c r="AH103" s="183"/>
      <c r="AI103" s="183"/>
      <c r="AJ103" s="183"/>
      <c r="AK103" s="183"/>
    </row>
    <row r="104" spans="1:37" ht="14.25" customHeight="1">
      <c r="B104" s="354" t="s">
        <v>4951</v>
      </c>
      <c r="C104" s="269" t="s">
        <v>2737</v>
      </c>
      <c r="D104" s="270" t="s">
        <v>4889</v>
      </c>
      <c r="E104" s="270" t="s">
        <v>4952</v>
      </c>
      <c r="F104" s="270" t="s">
        <v>539</v>
      </c>
      <c r="G104" s="270" t="s">
        <v>4553</v>
      </c>
      <c r="H104" s="270" t="s">
        <v>4953</v>
      </c>
      <c r="I104" s="270" t="s">
        <v>4954</v>
      </c>
      <c r="J104" s="270" t="s">
        <v>4555</v>
      </c>
      <c r="K104" s="270" t="s">
        <v>4799</v>
      </c>
      <c r="L104" s="311" t="s">
        <v>4955</v>
      </c>
      <c r="M104" s="3196"/>
      <c r="N104" s="3093"/>
      <c r="O104" s="3094"/>
      <c r="P104" s="376" t="s">
        <v>4575</v>
      </c>
      <c r="Q104" s="3093"/>
      <c r="R104" s="3094"/>
      <c r="S104" s="81"/>
      <c r="T104" s="328" t="s">
        <v>4738</v>
      </c>
      <c r="V104" s="333"/>
      <c r="W104" s="333"/>
      <c r="X104" s="333"/>
      <c r="Y104" s="333"/>
      <c r="Z104" s="333"/>
      <c r="AA104" s="333"/>
      <c r="AB104" s="333"/>
      <c r="AC104" s="333"/>
      <c r="AD104" s="333"/>
      <c r="AE104" s="333"/>
      <c r="AF104" s="337"/>
      <c r="AG104" s="183"/>
      <c r="AH104" s="183"/>
      <c r="AI104" s="183"/>
      <c r="AJ104" s="183"/>
      <c r="AK104" s="183"/>
    </row>
    <row r="105" spans="1:37" ht="16.95" customHeight="1">
      <c r="A105" s="199"/>
      <c r="B105" s="362" t="s">
        <v>4956</v>
      </c>
      <c r="C105" s="363" t="s">
        <v>2762</v>
      </c>
      <c r="D105" s="364" t="s">
        <v>4957</v>
      </c>
      <c r="E105" s="364" t="s">
        <v>4958</v>
      </c>
      <c r="F105" s="364" t="s">
        <v>539</v>
      </c>
      <c r="G105" s="364" t="s">
        <v>4553</v>
      </c>
      <c r="H105" s="364" t="s">
        <v>4553</v>
      </c>
      <c r="I105" s="364" t="s">
        <v>4700</v>
      </c>
      <c r="J105" s="364" t="s">
        <v>14</v>
      </c>
      <c r="K105" s="364" t="s">
        <v>4799</v>
      </c>
      <c r="L105" s="378" t="s">
        <v>4884</v>
      </c>
      <c r="M105" s="3197"/>
      <c r="N105" s="3095"/>
      <c r="O105" s="3096"/>
      <c r="P105" s="376" t="s">
        <v>4959</v>
      </c>
      <c r="Q105" s="3095"/>
      <c r="R105" s="3096"/>
      <c r="S105" s="81"/>
      <c r="T105" s="328" t="s">
        <v>4960</v>
      </c>
      <c r="V105" s="333"/>
      <c r="W105" s="333"/>
      <c r="X105" s="333"/>
      <c r="Y105" s="333"/>
      <c r="Z105" s="333"/>
      <c r="AA105" s="333"/>
      <c r="AB105" s="333"/>
      <c r="AC105" s="333"/>
      <c r="AD105" s="333"/>
      <c r="AE105" s="333"/>
      <c r="AF105" s="337"/>
      <c r="AG105" s="183"/>
      <c r="AH105" s="183"/>
      <c r="AI105" s="183"/>
      <c r="AJ105" s="183"/>
      <c r="AK105" s="183"/>
    </row>
    <row r="106" spans="1:37">
      <c r="A106" s="199"/>
      <c r="B106" s="365"/>
      <c r="C106" s="365"/>
      <c r="D106" s="197"/>
      <c r="E106" s="197"/>
      <c r="F106" s="197"/>
      <c r="G106" s="197"/>
      <c r="H106" s="197"/>
      <c r="I106" s="197"/>
      <c r="J106" s="197"/>
      <c r="K106" s="81"/>
      <c r="L106" s="81"/>
      <c r="M106" s="81"/>
      <c r="N106" s="3288" t="s">
        <v>4961</v>
      </c>
      <c r="O106" s="3289"/>
      <c r="P106" s="3289"/>
      <c r="Q106" s="3289"/>
      <c r="R106" s="3290"/>
      <c r="S106" s="81"/>
      <c r="T106" s="81"/>
      <c r="V106" s="183"/>
      <c r="W106" s="183"/>
      <c r="X106" s="183"/>
      <c r="Y106" s="183"/>
      <c r="Z106" s="183"/>
      <c r="AA106" s="183"/>
      <c r="AB106" s="183"/>
      <c r="AC106" s="183"/>
      <c r="AD106" s="183"/>
      <c r="AE106" s="183"/>
      <c r="AF106" s="183"/>
      <c r="AG106" s="183"/>
      <c r="AH106" s="183"/>
      <c r="AI106" s="183"/>
      <c r="AJ106" s="183"/>
      <c r="AK106" s="183"/>
    </row>
    <row r="107" spans="1:37" ht="15.6">
      <c r="A107" s="199"/>
      <c r="B107" s="3291" t="s">
        <v>4962</v>
      </c>
      <c r="C107" s="3292"/>
      <c r="D107" s="3292"/>
      <c r="E107" s="3292"/>
      <c r="F107" s="3292"/>
      <c r="G107" s="3292"/>
      <c r="H107" s="3292"/>
      <c r="I107" s="3292"/>
      <c r="J107" s="3292"/>
      <c r="K107" s="3292"/>
      <c r="L107" s="3293"/>
      <c r="M107" s="379"/>
      <c r="N107" s="379"/>
      <c r="O107" s="379"/>
      <c r="P107" s="379"/>
      <c r="Q107" s="379"/>
      <c r="R107" s="379"/>
      <c r="S107" s="379"/>
      <c r="T107" s="379"/>
      <c r="V107" s="183"/>
      <c r="W107" s="183"/>
      <c r="X107" s="183"/>
      <c r="Y107" s="183"/>
      <c r="Z107" s="183"/>
      <c r="AA107" s="183"/>
      <c r="AB107" s="183"/>
      <c r="AC107" s="183"/>
      <c r="AD107" s="183"/>
      <c r="AE107" s="183"/>
      <c r="AF107" s="183"/>
      <c r="AG107" s="183"/>
      <c r="AH107" s="183"/>
      <c r="AI107" s="183"/>
      <c r="AJ107" s="183"/>
      <c r="AK107" s="183"/>
    </row>
    <row r="108" spans="1:37" ht="15" customHeight="1">
      <c r="A108" s="199"/>
      <c r="B108" s="3294" t="s">
        <v>4963</v>
      </c>
      <c r="C108" s="2916"/>
      <c r="D108" s="2916"/>
      <c r="E108" s="2916"/>
      <c r="F108" s="2916"/>
      <c r="G108" s="2916"/>
      <c r="H108" s="2916"/>
      <c r="I108" s="2916"/>
      <c r="J108" s="2916"/>
      <c r="K108" s="2916"/>
      <c r="L108" s="2917"/>
      <c r="M108" s="379"/>
      <c r="N108" s="3295" t="s">
        <v>4964</v>
      </c>
      <c r="O108" s="3296"/>
      <c r="P108" s="3296"/>
      <c r="Q108" s="3296"/>
      <c r="R108" s="3297"/>
      <c r="S108" s="379"/>
      <c r="T108" s="379"/>
      <c r="V108" s="183"/>
      <c r="W108" s="183"/>
      <c r="X108" s="183"/>
      <c r="Y108" s="183"/>
      <c r="Z108" s="183"/>
      <c r="AA108" s="183"/>
      <c r="AB108" s="183"/>
      <c r="AC108" s="183"/>
      <c r="AD108" s="183"/>
      <c r="AE108" s="183"/>
      <c r="AF108" s="183"/>
      <c r="AG108" s="183"/>
      <c r="AH108" s="183"/>
      <c r="AI108" s="183"/>
      <c r="AJ108" s="183"/>
      <c r="AK108" s="183"/>
    </row>
    <row r="109" spans="1:37" ht="15.6">
      <c r="A109" s="199"/>
      <c r="B109" s="3168" t="s">
        <v>4965</v>
      </c>
      <c r="C109" s="3298"/>
      <c r="D109" s="3298"/>
      <c r="E109" s="3298"/>
      <c r="F109" s="3298"/>
      <c r="G109" s="3298"/>
      <c r="H109" s="3298"/>
      <c r="I109" s="3298"/>
      <c r="J109" s="3298"/>
      <c r="K109" s="3298"/>
      <c r="L109" s="3169"/>
      <c r="M109" s="379"/>
      <c r="N109" s="3299" t="s">
        <v>4966</v>
      </c>
      <c r="O109" s="3300"/>
      <c r="P109" s="381" t="s">
        <v>4967</v>
      </c>
      <c r="Q109" s="3300" t="s">
        <v>4968</v>
      </c>
      <c r="R109" s="3301"/>
      <c r="S109" s="379"/>
      <c r="T109" s="379"/>
      <c r="V109" s="183"/>
      <c r="W109" s="183"/>
      <c r="X109" s="183"/>
      <c r="Y109" s="183"/>
      <c r="Z109" s="183"/>
      <c r="AA109" s="183"/>
      <c r="AB109" s="183"/>
      <c r="AC109" s="183"/>
      <c r="AD109" s="183"/>
      <c r="AE109" s="183"/>
      <c r="AF109" s="183"/>
      <c r="AG109" s="183"/>
      <c r="AH109" s="183"/>
      <c r="AI109" s="183"/>
      <c r="AJ109" s="183"/>
      <c r="AK109" s="183"/>
    </row>
    <row r="110" spans="1:37" ht="15.6">
      <c r="A110" s="199"/>
      <c r="B110" s="3168" t="s">
        <v>4969</v>
      </c>
      <c r="C110" s="3298"/>
      <c r="D110" s="3298"/>
      <c r="E110" s="3298"/>
      <c r="F110" s="3298"/>
      <c r="G110" s="3298"/>
      <c r="H110" s="3298"/>
      <c r="I110" s="3298"/>
      <c r="J110" s="3298"/>
      <c r="K110" s="3298"/>
      <c r="L110" s="3169"/>
      <c r="M110" s="379"/>
      <c r="N110" s="3152" t="s">
        <v>4970</v>
      </c>
      <c r="O110" s="3153"/>
      <c r="P110" s="382" t="s">
        <v>4971</v>
      </c>
      <c r="Q110" s="2985" t="s">
        <v>4972</v>
      </c>
      <c r="R110" s="2986"/>
      <c r="S110" s="379"/>
      <c r="T110" s="379"/>
      <c r="V110" s="183"/>
      <c r="W110" s="183"/>
      <c r="X110" s="183"/>
      <c r="Y110" s="183"/>
      <c r="Z110" s="183"/>
      <c r="AA110" s="183"/>
      <c r="AB110" s="183"/>
      <c r="AC110" s="183"/>
      <c r="AD110" s="183"/>
      <c r="AE110" s="183"/>
      <c r="AF110" s="183"/>
      <c r="AG110" s="183"/>
      <c r="AH110" s="183"/>
      <c r="AI110" s="183"/>
      <c r="AJ110" s="183"/>
      <c r="AK110" s="183"/>
    </row>
    <row r="111" spans="1:37" ht="16.05" customHeight="1">
      <c r="A111" s="199"/>
      <c r="B111" s="3268" t="s">
        <v>4973</v>
      </c>
      <c r="C111" s="3269"/>
      <c r="D111" s="3269"/>
      <c r="E111" s="3269"/>
      <c r="F111" s="3269"/>
      <c r="G111" s="3269"/>
      <c r="H111" s="3269"/>
      <c r="I111" s="3269"/>
      <c r="J111" s="3269"/>
      <c r="K111" s="3269"/>
      <c r="L111" s="3270"/>
      <c r="M111" s="379"/>
      <c r="N111" s="2950"/>
      <c r="O111" s="2949"/>
      <c r="P111" s="383" t="s">
        <v>4974</v>
      </c>
      <c r="Q111" s="2987"/>
      <c r="R111" s="2986"/>
      <c r="S111" s="379"/>
      <c r="T111" s="379"/>
      <c r="V111" s="183"/>
      <c r="W111" s="183"/>
      <c r="X111" s="183"/>
      <c r="Y111" s="183"/>
      <c r="Z111" s="183"/>
      <c r="AA111" s="183"/>
      <c r="AB111" s="183"/>
      <c r="AC111" s="183"/>
      <c r="AD111" s="183"/>
      <c r="AE111" s="183"/>
      <c r="AF111" s="183"/>
      <c r="AG111" s="183"/>
      <c r="AH111" s="183"/>
      <c r="AI111" s="183"/>
      <c r="AJ111" s="183"/>
      <c r="AK111" s="183"/>
    </row>
    <row r="112" spans="1:37" ht="15.6">
      <c r="A112" s="199"/>
      <c r="B112" s="3236" t="s">
        <v>4975</v>
      </c>
      <c r="C112" s="2931"/>
      <c r="D112" s="2931"/>
      <c r="E112" s="2931"/>
      <c r="F112" s="2931"/>
      <c r="G112" s="2931"/>
      <c r="H112" s="2931"/>
      <c r="I112" s="2931"/>
      <c r="J112" s="2931"/>
      <c r="K112" s="2931"/>
      <c r="L112" s="3271"/>
      <c r="M112" s="379"/>
      <c r="N112" s="384"/>
      <c r="O112" s="81"/>
      <c r="P112" s="383"/>
      <c r="Q112" s="2985" t="s">
        <v>4976</v>
      </c>
      <c r="R112" s="2986"/>
      <c r="S112" s="379"/>
      <c r="T112" s="379"/>
    </row>
    <row r="113" spans="1:20" ht="15.6">
      <c r="A113" s="199"/>
      <c r="B113" s="3236" t="s">
        <v>4977</v>
      </c>
      <c r="C113" s="2931"/>
      <c r="D113" s="2931"/>
      <c r="E113" s="2931"/>
      <c r="F113" s="2931"/>
      <c r="G113" s="2931"/>
      <c r="H113" s="2931"/>
      <c r="I113" s="2931"/>
      <c r="J113" s="2931"/>
      <c r="K113" s="2931"/>
      <c r="L113" s="3271"/>
      <c r="M113" s="379"/>
      <c r="N113" s="384"/>
      <c r="O113" s="81"/>
      <c r="P113" s="383" t="s">
        <v>4978</v>
      </c>
      <c r="Q113" s="2987"/>
      <c r="R113" s="2986"/>
      <c r="S113" s="379"/>
      <c r="T113" s="379"/>
    </row>
    <row r="114" spans="1:20" ht="15.6">
      <c r="A114" s="199"/>
      <c r="B114" s="3272" t="s">
        <v>4979</v>
      </c>
      <c r="C114" s="3273"/>
      <c r="D114" s="3273"/>
      <c r="E114" s="3273"/>
      <c r="F114" s="3273"/>
      <c r="G114" s="3273"/>
      <c r="H114" s="3273"/>
      <c r="I114" s="3273"/>
      <c r="J114" s="3273"/>
      <c r="K114" s="3273"/>
      <c r="L114" s="3274"/>
      <c r="M114" s="379"/>
      <c r="N114" s="384"/>
      <c r="O114" s="81"/>
      <c r="P114" s="383" t="s">
        <v>4980</v>
      </c>
      <c r="Q114" s="2985" t="s">
        <v>4981</v>
      </c>
      <c r="R114" s="2986"/>
      <c r="S114" s="379"/>
      <c r="T114" s="379"/>
    </row>
    <row r="115" spans="1:20" ht="15.6">
      <c r="A115" s="199"/>
      <c r="B115" s="3268" t="s">
        <v>4982</v>
      </c>
      <c r="C115" s="3269"/>
      <c r="D115" s="3269"/>
      <c r="E115" s="3269"/>
      <c r="F115" s="3269"/>
      <c r="G115" s="3269"/>
      <c r="H115" s="3269"/>
      <c r="I115" s="3269"/>
      <c r="J115" s="3269"/>
      <c r="K115" s="3269"/>
      <c r="L115" s="3270"/>
      <c r="M115" s="379"/>
      <c r="N115" s="2894" t="s">
        <v>4983</v>
      </c>
      <c r="O115" s="2949"/>
      <c r="P115" s="383"/>
      <c r="Q115" s="2987"/>
      <c r="R115" s="2986"/>
      <c r="S115" s="379"/>
      <c r="T115" s="379"/>
    </row>
    <row r="116" spans="1:20" ht="15.6">
      <c r="A116" s="199"/>
      <c r="B116" s="3200" t="s">
        <v>4984</v>
      </c>
      <c r="C116" s="3201"/>
      <c r="D116" s="3201"/>
      <c r="E116" s="3201"/>
      <c r="F116" s="3201"/>
      <c r="G116" s="3201"/>
      <c r="H116" s="3201"/>
      <c r="I116" s="3201"/>
      <c r="J116" s="3201"/>
      <c r="K116" s="3201"/>
      <c r="L116" s="3202"/>
      <c r="M116" s="379"/>
      <c r="N116" s="2950"/>
      <c r="O116" s="2949"/>
      <c r="P116" s="383" t="s">
        <v>4985</v>
      </c>
      <c r="Q116" s="2987" t="s">
        <v>4986</v>
      </c>
      <c r="R116" s="2986"/>
      <c r="S116" s="379"/>
      <c r="T116" s="379"/>
    </row>
    <row r="117" spans="1:20" ht="15.6">
      <c r="A117" s="199"/>
      <c r="B117" s="3236" t="s">
        <v>4987</v>
      </c>
      <c r="C117" s="2931"/>
      <c r="D117" s="2931"/>
      <c r="E117" s="2931"/>
      <c r="F117" s="2931"/>
      <c r="G117" s="2931"/>
      <c r="H117" s="2931"/>
      <c r="I117" s="2931"/>
      <c r="J117" s="2931"/>
      <c r="K117" s="2931"/>
      <c r="L117" s="3271"/>
      <c r="M117" s="379"/>
      <c r="N117" s="385"/>
      <c r="O117" s="321"/>
      <c r="P117" s="383" t="s">
        <v>4988</v>
      </c>
      <c r="Q117" s="2987" t="s">
        <v>4989</v>
      </c>
      <c r="R117" s="2986"/>
      <c r="S117" s="379"/>
      <c r="T117" s="379"/>
    </row>
    <row r="118" spans="1:20" ht="15.6">
      <c r="A118" s="199"/>
      <c r="B118" s="3200" t="s">
        <v>4990</v>
      </c>
      <c r="C118" s="3201"/>
      <c r="D118" s="3201"/>
      <c r="E118" s="3201"/>
      <c r="F118" s="3201"/>
      <c r="G118" s="3201"/>
      <c r="H118" s="3201"/>
      <c r="I118" s="3201"/>
      <c r="J118" s="3201"/>
      <c r="K118" s="3201"/>
      <c r="L118" s="3202"/>
      <c r="M118" s="379"/>
      <c r="N118" s="3113"/>
      <c r="O118" s="2989"/>
      <c r="P118" s="386"/>
      <c r="Q118" s="2985" t="s">
        <v>4991</v>
      </c>
      <c r="R118" s="3020"/>
      <c r="S118" s="379"/>
      <c r="T118" s="379"/>
    </row>
    <row r="119" spans="1:20" ht="15.6">
      <c r="A119" s="199"/>
      <c r="B119" s="3203" t="s">
        <v>4992</v>
      </c>
      <c r="C119" s="3204"/>
      <c r="D119" s="3204"/>
      <c r="E119" s="3204"/>
      <c r="F119" s="3204"/>
      <c r="G119" s="3204"/>
      <c r="H119" s="3204"/>
      <c r="I119" s="3204"/>
      <c r="J119" s="3204"/>
      <c r="K119" s="3204"/>
      <c r="L119" s="3205"/>
      <c r="M119" s="379"/>
      <c r="N119" s="3113"/>
      <c r="O119" s="2989"/>
      <c r="P119" s="386"/>
      <c r="Q119" s="2985"/>
      <c r="R119" s="3020"/>
      <c r="S119" s="379"/>
      <c r="T119" s="379"/>
    </row>
    <row r="120" spans="1:20" ht="15.6">
      <c r="A120" s="199"/>
      <c r="B120" s="367"/>
      <c r="C120" s="367"/>
      <c r="D120" s="368"/>
      <c r="E120" s="368"/>
      <c r="F120" s="368"/>
      <c r="G120" s="368"/>
      <c r="H120" s="368"/>
      <c r="I120" s="368"/>
      <c r="J120" s="368"/>
      <c r="K120" s="379"/>
      <c r="L120" s="379"/>
      <c r="M120" s="379"/>
      <c r="N120" s="2894" t="s">
        <v>4993</v>
      </c>
      <c r="O120" s="2949"/>
      <c r="P120" s="386"/>
      <c r="Q120" s="2985" t="s">
        <v>4994</v>
      </c>
      <c r="R120" s="3020"/>
      <c r="S120" s="379"/>
      <c r="T120" s="379"/>
    </row>
    <row r="121" spans="1:20" ht="15.6">
      <c r="A121" s="199"/>
      <c r="B121" s="3231" t="s">
        <v>4995</v>
      </c>
      <c r="C121" s="3133" t="s">
        <v>4996</v>
      </c>
      <c r="D121" s="3133"/>
      <c r="E121" s="2927" t="s">
        <v>4997</v>
      </c>
      <c r="F121" s="2927"/>
      <c r="G121" s="2927"/>
      <c r="H121" s="2927"/>
      <c r="I121" s="2927"/>
      <c r="J121" s="2927"/>
      <c r="K121" s="2927"/>
      <c r="L121" s="2928"/>
      <c r="M121" s="379"/>
      <c r="N121" s="3131"/>
      <c r="O121" s="3282"/>
      <c r="P121" s="387"/>
      <c r="Q121" s="3021"/>
      <c r="R121" s="3022"/>
      <c r="S121" s="379"/>
      <c r="T121" s="379"/>
    </row>
    <row r="122" spans="1:20" ht="15.6">
      <c r="A122" s="199"/>
      <c r="B122" s="3232"/>
      <c r="C122" s="3134"/>
      <c r="D122" s="3134"/>
      <c r="E122" s="2929"/>
      <c r="F122" s="2929"/>
      <c r="G122" s="2929"/>
      <c r="H122" s="2929"/>
      <c r="I122" s="2929"/>
      <c r="J122" s="2929"/>
      <c r="K122" s="2929"/>
      <c r="L122" s="2930"/>
      <c r="M122" s="379"/>
      <c r="N122" s="379"/>
      <c r="O122" s="379"/>
      <c r="P122" s="379"/>
      <c r="Q122" s="379"/>
      <c r="R122" s="379"/>
      <c r="S122" s="379"/>
      <c r="T122" s="379"/>
    </row>
    <row r="123" spans="1:20" ht="16.2">
      <c r="A123" s="199"/>
      <c r="B123" s="3168" t="s">
        <v>4998</v>
      </c>
      <c r="C123" s="2931" t="s">
        <v>4653</v>
      </c>
      <c r="D123" s="2931"/>
      <c r="E123" s="2972" t="s">
        <v>4999</v>
      </c>
      <c r="F123" s="2972"/>
      <c r="G123" s="2972"/>
      <c r="H123" s="2972"/>
      <c r="I123" s="2972"/>
      <c r="J123" s="2972"/>
      <c r="K123" s="2972"/>
      <c r="L123" s="2973"/>
      <c r="M123" s="379"/>
      <c r="N123" s="3265" t="s">
        <v>5000</v>
      </c>
      <c r="O123" s="3266"/>
      <c r="P123" s="3266"/>
      <c r="Q123" s="3266"/>
      <c r="R123" s="3266"/>
      <c r="S123" s="3266"/>
      <c r="T123" s="3267"/>
    </row>
    <row r="124" spans="1:20" ht="15.6">
      <c r="A124" s="199"/>
      <c r="B124" s="3168"/>
      <c r="C124" s="2931"/>
      <c r="D124" s="2931"/>
      <c r="E124" s="2972"/>
      <c r="F124" s="2972"/>
      <c r="G124" s="2972"/>
      <c r="H124" s="2972"/>
      <c r="I124" s="2972"/>
      <c r="J124" s="2972"/>
      <c r="K124" s="2972"/>
      <c r="L124" s="2973"/>
      <c r="M124" s="379"/>
      <c r="N124" s="3275" t="s">
        <v>5001</v>
      </c>
      <c r="O124" s="3120" t="s">
        <v>5002</v>
      </c>
      <c r="P124" s="3121"/>
      <c r="Q124" s="3121"/>
      <c r="R124" s="3121"/>
      <c r="S124" s="3121"/>
      <c r="T124" s="3122"/>
    </row>
    <row r="125" spans="1:20" ht="15.6">
      <c r="A125" s="199"/>
      <c r="B125" s="3168"/>
      <c r="C125" s="2931"/>
      <c r="D125" s="2931"/>
      <c r="E125" s="2972"/>
      <c r="F125" s="2972"/>
      <c r="G125" s="2972"/>
      <c r="H125" s="2972"/>
      <c r="I125" s="2972"/>
      <c r="J125" s="2972"/>
      <c r="K125" s="2972"/>
      <c r="L125" s="2973"/>
      <c r="M125" s="379"/>
      <c r="N125" s="3276"/>
      <c r="O125" s="3123"/>
      <c r="P125" s="3124"/>
      <c r="Q125" s="3124"/>
      <c r="R125" s="3124"/>
      <c r="S125" s="3124"/>
      <c r="T125" s="3125"/>
    </row>
    <row r="126" spans="1:20" ht="15.6">
      <c r="A126" s="199"/>
      <c r="B126" s="3233" t="s">
        <v>5003</v>
      </c>
      <c r="C126" s="2892" t="s">
        <v>4575</v>
      </c>
      <c r="D126" s="2892"/>
      <c r="E126" s="3198" t="s">
        <v>5004</v>
      </c>
      <c r="F126" s="3198"/>
      <c r="G126" s="3198"/>
      <c r="H126" s="3198"/>
      <c r="I126" s="3198"/>
      <c r="J126" s="3198"/>
      <c r="K126" s="3198"/>
      <c r="L126" s="3199"/>
      <c r="M126" s="379"/>
      <c r="N126" s="3277" t="s">
        <v>5005</v>
      </c>
      <c r="O126" s="2885" t="s">
        <v>5006</v>
      </c>
      <c r="P126" s="2886"/>
      <c r="Q126" s="2886"/>
      <c r="R126" s="2886"/>
      <c r="S126" s="2886"/>
      <c r="T126" s="2887"/>
    </row>
    <row r="127" spans="1:20" ht="15.6">
      <c r="A127" s="199"/>
      <c r="B127" s="3233"/>
      <c r="C127" s="2892"/>
      <c r="D127" s="2892"/>
      <c r="E127" s="3198"/>
      <c r="F127" s="3198"/>
      <c r="G127" s="3198"/>
      <c r="H127" s="3198"/>
      <c r="I127" s="3198"/>
      <c r="J127" s="3198"/>
      <c r="K127" s="3198"/>
      <c r="L127" s="3199"/>
      <c r="M127" s="379"/>
      <c r="N127" s="3278"/>
      <c r="O127" s="2888"/>
      <c r="P127" s="2889"/>
      <c r="Q127" s="2889"/>
      <c r="R127" s="2889"/>
      <c r="S127" s="2889"/>
      <c r="T127" s="2890"/>
    </row>
    <row r="128" spans="1:20" ht="15.6">
      <c r="A128" s="199"/>
      <c r="B128" s="3233"/>
      <c r="C128" s="2892"/>
      <c r="D128" s="2892"/>
      <c r="E128" s="3198"/>
      <c r="F128" s="3198"/>
      <c r="G128" s="3198"/>
      <c r="H128" s="3198"/>
      <c r="I128" s="3198"/>
      <c r="J128" s="3198"/>
      <c r="K128" s="3198"/>
      <c r="L128" s="3199"/>
      <c r="M128" s="379"/>
      <c r="N128" s="3279" t="s">
        <v>5007</v>
      </c>
      <c r="O128" s="3137" t="s">
        <v>5008</v>
      </c>
      <c r="P128" s="3138"/>
      <c r="Q128" s="3138"/>
      <c r="R128" s="3138"/>
      <c r="S128" s="3138"/>
      <c r="T128" s="3139"/>
    </row>
    <row r="129" spans="1:20" ht="15.6">
      <c r="A129" s="199"/>
      <c r="B129" s="3168" t="s">
        <v>5009</v>
      </c>
      <c r="C129" s="2931" t="s">
        <v>424</v>
      </c>
      <c r="D129" s="2931"/>
      <c r="E129" s="2916" t="s">
        <v>5010</v>
      </c>
      <c r="F129" s="2916"/>
      <c r="G129" s="2916"/>
      <c r="H129" s="2916"/>
      <c r="I129" s="2916"/>
      <c r="J129" s="2916"/>
      <c r="K129" s="2916"/>
      <c r="L129" s="2917"/>
      <c r="M129" s="379"/>
      <c r="N129" s="3279"/>
      <c r="O129" s="3137"/>
      <c r="P129" s="3140"/>
      <c r="Q129" s="3140"/>
      <c r="R129" s="3140"/>
      <c r="S129" s="3140"/>
      <c r="T129" s="3139"/>
    </row>
    <row r="130" spans="1:20" ht="15.6">
      <c r="A130" s="199"/>
      <c r="B130" s="3168"/>
      <c r="C130" s="2931"/>
      <c r="D130" s="2931"/>
      <c r="E130" s="2916"/>
      <c r="F130" s="2916"/>
      <c r="G130" s="2916"/>
      <c r="H130" s="2916"/>
      <c r="I130" s="2916"/>
      <c r="J130" s="2916"/>
      <c r="K130" s="2916"/>
      <c r="L130" s="2917"/>
      <c r="M130" s="379"/>
      <c r="N130" s="3279"/>
      <c r="O130" s="3137"/>
      <c r="P130" s="3140"/>
      <c r="Q130" s="3140"/>
      <c r="R130" s="3140"/>
      <c r="S130" s="3140"/>
      <c r="T130" s="3139"/>
    </row>
    <row r="131" spans="1:20" ht="15.6">
      <c r="A131" s="199"/>
      <c r="B131" s="3168"/>
      <c r="C131" s="2931"/>
      <c r="D131" s="2931"/>
      <c r="E131" s="2916"/>
      <c r="F131" s="2916"/>
      <c r="G131" s="2916"/>
      <c r="H131" s="2916"/>
      <c r="I131" s="2916"/>
      <c r="J131" s="2916"/>
      <c r="K131" s="2916"/>
      <c r="L131" s="2917"/>
      <c r="M131" s="379"/>
      <c r="N131" s="3279"/>
      <c r="O131" s="3137"/>
      <c r="P131" s="3140"/>
      <c r="Q131" s="3140"/>
      <c r="R131" s="3140"/>
      <c r="S131" s="3140"/>
      <c r="T131" s="3139"/>
    </row>
    <row r="132" spans="1:20" ht="15.6">
      <c r="A132" s="199"/>
      <c r="B132" s="3234" t="s">
        <v>5011</v>
      </c>
      <c r="C132" s="2892" t="s">
        <v>1724</v>
      </c>
      <c r="D132" s="3136"/>
      <c r="E132" s="3283" t="s">
        <v>5012</v>
      </c>
      <c r="F132" s="3283"/>
      <c r="G132" s="3283"/>
      <c r="H132" s="3283"/>
      <c r="I132" s="3283"/>
      <c r="J132" s="3283"/>
      <c r="K132" s="3283"/>
      <c r="L132" s="3284"/>
      <c r="M132" s="379"/>
      <c r="N132" s="3280"/>
      <c r="O132" s="3141"/>
      <c r="P132" s="3142"/>
      <c r="Q132" s="3142"/>
      <c r="R132" s="3142"/>
      <c r="S132" s="3142"/>
      <c r="T132" s="3143"/>
    </row>
    <row r="133" spans="1:20" ht="15.6">
      <c r="A133" s="199"/>
      <c r="B133" s="3235"/>
      <c r="C133" s="3136"/>
      <c r="D133" s="3136"/>
      <c r="E133" s="3283"/>
      <c r="F133" s="3283"/>
      <c r="G133" s="3283"/>
      <c r="H133" s="3283"/>
      <c r="I133" s="3283"/>
      <c r="J133" s="3283"/>
      <c r="K133" s="3283"/>
      <c r="L133" s="3284"/>
      <c r="M133" s="379"/>
      <c r="N133" s="3281" t="s">
        <v>5013</v>
      </c>
      <c r="O133" s="2885" t="s">
        <v>5014</v>
      </c>
      <c r="P133" s="3083"/>
      <c r="Q133" s="3083"/>
      <c r="R133" s="3083"/>
      <c r="S133" s="3083"/>
      <c r="T133" s="2887"/>
    </row>
    <row r="134" spans="1:20" ht="15.6">
      <c r="A134" s="199"/>
      <c r="B134" s="3235"/>
      <c r="C134" s="3136"/>
      <c r="D134" s="3136"/>
      <c r="E134" s="3283"/>
      <c r="F134" s="3283"/>
      <c r="G134" s="3283"/>
      <c r="H134" s="3283"/>
      <c r="I134" s="3283"/>
      <c r="J134" s="3283"/>
      <c r="K134" s="3283"/>
      <c r="L134" s="3284"/>
      <c r="M134" s="379"/>
      <c r="N134" s="3281"/>
      <c r="O134" s="2885"/>
      <c r="P134" s="2886"/>
      <c r="Q134" s="2886"/>
      <c r="R134" s="2886"/>
      <c r="S134" s="2886"/>
      <c r="T134" s="2887"/>
    </row>
    <row r="135" spans="1:20" ht="15.6">
      <c r="A135" s="199"/>
      <c r="B135" s="3236" t="s">
        <v>5015</v>
      </c>
      <c r="C135" s="2931" t="s">
        <v>1619</v>
      </c>
      <c r="D135" s="2931"/>
      <c r="E135" s="3154" t="s">
        <v>5016</v>
      </c>
      <c r="F135" s="3154"/>
      <c r="G135" s="3154"/>
      <c r="H135" s="3154"/>
      <c r="I135" s="3154"/>
      <c r="J135" s="3154"/>
      <c r="K135" s="3154"/>
      <c r="L135" s="3155"/>
      <c r="M135" s="379"/>
      <c r="N135" s="3281"/>
      <c r="O135" s="2885"/>
      <c r="P135" s="2886"/>
      <c r="Q135" s="2886"/>
      <c r="R135" s="2886"/>
      <c r="S135" s="2886"/>
      <c r="T135" s="2887"/>
    </row>
    <row r="136" spans="1:20" ht="15.6">
      <c r="A136" s="199"/>
      <c r="B136" s="3236"/>
      <c r="C136" s="2931"/>
      <c r="D136" s="2931"/>
      <c r="E136" s="3154"/>
      <c r="F136" s="3154"/>
      <c r="G136" s="3154"/>
      <c r="H136" s="3154"/>
      <c r="I136" s="3154"/>
      <c r="J136" s="3154"/>
      <c r="K136" s="3154"/>
      <c r="L136" s="3155"/>
      <c r="M136" s="379"/>
      <c r="N136" s="3281"/>
      <c r="O136" s="2885"/>
      <c r="P136" s="2886"/>
      <c r="Q136" s="2886"/>
      <c r="R136" s="2886"/>
      <c r="S136" s="2886"/>
      <c r="T136" s="2887"/>
    </row>
    <row r="137" spans="1:20" ht="15.6">
      <c r="A137" s="199"/>
      <c r="B137" s="3236"/>
      <c r="C137" s="2931"/>
      <c r="D137" s="2931"/>
      <c r="E137" s="3154"/>
      <c r="F137" s="3154"/>
      <c r="G137" s="3154"/>
      <c r="H137" s="3154"/>
      <c r="I137" s="3154"/>
      <c r="J137" s="3154"/>
      <c r="K137" s="3154"/>
      <c r="L137" s="3155"/>
      <c r="M137" s="379"/>
      <c r="N137" s="3281"/>
      <c r="O137" s="2885"/>
      <c r="P137" s="2886"/>
      <c r="Q137" s="2886"/>
      <c r="R137" s="2886"/>
      <c r="S137" s="2886"/>
      <c r="T137" s="2887"/>
    </row>
    <row r="138" spans="1:20" ht="15.6">
      <c r="A138" s="199"/>
      <c r="B138" s="3234" t="s">
        <v>5017</v>
      </c>
      <c r="C138" s="2892" t="s">
        <v>4931</v>
      </c>
      <c r="D138" s="2892"/>
      <c r="E138" s="3283" t="s">
        <v>5018</v>
      </c>
      <c r="F138" s="3283"/>
      <c r="G138" s="3283"/>
      <c r="H138" s="3283"/>
      <c r="I138" s="3283"/>
      <c r="J138" s="3283"/>
      <c r="K138" s="3283"/>
      <c r="L138" s="3284"/>
      <c r="M138" s="379"/>
      <c r="N138" s="3281"/>
      <c r="O138" s="2885"/>
      <c r="P138" s="2886"/>
      <c r="Q138" s="2886"/>
      <c r="R138" s="2886"/>
      <c r="S138" s="2886"/>
      <c r="T138" s="2887"/>
    </row>
    <row r="139" spans="1:20" ht="15.6">
      <c r="A139" s="199"/>
      <c r="B139" s="3234"/>
      <c r="C139" s="2892"/>
      <c r="D139" s="2892"/>
      <c r="E139" s="3283"/>
      <c r="F139" s="3283"/>
      <c r="G139" s="3283"/>
      <c r="H139" s="3283"/>
      <c r="I139" s="3283"/>
      <c r="J139" s="3283"/>
      <c r="K139" s="3283"/>
      <c r="L139" s="3284"/>
      <c r="M139" s="379"/>
      <c r="N139" s="3281"/>
      <c r="O139" s="2885"/>
      <c r="P139" s="2886"/>
      <c r="Q139" s="2886"/>
      <c r="R139" s="2886"/>
      <c r="S139" s="2886"/>
      <c r="T139" s="2887"/>
    </row>
    <row r="140" spans="1:20" ht="15.6">
      <c r="A140" s="199"/>
      <c r="B140" s="3237"/>
      <c r="C140" s="2893"/>
      <c r="D140" s="2893"/>
      <c r="E140" s="3285"/>
      <c r="F140" s="3285"/>
      <c r="G140" s="3285"/>
      <c r="H140" s="3285"/>
      <c r="I140" s="3285"/>
      <c r="J140" s="3285"/>
      <c r="K140" s="3285"/>
      <c r="L140" s="3286"/>
      <c r="M140" s="379"/>
      <c r="N140" s="3281"/>
      <c r="O140" s="2885"/>
      <c r="P140" s="3083"/>
      <c r="Q140" s="3083"/>
      <c r="R140" s="3083"/>
      <c r="S140" s="3083"/>
      <c r="T140" s="2887"/>
    </row>
    <row r="141" spans="1:20">
      <c r="A141" s="199"/>
      <c r="B141" s="197"/>
      <c r="C141" s="197"/>
      <c r="D141" s="197"/>
      <c r="E141" s="197"/>
      <c r="F141" s="197"/>
      <c r="G141" s="197"/>
      <c r="H141" s="197"/>
      <c r="I141" s="197"/>
      <c r="J141" s="197"/>
      <c r="K141" s="81"/>
      <c r="L141" s="81"/>
      <c r="M141" s="81"/>
      <c r="N141" s="400"/>
      <c r="O141" s="400"/>
      <c r="P141" s="400"/>
      <c r="Q141" s="400"/>
      <c r="R141" s="400"/>
      <c r="S141" s="400"/>
      <c r="T141" s="400"/>
    </row>
    <row r="142" spans="1:20">
      <c r="A142" s="199"/>
      <c r="B142" s="2918" t="s">
        <v>5019</v>
      </c>
      <c r="C142" s="2919"/>
      <c r="D142" s="2919"/>
      <c r="E142" s="2919"/>
      <c r="F142" s="2919"/>
      <c r="G142" s="2919"/>
      <c r="H142" s="2919"/>
      <c r="I142" s="2919"/>
      <c r="J142" s="2919"/>
      <c r="K142" s="2919"/>
      <c r="L142" s="2919"/>
      <c r="M142" s="2919"/>
      <c r="N142" s="2919"/>
      <c r="O142" s="2919"/>
      <c r="P142" s="2919"/>
      <c r="Q142" s="2919"/>
      <c r="R142" s="2919"/>
      <c r="S142" s="2919"/>
      <c r="T142" s="2920"/>
    </row>
    <row r="143" spans="1:20">
      <c r="A143" s="199"/>
      <c r="B143" s="2921"/>
      <c r="C143" s="2922"/>
      <c r="D143" s="2922"/>
      <c r="E143" s="2922"/>
      <c r="F143" s="2922"/>
      <c r="G143" s="2922"/>
      <c r="H143" s="2922"/>
      <c r="I143" s="2922"/>
      <c r="J143" s="2922"/>
      <c r="K143" s="2922"/>
      <c r="L143" s="2922"/>
      <c r="M143" s="2922"/>
      <c r="N143" s="2922"/>
      <c r="O143" s="2922"/>
      <c r="P143" s="2922"/>
      <c r="Q143" s="2922"/>
      <c r="R143" s="2922"/>
      <c r="S143" s="2922"/>
      <c r="T143" s="2923"/>
    </row>
    <row r="144" spans="1:20">
      <c r="A144" s="199"/>
      <c r="B144" s="2924"/>
      <c r="C144" s="2925"/>
      <c r="D144" s="2925"/>
      <c r="E144" s="2925"/>
      <c r="F144" s="2925"/>
      <c r="G144" s="2925"/>
      <c r="H144" s="2925"/>
      <c r="I144" s="2925"/>
      <c r="J144" s="2925"/>
      <c r="K144" s="2925"/>
      <c r="L144" s="2925"/>
      <c r="M144" s="2925"/>
      <c r="N144" s="2925"/>
      <c r="O144" s="2925"/>
      <c r="P144" s="2925"/>
      <c r="Q144" s="2925"/>
      <c r="R144" s="2925"/>
      <c r="S144" s="2925"/>
      <c r="T144" s="2926"/>
    </row>
    <row r="145" spans="1:22" ht="15.6">
      <c r="A145" s="199"/>
      <c r="B145" s="367"/>
      <c r="C145" s="367"/>
      <c r="D145" s="367"/>
      <c r="E145" s="367"/>
      <c r="F145" s="367"/>
      <c r="G145" s="367"/>
      <c r="H145" s="368"/>
      <c r="I145" s="368"/>
      <c r="J145" s="368"/>
      <c r="K145" s="379"/>
      <c r="L145" s="379"/>
      <c r="M145" s="379"/>
      <c r="N145" s="321"/>
      <c r="O145" s="379"/>
      <c r="P145" s="379"/>
      <c r="Q145" s="379"/>
      <c r="R145" s="379"/>
      <c r="S145" s="379"/>
      <c r="T145" s="379"/>
    </row>
    <row r="146" spans="1:22" ht="22.95" customHeight="1">
      <c r="A146" s="199"/>
      <c r="B146" s="389" t="s">
        <v>5020</v>
      </c>
      <c r="C146" s="367"/>
      <c r="D146" s="3097" t="s">
        <v>5021</v>
      </c>
      <c r="E146" s="3242"/>
      <c r="F146" s="3097" t="s">
        <v>5022</v>
      </c>
      <c r="G146" s="3098"/>
      <c r="H146" s="3098"/>
      <c r="I146" s="3242"/>
      <c r="J146" s="368"/>
      <c r="K146" s="2960" t="s">
        <v>5023</v>
      </c>
      <c r="L146" s="2961"/>
      <c r="M146" s="2962"/>
      <c r="N146" s="379"/>
      <c r="O146" s="2960" t="s">
        <v>5024</v>
      </c>
      <c r="P146" s="2962"/>
      <c r="Q146" s="379"/>
      <c r="R146" s="2960" t="s">
        <v>5025</v>
      </c>
      <c r="S146" s="2961"/>
      <c r="T146" s="2962"/>
    </row>
    <row r="147" spans="1:22" ht="15.6">
      <c r="A147" s="199"/>
      <c r="B147" s="3238" t="s">
        <v>5026</v>
      </c>
      <c r="C147" s="390"/>
      <c r="D147" s="3116" t="s">
        <v>5027</v>
      </c>
      <c r="E147" s="3117"/>
      <c r="F147" s="3116" t="s">
        <v>5028</v>
      </c>
      <c r="G147" s="3126"/>
      <c r="H147" s="3126"/>
      <c r="I147" s="3117"/>
      <c r="J147" s="390"/>
      <c r="K147" s="3082" t="s">
        <v>5029</v>
      </c>
      <c r="L147" s="3083"/>
      <c r="M147" s="2887"/>
      <c r="N147" s="401"/>
      <c r="O147" s="3082" t="s">
        <v>5030</v>
      </c>
      <c r="P147" s="2887"/>
      <c r="Q147" s="401"/>
      <c r="R147" s="3014" t="s">
        <v>5031</v>
      </c>
      <c r="S147" s="3015"/>
      <c r="T147" s="3016"/>
    </row>
    <row r="148" spans="1:22" ht="15.6">
      <c r="A148" s="199"/>
      <c r="B148" s="3238"/>
      <c r="C148" s="390"/>
      <c r="D148" s="3116"/>
      <c r="E148" s="3117"/>
      <c r="F148" s="3116"/>
      <c r="G148" s="3126"/>
      <c r="H148" s="3126"/>
      <c r="I148" s="3117"/>
      <c r="J148" s="390"/>
      <c r="K148" s="3082"/>
      <c r="L148" s="3083"/>
      <c r="M148" s="2887"/>
      <c r="N148" s="401"/>
      <c r="O148" s="3082"/>
      <c r="P148" s="2887"/>
      <c r="Q148" s="401"/>
      <c r="R148" s="3014"/>
      <c r="S148" s="3015"/>
      <c r="T148" s="3016"/>
    </row>
    <row r="149" spans="1:22" ht="15.6">
      <c r="A149" s="199"/>
      <c r="B149" s="3238"/>
      <c r="C149" s="390"/>
      <c r="D149" s="3116"/>
      <c r="E149" s="3117"/>
      <c r="F149" s="3116"/>
      <c r="G149" s="3126"/>
      <c r="H149" s="3126"/>
      <c r="I149" s="3117"/>
      <c r="J149" s="390"/>
      <c r="K149" s="3082"/>
      <c r="L149" s="3083"/>
      <c r="M149" s="2887"/>
      <c r="N149" s="401"/>
      <c r="O149" s="3082"/>
      <c r="P149" s="2887"/>
      <c r="Q149" s="401"/>
      <c r="R149" s="3014"/>
      <c r="S149" s="3015"/>
      <c r="T149" s="3016"/>
    </row>
    <row r="150" spans="1:22" ht="15.6">
      <c r="A150" s="199"/>
      <c r="B150" s="3238"/>
      <c r="C150" s="390"/>
      <c r="D150" s="3116"/>
      <c r="E150" s="3117"/>
      <c r="F150" s="3116"/>
      <c r="G150" s="3126"/>
      <c r="H150" s="3126"/>
      <c r="I150" s="3117"/>
      <c r="J150" s="390"/>
      <c r="K150" s="3082"/>
      <c r="L150" s="3083"/>
      <c r="M150" s="2887"/>
      <c r="N150" s="401"/>
      <c r="O150" s="3082"/>
      <c r="P150" s="2887"/>
      <c r="Q150" s="401"/>
      <c r="R150" s="3014"/>
      <c r="S150" s="3015"/>
      <c r="T150" s="3016"/>
    </row>
    <row r="151" spans="1:22" ht="15.6">
      <c r="A151" s="199"/>
      <c r="B151" s="3238"/>
      <c r="C151" s="390"/>
      <c r="D151" s="3116"/>
      <c r="E151" s="3117"/>
      <c r="F151" s="3116"/>
      <c r="G151" s="3126"/>
      <c r="H151" s="3126"/>
      <c r="I151" s="3117"/>
      <c r="J151" s="390"/>
      <c r="K151" s="3082"/>
      <c r="L151" s="3083"/>
      <c r="M151" s="2887"/>
      <c r="N151" s="401"/>
      <c r="O151" s="3082"/>
      <c r="P151" s="2887"/>
      <c r="Q151" s="401"/>
      <c r="R151" s="3014"/>
      <c r="S151" s="3015"/>
      <c r="T151" s="3016"/>
    </row>
    <row r="152" spans="1:22" ht="15.6">
      <c r="A152" s="199"/>
      <c r="B152" s="3238"/>
      <c r="C152" s="390"/>
      <c r="D152" s="3116"/>
      <c r="E152" s="3117"/>
      <c r="F152" s="3116"/>
      <c r="G152" s="3126"/>
      <c r="H152" s="3126"/>
      <c r="I152" s="3117"/>
      <c r="J152" s="390"/>
      <c r="K152" s="3082"/>
      <c r="L152" s="3083"/>
      <c r="M152" s="2887"/>
      <c r="N152" s="401"/>
      <c r="O152" s="3082"/>
      <c r="P152" s="2887"/>
      <c r="Q152" s="401"/>
      <c r="R152" s="3014"/>
      <c r="S152" s="3015"/>
      <c r="T152" s="3016"/>
      <c r="V152" s="256"/>
    </row>
    <row r="153" spans="1:22" ht="15.6">
      <c r="A153" s="199"/>
      <c r="B153" s="3238"/>
      <c r="C153" s="390"/>
      <c r="D153" s="3116"/>
      <c r="E153" s="3117"/>
      <c r="F153" s="3116"/>
      <c r="G153" s="3126"/>
      <c r="H153" s="3126"/>
      <c r="I153" s="3117"/>
      <c r="J153" s="390"/>
      <c r="K153" s="3082"/>
      <c r="L153" s="3083"/>
      <c r="M153" s="2887"/>
      <c r="N153" s="401"/>
      <c r="O153" s="3082"/>
      <c r="P153" s="2887"/>
      <c r="Q153" s="401"/>
      <c r="R153" s="3014"/>
      <c r="S153" s="3015"/>
      <c r="T153" s="3016"/>
      <c r="V153" s="256"/>
    </row>
    <row r="154" spans="1:22" ht="15.6">
      <c r="A154" s="199"/>
      <c r="B154" s="3238"/>
      <c r="C154" s="390"/>
      <c r="D154" s="3116"/>
      <c r="E154" s="3117"/>
      <c r="F154" s="3116"/>
      <c r="G154" s="3126"/>
      <c r="H154" s="3126"/>
      <c r="I154" s="3117"/>
      <c r="J154" s="390"/>
      <c r="K154" s="3082"/>
      <c r="L154" s="3083"/>
      <c r="M154" s="2887"/>
      <c r="N154" s="401"/>
      <c r="O154" s="3082"/>
      <c r="P154" s="2887"/>
      <c r="Q154" s="401"/>
      <c r="R154" s="3014"/>
      <c r="S154" s="3015"/>
      <c r="T154" s="3016"/>
      <c r="V154" s="256"/>
    </row>
    <row r="155" spans="1:22" ht="15.6">
      <c r="A155" s="199"/>
      <c r="B155" s="3239"/>
      <c r="C155" s="390"/>
      <c r="D155" s="3118"/>
      <c r="E155" s="3119"/>
      <c r="F155" s="3118"/>
      <c r="G155" s="3127"/>
      <c r="H155" s="3127"/>
      <c r="I155" s="3119"/>
      <c r="J155" s="390"/>
      <c r="K155" s="3084"/>
      <c r="L155" s="3085"/>
      <c r="M155" s="3086"/>
      <c r="N155" s="401"/>
      <c r="O155" s="3084"/>
      <c r="P155" s="3086"/>
      <c r="Q155" s="401"/>
      <c r="R155" s="3017"/>
      <c r="S155" s="3018"/>
      <c r="T155" s="3019"/>
      <c r="V155" s="256"/>
    </row>
    <row r="156" spans="1:22" ht="15.6">
      <c r="A156" s="199"/>
      <c r="B156" s="367"/>
      <c r="C156" s="367"/>
      <c r="D156" s="367"/>
      <c r="E156" s="367"/>
      <c r="F156" s="367"/>
      <c r="G156" s="367"/>
      <c r="H156" s="367"/>
      <c r="I156" s="367"/>
      <c r="J156" s="367"/>
      <c r="K156" s="379"/>
      <c r="L156" s="379"/>
      <c r="M156" s="379"/>
      <c r="N156" s="379"/>
      <c r="O156" s="379"/>
      <c r="P156" s="379"/>
      <c r="Q156" s="379"/>
      <c r="R156" s="379"/>
      <c r="S156" s="379"/>
      <c r="T156" s="379"/>
      <c r="V156" s="256"/>
    </row>
    <row r="157" spans="1:22" ht="15.6">
      <c r="A157" s="199"/>
      <c r="B157" s="3097" t="s">
        <v>5032</v>
      </c>
      <c r="C157" s="3097" t="s">
        <v>5033</v>
      </c>
      <c r="D157" s="3242"/>
      <c r="E157" s="367"/>
      <c r="F157" s="3097" t="s">
        <v>5034</v>
      </c>
      <c r="G157" s="3098"/>
      <c r="H157" s="3098"/>
      <c r="I157" s="3098"/>
      <c r="J157" s="3098"/>
      <c r="K157" s="3097" t="s">
        <v>5035</v>
      </c>
      <c r="L157" s="3242"/>
      <c r="M157" s="379"/>
      <c r="N157" s="2960" t="s">
        <v>5036</v>
      </c>
      <c r="O157" s="2961"/>
      <c r="P157" s="2961"/>
      <c r="Q157" s="2961"/>
      <c r="R157" s="2961"/>
      <c r="S157" s="2961"/>
      <c r="T157" s="2962"/>
      <c r="V157" s="256"/>
    </row>
    <row r="158" spans="1:22" ht="15.6">
      <c r="A158" s="199"/>
      <c r="B158" s="3099"/>
      <c r="C158" s="3099"/>
      <c r="D158" s="3243"/>
      <c r="E158" s="367"/>
      <c r="F158" s="3099"/>
      <c r="G158" s="3100"/>
      <c r="H158" s="3100"/>
      <c r="I158" s="3100"/>
      <c r="J158" s="3100"/>
      <c r="K158" s="3099"/>
      <c r="L158" s="3243"/>
      <c r="M158" s="379"/>
      <c r="N158" s="2963"/>
      <c r="O158" s="2964"/>
      <c r="P158" s="2964"/>
      <c r="Q158" s="2964"/>
      <c r="R158" s="2964"/>
      <c r="S158" s="2964"/>
      <c r="T158" s="2965"/>
    </row>
    <row r="159" spans="1:22" ht="15.6">
      <c r="A159" s="199"/>
      <c r="B159" s="3168" t="s">
        <v>5037</v>
      </c>
      <c r="C159" s="3168" t="s">
        <v>5038</v>
      </c>
      <c r="D159" s="3169"/>
      <c r="E159" s="367"/>
      <c r="F159" s="3225" t="s">
        <v>5039</v>
      </c>
      <c r="G159" s="3226"/>
      <c r="H159" s="3226"/>
      <c r="I159" s="3226"/>
      <c r="J159" s="3226"/>
      <c r="K159" s="3116" t="s">
        <v>5040</v>
      </c>
      <c r="L159" s="3117"/>
      <c r="M159" s="379"/>
      <c r="N159" s="3144" t="s">
        <v>5041</v>
      </c>
      <c r="O159" s="3145"/>
      <c r="P159" s="3145"/>
      <c r="Q159" s="3146"/>
      <c r="R159" s="3175" t="s">
        <v>5042</v>
      </c>
      <c r="S159" s="3176"/>
      <c r="T159" s="3177"/>
      <c r="U159" s="257"/>
    </row>
    <row r="160" spans="1:22" ht="15.6">
      <c r="A160" s="199"/>
      <c r="B160" s="3168"/>
      <c r="C160" s="3168"/>
      <c r="D160" s="3169"/>
      <c r="E160" s="367"/>
      <c r="F160" s="3225"/>
      <c r="G160" s="3226"/>
      <c r="H160" s="3226"/>
      <c r="I160" s="3226"/>
      <c r="J160" s="3226"/>
      <c r="K160" s="3116"/>
      <c r="L160" s="3117"/>
      <c r="M160" s="379"/>
      <c r="N160" s="3147"/>
      <c r="O160" s="3148"/>
      <c r="P160" s="3149"/>
      <c r="Q160" s="3150"/>
      <c r="R160" s="2932"/>
      <c r="S160" s="2895"/>
      <c r="T160" s="2896"/>
      <c r="U160" s="257"/>
    </row>
    <row r="161" spans="2:21" ht="15.6">
      <c r="B161" s="3168"/>
      <c r="C161" s="3168"/>
      <c r="D161" s="3169"/>
      <c r="E161" s="368"/>
      <c r="F161" s="3225"/>
      <c r="G161" s="3226"/>
      <c r="H161" s="3226"/>
      <c r="I161" s="3226"/>
      <c r="J161" s="3226"/>
      <c r="K161" s="3116"/>
      <c r="L161" s="3117"/>
      <c r="M161" s="379"/>
      <c r="N161" s="3256" t="s">
        <v>5043</v>
      </c>
      <c r="O161" s="3257"/>
      <c r="P161" s="3258"/>
      <c r="Q161" s="3259"/>
      <c r="R161" s="3259"/>
      <c r="S161" s="3259"/>
      <c r="T161" s="3260"/>
    </row>
    <row r="162" spans="2:21" ht="15.6">
      <c r="B162" s="3168"/>
      <c r="C162" s="391" t="s">
        <v>5044</v>
      </c>
      <c r="D162" s="392" t="s">
        <v>1784</v>
      </c>
      <c r="E162" s="368"/>
      <c r="F162" s="3225"/>
      <c r="G162" s="3226"/>
      <c r="H162" s="3226"/>
      <c r="I162" s="3226"/>
      <c r="J162" s="3226"/>
      <c r="K162" s="3116"/>
      <c r="L162" s="3117"/>
      <c r="M162" s="379"/>
      <c r="N162" s="3261"/>
      <c r="O162" s="3262"/>
      <c r="P162" s="3263"/>
      <c r="Q162" s="3262"/>
      <c r="R162" s="3262"/>
      <c r="S162" s="3262"/>
      <c r="T162" s="3264"/>
    </row>
    <row r="163" spans="2:21" ht="15.6">
      <c r="B163" s="3168"/>
      <c r="C163" s="366" t="s">
        <v>5045</v>
      </c>
      <c r="D163" s="380" t="s">
        <v>1775</v>
      </c>
      <c r="E163" s="368"/>
      <c r="F163" s="3225"/>
      <c r="G163" s="3226"/>
      <c r="H163" s="3226"/>
      <c r="I163" s="3226"/>
      <c r="J163" s="3226"/>
      <c r="K163" s="3116"/>
      <c r="L163" s="3117"/>
      <c r="M163" s="379"/>
      <c r="N163" s="2939" t="s">
        <v>5046</v>
      </c>
      <c r="O163" s="2937"/>
      <c r="P163" s="2937"/>
      <c r="Q163" s="2937"/>
      <c r="R163" s="2937"/>
      <c r="S163" s="2937"/>
      <c r="T163" s="2966"/>
    </row>
    <row r="164" spans="2:21" ht="15.6">
      <c r="B164" s="3168"/>
      <c r="C164" s="366" t="s">
        <v>5047</v>
      </c>
      <c r="D164" s="380" t="s">
        <v>5048</v>
      </c>
      <c r="E164" s="368"/>
      <c r="F164" s="3225"/>
      <c r="G164" s="3226"/>
      <c r="H164" s="3226"/>
      <c r="I164" s="3226"/>
      <c r="J164" s="3226"/>
      <c r="K164" s="3116"/>
      <c r="L164" s="3117"/>
      <c r="M164" s="379"/>
      <c r="N164" s="3247" t="s">
        <v>5049</v>
      </c>
      <c r="O164" s="3248"/>
      <c r="P164" s="3248"/>
      <c r="Q164" s="3248"/>
      <c r="R164" s="3248"/>
      <c r="S164" s="3248"/>
      <c r="T164" s="3249"/>
    </row>
    <row r="165" spans="2:21" ht="15.6">
      <c r="B165" s="3168"/>
      <c r="C165" s="366" t="s">
        <v>5050</v>
      </c>
      <c r="D165" s="380" t="s">
        <v>5051</v>
      </c>
      <c r="E165" s="368"/>
      <c r="F165" s="3225"/>
      <c r="G165" s="3226"/>
      <c r="H165" s="3226"/>
      <c r="I165" s="3226"/>
      <c r="J165" s="3226"/>
      <c r="K165" s="3116"/>
      <c r="L165" s="3117"/>
      <c r="M165" s="379"/>
      <c r="N165" s="2936" t="s">
        <v>5052</v>
      </c>
      <c r="O165" s="2937"/>
      <c r="P165" s="2937"/>
      <c r="Q165" s="2938"/>
      <c r="R165" s="2937" t="s">
        <v>5053</v>
      </c>
      <c r="S165" s="2937"/>
      <c r="T165" s="2966"/>
    </row>
    <row r="166" spans="2:21" ht="15.6">
      <c r="B166" s="3168"/>
      <c r="C166" s="366" t="s">
        <v>5054</v>
      </c>
      <c r="D166" s="380" t="s">
        <v>1666</v>
      </c>
      <c r="E166" s="368"/>
      <c r="F166" s="3225"/>
      <c r="G166" s="3226"/>
      <c r="H166" s="3226"/>
      <c r="I166" s="3226"/>
      <c r="J166" s="3226"/>
      <c r="K166" s="3116"/>
      <c r="L166" s="3117"/>
      <c r="M166" s="379"/>
      <c r="N166" s="2939"/>
      <c r="O166" s="2937"/>
      <c r="P166" s="2937"/>
      <c r="Q166" s="2938"/>
      <c r="R166" s="2937"/>
      <c r="S166" s="2937"/>
      <c r="T166" s="2966"/>
    </row>
    <row r="167" spans="2:21" ht="15.6">
      <c r="B167" s="3168"/>
      <c r="C167" s="366" t="s">
        <v>5055</v>
      </c>
      <c r="D167" s="380" t="s">
        <v>1679</v>
      </c>
      <c r="E167" s="368"/>
      <c r="F167" s="3225"/>
      <c r="G167" s="3226"/>
      <c r="H167" s="3226"/>
      <c r="I167" s="3226"/>
      <c r="J167" s="3226"/>
      <c r="K167" s="3116"/>
      <c r="L167" s="3117"/>
      <c r="M167" s="379"/>
      <c r="N167" s="2939"/>
      <c r="O167" s="2937"/>
      <c r="P167" s="2937"/>
      <c r="Q167" s="2938"/>
      <c r="R167" s="2937"/>
      <c r="S167" s="2937"/>
      <c r="T167" s="2966"/>
      <c r="U167" s="258"/>
    </row>
    <row r="168" spans="2:21" ht="15.6">
      <c r="B168" s="3240"/>
      <c r="C168" s="393">
        <v>20</v>
      </c>
      <c r="D168" s="394" t="s">
        <v>1497</v>
      </c>
      <c r="E168" s="368"/>
      <c r="F168" s="3227"/>
      <c r="G168" s="3228"/>
      <c r="H168" s="3228"/>
      <c r="I168" s="3228"/>
      <c r="J168" s="3228"/>
      <c r="K168" s="3118"/>
      <c r="L168" s="3119"/>
      <c r="M168" s="321"/>
      <c r="N168" s="2940"/>
      <c r="O168" s="2941"/>
      <c r="P168" s="2941"/>
      <c r="Q168" s="2942"/>
      <c r="R168" s="2941"/>
      <c r="S168" s="2941"/>
      <c r="T168" s="2967"/>
      <c r="U168" s="258"/>
    </row>
    <row r="169" spans="2:21" ht="15.6">
      <c r="B169" s="368"/>
      <c r="C169" s="368"/>
      <c r="D169" s="368"/>
      <c r="E169" s="368"/>
      <c r="F169" s="368"/>
      <c r="G169" s="368"/>
      <c r="H169" s="368"/>
      <c r="I169" s="368"/>
      <c r="J169" s="368"/>
      <c r="K169" s="321"/>
      <c r="L169" s="321"/>
      <c r="M169" s="321"/>
      <c r="N169" s="320"/>
      <c r="O169" s="320"/>
      <c r="P169" s="320"/>
      <c r="Q169" s="320"/>
      <c r="R169" s="396"/>
      <c r="S169" s="396"/>
      <c r="T169" s="396"/>
      <c r="U169" s="258"/>
    </row>
    <row r="170" spans="2:21" ht="15.6">
      <c r="B170" s="2960" t="s">
        <v>5056</v>
      </c>
      <c r="C170" s="2962"/>
      <c r="D170" s="2960" t="s">
        <v>5057</v>
      </c>
      <c r="E170" s="2961"/>
      <c r="F170" s="2961"/>
      <c r="G170" s="2962"/>
      <c r="H170" s="197"/>
      <c r="I170" s="3087" t="s">
        <v>5058</v>
      </c>
      <c r="J170" s="3088"/>
      <c r="K170" s="3088"/>
      <c r="L170" s="3088"/>
      <c r="M170" s="3088"/>
      <c r="N170" s="3088"/>
      <c r="O170" s="3089"/>
      <c r="P170" s="81"/>
      <c r="Q170" s="2960" t="s">
        <v>5059</v>
      </c>
      <c r="R170" s="2961"/>
      <c r="S170" s="2961"/>
      <c r="T170" s="2962"/>
      <c r="U170" s="258"/>
    </row>
    <row r="171" spans="2:21" ht="15.6">
      <c r="B171" s="2963"/>
      <c r="C171" s="2965"/>
      <c r="D171" s="2963"/>
      <c r="E171" s="2964"/>
      <c r="F171" s="2964"/>
      <c r="G171" s="2965"/>
      <c r="H171" s="197"/>
      <c r="I171" s="3090"/>
      <c r="J171" s="3091"/>
      <c r="K171" s="3091"/>
      <c r="L171" s="3091"/>
      <c r="M171" s="3091"/>
      <c r="N171" s="3091"/>
      <c r="O171" s="3092"/>
      <c r="P171" s="81"/>
      <c r="Q171" s="2963"/>
      <c r="R171" s="2964"/>
      <c r="S171" s="2964"/>
      <c r="T171" s="2965"/>
      <c r="U171" s="258"/>
    </row>
    <row r="172" spans="2:21" ht="15.6">
      <c r="B172" s="2894" t="s">
        <v>5060</v>
      </c>
      <c r="C172" s="2896"/>
      <c r="D172" s="2971" t="s">
        <v>5061</v>
      </c>
      <c r="E172" s="2972"/>
      <c r="F172" s="2972"/>
      <c r="G172" s="2973"/>
      <c r="H172" s="395"/>
      <c r="I172" s="2894" t="s">
        <v>5062</v>
      </c>
      <c r="J172" s="2895"/>
      <c r="K172" s="2895"/>
      <c r="L172" s="2895"/>
      <c r="M172" s="2895"/>
      <c r="N172" s="2895"/>
      <c r="O172" s="2896"/>
      <c r="P172" s="81"/>
      <c r="Q172" s="2971" t="s">
        <v>5063</v>
      </c>
      <c r="R172" s="2972"/>
      <c r="S172" s="2972"/>
      <c r="T172" s="2973"/>
      <c r="U172" s="258"/>
    </row>
    <row r="173" spans="2:21" ht="15.6">
      <c r="B173" s="2894"/>
      <c r="C173" s="2896"/>
      <c r="D173" s="2971"/>
      <c r="E173" s="2972"/>
      <c r="F173" s="2972"/>
      <c r="G173" s="2973"/>
      <c r="H173" s="395"/>
      <c r="I173" s="2894"/>
      <c r="J173" s="2895"/>
      <c r="K173" s="2895"/>
      <c r="L173" s="2895"/>
      <c r="M173" s="2895"/>
      <c r="N173" s="2895"/>
      <c r="O173" s="2896"/>
      <c r="P173" s="81"/>
      <c r="Q173" s="2971"/>
      <c r="R173" s="2972"/>
      <c r="S173" s="2972"/>
      <c r="T173" s="2973"/>
      <c r="U173" s="258"/>
    </row>
    <row r="174" spans="2:21" ht="15.6">
      <c r="B174" s="2894"/>
      <c r="C174" s="2896"/>
      <c r="D174" s="2971"/>
      <c r="E174" s="2972"/>
      <c r="F174" s="2972"/>
      <c r="G174" s="2973"/>
      <c r="H174" s="395"/>
      <c r="I174" s="2894"/>
      <c r="J174" s="2895"/>
      <c r="K174" s="2895"/>
      <c r="L174" s="2895"/>
      <c r="M174" s="2895"/>
      <c r="N174" s="2895"/>
      <c r="O174" s="2896"/>
      <c r="P174" s="81"/>
      <c r="Q174" s="2971"/>
      <c r="R174" s="2972"/>
      <c r="S174" s="2972"/>
      <c r="T174" s="2973"/>
      <c r="U174" s="258"/>
    </row>
    <row r="175" spans="2:21" ht="15.6">
      <c r="B175" s="2894"/>
      <c r="C175" s="2896"/>
      <c r="D175" s="2971"/>
      <c r="E175" s="2972"/>
      <c r="F175" s="2972"/>
      <c r="G175" s="2973"/>
      <c r="H175" s="395"/>
      <c r="I175" s="2894"/>
      <c r="J175" s="2895"/>
      <c r="K175" s="2895"/>
      <c r="L175" s="2895"/>
      <c r="M175" s="2895"/>
      <c r="N175" s="2895"/>
      <c r="O175" s="2896"/>
      <c r="P175" s="81"/>
      <c r="Q175" s="2971"/>
      <c r="R175" s="2972"/>
      <c r="S175" s="2972"/>
      <c r="T175" s="2973"/>
    </row>
    <row r="176" spans="2:21" ht="15.6">
      <c r="B176" s="2894"/>
      <c r="C176" s="2896"/>
      <c r="D176" s="2971"/>
      <c r="E176" s="2972"/>
      <c r="F176" s="2972"/>
      <c r="G176" s="2973"/>
      <c r="H176" s="395"/>
      <c r="I176" s="2894"/>
      <c r="J176" s="2895"/>
      <c r="K176" s="2895"/>
      <c r="L176" s="2895"/>
      <c r="M176" s="2895"/>
      <c r="N176" s="2895"/>
      <c r="O176" s="2896"/>
      <c r="P176" s="81"/>
      <c r="Q176" s="2971"/>
      <c r="R176" s="2972"/>
      <c r="S176" s="2972"/>
      <c r="T176" s="2973"/>
    </row>
    <row r="177" spans="1:32" ht="15.6">
      <c r="B177" s="2894"/>
      <c r="C177" s="2896"/>
      <c r="D177" s="2971"/>
      <c r="E177" s="2972"/>
      <c r="F177" s="2972"/>
      <c r="G177" s="2973"/>
      <c r="H177" s="395"/>
      <c r="I177" s="2894"/>
      <c r="J177" s="2895"/>
      <c r="K177" s="2895"/>
      <c r="L177" s="2895"/>
      <c r="M177" s="2895"/>
      <c r="N177" s="2895"/>
      <c r="O177" s="2896"/>
      <c r="P177" s="81"/>
      <c r="Q177" s="2971"/>
      <c r="R177" s="2972"/>
      <c r="S177" s="2972"/>
      <c r="T177" s="2973"/>
    </row>
    <row r="178" spans="1:32" ht="15.6">
      <c r="B178" s="2894"/>
      <c r="C178" s="2896"/>
      <c r="D178" s="2971"/>
      <c r="E178" s="2972"/>
      <c r="F178" s="2972"/>
      <c r="G178" s="2973"/>
      <c r="H178" s="395"/>
      <c r="I178" s="2894"/>
      <c r="J178" s="2895"/>
      <c r="K178" s="2895"/>
      <c r="L178" s="2895"/>
      <c r="M178" s="2895"/>
      <c r="N178" s="2895"/>
      <c r="O178" s="2896"/>
      <c r="P178" s="81"/>
      <c r="Q178" s="2971"/>
      <c r="R178" s="2972"/>
      <c r="S178" s="2972"/>
      <c r="T178" s="2973"/>
    </row>
    <row r="179" spans="1:32" ht="15.6">
      <c r="B179" s="2894"/>
      <c r="C179" s="2896"/>
      <c r="D179" s="2971"/>
      <c r="E179" s="2972"/>
      <c r="F179" s="2972"/>
      <c r="G179" s="2973"/>
      <c r="H179" s="395"/>
      <c r="I179" s="2894"/>
      <c r="J179" s="2895"/>
      <c r="K179" s="2895"/>
      <c r="L179" s="2895"/>
      <c r="M179" s="2895"/>
      <c r="N179" s="2895"/>
      <c r="O179" s="2896"/>
      <c r="P179" s="81"/>
      <c r="Q179" s="2971"/>
      <c r="R179" s="2972"/>
      <c r="S179" s="2972"/>
      <c r="T179" s="2973"/>
    </row>
    <row r="180" spans="1:32" ht="15.6">
      <c r="B180" s="2897"/>
      <c r="C180" s="2899"/>
      <c r="D180" s="2974"/>
      <c r="E180" s="2975"/>
      <c r="F180" s="2975"/>
      <c r="G180" s="2976"/>
      <c r="H180" s="395"/>
      <c r="I180" s="2897"/>
      <c r="J180" s="2898"/>
      <c r="K180" s="2898"/>
      <c r="L180" s="2898"/>
      <c r="M180" s="2898"/>
      <c r="N180" s="2898"/>
      <c r="O180" s="2899"/>
      <c r="P180" s="81"/>
      <c r="Q180" s="2974"/>
      <c r="R180" s="2975"/>
      <c r="S180" s="2975"/>
      <c r="T180" s="2976"/>
    </row>
    <row r="181" spans="1:32" ht="15.6">
      <c r="A181" s="331"/>
      <c r="B181" s="396"/>
      <c r="C181" s="397"/>
      <c r="D181" s="395"/>
      <c r="E181" s="395"/>
      <c r="F181" s="395"/>
      <c r="G181" s="395"/>
      <c r="H181" s="395"/>
      <c r="I181" s="397"/>
      <c r="J181" s="397"/>
      <c r="K181" s="397"/>
      <c r="L181" s="397"/>
      <c r="M181" s="397"/>
      <c r="N181" s="397"/>
      <c r="O181" s="396"/>
      <c r="P181" s="210"/>
      <c r="Q181" s="395"/>
      <c r="R181" s="395"/>
      <c r="S181" s="395"/>
      <c r="T181" s="320"/>
      <c r="U181" s="256"/>
    </row>
    <row r="182" spans="1:32" ht="16.95" customHeight="1">
      <c r="B182" s="3053" t="s">
        <v>5064</v>
      </c>
      <c r="C182" s="3054"/>
      <c r="D182" s="3054"/>
      <c r="E182" s="3054"/>
      <c r="F182" s="3054"/>
      <c r="G182" s="3054"/>
      <c r="H182" s="3054"/>
      <c r="I182" s="3054"/>
      <c r="J182" s="3054"/>
      <c r="K182" s="3055"/>
      <c r="L182" s="81"/>
      <c r="M182" s="3107" t="s">
        <v>1573</v>
      </c>
      <c r="N182" s="3108"/>
      <c r="O182" s="3108"/>
      <c r="P182" s="3108"/>
      <c r="Q182" s="3108"/>
      <c r="R182" s="3108"/>
      <c r="S182" s="3108"/>
      <c r="T182" s="3109"/>
      <c r="U182" s="402"/>
      <c r="AC182" s="402"/>
      <c r="AD182" s="402"/>
      <c r="AE182" s="403"/>
      <c r="AF182" s="183"/>
    </row>
    <row r="183" spans="1:32" ht="16.95" customHeight="1">
      <c r="B183" s="3056"/>
      <c r="C183" s="3057"/>
      <c r="D183" s="3057"/>
      <c r="E183" s="3057"/>
      <c r="F183" s="3057"/>
      <c r="G183" s="3057"/>
      <c r="H183" s="3057"/>
      <c r="I183" s="3057"/>
      <c r="J183" s="3057"/>
      <c r="K183" s="3058"/>
      <c r="L183" s="81"/>
      <c r="M183" s="3110"/>
      <c r="N183" s="3111"/>
      <c r="O183" s="3111"/>
      <c r="P183" s="3111"/>
      <c r="Q183" s="3111"/>
      <c r="R183" s="3111"/>
      <c r="S183" s="3111"/>
      <c r="T183" s="3112"/>
      <c r="U183" s="402"/>
      <c r="Y183" s="402"/>
      <c r="Z183" s="402"/>
      <c r="AA183" s="402"/>
      <c r="AB183" s="402"/>
      <c r="AC183" s="402"/>
      <c r="AD183" s="402"/>
      <c r="AE183" s="403"/>
      <c r="AF183" s="183"/>
    </row>
    <row r="184" spans="1:32" ht="16.95" customHeight="1">
      <c r="B184" s="3068" t="s">
        <v>5065</v>
      </c>
      <c r="C184" s="2993"/>
      <c r="D184" s="2993"/>
      <c r="E184" s="2993"/>
      <c r="F184" s="2932" t="s">
        <v>5066</v>
      </c>
      <c r="G184" s="2895"/>
      <c r="H184" s="2895"/>
      <c r="I184" s="2895"/>
      <c r="J184" s="2895"/>
      <c r="K184" s="2896"/>
      <c r="L184" s="81"/>
      <c r="M184" s="3250" t="s">
        <v>1585</v>
      </c>
      <c r="N184" s="3251"/>
      <c r="O184" s="3252" t="s">
        <v>1586</v>
      </c>
      <c r="P184" s="3253"/>
      <c r="Q184" s="3252" t="s">
        <v>5067</v>
      </c>
      <c r="R184" s="3253"/>
      <c r="S184" s="3251" t="s">
        <v>169</v>
      </c>
      <c r="T184" s="3254"/>
      <c r="U184" s="403"/>
      <c r="Y184" s="404"/>
      <c r="Z184" s="404"/>
      <c r="AA184" s="404"/>
      <c r="AB184" s="404"/>
      <c r="AC184" s="404"/>
      <c r="AD184" s="404"/>
      <c r="AE184" s="403"/>
      <c r="AF184" s="183"/>
    </row>
    <row r="185" spans="1:32" ht="16.95" customHeight="1">
      <c r="B185" s="3241" t="s">
        <v>5068</v>
      </c>
      <c r="C185" s="3135" t="s">
        <v>5069</v>
      </c>
      <c r="D185" s="3135"/>
      <c r="E185" s="3135"/>
      <c r="F185" s="2932"/>
      <c r="G185" s="2895"/>
      <c r="H185" s="2895"/>
      <c r="I185" s="2895"/>
      <c r="J185" s="2895"/>
      <c r="K185" s="2896"/>
      <c r="L185" s="81"/>
      <c r="M185" s="2998" t="s">
        <v>1758</v>
      </c>
      <c r="N185" s="2999"/>
      <c r="O185" s="3000" t="str">
        <f>IF($M185=0,"",VLOOKUP($M185,附表!I38:M49,2,FALSE))</f>
        <v xml:space="preserve"> </v>
      </c>
      <c r="P185" s="3001"/>
      <c r="Q185" s="3002" t="str">
        <f>IF($M185=0,"",VLOOKUP($M185,附表!I38:M49,3,FALSE))</f>
        <v xml:space="preserve"> </v>
      </c>
      <c r="R185" s="2644"/>
      <c r="S185" s="3004" t="str">
        <f>IF($M185=0,"",VLOOKUP($M185,附表!I38:M49,4,FALSE))</f>
        <v xml:space="preserve"> </v>
      </c>
      <c r="T185" s="3005"/>
      <c r="U185" s="403"/>
      <c r="Y185" s="404"/>
      <c r="Z185" s="404"/>
      <c r="AA185" s="404"/>
      <c r="AB185" s="404"/>
      <c r="AC185" s="404"/>
      <c r="AD185" s="404"/>
      <c r="AE185" s="403"/>
      <c r="AF185" s="183"/>
    </row>
    <row r="186" spans="1:32" ht="16.95" customHeight="1">
      <c r="B186" s="3241"/>
      <c r="C186" s="3135"/>
      <c r="D186" s="3135"/>
      <c r="E186" s="3135"/>
      <c r="F186" s="2932"/>
      <c r="G186" s="2895"/>
      <c r="H186" s="2895"/>
      <c r="I186" s="2895"/>
      <c r="J186" s="2895"/>
      <c r="K186" s="2896"/>
      <c r="L186" s="81"/>
      <c r="M186" s="2998"/>
      <c r="N186" s="2999"/>
      <c r="O186" s="3000"/>
      <c r="P186" s="3001"/>
      <c r="Q186" s="3002"/>
      <c r="R186" s="3003"/>
      <c r="S186" s="3004"/>
      <c r="T186" s="3005"/>
      <c r="U186" s="404"/>
      <c r="Y186" s="404"/>
      <c r="Z186" s="404"/>
      <c r="AA186" s="404"/>
      <c r="AB186" s="404"/>
      <c r="AC186" s="404"/>
      <c r="AD186" s="404"/>
      <c r="AE186" s="403"/>
      <c r="AF186" s="183"/>
    </row>
    <row r="187" spans="1:32" ht="16.95" customHeight="1">
      <c r="B187" s="399" t="s">
        <v>5070</v>
      </c>
      <c r="C187" s="2949" t="s">
        <v>5071</v>
      </c>
      <c r="D187" s="3246"/>
      <c r="E187" s="3246"/>
      <c r="F187" s="2932"/>
      <c r="G187" s="2895"/>
      <c r="H187" s="2895"/>
      <c r="I187" s="2895"/>
      <c r="J187" s="2895"/>
      <c r="K187" s="2896"/>
      <c r="L187" s="81"/>
      <c r="M187" s="2998"/>
      <c r="N187" s="2999"/>
      <c r="O187" s="3000"/>
      <c r="P187" s="3001"/>
      <c r="Q187" s="3002"/>
      <c r="R187" s="3003"/>
      <c r="S187" s="3004"/>
      <c r="T187" s="3005"/>
      <c r="U187" s="403"/>
      <c r="Y187" s="404"/>
      <c r="Z187" s="404"/>
      <c r="AA187" s="404"/>
      <c r="AB187" s="404"/>
      <c r="AC187" s="404"/>
      <c r="AD187" s="404"/>
      <c r="AE187" s="403"/>
      <c r="AF187" s="183"/>
    </row>
    <row r="188" spans="1:32" ht="16.95" customHeight="1">
      <c r="B188" s="398" t="s">
        <v>5072</v>
      </c>
      <c r="C188" s="3255" t="s">
        <v>5073</v>
      </c>
      <c r="D188" s="3255"/>
      <c r="E188" s="3255"/>
      <c r="F188" s="2932"/>
      <c r="G188" s="2895"/>
      <c r="H188" s="2895"/>
      <c r="I188" s="2895"/>
      <c r="J188" s="2895"/>
      <c r="K188" s="2896"/>
      <c r="L188" s="81"/>
      <c r="M188" s="3165" t="s">
        <v>114</v>
      </c>
      <c r="N188" s="3166"/>
      <c r="O188" s="3166"/>
      <c r="P188" s="3166"/>
      <c r="Q188" s="3166"/>
      <c r="R188" s="3166"/>
      <c r="S188" s="3166"/>
      <c r="T188" s="3167"/>
      <c r="U188" s="404"/>
      <c r="Y188" s="404"/>
      <c r="Z188" s="404"/>
      <c r="AA188" s="404"/>
      <c r="AB188" s="404"/>
      <c r="AC188" s="404"/>
      <c r="AD188" s="404"/>
      <c r="AE188" s="403"/>
      <c r="AF188" s="183"/>
    </row>
    <row r="189" spans="1:32" ht="16.95" customHeight="1">
      <c r="B189" s="399" t="s">
        <v>5074</v>
      </c>
      <c r="C189" s="2949" t="s">
        <v>5075</v>
      </c>
      <c r="D189" s="2949"/>
      <c r="E189" s="2949"/>
      <c r="F189" s="2932"/>
      <c r="G189" s="2895"/>
      <c r="H189" s="2895"/>
      <c r="I189" s="2895"/>
      <c r="J189" s="2895"/>
      <c r="K189" s="2896"/>
      <c r="L189" s="81"/>
      <c r="M189" s="3076" t="str">
        <f>IF($M185=0,"",VLOOKUP($M185,附表!I38:M49,5,FALSE))</f>
        <v xml:space="preserve"> </v>
      </c>
      <c r="N189" s="3077"/>
      <c r="O189" s="3077"/>
      <c r="P189" s="3077"/>
      <c r="Q189" s="3077"/>
      <c r="R189" s="3077"/>
      <c r="S189" s="3077"/>
      <c r="T189" s="3078"/>
      <c r="U189" s="403"/>
      <c r="Y189" s="404"/>
      <c r="Z189" s="404"/>
      <c r="AA189" s="404"/>
      <c r="AB189" s="404"/>
      <c r="AC189" s="404"/>
      <c r="AD189" s="404"/>
      <c r="AE189" s="403"/>
      <c r="AF189" s="183"/>
    </row>
    <row r="190" spans="1:32" ht="16.95" customHeight="1">
      <c r="B190" s="3244" t="s">
        <v>5076</v>
      </c>
      <c r="C190" s="3245"/>
      <c r="D190" s="3245"/>
      <c r="E190" s="3245"/>
      <c r="F190" s="2933"/>
      <c r="G190" s="2934"/>
      <c r="H190" s="2934"/>
      <c r="I190" s="2934"/>
      <c r="J190" s="2934"/>
      <c r="K190" s="2935"/>
      <c r="L190" s="81"/>
      <c r="M190" s="3076"/>
      <c r="N190" s="3077"/>
      <c r="O190" s="3077"/>
      <c r="P190" s="3077"/>
      <c r="Q190" s="3077"/>
      <c r="R190" s="3077"/>
      <c r="S190" s="3077"/>
      <c r="T190" s="3078"/>
      <c r="U190" s="404"/>
      <c r="Y190" s="404"/>
      <c r="Z190" s="404"/>
      <c r="AA190" s="404"/>
      <c r="AB190" s="404"/>
      <c r="AC190" s="404"/>
      <c r="AD190" s="404"/>
      <c r="AE190" s="403"/>
      <c r="AF190" s="183"/>
    </row>
    <row r="191" spans="1:32" ht="16.95" customHeight="1">
      <c r="B191" s="2971" t="s">
        <v>5077</v>
      </c>
      <c r="C191" s="2972"/>
      <c r="D191" s="2972"/>
      <c r="E191" s="2972"/>
      <c r="F191" s="2972"/>
      <c r="G191" s="2972"/>
      <c r="H191" s="2972"/>
      <c r="I191" s="2972"/>
      <c r="J191" s="2972"/>
      <c r="K191" s="2973"/>
      <c r="L191" s="81"/>
      <c r="M191" s="3076"/>
      <c r="N191" s="3077"/>
      <c r="O191" s="3077"/>
      <c r="P191" s="3077"/>
      <c r="Q191" s="3077"/>
      <c r="R191" s="3077"/>
      <c r="S191" s="3077"/>
      <c r="T191" s="3078"/>
      <c r="U191" s="403"/>
      <c r="Y191" s="404"/>
      <c r="Z191" s="404"/>
      <c r="AA191" s="404"/>
      <c r="AB191" s="404"/>
      <c r="AC191" s="404"/>
      <c r="AD191" s="404"/>
      <c r="AE191" s="403"/>
      <c r="AF191" s="183"/>
    </row>
    <row r="192" spans="1:32" ht="16.95" customHeight="1">
      <c r="B192" s="2971" t="s">
        <v>5078</v>
      </c>
      <c r="C192" s="2972"/>
      <c r="D192" s="2972"/>
      <c r="E192" s="2972"/>
      <c r="F192" s="2972"/>
      <c r="G192" s="2972"/>
      <c r="H192" s="2972"/>
      <c r="I192" s="2972"/>
      <c r="J192" s="2972"/>
      <c r="K192" s="2973"/>
      <c r="L192" s="81"/>
      <c r="M192" s="3076"/>
      <c r="N192" s="3077"/>
      <c r="O192" s="3077"/>
      <c r="P192" s="3077"/>
      <c r="Q192" s="3077"/>
      <c r="R192" s="3077"/>
      <c r="S192" s="3077"/>
      <c r="T192" s="3078"/>
      <c r="U192" s="404"/>
      <c r="Y192" s="404"/>
      <c r="Z192" s="404"/>
      <c r="AA192" s="404"/>
      <c r="AB192" s="404"/>
      <c r="AC192" s="404"/>
      <c r="AD192" s="404"/>
      <c r="AE192" s="403"/>
      <c r="AF192" s="183"/>
    </row>
    <row r="193" spans="2:32" ht="16.95" customHeight="1">
      <c r="B193" s="2974" t="s">
        <v>5079</v>
      </c>
      <c r="C193" s="2975"/>
      <c r="D193" s="2975"/>
      <c r="E193" s="2975"/>
      <c r="F193" s="2975"/>
      <c r="G193" s="2975"/>
      <c r="H193" s="2975"/>
      <c r="I193" s="2975"/>
      <c r="J193" s="2975"/>
      <c r="K193" s="2976"/>
      <c r="L193" s="81"/>
      <c r="M193" s="3079"/>
      <c r="N193" s="3080"/>
      <c r="O193" s="3080"/>
      <c r="P193" s="3080"/>
      <c r="Q193" s="3080"/>
      <c r="R193" s="3080"/>
      <c r="S193" s="3080"/>
      <c r="T193" s="3081"/>
      <c r="U193" s="403"/>
      <c r="Y193" s="404"/>
      <c r="Z193" s="404"/>
      <c r="AA193" s="404"/>
      <c r="AB193" s="404"/>
      <c r="AC193" s="404"/>
      <c r="AD193" s="404"/>
      <c r="AE193" s="403"/>
      <c r="AF193" s="183"/>
    </row>
    <row r="194" spans="2:32" ht="16.95" customHeight="1">
      <c r="B194" s="233"/>
      <c r="C194" s="233"/>
      <c r="D194" s="233"/>
      <c r="E194" s="233"/>
      <c r="F194" s="233"/>
      <c r="G194" s="233"/>
      <c r="H194" s="233"/>
      <c r="I194" s="233"/>
      <c r="J194" s="233"/>
      <c r="K194" s="81"/>
      <c r="L194" s="81"/>
      <c r="M194" s="408"/>
      <c r="N194" s="408"/>
      <c r="O194" s="408"/>
      <c r="P194" s="408"/>
      <c r="Q194" s="408"/>
      <c r="R194" s="408"/>
      <c r="S194" s="408"/>
      <c r="T194" s="408"/>
      <c r="U194" s="403"/>
      <c r="Y194" s="417"/>
      <c r="Z194" s="417"/>
      <c r="AA194" s="417"/>
      <c r="AB194" s="417"/>
      <c r="AC194" s="417"/>
      <c r="AD194" s="417"/>
      <c r="AE194" s="418"/>
      <c r="AF194" s="419"/>
    </row>
    <row r="195" spans="2:32" ht="16.95" customHeight="1">
      <c r="B195" s="3246"/>
      <c r="C195" s="3246"/>
      <c r="D195" s="3246"/>
      <c r="E195" s="3246"/>
      <c r="F195" s="3246"/>
      <c r="G195" s="3246"/>
      <c r="H195" s="3246"/>
      <c r="I195" s="3246"/>
      <c r="J195" s="3246"/>
      <c r="K195" s="3246"/>
      <c r="L195" s="3246"/>
      <c r="M195" s="3246"/>
      <c r="N195" s="3246"/>
      <c r="O195" s="3246"/>
      <c r="P195" s="3246"/>
      <c r="Q195" s="3246"/>
      <c r="R195" s="3246"/>
      <c r="S195" s="3246"/>
      <c r="T195" s="3246"/>
      <c r="U195" s="256"/>
    </row>
    <row r="196" spans="2:32" ht="18" customHeight="1">
      <c r="B196" s="2358" t="s">
        <v>5080</v>
      </c>
      <c r="C196" s="2359"/>
      <c r="D196" s="2359"/>
      <c r="E196" s="2359"/>
      <c r="F196" s="2359"/>
      <c r="G196" s="2359"/>
      <c r="H196" s="2359"/>
      <c r="I196" s="2359"/>
      <c r="J196" s="2359"/>
      <c r="K196" s="2359"/>
      <c r="L196" s="2359"/>
      <c r="M196" s="2359"/>
      <c r="N196" s="2359"/>
      <c r="O196" s="2359"/>
      <c r="P196" s="2359"/>
      <c r="Q196" s="2359"/>
      <c r="R196" s="2359"/>
      <c r="S196" s="2359"/>
      <c r="T196" s="2360"/>
      <c r="U196" s="261"/>
    </row>
    <row r="197" spans="2:32" ht="18" customHeight="1">
      <c r="B197" s="2361"/>
      <c r="C197" s="2362"/>
      <c r="D197" s="2362"/>
      <c r="E197" s="2362"/>
      <c r="F197" s="2362"/>
      <c r="G197" s="2362"/>
      <c r="H197" s="2362"/>
      <c r="I197" s="2362"/>
      <c r="J197" s="2362"/>
      <c r="K197" s="2362"/>
      <c r="L197" s="2362"/>
      <c r="M197" s="2362"/>
      <c r="N197" s="2362"/>
      <c r="O197" s="2362"/>
      <c r="P197" s="2362"/>
      <c r="Q197" s="2362"/>
      <c r="R197" s="2362"/>
      <c r="S197" s="2362"/>
      <c r="T197" s="2363"/>
      <c r="U197" s="261"/>
    </row>
    <row r="198" spans="2:32" ht="18" customHeight="1">
      <c r="B198" s="2364"/>
      <c r="C198" s="2365"/>
      <c r="D198" s="2365"/>
      <c r="E198" s="2365"/>
      <c r="F198" s="2365"/>
      <c r="G198" s="2365"/>
      <c r="H198" s="2365"/>
      <c r="I198" s="2365"/>
      <c r="J198" s="2365"/>
      <c r="K198" s="2365"/>
      <c r="L198" s="2365"/>
      <c r="M198" s="2365"/>
      <c r="N198" s="2365"/>
      <c r="O198" s="2365"/>
      <c r="P198" s="2365"/>
      <c r="Q198" s="2365"/>
      <c r="R198" s="2365"/>
      <c r="S198" s="2365"/>
      <c r="T198" s="2366"/>
      <c r="U198" s="261"/>
    </row>
    <row r="199" spans="2:32" ht="18" customHeight="1">
      <c r="B199" s="368"/>
      <c r="C199" s="368"/>
      <c r="D199" s="368"/>
      <c r="E199" s="368"/>
      <c r="F199" s="368"/>
      <c r="G199" s="368"/>
      <c r="H199" s="368"/>
      <c r="I199" s="368"/>
      <c r="J199" s="409"/>
      <c r="K199" s="379"/>
      <c r="L199" s="379"/>
      <c r="M199" s="379"/>
      <c r="N199" s="379"/>
      <c r="O199" s="379"/>
      <c r="P199" s="379"/>
      <c r="Q199" s="379"/>
      <c r="R199" s="379"/>
      <c r="S199" s="379"/>
      <c r="T199" s="379"/>
      <c r="U199" s="262"/>
    </row>
    <row r="200" spans="2:32" ht="18" customHeight="1">
      <c r="B200" s="368"/>
      <c r="C200" s="3101" t="s">
        <v>5080</v>
      </c>
      <c r="D200" s="3102"/>
      <c r="E200" s="3103"/>
      <c r="F200" s="368"/>
      <c r="G200" s="368"/>
      <c r="H200" s="368"/>
      <c r="I200" s="368"/>
      <c r="J200" s="410"/>
      <c r="K200" s="321"/>
      <c r="L200" s="379"/>
      <c r="M200" s="379"/>
      <c r="N200" s="3101" t="s">
        <v>5081</v>
      </c>
      <c r="O200" s="3102"/>
      <c r="P200" s="3102"/>
      <c r="Q200" s="3102"/>
      <c r="R200" s="3103"/>
      <c r="S200" s="379"/>
      <c r="T200" s="379"/>
    </row>
    <row r="201" spans="2:32" ht="18" customHeight="1">
      <c r="B201" s="368"/>
      <c r="C201" s="3104"/>
      <c r="D201" s="3105"/>
      <c r="E201" s="3106"/>
      <c r="F201" s="368"/>
      <c r="G201" s="368"/>
      <c r="H201" s="368"/>
      <c r="I201" s="368"/>
      <c r="J201" s="410"/>
      <c r="K201" s="321"/>
      <c r="L201" s="379"/>
      <c r="M201" s="379"/>
      <c r="N201" s="3104"/>
      <c r="O201" s="3105"/>
      <c r="P201" s="3105"/>
      <c r="Q201" s="3105"/>
      <c r="R201" s="3106"/>
      <c r="S201" s="379"/>
      <c r="T201" s="379"/>
    </row>
    <row r="202" spans="2:32" ht="18" customHeight="1">
      <c r="B202" s="368"/>
      <c r="C202" s="368"/>
      <c r="D202" s="368"/>
      <c r="E202" s="368"/>
      <c r="F202" s="368"/>
      <c r="G202" s="368"/>
      <c r="H202" s="368"/>
      <c r="I202" s="368"/>
      <c r="J202" s="410"/>
      <c r="K202" s="321"/>
      <c r="L202" s="379"/>
      <c r="M202" s="379"/>
      <c r="N202" s="379"/>
      <c r="O202" s="379"/>
      <c r="P202" s="379"/>
      <c r="Q202" s="379"/>
      <c r="R202" s="379"/>
      <c r="S202" s="379"/>
      <c r="T202" s="379"/>
    </row>
    <row r="203" spans="2:32" ht="18" customHeight="1">
      <c r="B203" s="3162" t="s">
        <v>5082</v>
      </c>
      <c r="C203" s="368"/>
      <c r="D203" s="368"/>
      <c r="E203" s="3178" t="s">
        <v>5083</v>
      </c>
      <c r="F203" s="3045"/>
      <c r="G203" s="3045"/>
      <c r="H203" s="3046"/>
      <c r="I203" s="368"/>
      <c r="J203" s="410"/>
      <c r="K203" s="321"/>
      <c r="L203" s="379"/>
      <c r="M203" s="379"/>
      <c r="N203" s="379"/>
      <c r="O203" s="2943" t="s">
        <v>5084</v>
      </c>
      <c r="P203" s="2982"/>
      <c r="Q203" s="2944"/>
      <c r="R203" s="379"/>
      <c r="S203" s="379"/>
      <c r="T203" s="379"/>
    </row>
    <row r="204" spans="2:32" ht="18" customHeight="1">
      <c r="B204" s="3163"/>
      <c r="C204" s="368"/>
      <c r="D204" s="368"/>
      <c r="E204" s="3047"/>
      <c r="F204" s="3048"/>
      <c r="G204" s="3048"/>
      <c r="H204" s="3049"/>
      <c r="I204" s="368"/>
      <c r="J204" s="410"/>
      <c r="K204" s="321"/>
      <c r="L204" s="321"/>
      <c r="M204" s="411"/>
      <c r="N204" s="411"/>
      <c r="O204" s="2945"/>
      <c r="P204" s="2988"/>
      <c r="Q204" s="2946"/>
      <c r="R204" s="411"/>
      <c r="S204" s="411"/>
      <c r="T204" s="379"/>
    </row>
    <row r="205" spans="2:32" ht="18" customHeight="1">
      <c r="B205" s="3163"/>
      <c r="C205" s="3224" t="s">
        <v>5085</v>
      </c>
      <c r="D205" s="3224"/>
      <c r="E205" s="3047"/>
      <c r="F205" s="3048"/>
      <c r="G205" s="3048"/>
      <c r="H205" s="3049"/>
      <c r="I205" s="368"/>
      <c r="J205" s="410"/>
      <c r="K205" s="3159" t="s">
        <v>5086</v>
      </c>
      <c r="L205" s="412"/>
      <c r="M205" s="379"/>
      <c r="N205" s="379"/>
      <c r="O205" s="2947"/>
      <c r="P205" s="2984"/>
      <c r="Q205" s="2948"/>
      <c r="R205" s="379"/>
      <c r="S205" s="379"/>
      <c r="T205" s="3151" t="s">
        <v>5086</v>
      </c>
    </row>
    <row r="206" spans="2:32" ht="18" customHeight="1">
      <c r="B206" s="3163"/>
      <c r="C206" s="3224"/>
      <c r="D206" s="3224"/>
      <c r="E206" s="3047"/>
      <c r="F206" s="3048"/>
      <c r="G206" s="3048"/>
      <c r="H206" s="3049"/>
      <c r="I206" s="368"/>
      <c r="J206" s="410"/>
      <c r="K206" s="3159"/>
      <c r="L206" s="412"/>
      <c r="M206" s="379"/>
      <c r="N206" s="379"/>
      <c r="O206" s="321"/>
      <c r="P206" s="413" t="s">
        <v>5086</v>
      </c>
      <c r="Q206" s="379"/>
      <c r="R206" s="379"/>
      <c r="S206" s="379"/>
      <c r="T206" s="3151"/>
    </row>
    <row r="207" spans="2:32" ht="18" customHeight="1">
      <c r="B207" s="3163"/>
      <c r="C207" s="368"/>
      <c r="D207" s="368"/>
      <c r="E207" s="3047"/>
      <c r="F207" s="3048"/>
      <c r="G207" s="3048"/>
      <c r="H207" s="3049"/>
      <c r="I207" s="368"/>
      <c r="J207" s="410"/>
      <c r="K207" s="2943" t="s">
        <v>5087</v>
      </c>
      <c r="L207" s="2982"/>
      <c r="M207" s="2944"/>
      <c r="N207" s="321"/>
      <c r="O207" s="2943" t="s">
        <v>5088</v>
      </c>
      <c r="P207" s="2982"/>
      <c r="Q207" s="2944"/>
      <c r="R207" s="321"/>
      <c r="S207" s="2943" t="s">
        <v>5089</v>
      </c>
      <c r="T207" s="2944"/>
      <c r="U207" s="267"/>
      <c r="V207" s="267"/>
    </row>
    <row r="208" spans="2:32" ht="18" customHeight="1">
      <c r="B208" s="3164"/>
      <c r="C208" s="368"/>
      <c r="D208" s="368"/>
      <c r="E208" s="3050"/>
      <c r="F208" s="3051"/>
      <c r="G208" s="3051"/>
      <c r="H208" s="3052"/>
      <c r="I208" s="368"/>
      <c r="J208" s="410"/>
      <c r="K208" s="2945"/>
      <c r="L208" s="2983"/>
      <c r="M208" s="2946"/>
      <c r="N208" s="321"/>
      <c r="O208" s="2945"/>
      <c r="P208" s="2983"/>
      <c r="Q208" s="2946"/>
      <c r="R208" s="321"/>
      <c r="S208" s="2945"/>
      <c r="T208" s="2946"/>
      <c r="U208" s="267"/>
      <c r="V208" s="267"/>
    </row>
    <row r="209" spans="2:27" ht="18" customHeight="1">
      <c r="B209" s="405" t="s">
        <v>5086</v>
      </c>
      <c r="C209" s="406"/>
      <c r="D209" s="406"/>
      <c r="E209" s="407" t="s">
        <v>5086</v>
      </c>
      <c r="F209" s="407"/>
      <c r="G209" s="407" t="s">
        <v>5086</v>
      </c>
      <c r="H209" s="368"/>
      <c r="I209" s="368"/>
      <c r="J209" s="410"/>
      <c r="K209" s="2947"/>
      <c r="L209" s="2984"/>
      <c r="M209" s="2948"/>
      <c r="N209" s="321"/>
      <c r="O209" s="2947"/>
      <c r="P209" s="2984"/>
      <c r="Q209" s="2948"/>
      <c r="R209" s="321"/>
      <c r="S209" s="2947"/>
      <c r="T209" s="2948"/>
      <c r="U209" s="267"/>
      <c r="V209" s="267"/>
    </row>
    <row r="210" spans="2:27" ht="18" customHeight="1">
      <c r="B210" s="3162" t="s">
        <v>5090</v>
      </c>
      <c r="C210" s="368"/>
      <c r="D210" s="368"/>
      <c r="E210" s="3128" t="s">
        <v>5091</v>
      </c>
      <c r="F210" s="3129"/>
      <c r="G210" s="3128" t="s">
        <v>5092</v>
      </c>
      <c r="H210" s="3129"/>
      <c r="I210" s="368"/>
      <c r="J210" s="410"/>
      <c r="K210" s="3229" t="s">
        <v>5086</v>
      </c>
      <c r="L210" s="3229"/>
      <c r="M210" s="3229"/>
      <c r="N210" s="379"/>
      <c r="O210" s="379"/>
      <c r="P210" s="413" t="s">
        <v>5086</v>
      </c>
      <c r="Q210" s="379"/>
      <c r="R210" s="379"/>
      <c r="S210" s="3229" t="s">
        <v>5086</v>
      </c>
      <c r="T210" s="3229"/>
    </row>
    <row r="211" spans="2:27" ht="18" customHeight="1">
      <c r="B211" s="3163"/>
      <c r="C211" s="368"/>
      <c r="D211" s="368"/>
      <c r="E211" s="2950"/>
      <c r="F211" s="3130"/>
      <c r="G211" s="2950"/>
      <c r="H211" s="3130"/>
      <c r="I211" s="368"/>
      <c r="J211" s="410"/>
      <c r="K211" s="3035" t="s">
        <v>5093</v>
      </c>
      <c r="L211" s="3036"/>
      <c r="M211" s="3037"/>
      <c r="N211" s="379"/>
      <c r="O211" s="3215" t="s">
        <v>5094</v>
      </c>
      <c r="P211" s="3216"/>
      <c r="Q211" s="3217"/>
      <c r="R211" s="379"/>
      <c r="S211" s="3060" t="s">
        <v>1504</v>
      </c>
      <c r="T211" s="3061"/>
    </row>
    <row r="212" spans="2:27" ht="18" customHeight="1">
      <c r="B212" s="3163"/>
      <c r="C212" s="368"/>
      <c r="D212" s="368"/>
      <c r="E212" s="2950"/>
      <c r="F212" s="3130"/>
      <c r="G212" s="2950"/>
      <c r="H212" s="3130"/>
      <c r="I212" s="368"/>
      <c r="J212" s="410"/>
      <c r="K212" s="3038"/>
      <c r="L212" s="3039"/>
      <c r="M212" s="3040"/>
      <c r="N212" s="379"/>
      <c r="O212" s="3218"/>
      <c r="P212" s="3219"/>
      <c r="Q212" s="3220"/>
      <c r="R212" s="379"/>
      <c r="S212" s="3062"/>
      <c r="T212" s="3063"/>
    </row>
    <row r="213" spans="2:27" ht="18" customHeight="1">
      <c r="B213" s="3163"/>
      <c r="C213" s="368"/>
      <c r="D213" s="368"/>
      <c r="E213" s="3131"/>
      <c r="F213" s="3132"/>
      <c r="G213" s="3131"/>
      <c r="H213" s="3132"/>
      <c r="I213" s="368"/>
      <c r="J213" s="410"/>
      <c r="K213" s="3038"/>
      <c r="L213" s="3039"/>
      <c r="M213" s="3040"/>
      <c r="N213" s="379"/>
      <c r="O213" s="3218"/>
      <c r="P213" s="3219"/>
      <c r="Q213" s="3220"/>
      <c r="R213" s="379"/>
      <c r="S213" s="3062"/>
      <c r="T213" s="3063"/>
    </row>
    <row r="214" spans="2:27" ht="18" customHeight="1">
      <c r="B214" s="3163"/>
      <c r="C214" s="2915" t="s">
        <v>5085</v>
      </c>
      <c r="D214" s="2915"/>
      <c r="E214" s="368"/>
      <c r="F214" s="368"/>
      <c r="G214" s="368"/>
      <c r="H214" s="368"/>
      <c r="I214" s="368"/>
      <c r="J214" s="410"/>
      <c r="K214" s="3041"/>
      <c r="L214" s="3042"/>
      <c r="M214" s="3043"/>
      <c r="N214" s="379"/>
      <c r="O214" s="3221"/>
      <c r="P214" s="3222"/>
      <c r="Q214" s="3223"/>
      <c r="R214" s="379"/>
      <c r="S214" s="3064"/>
      <c r="T214" s="3065"/>
    </row>
    <row r="215" spans="2:27" ht="18" customHeight="1">
      <c r="B215" s="3164"/>
      <c r="C215" s="2915"/>
      <c r="D215" s="2915"/>
      <c r="E215" s="3044" t="s">
        <v>5095</v>
      </c>
      <c r="F215" s="3045"/>
      <c r="G215" s="3045"/>
      <c r="H215" s="3046"/>
      <c r="I215" s="368"/>
      <c r="J215" s="410"/>
      <c r="K215" s="321"/>
      <c r="L215" s="379"/>
      <c r="M215" s="379"/>
      <c r="N215" s="379"/>
      <c r="O215" s="379"/>
      <c r="P215" s="379"/>
      <c r="Q215" s="379"/>
      <c r="R215" s="379"/>
      <c r="S215" s="379"/>
      <c r="T215" s="379"/>
    </row>
    <row r="216" spans="2:27" ht="18" customHeight="1">
      <c r="B216" s="405" t="s">
        <v>5086</v>
      </c>
      <c r="C216" s="368"/>
      <c r="D216" s="368"/>
      <c r="E216" s="3047"/>
      <c r="F216" s="3048"/>
      <c r="G216" s="3048"/>
      <c r="H216" s="3049"/>
      <c r="I216" s="368"/>
      <c r="J216" s="410"/>
      <c r="K216" s="414"/>
      <c r="L216" s="414"/>
      <c r="M216" s="414"/>
      <c r="N216" s="414"/>
      <c r="O216" s="414"/>
      <c r="P216" s="414"/>
      <c r="Q216" s="414"/>
      <c r="R216" s="414"/>
      <c r="S216" s="414"/>
      <c r="T216" s="414"/>
    </row>
    <row r="217" spans="2:27" ht="18" customHeight="1">
      <c r="B217" s="2909" t="s">
        <v>5096</v>
      </c>
      <c r="C217" s="2910"/>
      <c r="D217" s="405" t="s">
        <v>5097</v>
      </c>
      <c r="E217" s="3047"/>
      <c r="F217" s="3048"/>
      <c r="G217" s="3048"/>
      <c r="H217" s="3049"/>
      <c r="I217" s="368"/>
      <c r="J217" s="410"/>
      <c r="K217" s="321"/>
      <c r="L217" s="321"/>
      <c r="M217" s="321"/>
      <c r="N217" s="321"/>
      <c r="O217" s="2943" t="s">
        <v>5098</v>
      </c>
      <c r="P217" s="2982"/>
      <c r="Q217" s="2944"/>
      <c r="R217" s="321"/>
      <c r="S217" s="321"/>
      <c r="T217" s="321"/>
      <c r="U217" s="256"/>
    </row>
    <row r="218" spans="2:27" ht="18" customHeight="1">
      <c r="B218" s="2911"/>
      <c r="C218" s="2912"/>
      <c r="D218" s="368"/>
      <c r="E218" s="3047"/>
      <c r="F218" s="3048"/>
      <c r="G218" s="3048"/>
      <c r="H218" s="3049"/>
      <c r="I218" s="368"/>
      <c r="J218" s="410"/>
      <c r="K218" s="2900" t="s">
        <v>5099</v>
      </c>
      <c r="L218" s="2901"/>
      <c r="M218" s="3046"/>
      <c r="N218" s="379"/>
      <c r="O218" s="2947"/>
      <c r="P218" s="2984"/>
      <c r="Q218" s="2948"/>
      <c r="R218" s="379"/>
      <c r="S218" s="379"/>
      <c r="T218" s="379"/>
      <c r="V218" s="262"/>
      <c r="W218" s="262"/>
      <c r="X218" s="262"/>
      <c r="Y218" s="262"/>
      <c r="Z218" s="262"/>
      <c r="AA218" s="262"/>
    </row>
    <row r="219" spans="2:27" ht="18" customHeight="1">
      <c r="B219" s="2911"/>
      <c r="C219" s="2912"/>
      <c r="D219" s="368"/>
      <c r="E219" s="3047"/>
      <c r="F219" s="3048"/>
      <c r="G219" s="3048"/>
      <c r="H219" s="3049"/>
      <c r="I219" s="368"/>
      <c r="J219" s="410"/>
      <c r="K219" s="3047"/>
      <c r="L219" s="3161"/>
      <c r="M219" s="3049"/>
      <c r="N219" s="379"/>
      <c r="O219" s="415"/>
      <c r="P219" s="413" t="s">
        <v>5086</v>
      </c>
      <c r="Q219" s="415"/>
      <c r="R219" s="379"/>
      <c r="S219" s="379"/>
      <c r="T219" s="379"/>
    </row>
    <row r="220" spans="2:27" ht="18" customHeight="1">
      <c r="B220" s="2911"/>
      <c r="C220" s="2912"/>
      <c r="D220" s="368"/>
      <c r="E220" s="3047"/>
      <c r="F220" s="3048"/>
      <c r="G220" s="3048"/>
      <c r="H220" s="3049"/>
      <c r="I220" s="368"/>
      <c r="J220" s="410"/>
      <c r="K220" s="3047"/>
      <c r="L220" s="3161"/>
      <c r="M220" s="3049"/>
      <c r="N220" s="2989" t="s">
        <v>5100</v>
      </c>
      <c r="O220" s="2943" t="s">
        <v>5101</v>
      </c>
      <c r="P220" s="2982"/>
      <c r="Q220" s="2944"/>
      <c r="R220" s="2989" t="s">
        <v>5102</v>
      </c>
      <c r="S220" s="3066" t="s">
        <v>5103</v>
      </c>
      <c r="T220" s="3067"/>
    </row>
    <row r="221" spans="2:27" ht="18" customHeight="1">
      <c r="B221" s="2911"/>
      <c r="C221" s="2912"/>
      <c r="D221" s="368"/>
      <c r="E221" s="3047"/>
      <c r="F221" s="3048"/>
      <c r="G221" s="3048"/>
      <c r="H221" s="3049"/>
      <c r="I221" s="368"/>
      <c r="J221" s="410"/>
      <c r="K221" s="3050"/>
      <c r="L221" s="3051"/>
      <c r="M221" s="3052"/>
      <c r="N221" s="2989"/>
      <c r="O221" s="2945"/>
      <c r="P221" s="2988"/>
      <c r="Q221" s="2946"/>
      <c r="R221" s="2989"/>
      <c r="S221" s="3068"/>
      <c r="T221" s="3069"/>
    </row>
    <row r="222" spans="2:27" ht="18" customHeight="1">
      <c r="B222" s="2911"/>
      <c r="C222" s="2912"/>
      <c r="D222" s="368"/>
      <c r="E222" s="3047"/>
      <c r="F222" s="3048"/>
      <c r="G222" s="3048"/>
      <c r="H222" s="3049"/>
      <c r="I222" s="368"/>
      <c r="J222" s="410"/>
      <c r="K222" s="321"/>
      <c r="L222" s="379"/>
      <c r="M222" s="379"/>
      <c r="N222" s="379"/>
      <c r="O222" s="2947"/>
      <c r="P222" s="2984"/>
      <c r="Q222" s="2948"/>
      <c r="R222" s="379"/>
      <c r="S222" s="3070"/>
      <c r="T222" s="3071"/>
    </row>
    <row r="223" spans="2:27" ht="18" customHeight="1">
      <c r="B223" s="2913"/>
      <c r="C223" s="2914"/>
      <c r="D223" s="368"/>
      <c r="E223" s="3050"/>
      <c r="F223" s="3051"/>
      <c r="G223" s="3051"/>
      <c r="H223" s="3052"/>
      <c r="I223" s="368"/>
      <c r="J223" s="410"/>
      <c r="K223" s="321"/>
      <c r="L223" s="379"/>
      <c r="M223" s="379"/>
      <c r="N223" s="379"/>
      <c r="O223" s="379"/>
      <c r="P223" s="379"/>
      <c r="Q223" s="379"/>
      <c r="R223" s="379"/>
      <c r="S223" s="3230" t="s">
        <v>5086</v>
      </c>
      <c r="T223" s="3230"/>
      <c r="U223" s="262"/>
    </row>
    <row r="224" spans="2:27" ht="18" customHeight="1">
      <c r="B224" s="3229" t="s">
        <v>5086</v>
      </c>
      <c r="C224" s="3229"/>
      <c r="D224" s="368"/>
      <c r="E224" s="368"/>
      <c r="F224" s="368"/>
      <c r="G224" s="368"/>
      <c r="H224" s="368"/>
      <c r="I224" s="368"/>
      <c r="J224" s="410"/>
      <c r="K224" s="3066" t="s">
        <v>5104</v>
      </c>
      <c r="L224" s="3160"/>
      <c r="M224" s="3160"/>
      <c r="N224" s="3067"/>
      <c r="O224" s="3048" t="s">
        <v>5105</v>
      </c>
      <c r="P224" s="3048"/>
      <c r="Q224" s="3059" t="s">
        <v>5106</v>
      </c>
      <c r="R224" s="2977"/>
      <c r="S224" s="2977"/>
      <c r="T224" s="2978"/>
    </row>
    <row r="225" spans="2:20" ht="18" customHeight="1">
      <c r="B225" s="3179" t="s">
        <v>5107</v>
      </c>
      <c r="C225" s="3180"/>
      <c r="D225" s="368"/>
      <c r="E225" s="3044" t="s">
        <v>5108</v>
      </c>
      <c r="F225" s="3045"/>
      <c r="G225" s="3045"/>
      <c r="H225" s="3046"/>
      <c r="I225" s="368"/>
      <c r="J225" s="410"/>
      <c r="K225" s="3068"/>
      <c r="L225" s="2993"/>
      <c r="M225" s="2993"/>
      <c r="N225" s="3069"/>
      <c r="O225" s="3048"/>
      <c r="P225" s="3048"/>
      <c r="Q225" s="2979"/>
      <c r="R225" s="2980"/>
      <c r="S225" s="2980"/>
      <c r="T225" s="2981"/>
    </row>
    <row r="226" spans="2:20" ht="18" customHeight="1">
      <c r="B226" s="3181"/>
      <c r="C226" s="3182"/>
      <c r="D226" s="368"/>
      <c r="E226" s="3047"/>
      <c r="F226" s="3048"/>
      <c r="G226" s="3048"/>
      <c r="H226" s="3049"/>
      <c r="I226" s="368"/>
      <c r="J226" s="410"/>
      <c r="K226" s="2900" t="s">
        <v>5109</v>
      </c>
      <c r="L226" s="2901"/>
      <c r="M226" s="2901"/>
      <c r="N226" s="2902"/>
      <c r="O226" s="379"/>
      <c r="P226" s="2997" t="s">
        <v>5110</v>
      </c>
      <c r="Q226" s="2904" t="s">
        <v>5111</v>
      </c>
      <c r="R226" s="379"/>
      <c r="S226" s="2904" t="s">
        <v>5112</v>
      </c>
      <c r="T226" s="3048"/>
    </row>
    <row r="227" spans="2:20" ht="18" customHeight="1">
      <c r="B227" s="368"/>
      <c r="C227" s="368"/>
      <c r="D227" s="368"/>
      <c r="E227" s="3047"/>
      <c r="F227" s="3048"/>
      <c r="G227" s="3048"/>
      <c r="H227" s="3049"/>
      <c r="I227" s="368"/>
      <c r="J227" s="410"/>
      <c r="K227" s="2903"/>
      <c r="L227" s="2904"/>
      <c r="M227" s="2904"/>
      <c r="N227" s="2905"/>
      <c r="O227" s="379"/>
      <c r="P227" s="2997"/>
      <c r="Q227" s="2904"/>
      <c r="R227" s="379"/>
      <c r="S227" s="3048"/>
      <c r="T227" s="3048"/>
    </row>
    <row r="228" spans="2:20" ht="18" customHeight="1">
      <c r="B228" s="2909" t="s">
        <v>5113</v>
      </c>
      <c r="C228" s="3170"/>
      <c r="D228" s="368"/>
      <c r="E228" s="3047"/>
      <c r="F228" s="3048"/>
      <c r="G228" s="3048"/>
      <c r="H228" s="3049"/>
      <c r="I228" s="368"/>
      <c r="J228" s="410"/>
      <c r="K228" s="2906"/>
      <c r="L228" s="2907"/>
      <c r="M228" s="2907"/>
      <c r="N228" s="2908"/>
      <c r="O228" s="2993" t="s">
        <v>5114</v>
      </c>
      <c r="P228" s="379"/>
      <c r="Q228" s="2904"/>
      <c r="R228" s="379"/>
      <c r="S228" s="3048"/>
      <c r="T228" s="3048"/>
    </row>
    <row r="229" spans="2:20" ht="18" customHeight="1">
      <c r="B229" s="3171"/>
      <c r="C229" s="3172"/>
      <c r="D229" s="368"/>
      <c r="E229" s="3047"/>
      <c r="F229" s="3048"/>
      <c r="G229" s="3048"/>
      <c r="H229" s="3049"/>
      <c r="I229" s="368"/>
      <c r="J229" s="410"/>
      <c r="K229" s="2904" t="s">
        <v>5115</v>
      </c>
      <c r="L229" s="416"/>
      <c r="M229" s="81"/>
      <c r="N229" s="2988" t="s">
        <v>5116</v>
      </c>
      <c r="O229" s="2993"/>
      <c r="P229" s="379"/>
      <c r="Q229" s="2904"/>
      <c r="R229" s="379"/>
      <c r="S229" s="3048"/>
      <c r="T229" s="3048"/>
    </row>
    <row r="230" spans="2:20" ht="18" customHeight="1">
      <c r="B230" s="3171"/>
      <c r="C230" s="3172"/>
      <c r="D230" s="368"/>
      <c r="E230" s="3047"/>
      <c r="F230" s="3048"/>
      <c r="G230" s="3048"/>
      <c r="H230" s="3049"/>
      <c r="I230" s="368"/>
      <c r="J230" s="410"/>
      <c r="K230" s="2904"/>
      <c r="L230" s="416"/>
      <c r="M230" s="81"/>
      <c r="N230" s="2989"/>
      <c r="O230" s="2993"/>
      <c r="P230" s="379"/>
      <c r="Q230" s="2968" t="s">
        <v>5117</v>
      </c>
      <c r="R230" s="2977"/>
      <c r="S230" s="2977"/>
      <c r="T230" s="2978"/>
    </row>
    <row r="231" spans="2:20" ht="18" customHeight="1">
      <c r="B231" s="3171"/>
      <c r="C231" s="3172"/>
      <c r="D231" s="368"/>
      <c r="E231" s="3047"/>
      <c r="F231" s="3048"/>
      <c r="G231" s="3048"/>
      <c r="H231" s="3049"/>
      <c r="I231" s="368"/>
      <c r="J231" s="410"/>
      <c r="K231" s="2904"/>
      <c r="L231" s="416"/>
      <c r="M231" s="2968" t="s">
        <v>5118</v>
      </c>
      <c r="N231" s="2977"/>
      <c r="O231" s="2978"/>
      <c r="P231" s="379"/>
      <c r="Q231" s="2979"/>
      <c r="R231" s="2980"/>
      <c r="S231" s="2980"/>
      <c r="T231" s="2981"/>
    </row>
    <row r="232" spans="2:20" ht="18" customHeight="1">
      <c r="B232" s="3171"/>
      <c r="C232" s="3172"/>
      <c r="D232" s="368"/>
      <c r="E232" s="3047"/>
      <c r="F232" s="3048"/>
      <c r="G232" s="3048"/>
      <c r="H232" s="3049"/>
      <c r="I232" s="368"/>
      <c r="J232" s="410"/>
      <c r="K232" s="2904"/>
      <c r="L232" s="416"/>
      <c r="M232" s="2979"/>
      <c r="N232" s="2980"/>
      <c r="O232" s="2981"/>
      <c r="P232" s="210"/>
      <c r="Q232" s="320"/>
      <c r="R232" s="320"/>
      <c r="S232" s="320"/>
      <c r="T232" s="320"/>
    </row>
    <row r="233" spans="2:20" ht="19.2">
      <c r="B233" s="3173"/>
      <c r="C233" s="3174"/>
      <c r="D233" s="368"/>
      <c r="E233" s="3050"/>
      <c r="F233" s="3051"/>
      <c r="G233" s="3051"/>
      <c r="H233" s="3052"/>
      <c r="I233" s="368"/>
      <c r="J233" s="410"/>
      <c r="K233" s="2904"/>
      <c r="L233" s="416"/>
      <c r="M233" s="414"/>
      <c r="N233" s="414"/>
      <c r="O233" s="414"/>
      <c r="P233" s="320"/>
      <c r="Q233" s="3044" t="s">
        <v>5119</v>
      </c>
      <c r="R233" s="2969"/>
      <c r="S233" s="2969"/>
      <c r="T233" s="2970"/>
    </row>
    <row r="234" spans="2:20" ht="15.6">
      <c r="B234" s="368"/>
      <c r="C234" s="368"/>
      <c r="D234" s="368"/>
      <c r="E234" s="368"/>
      <c r="F234" s="368"/>
      <c r="G234" s="368"/>
      <c r="H234" s="368"/>
      <c r="I234" s="368"/>
      <c r="J234" s="410"/>
      <c r="K234" s="2968" t="s">
        <v>5120</v>
      </c>
      <c r="L234" s="2969"/>
      <c r="M234" s="2969"/>
      <c r="N234" s="2969"/>
      <c r="O234" s="2970"/>
      <c r="P234" s="320"/>
      <c r="Q234" s="2971"/>
      <c r="R234" s="2972"/>
      <c r="S234" s="2972"/>
      <c r="T234" s="2973"/>
    </row>
    <row r="235" spans="2:20" ht="15.6">
      <c r="B235" s="368"/>
      <c r="C235" s="368"/>
      <c r="D235" s="368"/>
      <c r="E235" s="368"/>
      <c r="F235" s="368"/>
      <c r="G235" s="368"/>
      <c r="H235" s="368"/>
      <c r="I235" s="368"/>
      <c r="J235" s="410"/>
      <c r="K235" s="2971"/>
      <c r="L235" s="2972"/>
      <c r="M235" s="2972"/>
      <c r="N235" s="2972"/>
      <c r="O235" s="2973"/>
      <c r="P235" s="320"/>
      <c r="Q235" s="2971"/>
      <c r="R235" s="2972"/>
      <c r="S235" s="2972"/>
      <c r="T235" s="2973"/>
    </row>
    <row r="236" spans="2:20" ht="15.6">
      <c r="B236" s="368"/>
      <c r="C236" s="368"/>
      <c r="D236" s="368"/>
      <c r="E236" s="368"/>
      <c r="F236" s="368"/>
      <c r="G236" s="368"/>
      <c r="H236" s="368"/>
      <c r="I236" s="368"/>
      <c r="J236" s="410"/>
      <c r="K236" s="2974"/>
      <c r="L236" s="2975"/>
      <c r="M236" s="2975"/>
      <c r="N236" s="2975"/>
      <c r="O236" s="2976"/>
      <c r="P236" s="321"/>
      <c r="Q236" s="2971"/>
      <c r="R236" s="2972"/>
      <c r="S236" s="2972"/>
      <c r="T236" s="2973"/>
    </row>
    <row r="237" spans="2:20" ht="15.6">
      <c r="B237" s="368"/>
      <c r="C237" s="368"/>
      <c r="D237" s="368"/>
      <c r="E237" s="368"/>
      <c r="F237" s="368"/>
      <c r="G237" s="368"/>
      <c r="H237" s="368"/>
      <c r="I237" s="368"/>
      <c r="J237" s="410"/>
      <c r="K237" s="379"/>
      <c r="L237" s="379"/>
      <c r="M237" s="379"/>
      <c r="N237" s="379"/>
      <c r="O237" s="379"/>
      <c r="P237" s="321"/>
      <c r="Q237" s="2971"/>
      <c r="R237" s="2972"/>
      <c r="S237" s="2972"/>
      <c r="T237" s="2973"/>
    </row>
    <row r="238" spans="2:20" ht="21">
      <c r="B238" s="389" t="s">
        <v>5121</v>
      </c>
      <c r="C238" s="368"/>
      <c r="D238" s="368"/>
      <c r="E238" s="368"/>
      <c r="F238" s="368"/>
      <c r="G238" s="368"/>
      <c r="H238" s="368"/>
      <c r="I238" s="368"/>
      <c r="J238" s="410"/>
      <c r="K238" s="379"/>
      <c r="L238" s="379"/>
      <c r="M238" s="379"/>
      <c r="N238" s="379"/>
      <c r="O238" s="379"/>
      <c r="P238" s="321"/>
      <c r="Q238" s="2971"/>
      <c r="R238" s="2972"/>
      <c r="S238" s="2972"/>
      <c r="T238" s="2973"/>
    </row>
    <row r="239" spans="2:20" ht="15.6">
      <c r="B239" s="3156" t="s">
        <v>5122</v>
      </c>
      <c r="C239" s="368"/>
      <c r="D239" s="368"/>
      <c r="E239" s="368"/>
      <c r="F239" s="368"/>
      <c r="G239" s="368"/>
      <c r="H239" s="368"/>
      <c r="I239" s="368"/>
      <c r="J239" s="410"/>
      <c r="K239" s="379"/>
      <c r="L239" s="379"/>
      <c r="M239" s="379"/>
      <c r="N239" s="379"/>
      <c r="O239" s="379"/>
      <c r="P239" s="321"/>
      <c r="Q239" s="2971"/>
      <c r="R239" s="2972"/>
      <c r="S239" s="2972"/>
      <c r="T239" s="2973"/>
    </row>
    <row r="240" spans="2:20" ht="15.6">
      <c r="B240" s="3157"/>
      <c r="C240" s="368"/>
      <c r="D240" s="368"/>
      <c r="E240" s="368"/>
      <c r="F240" s="368"/>
      <c r="G240" s="368"/>
      <c r="H240" s="368"/>
      <c r="I240" s="368"/>
      <c r="J240" s="368"/>
      <c r="K240" s="379"/>
      <c r="L240" s="379"/>
      <c r="M240" s="379"/>
      <c r="N240" s="379"/>
      <c r="O240" s="379"/>
      <c r="P240" s="321"/>
      <c r="Q240" s="2974"/>
      <c r="R240" s="2975"/>
      <c r="S240" s="2975"/>
      <c r="T240" s="2976"/>
    </row>
    <row r="241" spans="2:20" ht="15.6">
      <c r="B241" s="3157"/>
      <c r="C241" s="368"/>
      <c r="D241" s="368"/>
      <c r="E241" s="368"/>
      <c r="F241" s="368"/>
      <c r="G241" s="368"/>
      <c r="H241" s="368"/>
      <c r="I241" s="368"/>
      <c r="J241" s="368"/>
      <c r="K241" s="379"/>
      <c r="L241" s="379"/>
      <c r="M241" s="379"/>
      <c r="N241" s="379"/>
      <c r="O241" s="379"/>
      <c r="P241" s="379"/>
      <c r="Q241" s="379"/>
      <c r="R241" s="379"/>
      <c r="S241" s="379"/>
      <c r="T241" s="379"/>
    </row>
    <row r="242" spans="2:20" ht="15.6">
      <c r="B242" s="3157"/>
      <c r="C242" s="368"/>
      <c r="D242" s="368"/>
      <c r="E242" s="368"/>
      <c r="F242" s="368"/>
      <c r="G242" s="368"/>
      <c r="H242" s="368"/>
      <c r="I242" s="368"/>
      <c r="J242" s="368"/>
      <c r="K242" s="379"/>
      <c r="L242" s="379"/>
      <c r="M242" s="379"/>
      <c r="N242" s="379"/>
      <c r="O242" s="379"/>
      <c r="P242" s="379"/>
      <c r="Q242" s="379"/>
      <c r="R242" s="379"/>
      <c r="S242" s="379"/>
      <c r="T242" s="379"/>
    </row>
    <row r="243" spans="2:20" ht="15.6">
      <c r="B243" s="3157"/>
      <c r="C243" s="368"/>
      <c r="D243" s="368"/>
      <c r="E243" s="368"/>
      <c r="F243" s="368"/>
      <c r="G243" s="368"/>
      <c r="H243" s="368"/>
      <c r="I243" s="368"/>
      <c r="J243" s="368"/>
      <c r="K243" s="379"/>
      <c r="L243" s="379"/>
      <c r="M243" s="379"/>
      <c r="N243" s="379"/>
      <c r="O243" s="379"/>
      <c r="P243" s="379"/>
      <c r="Q243" s="379"/>
      <c r="R243" s="379"/>
      <c r="S243" s="379"/>
      <c r="T243" s="379"/>
    </row>
    <row r="244" spans="2:20" ht="15.6">
      <c r="B244" s="3157"/>
      <c r="C244" s="368"/>
      <c r="D244" s="368"/>
      <c r="E244" s="368"/>
      <c r="F244" s="368"/>
      <c r="G244" s="368"/>
      <c r="H244" s="368"/>
      <c r="I244" s="368"/>
      <c r="J244" s="368"/>
      <c r="K244" s="379"/>
      <c r="L244" s="379"/>
      <c r="M244" s="379"/>
      <c r="N244" s="379"/>
      <c r="O244" s="379"/>
      <c r="P244" s="379"/>
      <c r="Q244" s="379"/>
      <c r="R244" s="379"/>
      <c r="S244" s="379"/>
      <c r="T244" s="379"/>
    </row>
    <row r="245" spans="2:20" ht="15.6">
      <c r="B245" s="3157"/>
      <c r="C245" s="368"/>
      <c r="D245" s="368"/>
      <c r="E245" s="368"/>
      <c r="F245" s="368"/>
      <c r="G245" s="368"/>
      <c r="H245" s="368"/>
      <c r="I245" s="368"/>
      <c r="J245" s="368"/>
      <c r="K245" s="379"/>
      <c r="L245" s="379"/>
      <c r="M245" s="379"/>
      <c r="N245" s="379"/>
      <c r="O245" s="379"/>
      <c r="P245" s="379"/>
      <c r="Q245" s="379"/>
      <c r="R245" s="379"/>
      <c r="S245" s="379"/>
      <c r="T245" s="379"/>
    </row>
    <row r="246" spans="2:20" ht="15.6">
      <c r="B246" s="3158"/>
      <c r="C246" s="368"/>
      <c r="D246" s="368"/>
      <c r="E246" s="368"/>
      <c r="F246" s="368"/>
      <c r="G246" s="368"/>
      <c r="H246" s="368"/>
      <c r="I246" s="368"/>
      <c r="J246" s="368"/>
      <c r="K246" s="379"/>
      <c r="L246" s="379"/>
      <c r="M246" s="379"/>
      <c r="N246" s="379"/>
      <c r="O246" s="379"/>
      <c r="P246" s="379"/>
      <c r="Q246" s="379"/>
      <c r="R246" s="379"/>
      <c r="S246" s="379"/>
      <c r="T246" s="379"/>
    </row>
    <row r="247" spans="2:20" ht="15.6">
      <c r="C247" s="266"/>
      <c r="D247" s="266"/>
      <c r="E247" s="266"/>
      <c r="F247" s="266"/>
      <c r="G247" s="266"/>
      <c r="H247" s="266"/>
      <c r="I247" s="266"/>
      <c r="J247" s="266"/>
      <c r="K247" s="267"/>
      <c r="L247" s="267"/>
      <c r="M247" s="267"/>
      <c r="N247" s="267"/>
      <c r="O247" s="267"/>
      <c r="P247" s="267"/>
      <c r="Q247" s="267"/>
      <c r="R247" s="267"/>
      <c r="S247" s="267"/>
      <c r="T247" s="267"/>
    </row>
    <row r="248" spans="2:20" ht="15.6">
      <c r="C248" s="266"/>
      <c r="D248"/>
      <c r="E248"/>
      <c r="F248"/>
      <c r="G248" s="266"/>
      <c r="H248" s="266"/>
      <c r="I248" s="266"/>
      <c r="J248" s="266"/>
      <c r="K248" s="267"/>
      <c r="L248" s="267"/>
      <c r="M248" s="267"/>
      <c r="N248" s="267"/>
      <c r="O248" s="267"/>
      <c r="P248" s="267"/>
      <c r="Q248" s="267"/>
      <c r="R248" s="267"/>
      <c r="S248" s="267"/>
      <c r="T248" s="267"/>
    </row>
    <row r="249" spans="2:20" ht="15.6">
      <c r="C249" s="266"/>
      <c r="D249"/>
      <c r="E249"/>
      <c r="F249"/>
      <c r="G249" s="266"/>
      <c r="H249" s="266"/>
      <c r="I249" s="266"/>
      <c r="J249" s="266"/>
      <c r="K249" s="267"/>
      <c r="L249" s="267"/>
      <c r="M249" s="267"/>
      <c r="N249" s="267"/>
      <c r="O249" s="267"/>
      <c r="P249" s="267"/>
      <c r="Q249" s="267"/>
      <c r="R249" s="267"/>
      <c r="S249" s="267"/>
      <c r="T249" s="267"/>
    </row>
    <row r="250" spans="2:20" ht="15.6">
      <c r="C250" s="266"/>
      <c r="D250"/>
      <c r="E250"/>
      <c r="F250"/>
      <c r="H250" s="266"/>
      <c r="I250" s="266"/>
      <c r="J250" s="266"/>
      <c r="K250" s="267"/>
      <c r="L250" s="267"/>
      <c r="M250" s="267"/>
      <c r="N250" s="267"/>
      <c r="O250" s="267"/>
      <c r="P250" s="267"/>
      <c r="Q250" s="267"/>
      <c r="R250" s="267"/>
      <c r="S250" s="267"/>
      <c r="T250" s="267"/>
    </row>
    <row r="251" spans="2:20" ht="15.6">
      <c r="C251" s="266"/>
      <c r="D251"/>
      <c r="E251"/>
      <c r="F251"/>
      <c r="H251" s="266"/>
      <c r="I251" s="266"/>
      <c r="J251" s="266"/>
      <c r="K251" s="267"/>
      <c r="L251" s="267"/>
      <c r="M251" s="267"/>
      <c r="N251" s="267"/>
      <c r="O251" s="267"/>
      <c r="P251" s="267"/>
      <c r="Q251" s="267"/>
      <c r="R251" s="267"/>
      <c r="S251" s="267"/>
      <c r="T251" s="267"/>
    </row>
    <row r="252" spans="2:20" ht="15.6">
      <c r="C252" s="266"/>
      <c r="D252"/>
      <c r="E252"/>
      <c r="F252"/>
      <c r="H252" s="266"/>
      <c r="I252" s="266"/>
      <c r="J252" s="266"/>
      <c r="K252" s="267"/>
      <c r="L252" s="267"/>
      <c r="M252" s="267"/>
      <c r="N252" s="267"/>
      <c r="O252" s="267"/>
      <c r="P252" s="267"/>
      <c r="Q252" s="267"/>
      <c r="R252" s="267"/>
      <c r="S252" s="267"/>
      <c r="T252" s="267"/>
    </row>
    <row r="253" spans="2:20" ht="15.6">
      <c r="C253" s="266"/>
      <c r="D253"/>
      <c r="E253"/>
      <c r="F253"/>
      <c r="H253" s="266"/>
      <c r="I253" s="266"/>
      <c r="J253" s="266"/>
      <c r="K253" s="267"/>
      <c r="L253" s="267"/>
      <c r="M253" s="267"/>
      <c r="N253" s="267"/>
      <c r="O253" s="267"/>
      <c r="P253" s="267"/>
      <c r="Q253" s="267"/>
      <c r="R253" s="267"/>
      <c r="S253" s="267"/>
      <c r="T253" s="267"/>
    </row>
    <row r="254" spans="2:20" ht="15.6">
      <c r="C254" s="266"/>
      <c r="D254"/>
      <c r="E254"/>
      <c r="F254"/>
      <c r="H254" s="266"/>
      <c r="I254" s="266"/>
      <c r="J254" s="266"/>
      <c r="K254" s="267"/>
      <c r="L254" s="267"/>
      <c r="M254" s="267"/>
      <c r="N254" s="267"/>
      <c r="O254" s="267"/>
      <c r="P254" s="267"/>
      <c r="Q254" s="267"/>
      <c r="R254" s="267"/>
      <c r="S254" s="267"/>
      <c r="T254" s="267"/>
    </row>
    <row r="255" spans="2:20" ht="15.6">
      <c r="C255" s="266"/>
      <c r="D255"/>
      <c r="E255"/>
      <c r="F255"/>
      <c r="H255" s="266"/>
      <c r="I255" s="266"/>
      <c r="J255" s="266"/>
      <c r="K255" s="267"/>
      <c r="L255" s="267"/>
      <c r="M255" s="267"/>
      <c r="N255" s="267"/>
      <c r="O255" s="267"/>
      <c r="P255" s="267"/>
      <c r="Q255" s="267"/>
      <c r="R255" s="267"/>
      <c r="S255" s="267"/>
      <c r="T255" s="267"/>
    </row>
    <row r="256" spans="2:20" ht="15.6">
      <c r="C256" s="266"/>
      <c r="D256"/>
      <c r="E256"/>
      <c r="F256"/>
      <c r="H256" s="266"/>
      <c r="I256" s="266"/>
      <c r="J256" s="266"/>
      <c r="K256" s="267"/>
      <c r="L256" s="267"/>
      <c r="M256" s="267"/>
      <c r="N256" s="267"/>
      <c r="O256" s="267"/>
      <c r="P256" s="267"/>
      <c r="Q256" s="267"/>
      <c r="R256" s="267"/>
      <c r="S256" s="267"/>
      <c r="T256" s="267"/>
    </row>
    <row r="302" spans="2:20" ht="15.6">
      <c r="B302" s="266"/>
      <c r="C302" s="266"/>
      <c r="D302" s="266"/>
      <c r="E302" s="266"/>
      <c r="F302" s="266"/>
      <c r="G302" s="266"/>
      <c r="H302" s="266"/>
      <c r="I302" s="266"/>
      <c r="J302" s="266"/>
      <c r="K302" s="267"/>
      <c r="L302" s="267"/>
      <c r="M302" s="267"/>
      <c r="N302" s="267"/>
      <c r="O302" s="267"/>
      <c r="P302" s="267"/>
      <c r="Q302" s="267"/>
      <c r="R302" s="267"/>
      <c r="S302" s="267"/>
      <c r="T302" s="267"/>
    </row>
    <row r="303" spans="2:20" ht="15.6">
      <c r="B303" s="266"/>
      <c r="C303" s="266"/>
      <c r="D303" s="266"/>
      <c r="E303" s="266"/>
      <c r="F303" s="266"/>
      <c r="G303" s="266"/>
      <c r="H303" s="266"/>
      <c r="I303" s="266"/>
      <c r="J303" s="266"/>
      <c r="K303" s="267"/>
      <c r="L303" s="267"/>
      <c r="M303" s="267"/>
      <c r="N303" s="267"/>
      <c r="O303" s="267"/>
      <c r="P303" s="267"/>
      <c r="Q303" s="267"/>
      <c r="R303" s="267"/>
      <c r="S303" s="267"/>
      <c r="T303" s="267"/>
    </row>
    <row r="304" spans="2:20" ht="15.6">
      <c r="B304" s="266"/>
      <c r="C304" s="266"/>
      <c r="D304" s="266"/>
      <c r="E304" s="266"/>
      <c r="F304" s="266"/>
      <c r="G304" s="266"/>
      <c r="H304" s="266"/>
      <c r="I304" s="266"/>
      <c r="J304" s="266"/>
      <c r="K304" s="267"/>
      <c r="L304" s="267"/>
      <c r="M304" s="267"/>
      <c r="N304" s="267"/>
      <c r="O304" s="267"/>
      <c r="P304" s="267"/>
      <c r="Q304" s="267"/>
      <c r="R304" s="267"/>
      <c r="S304" s="267"/>
      <c r="T304" s="267"/>
    </row>
    <row r="305" spans="2:20" ht="15.6">
      <c r="B305" s="266"/>
      <c r="C305" s="266"/>
      <c r="D305" s="266"/>
      <c r="E305" s="266"/>
      <c r="F305" s="266"/>
      <c r="G305" s="266"/>
      <c r="H305" s="266"/>
      <c r="I305" s="266"/>
      <c r="J305" s="266"/>
      <c r="K305" s="267"/>
      <c r="L305" s="267"/>
      <c r="M305" s="267"/>
      <c r="N305" s="267"/>
      <c r="O305" s="267"/>
      <c r="P305" s="267"/>
      <c r="Q305" s="267"/>
      <c r="R305" s="267"/>
      <c r="S305" s="267"/>
      <c r="T305" s="267"/>
    </row>
    <row r="306" spans="2:20" ht="15.6">
      <c r="B306" s="266"/>
      <c r="C306" s="266"/>
      <c r="D306" s="266"/>
      <c r="E306" s="266"/>
      <c r="F306" s="266"/>
      <c r="G306" s="266"/>
      <c r="H306" s="266"/>
      <c r="I306" s="266"/>
      <c r="J306" s="266"/>
      <c r="K306" s="267"/>
      <c r="L306" s="267"/>
      <c r="M306" s="267"/>
      <c r="N306" s="267"/>
      <c r="O306" s="267"/>
      <c r="P306" s="267"/>
      <c r="Q306" s="267"/>
      <c r="R306" s="267"/>
      <c r="S306" s="267"/>
      <c r="T306" s="267"/>
    </row>
    <row r="307" spans="2:20" ht="15.6">
      <c r="B307" s="266"/>
      <c r="C307" s="266"/>
      <c r="D307" s="266"/>
      <c r="E307" s="266"/>
      <c r="F307" s="266"/>
      <c r="G307" s="266"/>
      <c r="H307" s="266"/>
      <c r="I307" s="266"/>
      <c r="J307" s="266"/>
      <c r="K307" s="267"/>
      <c r="L307" s="267"/>
      <c r="M307" s="267"/>
      <c r="N307" s="267"/>
      <c r="O307" s="267"/>
      <c r="P307" s="267"/>
      <c r="Q307" s="267"/>
      <c r="R307" s="267"/>
      <c r="S307" s="267"/>
      <c r="T307" s="267"/>
    </row>
    <row r="308" spans="2:20" ht="15.6">
      <c r="B308" s="266"/>
      <c r="C308" s="266"/>
      <c r="D308" s="266"/>
      <c r="E308" s="266"/>
      <c r="F308" s="266"/>
      <c r="G308" s="266"/>
      <c r="H308" s="266"/>
      <c r="I308" s="266"/>
      <c r="J308" s="266"/>
      <c r="K308" s="267"/>
      <c r="L308" s="267"/>
      <c r="M308" s="267"/>
      <c r="N308" s="267"/>
      <c r="O308" s="267"/>
      <c r="P308" s="267"/>
      <c r="Q308" s="267"/>
      <c r="R308" s="267"/>
      <c r="S308" s="267"/>
      <c r="T308" s="267"/>
    </row>
    <row r="309" spans="2:20" ht="15.6">
      <c r="B309" s="266"/>
      <c r="C309" s="266"/>
      <c r="D309" s="266"/>
      <c r="E309" s="266"/>
      <c r="F309" s="266"/>
      <c r="G309" s="266"/>
      <c r="H309" s="266"/>
      <c r="I309" s="266"/>
      <c r="J309" s="266"/>
      <c r="K309" s="267"/>
      <c r="L309" s="267"/>
      <c r="M309" s="267"/>
      <c r="N309" s="267"/>
      <c r="O309" s="267"/>
      <c r="P309" s="267"/>
      <c r="Q309" s="267"/>
      <c r="R309" s="267"/>
      <c r="S309" s="267"/>
      <c r="T309" s="267"/>
    </row>
    <row r="310" spans="2:20" ht="15.6">
      <c r="B310" s="266"/>
      <c r="C310" s="266"/>
      <c r="D310" s="266"/>
      <c r="E310" s="266"/>
      <c r="F310" s="266"/>
      <c r="G310" s="266"/>
      <c r="H310" s="266"/>
      <c r="I310" s="266"/>
      <c r="J310" s="266"/>
      <c r="K310" s="267"/>
      <c r="L310" s="267"/>
      <c r="M310" s="267"/>
      <c r="N310" s="267"/>
      <c r="O310" s="267"/>
      <c r="P310" s="267"/>
      <c r="Q310" s="267"/>
      <c r="R310" s="267"/>
      <c r="S310" s="267"/>
      <c r="T310" s="267"/>
    </row>
    <row r="311" spans="2:20" ht="15.6">
      <c r="B311" s="266"/>
      <c r="C311" s="266"/>
      <c r="D311" s="266"/>
      <c r="E311" s="266"/>
      <c r="F311" s="266"/>
      <c r="G311" s="266"/>
      <c r="H311" s="266"/>
      <c r="I311" s="266"/>
      <c r="J311" s="266"/>
      <c r="K311" s="267"/>
      <c r="L311" s="267"/>
      <c r="M311" s="267"/>
      <c r="N311" s="267"/>
      <c r="O311" s="267"/>
      <c r="P311" s="267"/>
      <c r="Q311" s="267"/>
      <c r="R311" s="267"/>
      <c r="S311" s="267"/>
      <c r="T311" s="267"/>
    </row>
    <row r="312" spans="2:20" ht="15.6">
      <c r="B312" s="266"/>
      <c r="C312" s="266"/>
      <c r="D312" s="266"/>
      <c r="E312" s="266"/>
      <c r="F312" s="266"/>
      <c r="G312" s="266"/>
      <c r="H312" s="266"/>
      <c r="I312" s="266"/>
      <c r="J312" s="266"/>
      <c r="K312" s="267"/>
      <c r="L312" s="267"/>
      <c r="M312" s="267"/>
      <c r="N312" s="267"/>
      <c r="O312" s="267"/>
      <c r="P312" s="267"/>
      <c r="Q312" s="267"/>
      <c r="R312" s="267"/>
      <c r="S312" s="267"/>
      <c r="T312" s="267"/>
    </row>
    <row r="313" spans="2:20" ht="15.6">
      <c r="B313" s="266"/>
      <c r="C313" s="266"/>
      <c r="D313" s="266"/>
      <c r="E313" s="266"/>
      <c r="F313" s="266"/>
      <c r="G313" s="266"/>
      <c r="H313" s="266"/>
      <c r="I313" s="266"/>
      <c r="J313" s="266"/>
      <c r="K313" s="267"/>
      <c r="L313" s="267"/>
      <c r="M313" s="267"/>
      <c r="N313" s="267"/>
      <c r="O313" s="267"/>
      <c r="P313" s="267"/>
      <c r="Q313" s="267"/>
      <c r="R313" s="267"/>
      <c r="S313" s="267"/>
      <c r="T313" s="267"/>
    </row>
    <row r="314" spans="2:20" ht="15.6">
      <c r="B314" s="266"/>
      <c r="C314" s="266"/>
      <c r="D314" s="266"/>
      <c r="E314" s="266"/>
      <c r="F314" s="266"/>
      <c r="G314" s="266"/>
      <c r="H314" s="266"/>
      <c r="I314" s="266"/>
      <c r="J314" s="266"/>
      <c r="K314" s="267"/>
      <c r="L314" s="267"/>
      <c r="M314" s="267"/>
      <c r="N314" s="267"/>
      <c r="O314" s="267"/>
      <c r="P314" s="267"/>
      <c r="Q314" s="267"/>
      <c r="R314" s="267"/>
      <c r="S314" s="267"/>
      <c r="T314" s="267"/>
    </row>
    <row r="315" spans="2:20" ht="15.6">
      <c r="B315" s="266"/>
      <c r="C315" s="266"/>
      <c r="D315" s="266"/>
      <c r="E315" s="266"/>
      <c r="F315" s="266"/>
      <c r="G315" s="266"/>
      <c r="H315" s="266"/>
      <c r="I315" s="266"/>
      <c r="J315" s="266"/>
      <c r="K315" s="267"/>
      <c r="L315" s="267"/>
      <c r="M315" s="267"/>
      <c r="N315" s="267"/>
      <c r="O315" s="267"/>
      <c r="P315" s="267"/>
      <c r="Q315" s="267"/>
      <c r="R315" s="267"/>
      <c r="S315" s="267"/>
      <c r="T315" s="267"/>
    </row>
    <row r="316" spans="2:20" ht="15.6">
      <c r="B316" s="266"/>
      <c r="C316" s="266"/>
      <c r="D316" s="266"/>
      <c r="E316" s="266"/>
      <c r="F316" s="266"/>
      <c r="G316" s="266"/>
      <c r="H316" s="266"/>
      <c r="I316" s="266"/>
      <c r="J316" s="266"/>
      <c r="K316" s="267"/>
      <c r="L316" s="267"/>
      <c r="M316" s="267"/>
      <c r="N316" s="267"/>
      <c r="O316" s="267"/>
      <c r="P316" s="267"/>
      <c r="Q316" s="267"/>
      <c r="R316" s="267"/>
      <c r="S316" s="267"/>
      <c r="T316" s="267"/>
    </row>
    <row r="317" spans="2:20" ht="15.6">
      <c r="B317" s="266"/>
      <c r="C317" s="266"/>
      <c r="D317" s="266"/>
      <c r="E317" s="266"/>
      <c r="F317" s="266"/>
      <c r="G317" s="266"/>
      <c r="H317" s="266"/>
      <c r="I317" s="266"/>
      <c r="J317" s="266"/>
      <c r="K317" s="267"/>
      <c r="L317" s="267"/>
      <c r="M317" s="267"/>
      <c r="N317" s="267"/>
      <c r="O317" s="267"/>
      <c r="P317" s="267"/>
      <c r="Q317" s="267"/>
      <c r="R317" s="267"/>
      <c r="S317" s="267"/>
      <c r="T317" s="267"/>
    </row>
    <row r="318" spans="2:20" ht="15.6">
      <c r="B318" s="266"/>
      <c r="C318" s="266"/>
      <c r="D318" s="266"/>
      <c r="E318" s="266"/>
      <c r="F318" s="266"/>
      <c r="G318" s="266"/>
      <c r="H318" s="266"/>
      <c r="I318" s="266"/>
      <c r="J318" s="266"/>
      <c r="K318" s="267"/>
      <c r="L318" s="267"/>
      <c r="M318" s="267"/>
      <c r="N318" s="267"/>
      <c r="O318" s="267"/>
      <c r="P318" s="267"/>
      <c r="Q318" s="267"/>
      <c r="R318" s="267"/>
      <c r="S318" s="267"/>
      <c r="T318" s="267"/>
    </row>
    <row r="319" spans="2:20" ht="15.6">
      <c r="B319" s="266"/>
      <c r="C319" s="266"/>
      <c r="D319" s="266"/>
      <c r="E319" s="266"/>
      <c r="F319" s="266"/>
      <c r="G319" s="266"/>
      <c r="H319" s="266"/>
      <c r="I319" s="266"/>
      <c r="J319" s="266"/>
      <c r="K319" s="267"/>
      <c r="L319" s="267"/>
      <c r="M319" s="267"/>
      <c r="N319" s="267"/>
      <c r="O319" s="267"/>
      <c r="P319" s="267"/>
      <c r="Q319" s="267"/>
      <c r="R319" s="267"/>
      <c r="S319" s="267"/>
      <c r="T319" s="267"/>
    </row>
    <row r="320" spans="2:20" ht="15.6">
      <c r="B320" s="266"/>
      <c r="C320" s="266"/>
      <c r="D320" s="266"/>
      <c r="E320" s="266"/>
      <c r="F320" s="266"/>
      <c r="G320" s="266"/>
      <c r="H320" s="266"/>
      <c r="I320" s="266"/>
      <c r="J320" s="266"/>
      <c r="K320" s="267"/>
      <c r="L320" s="267"/>
      <c r="M320" s="267"/>
      <c r="N320" s="267"/>
      <c r="O320" s="267"/>
      <c r="P320" s="267"/>
      <c r="Q320" s="267"/>
      <c r="R320" s="267"/>
      <c r="S320" s="267"/>
      <c r="T320" s="267"/>
    </row>
    <row r="321" spans="2:20" ht="15.6">
      <c r="B321" s="266"/>
      <c r="C321" s="266"/>
      <c r="D321" s="266"/>
      <c r="E321" s="266"/>
      <c r="F321" s="266"/>
      <c r="G321" s="266"/>
      <c r="H321" s="266"/>
      <c r="I321" s="266"/>
      <c r="J321" s="266"/>
      <c r="K321" s="267"/>
      <c r="L321" s="267"/>
      <c r="M321" s="267"/>
      <c r="N321" s="267"/>
      <c r="O321" s="267"/>
      <c r="P321" s="267"/>
      <c r="Q321" s="267"/>
      <c r="R321" s="267"/>
      <c r="S321" s="267"/>
      <c r="T321" s="267"/>
    </row>
    <row r="322" spans="2:20" ht="15.6">
      <c r="B322" s="266"/>
      <c r="C322" s="266"/>
      <c r="D322" s="266"/>
      <c r="E322" s="266"/>
      <c r="F322" s="266"/>
      <c r="G322" s="266"/>
      <c r="H322" s="266"/>
      <c r="I322" s="266"/>
      <c r="J322" s="266"/>
      <c r="K322" s="267"/>
      <c r="L322" s="267"/>
      <c r="M322" s="267"/>
      <c r="N322" s="267"/>
      <c r="O322" s="267"/>
      <c r="P322" s="267"/>
      <c r="Q322" s="267"/>
      <c r="R322" s="267"/>
      <c r="S322" s="267"/>
      <c r="T322" s="267"/>
    </row>
    <row r="323" spans="2:20" ht="15.6">
      <c r="B323" s="266"/>
      <c r="C323" s="266"/>
      <c r="D323" s="266"/>
      <c r="E323" s="266"/>
      <c r="F323" s="266"/>
      <c r="G323" s="266"/>
      <c r="H323" s="266"/>
      <c r="I323" s="266"/>
      <c r="J323" s="266"/>
      <c r="K323" s="267"/>
      <c r="L323" s="267"/>
      <c r="M323" s="267"/>
      <c r="N323" s="267"/>
      <c r="O323" s="267"/>
      <c r="P323" s="267"/>
      <c r="Q323" s="267"/>
      <c r="R323" s="267"/>
      <c r="S323" s="267"/>
      <c r="T323" s="267"/>
    </row>
    <row r="324" spans="2:20" ht="15.6">
      <c r="B324" s="266"/>
      <c r="C324" s="266"/>
      <c r="D324" s="266"/>
      <c r="E324" s="266"/>
      <c r="F324" s="266"/>
      <c r="G324" s="266"/>
      <c r="H324" s="266"/>
      <c r="I324" s="266"/>
      <c r="J324" s="266"/>
      <c r="K324" s="267"/>
      <c r="L324" s="267"/>
      <c r="M324" s="267"/>
      <c r="N324" s="267"/>
      <c r="O324" s="267"/>
      <c r="P324" s="267"/>
      <c r="Q324" s="267"/>
      <c r="R324" s="267"/>
      <c r="S324" s="267"/>
      <c r="T324" s="267"/>
    </row>
    <row r="325" spans="2:20" ht="15.6">
      <c r="B325" s="266"/>
      <c r="C325" s="266"/>
      <c r="D325" s="266"/>
      <c r="E325" s="266"/>
      <c r="F325" s="266"/>
      <c r="G325" s="266"/>
      <c r="H325" s="266"/>
      <c r="I325" s="266"/>
      <c r="J325" s="266"/>
      <c r="K325" s="267"/>
      <c r="L325" s="267"/>
      <c r="M325" s="267"/>
      <c r="N325" s="267"/>
      <c r="O325" s="267"/>
      <c r="P325" s="267"/>
      <c r="Q325" s="267"/>
      <c r="R325" s="267"/>
      <c r="S325" s="267"/>
      <c r="T325" s="267"/>
    </row>
    <row r="326" spans="2:20" ht="15.6">
      <c r="B326" s="266"/>
      <c r="C326" s="266"/>
      <c r="D326" s="266"/>
      <c r="E326" s="266"/>
      <c r="F326" s="266"/>
      <c r="G326" s="266"/>
      <c r="H326" s="266"/>
      <c r="I326" s="266"/>
      <c r="J326" s="266"/>
      <c r="K326" s="267"/>
      <c r="L326" s="267"/>
      <c r="M326" s="267"/>
      <c r="N326" s="267"/>
      <c r="O326" s="267"/>
      <c r="P326" s="267"/>
      <c r="Q326" s="267"/>
      <c r="R326" s="267"/>
      <c r="S326" s="267"/>
      <c r="T326" s="267"/>
    </row>
    <row r="327" spans="2:20" ht="15.6">
      <c r="B327" s="266"/>
      <c r="C327" s="266"/>
      <c r="D327" s="266"/>
      <c r="E327" s="266"/>
      <c r="F327" s="266"/>
      <c r="G327" s="266"/>
      <c r="H327" s="266"/>
      <c r="I327" s="266"/>
      <c r="J327" s="266"/>
      <c r="K327" s="267"/>
      <c r="L327" s="267"/>
      <c r="M327" s="267"/>
      <c r="N327" s="267"/>
      <c r="O327" s="267"/>
      <c r="P327" s="267"/>
      <c r="Q327" s="267"/>
      <c r="R327" s="267"/>
      <c r="S327" s="267"/>
      <c r="T327" s="267"/>
    </row>
    <row r="328" spans="2:20" ht="15.6">
      <c r="B328" s="266"/>
      <c r="C328" s="266"/>
      <c r="D328" s="266"/>
      <c r="E328" s="266"/>
      <c r="F328" s="266"/>
      <c r="G328" s="266"/>
      <c r="H328" s="266"/>
      <c r="I328" s="266"/>
      <c r="J328" s="266"/>
      <c r="K328" s="267"/>
      <c r="L328" s="267"/>
      <c r="M328" s="267"/>
      <c r="N328" s="267"/>
      <c r="O328" s="267"/>
      <c r="P328" s="267"/>
      <c r="Q328" s="267"/>
      <c r="R328" s="267"/>
      <c r="S328" s="267"/>
      <c r="T328" s="267"/>
    </row>
    <row r="329" spans="2:20" ht="15.6">
      <c r="B329" s="266"/>
      <c r="C329" s="266"/>
      <c r="D329" s="266"/>
      <c r="E329" s="266"/>
      <c r="F329" s="266"/>
      <c r="G329" s="266"/>
      <c r="H329" s="266"/>
      <c r="I329" s="266"/>
      <c r="J329" s="266"/>
      <c r="K329" s="267"/>
      <c r="L329" s="267"/>
      <c r="M329" s="267"/>
      <c r="N329" s="267"/>
      <c r="O329" s="267"/>
      <c r="P329" s="267"/>
      <c r="Q329" s="267"/>
      <c r="R329" s="267"/>
      <c r="S329" s="267"/>
      <c r="T329" s="267"/>
    </row>
    <row r="330" spans="2:20" ht="15.6">
      <c r="B330" s="266"/>
      <c r="C330" s="266"/>
      <c r="D330" s="266"/>
      <c r="E330" s="266"/>
      <c r="F330" s="266"/>
      <c r="G330" s="266"/>
      <c r="H330" s="266"/>
      <c r="I330" s="266"/>
      <c r="J330" s="266"/>
      <c r="K330" s="267"/>
      <c r="L330" s="267"/>
      <c r="M330" s="267"/>
      <c r="N330" s="267"/>
      <c r="O330" s="267"/>
      <c r="P330" s="267"/>
      <c r="Q330" s="267"/>
      <c r="R330" s="267"/>
      <c r="S330" s="267"/>
      <c r="T330" s="267"/>
    </row>
    <row r="331" spans="2:20" ht="15.6">
      <c r="B331" s="266"/>
      <c r="C331" s="266"/>
      <c r="D331" s="266"/>
      <c r="E331" s="266"/>
      <c r="F331" s="266"/>
      <c r="G331" s="266"/>
      <c r="H331" s="266"/>
      <c r="I331" s="266"/>
      <c r="J331" s="266"/>
      <c r="K331" s="267"/>
      <c r="L331" s="267"/>
      <c r="M331" s="267"/>
      <c r="N331" s="267"/>
      <c r="O331" s="267"/>
      <c r="P331" s="267"/>
      <c r="Q331" s="267"/>
      <c r="R331" s="267"/>
      <c r="S331" s="267"/>
      <c r="T331" s="267"/>
    </row>
    <row r="332" spans="2:20" ht="15.6">
      <c r="B332" s="266"/>
      <c r="C332" s="266"/>
      <c r="D332" s="266"/>
      <c r="E332" s="266"/>
      <c r="F332" s="266"/>
      <c r="G332" s="266"/>
      <c r="H332" s="266"/>
      <c r="I332" s="266"/>
      <c r="J332" s="266"/>
      <c r="K332" s="267"/>
      <c r="L332" s="267"/>
      <c r="M332" s="267"/>
      <c r="N332" s="267"/>
      <c r="O332" s="267"/>
      <c r="P332" s="267"/>
      <c r="Q332" s="267"/>
      <c r="R332" s="267"/>
      <c r="S332" s="267"/>
      <c r="T332" s="267"/>
    </row>
    <row r="333" spans="2:20" ht="15.6">
      <c r="B333" s="266"/>
      <c r="C333" s="266"/>
      <c r="D333" s="266"/>
      <c r="E333" s="266"/>
      <c r="F333" s="266"/>
      <c r="G333" s="266"/>
      <c r="H333" s="266"/>
      <c r="I333" s="266"/>
      <c r="J333" s="266"/>
      <c r="K333" s="267"/>
      <c r="L333" s="267"/>
      <c r="M333" s="267"/>
      <c r="N333" s="267"/>
      <c r="O333" s="267"/>
      <c r="P333" s="267"/>
      <c r="Q333" s="267"/>
      <c r="R333" s="267"/>
      <c r="S333" s="267"/>
      <c r="T333" s="267"/>
    </row>
    <row r="334" spans="2:20" ht="15.6">
      <c r="B334" s="266"/>
      <c r="C334" s="266"/>
      <c r="D334" s="266"/>
      <c r="E334" s="266"/>
      <c r="F334" s="266"/>
      <c r="G334" s="266"/>
      <c r="H334" s="266"/>
      <c r="I334" s="266"/>
      <c r="J334" s="266"/>
      <c r="K334" s="267"/>
      <c r="L334" s="267"/>
      <c r="M334" s="267"/>
      <c r="N334" s="267"/>
      <c r="O334" s="267"/>
      <c r="P334" s="267"/>
      <c r="Q334" s="267"/>
      <c r="R334" s="267"/>
      <c r="S334" s="267"/>
      <c r="T334" s="267"/>
    </row>
    <row r="335" spans="2:20" ht="15.6">
      <c r="B335" s="266"/>
      <c r="C335" s="266"/>
      <c r="D335" s="266"/>
      <c r="E335" s="266"/>
      <c r="F335" s="266"/>
      <c r="G335" s="266"/>
      <c r="H335" s="266"/>
      <c r="I335" s="266"/>
      <c r="J335" s="266"/>
      <c r="K335" s="267"/>
      <c r="L335" s="267"/>
      <c r="M335" s="267"/>
      <c r="N335" s="267"/>
      <c r="O335" s="267"/>
      <c r="P335" s="267"/>
      <c r="Q335" s="267"/>
      <c r="R335" s="267"/>
      <c r="S335" s="267"/>
      <c r="T335" s="267"/>
    </row>
    <row r="336" spans="2:20" ht="15.6">
      <c r="B336" s="266"/>
      <c r="C336" s="266"/>
      <c r="D336" s="266"/>
      <c r="E336" s="266"/>
      <c r="F336" s="266"/>
      <c r="G336" s="266"/>
      <c r="H336" s="266"/>
      <c r="I336" s="266"/>
      <c r="J336" s="266"/>
      <c r="K336" s="267"/>
      <c r="L336" s="267"/>
      <c r="M336" s="267"/>
      <c r="N336" s="267"/>
      <c r="O336" s="267"/>
      <c r="P336" s="267"/>
      <c r="Q336" s="267"/>
      <c r="R336" s="267"/>
      <c r="S336" s="267"/>
      <c r="T336" s="267"/>
    </row>
    <row r="337" spans="2:20" ht="15.6">
      <c r="B337" s="266"/>
      <c r="C337" s="266"/>
      <c r="D337" s="266"/>
      <c r="E337" s="266"/>
      <c r="F337" s="266"/>
      <c r="G337" s="266"/>
      <c r="H337" s="266"/>
      <c r="I337" s="266"/>
      <c r="J337" s="266"/>
      <c r="K337" s="267"/>
      <c r="L337" s="267"/>
      <c r="M337" s="267"/>
      <c r="N337" s="267"/>
      <c r="O337" s="267"/>
      <c r="P337" s="267"/>
      <c r="Q337" s="267"/>
      <c r="R337" s="267"/>
      <c r="S337" s="267"/>
      <c r="T337" s="267"/>
    </row>
    <row r="338" spans="2:20" ht="15.6">
      <c r="B338" s="266"/>
      <c r="C338" s="266"/>
      <c r="D338" s="266"/>
      <c r="E338" s="266"/>
      <c r="F338" s="266"/>
      <c r="G338" s="266"/>
      <c r="H338" s="266"/>
      <c r="I338" s="266"/>
      <c r="J338" s="266"/>
      <c r="K338" s="267"/>
      <c r="L338" s="267"/>
      <c r="M338" s="267"/>
      <c r="N338" s="267"/>
      <c r="O338" s="267"/>
      <c r="P338" s="267"/>
      <c r="Q338" s="267"/>
      <c r="R338" s="267"/>
      <c r="S338" s="267"/>
      <c r="T338" s="267"/>
    </row>
    <row r="339" spans="2:20" ht="15.6">
      <c r="B339" s="266"/>
      <c r="C339" s="266"/>
      <c r="D339" s="266"/>
      <c r="E339" s="266"/>
      <c r="F339" s="266"/>
      <c r="G339" s="266"/>
      <c r="H339" s="266"/>
      <c r="I339" s="266"/>
      <c r="J339" s="266"/>
      <c r="K339" s="267"/>
      <c r="L339" s="267"/>
      <c r="M339" s="267"/>
      <c r="N339" s="267"/>
      <c r="O339" s="267"/>
      <c r="P339" s="267"/>
      <c r="Q339" s="267"/>
      <c r="R339" s="267"/>
      <c r="S339" s="267"/>
      <c r="T339" s="267"/>
    </row>
  </sheetData>
  <sheetProtection password="D857" sheet="1" objects="1"/>
  <mergeCells count="208">
    <mergeCell ref="N1:R1"/>
    <mergeCell ref="N106:R106"/>
    <mergeCell ref="B107:L107"/>
    <mergeCell ref="B108:L108"/>
    <mergeCell ref="N108:R108"/>
    <mergeCell ref="B109:L109"/>
    <mergeCell ref="N109:O109"/>
    <mergeCell ref="Q109:R109"/>
    <mergeCell ref="B110:L110"/>
    <mergeCell ref="N2:N15"/>
    <mergeCell ref="N16:N29"/>
    <mergeCell ref="N30:N37"/>
    <mergeCell ref="N38:N45"/>
    <mergeCell ref="N46:N57"/>
    <mergeCell ref="N58:N66"/>
    <mergeCell ref="N67:N75"/>
    <mergeCell ref="N76:N81"/>
    <mergeCell ref="N82:N85"/>
    <mergeCell ref="N86:N89"/>
    <mergeCell ref="O2:R10"/>
    <mergeCell ref="O15:R17"/>
    <mergeCell ref="O11:R14"/>
    <mergeCell ref="Q98:R101"/>
    <mergeCell ref="O82:P89"/>
    <mergeCell ref="Q116:R116"/>
    <mergeCell ref="B117:L117"/>
    <mergeCell ref="Q117:R117"/>
    <mergeCell ref="N124:N125"/>
    <mergeCell ref="N126:N127"/>
    <mergeCell ref="N128:N132"/>
    <mergeCell ref="N133:N140"/>
    <mergeCell ref="N120:O121"/>
    <mergeCell ref="E138:L140"/>
    <mergeCell ref="E132:L134"/>
    <mergeCell ref="Q118:R119"/>
    <mergeCell ref="C187:E187"/>
    <mergeCell ref="C188:E188"/>
    <mergeCell ref="N161:T162"/>
    <mergeCell ref="D147:E155"/>
    <mergeCell ref="N123:T123"/>
    <mergeCell ref="D146:E146"/>
    <mergeCell ref="F146:I146"/>
    <mergeCell ref="K146:M146"/>
    <mergeCell ref="O146:P146"/>
    <mergeCell ref="R146:T146"/>
    <mergeCell ref="N163:T163"/>
    <mergeCell ref="P90:R97"/>
    <mergeCell ref="O224:P225"/>
    <mergeCell ref="O211:Q214"/>
    <mergeCell ref="D172:G180"/>
    <mergeCell ref="C205:D206"/>
    <mergeCell ref="F159:J168"/>
    <mergeCell ref="K210:M210"/>
    <mergeCell ref="S210:T210"/>
    <mergeCell ref="S223:T223"/>
    <mergeCell ref="B224:C224"/>
    <mergeCell ref="B121:B122"/>
    <mergeCell ref="B123:B125"/>
    <mergeCell ref="B126:B128"/>
    <mergeCell ref="B129:B131"/>
    <mergeCell ref="B132:B134"/>
    <mergeCell ref="B135:B137"/>
    <mergeCell ref="B138:B140"/>
    <mergeCell ref="B147:B155"/>
    <mergeCell ref="B157:B158"/>
    <mergeCell ref="B159:B168"/>
    <mergeCell ref="B185:B186"/>
    <mergeCell ref="B203:B208"/>
    <mergeCell ref="C157:D158"/>
    <mergeCell ref="K157:L158"/>
    <mergeCell ref="M30:M45"/>
    <mergeCell ref="M46:M57"/>
    <mergeCell ref="M58:M66"/>
    <mergeCell ref="M67:M75"/>
    <mergeCell ref="M76:M81"/>
    <mergeCell ref="M82:M89"/>
    <mergeCell ref="M90:M105"/>
    <mergeCell ref="E126:L128"/>
    <mergeCell ref="E123:L125"/>
    <mergeCell ref="B118:L118"/>
    <mergeCell ref="B119:L119"/>
    <mergeCell ref="C126:D128"/>
    <mergeCell ref="B111:L111"/>
    <mergeCell ref="B112:L112"/>
    <mergeCell ref="B113:L113"/>
    <mergeCell ref="B114:L114"/>
    <mergeCell ref="B115:L115"/>
    <mergeCell ref="B116:L116"/>
    <mergeCell ref="N110:O111"/>
    <mergeCell ref="B196:T198"/>
    <mergeCell ref="N103:O105"/>
    <mergeCell ref="Q170:T171"/>
    <mergeCell ref="E135:L137"/>
    <mergeCell ref="S226:T229"/>
    <mergeCell ref="B239:B246"/>
    <mergeCell ref="K205:K206"/>
    <mergeCell ref="K229:K233"/>
    <mergeCell ref="K224:N225"/>
    <mergeCell ref="K218:M221"/>
    <mergeCell ref="B210:B215"/>
    <mergeCell ref="M188:T188"/>
    <mergeCell ref="C159:D161"/>
    <mergeCell ref="B170:C171"/>
    <mergeCell ref="B228:C233"/>
    <mergeCell ref="R159:T160"/>
    <mergeCell ref="E203:H208"/>
    <mergeCell ref="B225:C226"/>
    <mergeCell ref="Q172:T180"/>
    <mergeCell ref="N220:N221"/>
    <mergeCell ref="O147:P155"/>
    <mergeCell ref="E210:F213"/>
    <mergeCell ref="C189:E189"/>
    <mergeCell ref="B172:C180"/>
    <mergeCell ref="C129:D131"/>
    <mergeCell ref="C185:E186"/>
    <mergeCell ref="C132:D134"/>
    <mergeCell ref="O128:T132"/>
    <mergeCell ref="N159:Q160"/>
    <mergeCell ref="R220:R221"/>
    <mergeCell ref="T205:T206"/>
    <mergeCell ref="N200:R201"/>
    <mergeCell ref="O133:T140"/>
    <mergeCell ref="B190:E190"/>
    <mergeCell ref="B191:K191"/>
    <mergeCell ref="B192:K192"/>
    <mergeCell ref="B193:K193"/>
    <mergeCell ref="B195:C195"/>
    <mergeCell ref="D195:E195"/>
    <mergeCell ref="F195:I195"/>
    <mergeCell ref="J195:T195"/>
    <mergeCell ref="N164:T164"/>
    <mergeCell ref="B184:E184"/>
    <mergeCell ref="M184:N184"/>
    <mergeCell ref="O184:P184"/>
    <mergeCell ref="Q184:R184"/>
    <mergeCell ref="S184:T184"/>
    <mergeCell ref="Q30:R66"/>
    <mergeCell ref="K211:M214"/>
    <mergeCell ref="E225:H233"/>
    <mergeCell ref="C135:D137"/>
    <mergeCell ref="B182:K183"/>
    <mergeCell ref="Q110:R111"/>
    <mergeCell ref="Q224:T225"/>
    <mergeCell ref="S211:T214"/>
    <mergeCell ref="S220:T222"/>
    <mergeCell ref="O217:Q218"/>
    <mergeCell ref="O46:P57"/>
    <mergeCell ref="K207:M209"/>
    <mergeCell ref="Q114:R115"/>
    <mergeCell ref="M231:O232"/>
    <mergeCell ref="Q67:R75"/>
    <mergeCell ref="Q233:T240"/>
    <mergeCell ref="M189:T193"/>
    <mergeCell ref="K147:M155"/>
    <mergeCell ref="I170:O171"/>
    <mergeCell ref="Q102:R105"/>
    <mergeCell ref="F157:J158"/>
    <mergeCell ref="C200:E201"/>
    <mergeCell ref="M182:T183"/>
    <mergeCell ref="N118:O119"/>
    <mergeCell ref="O22:R25"/>
    <mergeCell ref="N157:T158"/>
    <mergeCell ref="R165:T168"/>
    <mergeCell ref="K234:O236"/>
    <mergeCell ref="Q230:T231"/>
    <mergeCell ref="O207:Q209"/>
    <mergeCell ref="Q112:R113"/>
    <mergeCell ref="N229:N230"/>
    <mergeCell ref="O58:O66"/>
    <mergeCell ref="O228:O230"/>
    <mergeCell ref="P58:P66"/>
    <mergeCell ref="P226:P227"/>
    <mergeCell ref="Q226:Q229"/>
    <mergeCell ref="M185:N187"/>
    <mergeCell ref="O185:P187"/>
    <mergeCell ref="Q185:R187"/>
    <mergeCell ref="S185:T187"/>
    <mergeCell ref="L58:L65"/>
    <mergeCell ref="M2:M29"/>
    <mergeCell ref="O18:R21"/>
    <mergeCell ref="R147:T155"/>
    <mergeCell ref="Q120:R121"/>
    <mergeCell ref="O203:Q205"/>
    <mergeCell ref="Q76:R89"/>
    <mergeCell ref="O126:T127"/>
    <mergeCell ref="N90:O97"/>
    <mergeCell ref="C138:D140"/>
    <mergeCell ref="I172:O180"/>
    <mergeCell ref="K226:N228"/>
    <mergeCell ref="B217:C223"/>
    <mergeCell ref="C214:D215"/>
    <mergeCell ref="E129:L131"/>
    <mergeCell ref="B142:T144"/>
    <mergeCell ref="E121:L122"/>
    <mergeCell ref="C123:D125"/>
    <mergeCell ref="F184:K190"/>
    <mergeCell ref="N165:Q168"/>
    <mergeCell ref="S207:T209"/>
    <mergeCell ref="N115:O116"/>
    <mergeCell ref="N98:O102"/>
    <mergeCell ref="K159:L168"/>
    <mergeCell ref="O124:T125"/>
    <mergeCell ref="D170:G171"/>
    <mergeCell ref="O220:Q222"/>
    <mergeCell ref="F147:I155"/>
    <mergeCell ref="G210:H213"/>
    <mergeCell ref="E215:H223"/>
    <mergeCell ref="C121:D122"/>
  </mergeCells>
  <phoneticPr fontId="188" type="noConversion"/>
  <pageMargins left="0.75" right="0.75" top="1" bottom="1" header="0.50902777777777797" footer="0.50902777777777797"/>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0000000}">
          <x14:formula1>
            <xm:f>附表!$I$38:$I$49</xm:f>
          </x14:formula1>
          <xm:sqref>M185:N187</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XFC355"/>
  <sheetViews>
    <sheetView showGridLines="0" zoomScale="67" zoomScaleNormal="67" workbookViewId="0">
      <pane ySplit="1" topLeftCell="A2" activePane="bottomLeft" state="frozen"/>
      <selection pane="bottomLeft"/>
    </sheetView>
  </sheetViews>
  <sheetFormatPr defaultColWidth="10" defaultRowHeight="14.4"/>
  <cols>
    <col min="1" max="1" width="3.33203125" style="33" customWidth="1"/>
    <col min="2" max="2" width="28.33203125" style="33" customWidth="1"/>
    <col min="3" max="3" width="11" style="33" customWidth="1"/>
    <col min="4" max="4" width="5.6640625" style="33" customWidth="1"/>
    <col min="5" max="5" width="16.77734375" style="33" customWidth="1"/>
    <col min="6" max="6" width="20" style="33" customWidth="1"/>
    <col min="7" max="7" width="4.77734375" style="33" customWidth="1"/>
    <col min="8" max="8" width="11.77734375" style="33" customWidth="1"/>
    <col min="9" max="9" width="13" style="34" customWidth="1"/>
    <col min="10" max="10" width="8.6640625" style="34" customWidth="1"/>
    <col min="11" max="11" width="9.109375" style="34" customWidth="1"/>
    <col min="12" max="12" width="8.88671875" style="34" customWidth="1"/>
    <col min="13" max="13" width="16.33203125" style="34" customWidth="1"/>
    <col min="14" max="14" width="13.88671875" style="34" customWidth="1"/>
    <col min="15" max="15" width="11.88671875" style="34" customWidth="1"/>
    <col min="16" max="16" width="8.88671875" style="34" customWidth="1"/>
    <col min="17" max="17" width="30.44140625" style="34" customWidth="1"/>
    <col min="18" max="18" width="18.44140625" style="34" customWidth="1"/>
    <col min="19" max="19" width="7.44140625" style="34" customWidth="1"/>
    <col min="20" max="20" width="6" style="34" customWidth="1"/>
    <col min="21" max="21" width="10.6640625" style="34" customWidth="1"/>
    <col min="22" max="22" width="7.21875" style="34" customWidth="1"/>
    <col min="23" max="23" width="10.44140625" style="34" customWidth="1"/>
    <col min="24" max="24" width="13.44140625" style="34" customWidth="1"/>
    <col min="25" max="25" width="10.77734375" style="34" customWidth="1"/>
    <col min="26" max="26" width="7.77734375" style="34" customWidth="1"/>
    <col min="27" max="27" width="9.6640625" style="34" customWidth="1"/>
    <col min="28" max="28" width="13" style="34" customWidth="1"/>
    <col min="29" max="32" width="8.88671875" style="35" customWidth="1"/>
    <col min="33" max="33" width="8.88671875" style="35" hidden="1"/>
    <col min="34" max="34" width="9.6640625" style="35" hidden="1"/>
    <col min="35" max="16382" width="8.88671875" style="34" hidden="1"/>
    <col min="16383" max="16383" width="8.88671875" style="36" hidden="1"/>
    <col min="16384" max="16384" width="8.88671875" style="36" customWidth="1"/>
  </cols>
  <sheetData>
    <row r="1" spans="2:34" ht="22.05" customHeight="1">
      <c r="B1" s="37" t="s">
        <v>5123</v>
      </c>
      <c r="C1" s="38" t="s">
        <v>5124</v>
      </c>
      <c r="D1" s="39" t="s">
        <v>5125</v>
      </c>
      <c r="E1" s="38" t="s">
        <v>5126</v>
      </c>
      <c r="F1" s="38" t="s">
        <v>5127</v>
      </c>
      <c r="G1" s="39" t="s">
        <v>5128</v>
      </c>
      <c r="H1" s="38" t="s">
        <v>4547</v>
      </c>
      <c r="I1" s="80" t="s">
        <v>4548</v>
      </c>
      <c r="J1" s="80" t="s">
        <v>166</v>
      </c>
      <c r="K1" s="3541" t="s">
        <v>287</v>
      </c>
      <c r="L1" s="3541"/>
      <c r="M1" s="3541"/>
      <c r="N1" s="3541"/>
      <c r="O1" s="3541"/>
      <c r="P1" s="81"/>
      <c r="Q1" s="101" t="s">
        <v>5129</v>
      </c>
      <c r="R1" s="102" t="s">
        <v>330</v>
      </c>
      <c r="S1" s="103" t="s">
        <v>39</v>
      </c>
      <c r="T1" s="103" t="s">
        <v>180</v>
      </c>
      <c r="U1" s="103" t="s">
        <v>5130</v>
      </c>
      <c r="V1" s="102" t="s">
        <v>5131</v>
      </c>
      <c r="W1" s="102" t="s">
        <v>5132</v>
      </c>
      <c r="X1" s="102" t="s">
        <v>5133</v>
      </c>
      <c r="Y1" s="147" t="s">
        <v>4547</v>
      </c>
      <c r="Z1" s="147" t="s">
        <v>166</v>
      </c>
      <c r="AA1" s="3542" t="s">
        <v>287</v>
      </c>
      <c r="AB1" s="3542"/>
      <c r="AC1" s="3542"/>
      <c r="AD1" s="3542"/>
      <c r="AE1" s="3542"/>
      <c r="AF1" s="148"/>
      <c r="AG1" s="181"/>
      <c r="AH1" s="181"/>
    </row>
    <row r="2" spans="2:34" ht="14.25" customHeight="1">
      <c r="B2" s="40" t="s">
        <v>5134</v>
      </c>
      <c r="C2" s="41">
        <v>1</v>
      </c>
      <c r="D2" s="41">
        <v>0</v>
      </c>
      <c r="E2" s="41" t="s">
        <v>5135</v>
      </c>
      <c r="F2" s="41" t="s">
        <v>5136</v>
      </c>
      <c r="G2" s="41" t="s">
        <v>179</v>
      </c>
      <c r="H2" s="41" t="s">
        <v>4555</v>
      </c>
      <c r="I2" s="82" t="s">
        <v>5137</v>
      </c>
      <c r="J2" s="3555" t="s">
        <v>5138</v>
      </c>
      <c r="K2" s="3522" t="s">
        <v>5139</v>
      </c>
      <c r="L2" s="3523"/>
      <c r="M2" s="3523"/>
      <c r="N2" s="3523"/>
      <c r="O2" s="3523"/>
      <c r="P2" s="83"/>
      <c r="Q2" s="104" t="s">
        <v>5140</v>
      </c>
      <c r="R2" s="105" t="s">
        <v>115</v>
      </c>
      <c r="S2" s="105">
        <v>13</v>
      </c>
      <c r="T2" s="105">
        <v>4</v>
      </c>
      <c r="U2" s="105">
        <v>1</v>
      </c>
      <c r="V2" s="105" t="s">
        <v>5141</v>
      </c>
      <c r="W2" s="1276" t="s">
        <v>5142</v>
      </c>
      <c r="X2" s="106" t="s">
        <v>5143</v>
      </c>
      <c r="Y2" s="149" t="s">
        <v>14</v>
      </c>
      <c r="Z2" s="3563" t="s">
        <v>3949</v>
      </c>
      <c r="AA2" s="3483" t="s">
        <v>5144</v>
      </c>
      <c r="AB2" s="150"/>
      <c r="AC2" s="151"/>
      <c r="AD2" s="152"/>
      <c r="AE2" s="152"/>
      <c r="AF2" s="148"/>
      <c r="AG2" s="182"/>
      <c r="AH2" s="182"/>
    </row>
    <row r="3" spans="2:34" ht="14.25" customHeight="1">
      <c r="B3" s="42" t="s">
        <v>5145</v>
      </c>
      <c r="C3" s="43">
        <v>2</v>
      </c>
      <c r="D3" s="43">
        <v>0</v>
      </c>
      <c r="E3" s="43" t="s">
        <v>1497</v>
      </c>
      <c r="F3" s="43" t="s">
        <v>5146</v>
      </c>
      <c r="G3" s="43" t="s">
        <v>539</v>
      </c>
      <c r="H3" s="43" t="s">
        <v>4569</v>
      </c>
      <c r="I3" s="84" t="s">
        <v>4799</v>
      </c>
      <c r="J3" s="3555"/>
      <c r="K3" s="3522"/>
      <c r="L3" s="3523"/>
      <c r="M3" s="3523"/>
      <c r="N3" s="3523"/>
      <c r="O3" s="3523"/>
      <c r="P3" s="83"/>
      <c r="Q3" s="104" t="s">
        <v>5147</v>
      </c>
      <c r="R3" s="105" t="s">
        <v>115</v>
      </c>
      <c r="S3" s="105">
        <v>14</v>
      </c>
      <c r="T3" s="105">
        <v>5</v>
      </c>
      <c r="U3" s="105">
        <v>2</v>
      </c>
      <c r="V3" s="105">
        <v>4</v>
      </c>
      <c r="W3" s="1276" t="s">
        <v>5148</v>
      </c>
      <c r="X3" s="106" t="s">
        <v>5143</v>
      </c>
      <c r="Y3" s="149" t="s">
        <v>4555</v>
      </c>
      <c r="Z3" s="3563"/>
      <c r="AA3" s="3483"/>
      <c r="AB3" s="150"/>
      <c r="AC3" s="151"/>
      <c r="AD3" s="152"/>
      <c r="AE3" s="152"/>
      <c r="AF3" s="153"/>
      <c r="AG3" s="182"/>
      <c r="AH3" s="182"/>
    </row>
    <row r="4" spans="2:34" ht="14.25" customHeight="1">
      <c r="B4" s="40" t="s">
        <v>5149</v>
      </c>
      <c r="C4" s="41">
        <v>3</v>
      </c>
      <c r="D4" s="41" t="s">
        <v>99</v>
      </c>
      <c r="E4" s="41" t="s">
        <v>99</v>
      </c>
      <c r="F4" s="41" t="s">
        <v>99</v>
      </c>
      <c r="G4" s="41" t="s">
        <v>539</v>
      </c>
      <c r="H4" s="41" t="s">
        <v>99</v>
      </c>
      <c r="I4" s="1277" t="s">
        <v>5150</v>
      </c>
      <c r="J4" s="3555"/>
      <c r="K4" s="3522"/>
      <c r="L4" s="3523"/>
      <c r="M4" s="3523"/>
      <c r="N4" s="3523"/>
      <c r="O4" s="3523"/>
      <c r="P4" s="83"/>
      <c r="Q4" s="107" t="s">
        <v>5151</v>
      </c>
      <c r="R4" s="108" t="s">
        <v>115</v>
      </c>
      <c r="S4" s="108">
        <v>15</v>
      </c>
      <c r="T4" s="108">
        <v>6</v>
      </c>
      <c r="U4" s="108">
        <v>2</v>
      </c>
      <c r="V4" s="108">
        <v>4</v>
      </c>
      <c r="W4" s="1278" t="s">
        <v>5148</v>
      </c>
      <c r="X4" s="109" t="s">
        <v>5143</v>
      </c>
      <c r="Y4" s="154" t="s">
        <v>14</v>
      </c>
      <c r="Z4" s="3563"/>
      <c r="AA4" s="3483"/>
      <c r="AB4" s="150"/>
      <c r="AC4" s="151"/>
      <c r="AD4" s="152"/>
      <c r="AE4" s="152"/>
      <c r="AF4" s="155"/>
      <c r="AG4" s="182"/>
      <c r="AH4" s="182"/>
    </row>
    <row r="5" spans="2:34" ht="14.25" customHeight="1">
      <c r="B5" s="42" t="s">
        <v>5152</v>
      </c>
      <c r="C5" s="43">
        <v>5</v>
      </c>
      <c r="D5" s="43">
        <v>0</v>
      </c>
      <c r="E5" s="43" t="s">
        <v>1497</v>
      </c>
      <c r="F5" s="43" t="s">
        <v>5146</v>
      </c>
      <c r="G5" s="43" t="s">
        <v>539</v>
      </c>
      <c r="H5" s="43" t="s">
        <v>14</v>
      </c>
      <c r="I5" s="84" t="s">
        <v>4799</v>
      </c>
      <c r="J5" s="3555"/>
      <c r="K5" s="3522"/>
      <c r="L5" s="3523"/>
      <c r="M5" s="3523"/>
      <c r="N5" s="3523"/>
      <c r="O5" s="3523"/>
      <c r="P5" s="83"/>
      <c r="Q5" s="104" t="s">
        <v>5153</v>
      </c>
      <c r="R5" s="110" t="s">
        <v>115</v>
      </c>
      <c r="S5" s="105">
        <v>16</v>
      </c>
      <c r="T5" s="105">
        <v>5</v>
      </c>
      <c r="U5" s="105">
        <v>2</v>
      </c>
      <c r="V5" s="105">
        <v>1</v>
      </c>
      <c r="W5" s="1276" t="s">
        <v>5142</v>
      </c>
      <c r="X5" s="105" t="s">
        <v>99</v>
      </c>
      <c r="Y5" s="149" t="s">
        <v>14</v>
      </c>
      <c r="Z5" s="3563"/>
      <c r="AA5" s="3483"/>
      <c r="AB5" s="151"/>
      <c r="AC5" s="151"/>
      <c r="AD5" s="152"/>
      <c r="AE5" s="152"/>
      <c r="AF5" s="148"/>
      <c r="AG5" s="182"/>
      <c r="AH5" s="182"/>
    </row>
    <row r="6" spans="2:34" ht="14.25" customHeight="1">
      <c r="B6" s="40" t="s">
        <v>5154</v>
      </c>
      <c r="C6" s="41">
        <v>8</v>
      </c>
      <c r="D6" s="41">
        <v>0</v>
      </c>
      <c r="E6" s="41" t="s">
        <v>5135</v>
      </c>
      <c r="F6" s="41" t="s">
        <v>5136</v>
      </c>
      <c r="G6" s="41" t="s">
        <v>539</v>
      </c>
      <c r="H6" s="41" t="s">
        <v>14</v>
      </c>
      <c r="I6" s="82" t="s">
        <v>4799</v>
      </c>
      <c r="J6" s="3555"/>
      <c r="K6" s="3522"/>
      <c r="L6" s="3523"/>
      <c r="M6" s="3523"/>
      <c r="N6" s="3523"/>
      <c r="O6" s="3523"/>
      <c r="P6" s="83"/>
      <c r="Q6" s="107" t="s">
        <v>5155</v>
      </c>
      <c r="R6" s="105" t="s">
        <v>115</v>
      </c>
      <c r="S6" s="108">
        <v>14</v>
      </c>
      <c r="T6" s="108">
        <v>6</v>
      </c>
      <c r="U6" s="108">
        <v>2</v>
      </c>
      <c r="V6" s="108" t="s">
        <v>5156</v>
      </c>
      <c r="W6" s="1278" t="s">
        <v>5148</v>
      </c>
      <c r="X6" s="109" t="s">
        <v>5157</v>
      </c>
      <c r="Y6" s="154" t="s">
        <v>4555</v>
      </c>
      <c r="Z6" s="3563"/>
      <c r="AA6" s="3483"/>
      <c r="AB6" s="151"/>
      <c r="AC6" s="151"/>
      <c r="AD6" s="152"/>
      <c r="AE6" s="152"/>
      <c r="AF6" s="148"/>
      <c r="AG6" s="182"/>
      <c r="AH6" s="182"/>
    </row>
    <row r="7" spans="2:34" ht="14.25" customHeight="1">
      <c r="B7" s="42" t="s">
        <v>5158</v>
      </c>
      <c r="C7" s="43">
        <v>15</v>
      </c>
      <c r="D7" s="43" t="s">
        <v>99</v>
      </c>
      <c r="E7" s="43" t="s">
        <v>99</v>
      </c>
      <c r="F7" s="43" t="s">
        <v>99</v>
      </c>
      <c r="G7" s="43" t="s">
        <v>539</v>
      </c>
      <c r="H7" s="43" t="s">
        <v>14</v>
      </c>
      <c r="I7" s="84" t="s">
        <v>5159</v>
      </c>
      <c r="J7" s="3555"/>
      <c r="K7" s="3522"/>
      <c r="L7" s="3523"/>
      <c r="M7" s="3523"/>
      <c r="N7" s="3523"/>
      <c r="O7" s="3523"/>
      <c r="P7" s="83"/>
      <c r="Q7" s="104" t="s">
        <v>5160</v>
      </c>
      <c r="R7" s="105" t="s">
        <v>115</v>
      </c>
      <c r="S7" s="105">
        <v>13</v>
      </c>
      <c r="T7" s="105">
        <v>7</v>
      </c>
      <c r="U7" s="105">
        <v>2</v>
      </c>
      <c r="V7" s="105" t="s">
        <v>5156</v>
      </c>
      <c r="W7" s="1276" t="s">
        <v>5148</v>
      </c>
      <c r="X7" s="106" t="s">
        <v>5157</v>
      </c>
      <c r="Y7" s="149" t="s">
        <v>14</v>
      </c>
      <c r="Z7" s="3563"/>
      <c r="AA7" s="3483"/>
      <c r="AB7" s="151"/>
      <c r="AC7" s="151"/>
      <c r="AD7" s="152"/>
      <c r="AE7" s="152"/>
      <c r="AF7" s="148"/>
      <c r="AG7" s="182"/>
      <c r="AH7" s="182"/>
    </row>
    <row r="8" spans="2:34" ht="14.25" customHeight="1">
      <c r="B8" s="40" t="s">
        <v>5161</v>
      </c>
      <c r="C8" s="41">
        <v>19</v>
      </c>
      <c r="D8" s="41" t="s">
        <v>99</v>
      </c>
      <c r="E8" s="41" t="s">
        <v>99</v>
      </c>
      <c r="F8" s="41" t="s">
        <v>99</v>
      </c>
      <c r="G8" s="41" t="s">
        <v>539</v>
      </c>
      <c r="H8" s="41" t="s">
        <v>99</v>
      </c>
      <c r="I8" s="1277" t="s">
        <v>5162</v>
      </c>
      <c r="J8" s="3555"/>
      <c r="K8" s="3522"/>
      <c r="L8" s="3523"/>
      <c r="M8" s="3523"/>
      <c r="N8" s="3523"/>
      <c r="O8" s="3523"/>
      <c r="P8" s="83"/>
      <c r="Q8" s="107" t="s">
        <v>5163</v>
      </c>
      <c r="R8" s="108" t="s">
        <v>115</v>
      </c>
      <c r="S8" s="108">
        <v>13</v>
      </c>
      <c r="T8" s="108">
        <v>9</v>
      </c>
      <c r="U8" s="108">
        <v>2</v>
      </c>
      <c r="V8" s="108" t="s">
        <v>5164</v>
      </c>
      <c r="W8" s="1278" t="s">
        <v>5148</v>
      </c>
      <c r="X8" s="109" t="s">
        <v>5165</v>
      </c>
      <c r="Y8" s="154" t="s">
        <v>14</v>
      </c>
      <c r="Z8" s="3563"/>
      <c r="AA8" s="3483"/>
      <c r="AB8" s="151"/>
      <c r="AC8" s="151"/>
      <c r="AD8" s="152"/>
      <c r="AE8" s="152"/>
      <c r="AF8" s="148"/>
      <c r="AG8" s="182"/>
      <c r="AH8" s="182"/>
    </row>
    <row r="9" spans="2:34" ht="14.25" customHeight="1">
      <c r="B9" s="40" t="s">
        <v>5166</v>
      </c>
      <c r="C9" s="41">
        <v>20</v>
      </c>
      <c r="D9" s="41" t="s">
        <v>99</v>
      </c>
      <c r="E9" s="41" t="s">
        <v>99</v>
      </c>
      <c r="F9" s="41" t="s">
        <v>99</v>
      </c>
      <c r="G9" s="41" t="s">
        <v>539</v>
      </c>
      <c r="H9" s="41" t="s">
        <v>4555</v>
      </c>
      <c r="I9" s="82" t="s">
        <v>5167</v>
      </c>
      <c r="J9" s="3555"/>
      <c r="K9" s="3522"/>
      <c r="L9" s="3523"/>
      <c r="M9" s="3523"/>
      <c r="N9" s="3523"/>
      <c r="O9" s="3523"/>
      <c r="P9" s="83"/>
      <c r="Q9" s="104" t="s">
        <v>5168</v>
      </c>
      <c r="R9" s="105" t="s">
        <v>115</v>
      </c>
      <c r="S9" s="105">
        <v>13</v>
      </c>
      <c r="T9" s="105">
        <v>1</v>
      </c>
      <c r="U9" s="105">
        <v>0</v>
      </c>
      <c r="V9" s="105">
        <v>1</v>
      </c>
      <c r="W9" s="1276" t="s">
        <v>5148</v>
      </c>
      <c r="X9" s="106" t="s">
        <v>99</v>
      </c>
      <c r="Y9" s="156" t="s">
        <v>4555</v>
      </c>
      <c r="Z9" s="3563"/>
      <c r="AA9" s="3483"/>
      <c r="AB9" s="151"/>
      <c r="AC9" s="151"/>
      <c r="AD9" s="152"/>
      <c r="AE9" s="152"/>
      <c r="AF9" s="148"/>
      <c r="AG9" s="182"/>
      <c r="AH9" s="182"/>
    </row>
    <row r="10" spans="2:34" ht="14.25" customHeight="1">
      <c r="B10" s="44" t="s">
        <v>5169</v>
      </c>
      <c r="C10" s="45" t="s">
        <v>5170</v>
      </c>
      <c r="D10" s="45" t="s">
        <v>99</v>
      </c>
      <c r="E10" s="45" t="s">
        <v>5171</v>
      </c>
      <c r="F10" s="45" t="s">
        <v>5172</v>
      </c>
      <c r="G10" s="45" t="s">
        <v>1535</v>
      </c>
      <c r="H10" s="45" t="s">
        <v>99</v>
      </c>
      <c r="I10" s="85" t="s">
        <v>99</v>
      </c>
      <c r="J10" s="3555"/>
      <c r="K10" s="3522"/>
      <c r="L10" s="3523"/>
      <c r="M10" s="3523"/>
      <c r="N10" s="3523"/>
      <c r="O10" s="3523"/>
      <c r="P10" s="83"/>
      <c r="Q10" s="107" t="s">
        <v>5173</v>
      </c>
      <c r="R10" s="108" t="s">
        <v>115</v>
      </c>
      <c r="S10" s="108">
        <v>16</v>
      </c>
      <c r="T10" s="108">
        <v>3</v>
      </c>
      <c r="U10" s="108">
        <v>0</v>
      </c>
      <c r="V10" s="108">
        <v>1</v>
      </c>
      <c r="W10" s="1278" t="s">
        <v>5148</v>
      </c>
      <c r="X10" s="109" t="s">
        <v>99</v>
      </c>
      <c r="Y10" s="149" t="s">
        <v>4555</v>
      </c>
      <c r="Z10" s="3563"/>
      <c r="AA10" s="3483"/>
      <c r="AB10" s="151"/>
      <c r="AC10" s="151"/>
      <c r="AD10" s="152"/>
      <c r="AE10" s="152"/>
      <c r="AF10" s="148"/>
      <c r="AG10" s="183"/>
      <c r="AH10" s="183"/>
    </row>
    <row r="11" spans="2:34" ht="14.25" customHeight="1">
      <c r="B11" s="46" t="s">
        <v>5174</v>
      </c>
      <c r="C11" s="47">
        <v>8</v>
      </c>
      <c r="D11" s="47" t="s">
        <v>5175</v>
      </c>
      <c r="E11" s="47" t="s">
        <v>5171</v>
      </c>
      <c r="F11" s="47" t="s">
        <v>5176</v>
      </c>
      <c r="G11" s="47" t="s">
        <v>1535</v>
      </c>
      <c r="H11" s="47" t="s">
        <v>99</v>
      </c>
      <c r="I11" s="86" t="s">
        <v>4799</v>
      </c>
      <c r="J11" s="3555"/>
      <c r="K11" s="3522"/>
      <c r="L11" s="3523"/>
      <c r="M11" s="3523"/>
      <c r="N11" s="3523"/>
      <c r="O11" s="3523"/>
      <c r="P11" s="83"/>
      <c r="Q11" s="111" t="s">
        <v>5177</v>
      </c>
      <c r="R11" s="112" t="s">
        <v>5178</v>
      </c>
      <c r="S11" s="112">
        <v>11</v>
      </c>
      <c r="T11" s="112">
        <v>20</v>
      </c>
      <c r="U11" s="112">
        <v>24</v>
      </c>
      <c r="V11" s="112">
        <v>4</v>
      </c>
      <c r="W11" s="1279" t="s">
        <v>5142</v>
      </c>
      <c r="X11" s="1280" t="s">
        <v>5148</v>
      </c>
      <c r="Y11" s="157" t="s">
        <v>4555</v>
      </c>
      <c r="Z11" s="3564" t="s">
        <v>5179</v>
      </c>
      <c r="AA11" s="3483"/>
      <c r="AB11" s="151"/>
      <c r="AC11" s="151"/>
      <c r="AD11" s="152"/>
      <c r="AE11" s="152"/>
      <c r="AF11" s="148"/>
      <c r="AG11" s="183"/>
      <c r="AH11" s="183"/>
    </row>
    <row r="12" spans="2:34" ht="14.25" customHeight="1">
      <c r="B12" s="40" t="s">
        <v>5180</v>
      </c>
      <c r="C12" s="41">
        <v>10</v>
      </c>
      <c r="D12" s="41" t="s">
        <v>99</v>
      </c>
      <c r="E12" s="41" t="s">
        <v>99</v>
      </c>
      <c r="F12" s="41" t="s">
        <v>99</v>
      </c>
      <c r="G12" s="41" t="s">
        <v>539</v>
      </c>
      <c r="H12" s="41" t="s">
        <v>4555</v>
      </c>
      <c r="I12" s="82" t="s">
        <v>5181</v>
      </c>
      <c r="J12" s="3555"/>
      <c r="K12" s="3522"/>
      <c r="L12" s="3523"/>
      <c r="M12" s="3523"/>
      <c r="N12" s="3523"/>
      <c r="O12" s="3523"/>
      <c r="P12" s="83"/>
      <c r="Q12" s="104" t="s">
        <v>5182</v>
      </c>
      <c r="R12" s="105" t="s">
        <v>5178</v>
      </c>
      <c r="S12" s="105">
        <v>12</v>
      </c>
      <c r="T12" s="105">
        <v>12</v>
      </c>
      <c r="U12" s="105">
        <v>1</v>
      </c>
      <c r="V12" s="105" t="s">
        <v>3928</v>
      </c>
      <c r="W12" s="1276" t="s">
        <v>5183</v>
      </c>
      <c r="X12" s="114" t="s">
        <v>5184</v>
      </c>
      <c r="Y12" s="149" t="s">
        <v>4569</v>
      </c>
      <c r="Z12" s="3564"/>
      <c r="AA12" s="3483"/>
      <c r="AB12" s="151"/>
      <c r="AC12" s="151"/>
      <c r="AD12" s="152"/>
      <c r="AE12" s="152"/>
      <c r="AF12" s="148"/>
      <c r="AG12" s="183"/>
      <c r="AH12" s="183"/>
    </row>
    <row r="13" spans="2:34" ht="14.25" customHeight="1">
      <c r="B13" s="48" t="s">
        <v>5185</v>
      </c>
      <c r="C13" s="49" t="s">
        <v>5186</v>
      </c>
      <c r="D13" s="49" t="s">
        <v>99</v>
      </c>
      <c r="E13" s="49" t="s">
        <v>5187</v>
      </c>
      <c r="F13" s="49" t="s">
        <v>99</v>
      </c>
      <c r="G13" s="49" t="s">
        <v>179</v>
      </c>
      <c r="H13" s="3553" t="s">
        <v>5188</v>
      </c>
      <c r="I13" s="3554" t="s">
        <v>99</v>
      </c>
      <c r="J13" s="3556" t="s">
        <v>5189</v>
      </c>
      <c r="K13" s="3445" t="s">
        <v>5190</v>
      </c>
      <c r="L13" s="3445"/>
      <c r="M13" s="3445"/>
      <c r="N13" s="3445"/>
      <c r="O13" s="3446"/>
      <c r="P13" s="83"/>
      <c r="Q13" s="111" t="s">
        <v>5191</v>
      </c>
      <c r="R13" s="112" t="s">
        <v>5178</v>
      </c>
      <c r="S13" s="112">
        <v>15</v>
      </c>
      <c r="T13" s="112">
        <v>14</v>
      </c>
      <c r="U13" s="112">
        <v>2</v>
      </c>
      <c r="V13" s="112" t="s">
        <v>3928</v>
      </c>
      <c r="W13" s="1279" t="s">
        <v>5148</v>
      </c>
      <c r="X13" s="113" t="s">
        <v>5192</v>
      </c>
      <c r="Y13" s="157" t="s">
        <v>14</v>
      </c>
      <c r="Z13" s="3564"/>
      <c r="AA13" s="3483"/>
      <c r="AB13" s="151"/>
      <c r="AC13" s="151"/>
      <c r="AD13" s="152"/>
      <c r="AE13" s="152"/>
      <c r="AF13" s="148"/>
      <c r="AG13" s="183"/>
      <c r="AH13" s="183"/>
    </row>
    <row r="14" spans="2:34" ht="14.25" customHeight="1">
      <c r="B14" s="48" t="s">
        <v>5193</v>
      </c>
      <c r="C14" s="50" t="s">
        <v>5194</v>
      </c>
      <c r="D14" s="50" t="s">
        <v>99</v>
      </c>
      <c r="E14" s="50" t="s">
        <v>5187</v>
      </c>
      <c r="F14" s="50" t="s">
        <v>99</v>
      </c>
      <c r="G14" s="50" t="s">
        <v>179</v>
      </c>
      <c r="H14" s="3553"/>
      <c r="I14" s="3554"/>
      <c r="J14" s="3556"/>
      <c r="K14" s="3447"/>
      <c r="L14" s="3448"/>
      <c r="M14" s="3448"/>
      <c r="N14" s="3448"/>
      <c r="O14" s="3449"/>
      <c r="P14" s="83"/>
      <c r="Q14" s="115" t="s">
        <v>5195</v>
      </c>
      <c r="R14" s="116" t="s">
        <v>5196</v>
      </c>
      <c r="S14" s="116">
        <v>11</v>
      </c>
      <c r="T14" s="116">
        <v>4</v>
      </c>
      <c r="U14" s="116">
        <v>0</v>
      </c>
      <c r="V14" s="116">
        <v>1</v>
      </c>
      <c r="W14" s="1281" t="s">
        <v>5148</v>
      </c>
      <c r="X14" s="116" t="s">
        <v>99</v>
      </c>
      <c r="Y14" s="158" t="s">
        <v>5197</v>
      </c>
      <c r="Z14" s="3565" t="s">
        <v>5198</v>
      </c>
      <c r="AA14" s="3483"/>
      <c r="AB14" s="151"/>
      <c r="AC14" s="151"/>
      <c r="AD14" s="152"/>
      <c r="AE14" s="152"/>
      <c r="AF14" s="148"/>
      <c r="AG14" s="183"/>
      <c r="AH14" s="183"/>
    </row>
    <row r="15" spans="2:34" ht="14.25" customHeight="1">
      <c r="B15" s="48" t="s">
        <v>5199</v>
      </c>
      <c r="C15" s="49" t="s">
        <v>5200</v>
      </c>
      <c r="D15" s="49" t="s">
        <v>99</v>
      </c>
      <c r="E15" s="49" t="s">
        <v>5187</v>
      </c>
      <c r="F15" s="49" t="s">
        <v>99</v>
      </c>
      <c r="G15" s="49" t="s">
        <v>179</v>
      </c>
      <c r="H15" s="3553"/>
      <c r="I15" s="3554"/>
      <c r="J15" s="3556"/>
      <c r="K15" s="3447"/>
      <c r="L15" s="3448"/>
      <c r="M15" s="3448"/>
      <c r="N15" s="3448"/>
      <c r="O15" s="3449"/>
      <c r="P15" s="83"/>
      <c r="Q15" s="104" t="s">
        <v>5201</v>
      </c>
      <c r="R15" s="105" t="s">
        <v>5202</v>
      </c>
      <c r="S15" s="105">
        <v>10</v>
      </c>
      <c r="T15" s="105">
        <v>3</v>
      </c>
      <c r="U15" s="105">
        <v>0</v>
      </c>
      <c r="V15" s="105" t="s">
        <v>5203</v>
      </c>
      <c r="W15" s="105" t="s">
        <v>5192</v>
      </c>
      <c r="X15" s="105" t="s">
        <v>5157</v>
      </c>
      <c r="Y15" s="149" t="s">
        <v>4569</v>
      </c>
      <c r="Z15" s="3565"/>
      <c r="AA15" s="3483"/>
      <c r="AB15" s="151"/>
      <c r="AC15" s="151"/>
      <c r="AD15" s="152"/>
      <c r="AE15" s="152"/>
      <c r="AF15" s="148"/>
      <c r="AG15" s="183"/>
      <c r="AH15" s="183"/>
    </row>
    <row r="16" spans="2:34" ht="14.25" customHeight="1">
      <c r="B16" s="51" t="s">
        <v>5204</v>
      </c>
      <c r="C16" s="52">
        <v>2</v>
      </c>
      <c r="D16" s="52" t="s">
        <v>99</v>
      </c>
      <c r="E16" s="52" t="s">
        <v>99</v>
      </c>
      <c r="F16" s="52" t="s">
        <v>99</v>
      </c>
      <c r="G16" s="52" t="s">
        <v>179</v>
      </c>
      <c r="H16" s="52" t="s">
        <v>5205</v>
      </c>
      <c r="I16" s="1282" t="s">
        <v>5206</v>
      </c>
      <c r="J16" s="3556"/>
      <c r="K16" s="3450"/>
      <c r="L16" s="3450"/>
      <c r="M16" s="3450"/>
      <c r="N16" s="3450"/>
      <c r="O16" s="3451"/>
      <c r="P16" s="83"/>
      <c r="Q16" s="115" t="s">
        <v>4534</v>
      </c>
      <c r="R16" s="116" t="s">
        <v>5196</v>
      </c>
      <c r="S16" s="116">
        <v>10</v>
      </c>
      <c r="T16" s="116">
        <v>0.5</v>
      </c>
      <c r="U16" s="116">
        <v>0</v>
      </c>
      <c r="V16" s="116">
        <v>1</v>
      </c>
      <c r="W16" s="1281" t="s">
        <v>5148</v>
      </c>
      <c r="X16" s="116" t="s">
        <v>99</v>
      </c>
      <c r="Y16" s="158" t="s">
        <v>4555</v>
      </c>
      <c r="Z16" s="3565"/>
      <c r="AA16" s="3483"/>
      <c r="AB16" s="151"/>
      <c r="AC16" s="151"/>
      <c r="AD16" s="152"/>
      <c r="AE16" s="152"/>
      <c r="AF16" s="148"/>
      <c r="AG16" s="183"/>
      <c r="AH16" s="183"/>
    </row>
    <row r="17" spans="2:34" ht="14.25" customHeight="1">
      <c r="B17" s="53" t="s">
        <v>5207</v>
      </c>
      <c r="C17" s="49">
        <v>8</v>
      </c>
      <c r="D17" s="49" t="s">
        <v>99</v>
      </c>
      <c r="E17" s="49" t="s">
        <v>99</v>
      </c>
      <c r="F17" s="49" t="s">
        <v>99</v>
      </c>
      <c r="G17" s="49" t="s">
        <v>179</v>
      </c>
      <c r="H17" s="49" t="s">
        <v>14</v>
      </c>
      <c r="I17" s="87">
        <v>40</v>
      </c>
      <c r="J17" s="3556"/>
      <c r="K17" s="89"/>
      <c r="L17" s="89"/>
      <c r="M17" s="89"/>
      <c r="N17" s="89"/>
      <c r="O17" s="89"/>
      <c r="P17" s="83"/>
      <c r="Q17" s="117" t="s">
        <v>5208</v>
      </c>
      <c r="R17" s="118" t="s">
        <v>5209</v>
      </c>
      <c r="S17" s="118">
        <v>4</v>
      </c>
      <c r="T17" s="118">
        <v>2</v>
      </c>
      <c r="U17" s="118">
        <v>0</v>
      </c>
      <c r="V17" s="118">
        <v>3</v>
      </c>
      <c r="W17" s="1283" t="s">
        <v>5210</v>
      </c>
      <c r="X17" s="119" t="s">
        <v>5143</v>
      </c>
      <c r="Y17" s="159" t="s">
        <v>4555</v>
      </c>
      <c r="Z17" s="3566" t="s">
        <v>5211</v>
      </c>
      <c r="AA17" s="3483"/>
      <c r="AB17" s="152"/>
      <c r="AC17" s="152"/>
      <c r="AD17" s="152"/>
      <c r="AE17" s="152"/>
      <c r="AF17" s="148"/>
      <c r="AG17" s="183"/>
      <c r="AH17" s="183"/>
    </row>
    <row r="18" spans="2:34" ht="14.25" customHeight="1">
      <c r="B18" s="54" t="s">
        <v>5212</v>
      </c>
      <c r="C18" s="50">
        <v>12</v>
      </c>
      <c r="D18" s="50" t="s">
        <v>99</v>
      </c>
      <c r="E18" s="50" t="s">
        <v>99</v>
      </c>
      <c r="F18" s="50" t="s">
        <v>99</v>
      </c>
      <c r="G18" s="50" t="s">
        <v>539</v>
      </c>
      <c r="H18" s="50" t="s">
        <v>4555</v>
      </c>
      <c r="I18" s="90" t="s">
        <v>5213</v>
      </c>
      <c r="J18" s="3556"/>
      <c r="K18" s="89"/>
      <c r="L18" s="89"/>
      <c r="M18" s="89"/>
      <c r="N18" s="89"/>
      <c r="O18" s="89"/>
      <c r="P18" s="83"/>
      <c r="Q18" s="104" t="s">
        <v>5214</v>
      </c>
      <c r="R18" s="105" t="s">
        <v>5209</v>
      </c>
      <c r="S18" s="105">
        <v>12</v>
      </c>
      <c r="T18" s="105">
        <v>4</v>
      </c>
      <c r="U18" s="105">
        <v>0</v>
      </c>
      <c r="V18" s="105">
        <v>22</v>
      </c>
      <c r="W18" s="1276" t="s">
        <v>5215</v>
      </c>
      <c r="X18" s="106" t="s">
        <v>5143</v>
      </c>
      <c r="Y18" s="149" t="s">
        <v>4555</v>
      </c>
      <c r="Z18" s="3566"/>
      <c r="AA18" s="3483"/>
      <c r="AB18" s="152"/>
      <c r="AC18" s="152"/>
      <c r="AD18" s="152"/>
      <c r="AE18" s="152"/>
      <c r="AF18" s="148"/>
      <c r="AG18" s="183"/>
      <c r="AH18" s="183"/>
    </row>
    <row r="19" spans="2:34" ht="14.25" customHeight="1">
      <c r="B19" s="53" t="s">
        <v>5216</v>
      </c>
      <c r="C19" s="49">
        <v>1</v>
      </c>
      <c r="D19" s="49" t="s">
        <v>99</v>
      </c>
      <c r="E19" s="49" t="s">
        <v>99</v>
      </c>
      <c r="F19" s="49" t="s">
        <v>99</v>
      </c>
      <c r="G19" s="49" t="s">
        <v>539</v>
      </c>
      <c r="H19" s="49" t="s">
        <v>4555</v>
      </c>
      <c r="I19" s="87" t="s">
        <v>5217</v>
      </c>
      <c r="J19" s="3556"/>
      <c r="K19" s="83"/>
      <c r="L19" s="83"/>
      <c r="M19" s="83"/>
      <c r="N19" s="83"/>
      <c r="O19" s="83"/>
      <c r="P19" s="83"/>
      <c r="Q19" s="117" t="s">
        <v>5218</v>
      </c>
      <c r="R19" s="118" t="s">
        <v>5219</v>
      </c>
      <c r="S19" s="118">
        <v>14</v>
      </c>
      <c r="T19" s="118">
        <v>3</v>
      </c>
      <c r="U19" s="118">
        <v>0</v>
      </c>
      <c r="V19" s="118">
        <v>6</v>
      </c>
      <c r="W19" s="1283" t="s">
        <v>5148</v>
      </c>
      <c r="X19" s="119" t="s">
        <v>5143</v>
      </c>
      <c r="Y19" s="159" t="s">
        <v>4555</v>
      </c>
      <c r="Z19" s="3566"/>
      <c r="AA19" s="3483"/>
      <c r="AB19" s="152"/>
      <c r="AC19" s="152"/>
      <c r="AD19" s="152"/>
      <c r="AE19" s="152"/>
      <c r="AF19" s="148"/>
      <c r="AG19" s="183"/>
      <c r="AH19" s="183"/>
    </row>
    <row r="20" spans="2:34" ht="14.25" customHeight="1">
      <c r="B20" s="51" t="s">
        <v>5220</v>
      </c>
      <c r="C20" s="52">
        <v>20</v>
      </c>
      <c r="D20" s="52" t="s">
        <v>99</v>
      </c>
      <c r="E20" s="52" t="s">
        <v>99</v>
      </c>
      <c r="F20" s="52" t="s">
        <v>99</v>
      </c>
      <c r="G20" s="52" t="s">
        <v>539</v>
      </c>
      <c r="H20" s="52" t="s">
        <v>5221</v>
      </c>
      <c r="I20" s="88" t="s">
        <v>5222</v>
      </c>
      <c r="J20" s="3556"/>
      <c r="K20" s="83"/>
      <c r="L20" s="83"/>
      <c r="M20" s="83"/>
      <c r="N20" s="83"/>
      <c r="O20" s="83"/>
      <c r="P20" s="83"/>
      <c r="Q20" s="104" t="s">
        <v>5223</v>
      </c>
      <c r="R20" s="105" t="s">
        <v>5209</v>
      </c>
      <c r="S20" s="105">
        <v>11</v>
      </c>
      <c r="T20" s="105">
        <v>32</v>
      </c>
      <c r="U20" s="105" t="s">
        <v>5224</v>
      </c>
      <c r="V20" s="105" t="s">
        <v>5225</v>
      </c>
      <c r="W20" s="1276" t="s">
        <v>5148</v>
      </c>
      <c r="X20" s="106" t="s">
        <v>5226</v>
      </c>
      <c r="Y20" s="149" t="s">
        <v>4555</v>
      </c>
      <c r="Z20" s="3566"/>
      <c r="AA20" s="3483"/>
      <c r="AB20" s="152"/>
      <c r="AC20" s="152"/>
      <c r="AD20" s="152"/>
      <c r="AE20" s="152"/>
      <c r="AF20" s="148"/>
      <c r="AG20" s="183"/>
      <c r="AH20" s="183"/>
    </row>
    <row r="21" spans="2:34" ht="14.25" customHeight="1">
      <c r="B21" s="53" t="s">
        <v>5227</v>
      </c>
      <c r="C21" s="49" t="s">
        <v>5228</v>
      </c>
      <c r="D21" s="49" t="s">
        <v>99</v>
      </c>
      <c r="E21" s="49" t="s">
        <v>99</v>
      </c>
      <c r="F21" s="49" t="s">
        <v>99</v>
      </c>
      <c r="G21" s="49" t="s">
        <v>1535</v>
      </c>
      <c r="H21" s="49" t="s">
        <v>14</v>
      </c>
      <c r="I21" s="87" t="s">
        <v>5229</v>
      </c>
      <c r="J21" s="3556"/>
      <c r="K21" s="83"/>
      <c r="L21" s="83"/>
      <c r="M21" s="83"/>
      <c r="N21" s="83"/>
      <c r="O21" s="83"/>
      <c r="P21" s="83"/>
      <c r="Q21" s="120" t="s">
        <v>5230</v>
      </c>
      <c r="R21" s="118" t="s">
        <v>5231</v>
      </c>
      <c r="S21" s="118">
        <v>11</v>
      </c>
      <c r="T21" s="118">
        <v>65</v>
      </c>
      <c r="U21" s="118" t="s">
        <v>5224</v>
      </c>
      <c r="V21" s="118" t="s">
        <v>5232</v>
      </c>
      <c r="W21" s="1283" t="s">
        <v>5148</v>
      </c>
      <c r="X21" s="119" t="s">
        <v>5226</v>
      </c>
      <c r="Y21" s="159" t="s">
        <v>4555</v>
      </c>
      <c r="Z21" s="3566"/>
      <c r="AA21" s="3483"/>
      <c r="AB21" s="3505" t="s">
        <v>5233</v>
      </c>
      <c r="AC21" s="3506"/>
      <c r="AD21" s="3506"/>
      <c r="AE21" s="3507"/>
      <c r="AF21" s="148"/>
      <c r="AG21" s="183"/>
      <c r="AH21" s="183"/>
    </row>
    <row r="22" spans="2:34" ht="14.25" customHeight="1">
      <c r="B22" s="54" t="s">
        <v>5234</v>
      </c>
      <c r="C22" s="50">
        <v>15</v>
      </c>
      <c r="D22" s="50" t="s">
        <v>99</v>
      </c>
      <c r="E22" s="50" t="s">
        <v>99</v>
      </c>
      <c r="F22" s="50" t="s">
        <v>99</v>
      </c>
      <c r="G22" s="50" t="s">
        <v>539</v>
      </c>
      <c r="H22" s="50" t="s">
        <v>4555</v>
      </c>
      <c r="I22" s="90" t="s">
        <v>5167</v>
      </c>
      <c r="J22" s="3556"/>
      <c r="K22" s="83"/>
      <c r="L22" s="83"/>
      <c r="M22" s="83"/>
      <c r="N22" s="83"/>
      <c r="O22" s="83"/>
      <c r="P22" s="83"/>
      <c r="Q22" s="120" t="s">
        <v>5235</v>
      </c>
      <c r="R22" s="105" t="s">
        <v>5236</v>
      </c>
      <c r="S22" s="105">
        <v>11</v>
      </c>
      <c r="T22" s="105">
        <v>75</v>
      </c>
      <c r="U22" s="105" t="s">
        <v>5224</v>
      </c>
      <c r="V22" s="105" t="s">
        <v>5237</v>
      </c>
      <c r="W22" s="1276" t="s">
        <v>5148</v>
      </c>
      <c r="X22" s="106" t="s">
        <v>5238</v>
      </c>
      <c r="Y22" s="149" t="s">
        <v>5239</v>
      </c>
      <c r="Z22" s="3566"/>
      <c r="AA22" s="3483"/>
      <c r="AB22" s="3508"/>
      <c r="AC22" s="3509"/>
      <c r="AD22" s="3509"/>
      <c r="AE22" s="3510"/>
      <c r="AF22" s="148"/>
      <c r="AG22" s="183"/>
      <c r="AH22" s="183"/>
    </row>
    <row r="23" spans="2:34" ht="14.25" customHeight="1">
      <c r="B23" s="53" t="s">
        <v>5240</v>
      </c>
      <c r="C23" s="49">
        <v>4</v>
      </c>
      <c r="D23" s="49" t="s">
        <v>99</v>
      </c>
      <c r="E23" s="49" t="s">
        <v>5241</v>
      </c>
      <c r="F23" s="49" t="s">
        <v>99</v>
      </c>
      <c r="G23" s="49" t="s">
        <v>539</v>
      </c>
      <c r="H23" s="49" t="s">
        <v>4555</v>
      </c>
      <c r="I23" s="87" t="s">
        <v>5242</v>
      </c>
      <c r="J23" s="3556"/>
      <c r="K23" s="83"/>
      <c r="L23" s="83"/>
      <c r="M23" s="83"/>
      <c r="N23" s="83"/>
      <c r="O23" s="83"/>
      <c r="P23" s="83"/>
      <c r="Q23" s="120" t="s">
        <v>5243</v>
      </c>
      <c r="R23" s="118" t="s">
        <v>5236</v>
      </c>
      <c r="S23" s="118">
        <v>12</v>
      </c>
      <c r="T23" s="118">
        <v>24</v>
      </c>
      <c r="U23" s="118" t="s">
        <v>5224</v>
      </c>
      <c r="V23" s="118" t="s">
        <v>5244</v>
      </c>
      <c r="W23" s="1283" t="s">
        <v>5148</v>
      </c>
      <c r="X23" s="119" t="s">
        <v>5226</v>
      </c>
      <c r="Y23" s="159" t="s">
        <v>4555</v>
      </c>
      <c r="Z23" s="3566"/>
      <c r="AA23" s="3483"/>
      <c r="AB23" s="3511"/>
      <c r="AC23" s="3512"/>
      <c r="AD23" s="3512"/>
      <c r="AE23" s="3513"/>
      <c r="AF23" s="148"/>
      <c r="AG23" s="183"/>
      <c r="AH23" s="183"/>
    </row>
    <row r="24" spans="2:34" ht="14.25" customHeight="1">
      <c r="B24" s="54" t="s">
        <v>5245</v>
      </c>
      <c r="C24" s="50">
        <v>3</v>
      </c>
      <c r="D24" s="50" t="s">
        <v>99</v>
      </c>
      <c r="E24" s="50" t="s">
        <v>99</v>
      </c>
      <c r="F24" s="50" t="s">
        <v>99</v>
      </c>
      <c r="G24" s="50" t="s">
        <v>539</v>
      </c>
      <c r="H24" s="50" t="s">
        <v>4555</v>
      </c>
      <c r="I24" s="1284" t="s">
        <v>5246</v>
      </c>
      <c r="J24" s="3556"/>
      <c r="K24" s="83"/>
      <c r="L24" s="83"/>
      <c r="M24" s="83"/>
      <c r="N24" s="83"/>
      <c r="O24" s="83"/>
      <c r="P24" s="83"/>
      <c r="Q24" s="121" t="s">
        <v>5247</v>
      </c>
      <c r="R24" s="122" t="s">
        <v>115</v>
      </c>
      <c r="S24" s="122">
        <v>12</v>
      </c>
      <c r="T24" s="122">
        <v>6</v>
      </c>
      <c r="U24" s="122">
        <v>2</v>
      </c>
      <c r="V24" s="122">
        <v>80</v>
      </c>
      <c r="W24" s="1285" t="s">
        <v>5148</v>
      </c>
      <c r="X24" s="123" t="s">
        <v>5192</v>
      </c>
      <c r="Y24" s="160" t="s">
        <v>4555</v>
      </c>
      <c r="Z24" s="3567" t="s">
        <v>5248</v>
      </c>
      <c r="AA24" s="161"/>
      <c r="AB24" s="161"/>
      <c r="AC24" s="161"/>
      <c r="AD24" s="161"/>
      <c r="AE24" s="161"/>
      <c r="AF24" s="162"/>
      <c r="AG24" s="183"/>
      <c r="AH24" s="183"/>
    </row>
    <row r="25" spans="2:34" ht="14.25" customHeight="1">
      <c r="B25" s="53" t="s">
        <v>5249</v>
      </c>
      <c r="C25" s="49">
        <v>3</v>
      </c>
      <c r="D25" s="49" t="s">
        <v>99</v>
      </c>
      <c r="E25" s="49" t="s">
        <v>99</v>
      </c>
      <c r="F25" s="49" t="s">
        <v>99</v>
      </c>
      <c r="G25" s="49" t="s">
        <v>539</v>
      </c>
      <c r="H25" s="49" t="s">
        <v>5250</v>
      </c>
      <c r="I25" s="1286" t="s">
        <v>5251</v>
      </c>
      <c r="J25" s="3556"/>
      <c r="K25" s="83"/>
      <c r="L25" s="83"/>
      <c r="M25" s="83"/>
      <c r="N25" s="83"/>
      <c r="O25" s="83"/>
      <c r="P25" s="83"/>
      <c r="Q25" s="124" t="s">
        <v>1792</v>
      </c>
      <c r="R25" s="125" t="s">
        <v>115</v>
      </c>
      <c r="S25" s="125">
        <v>12</v>
      </c>
      <c r="T25" s="125">
        <v>7</v>
      </c>
      <c r="U25" s="125">
        <v>2</v>
      </c>
      <c r="V25" s="125">
        <v>200</v>
      </c>
      <c r="W25" s="1287" t="s">
        <v>5148</v>
      </c>
      <c r="X25" s="126" t="s">
        <v>5192</v>
      </c>
      <c r="Y25" s="163" t="s">
        <v>4555</v>
      </c>
      <c r="Z25" s="3568"/>
      <c r="AA25" s="161"/>
      <c r="AB25" s="161"/>
      <c r="AC25" s="164"/>
      <c r="AD25" s="164"/>
      <c r="AE25" s="164"/>
      <c r="AF25" s="162"/>
      <c r="AG25" s="183"/>
      <c r="AH25" s="183"/>
    </row>
    <row r="26" spans="2:34" ht="14.25" customHeight="1">
      <c r="B26" s="55" t="s">
        <v>5252</v>
      </c>
      <c r="C26" s="56">
        <v>2</v>
      </c>
      <c r="D26" s="56" t="s">
        <v>99</v>
      </c>
      <c r="E26" s="56" t="s">
        <v>99</v>
      </c>
      <c r="F26" s="56" t="s">
        <v>99</v>
      </c>
      <c r="G26" s="56" t="s">
        <v>179</v>
      </c>
      <c r="H26" s="56" t="s">
        <v>4555</v>
      </c>
      <c r="I26" s="91" t="s">
        <v>4799</v>
      </c>
      <c r="J26" s="3556"/>
      <c r="K26" s="83"/>
      <c r="L26" s="83"/>
      <c r="M26" s="83"/>
      <c r="N26" s="83"/>
      <c r="O26" s="83"/>
      <c r="P26" s="83"/>
      <c r="Q26" s="121" t="s">
        <v>5253</v>
      </c>
      <c r="R26" s="122" t="s">
        <v>115</v>
      </c>
      <c r="S26" s="122">
        <v>12</v>
      </c>
      <c r="T26" s="122">
        <v>6</v>
      </c>
      <c r="U26" s="122">
        <v>2</v>
      </c>
      <c r="V26" s="122">
        <v>50</v>
      </c>
      <c r="W26" s="1285" t="s">
        <v>5148</v>
      </c>
      <c r="X26" s="123" t="s">
        <v>5143</v>
      </c>
      <c r="Y26" s="160" t="s">
        <v>4555</v>
      </c>
      <c r="Z26" s="3568"/>
      <c r="AA26" s="161"/>
      <c r="AB26" s="161"/>
      <c r="AC26" s="165"/>
      <c r="AD26" s="165"/>
      <c r="AE26" s="165"/>
      <c r="AF26" s="148"/>
      <c r="AG26" s="183"/>
      <c r="AH26" s="183"/>
    </row>
    <row r="27" spans="2:34" ht="14.25" customHeight="1">
      <c r="B27" s="57" t="s">
        <v>5254</v>
      </c>
      <c r="C27" s="58">
        <v>1</v>
      </c>
      <c r="D27" s="58">
        <v>0</v>
      </c>
      <c r="E27" s="58" t="s">
        <v>1497</v>
      </c>
      <c r="F27" s="59" t="s">
        <v>5146</v>
      </c>
      <c r="G27" s="58" t="s">
        <v>179</v>
      </c>
      <c r="H27" s="58" t="s">
        <v>4555</v>
      </c>
      <c r="I27" s="92" t="s">
        <v>5255</v>
      </c>
      <c r="J27" s="3557" t="s">
        <v>1497</v>
      </c>
      <c r="K27" s="3487" t="s">
        <v>5256</v>
      </c>
      <c r="L27" s="3488"/>
      <c r="M27" s="3488"/>
      <c r="N27" s="3488"/>
      <c r="O27" s="3489"/>
      <c r="P27" s="83"/>
      <c r="Q27" s="124" t="s">
        <v>5257</v>
      </c>
      <c r="R27" s="125" t="s">
        <v>115</v>
      </c>
      <c r="S27" s="125">
        <v>14</v>
      </c>
      <c r="T27" s="125">
        <v>5</v>
      </c>
      <c r="U27" s="125">
        <v>2</v>
      </c>
      <c r="V27" s="125" t="s">
        <v>5141</v>
      </c>
      <c r="W27" s="1287" t="s">
        <v>5142</v>
      </c>
      <c r="X27" s="126" t="s">
        <v>5143</v>
      </c>
      <c r="Y27" s="163" t="s">
        <v>14</v>
      </c>
      <c r="Z27" s="3568"/>
      <c r="AA27" s="161"/>
      <c r="AB27" s="161"/>
      <c r="AC27" s="165"/>
      <c r="AD27" s="165"/>
      <c r="AE27" s="165"/>
      <c r="AF27" s="148"/>
      <c r="AG27" s="183"/>
      <c r="AH27" s="183"/>
    </row>
    <row r="28" spans="2:34" ht="14.25" customHeight="1">
      <c r="B28" s="54" t="s">
        <v>5258</v>
      </c>
      <c r="C28" s="50">
        <v>1</v>
      </c>
      <c r="D28" s="50">
        <v>0</v>
      </c>
      <c r="E28" s="50" t="s">
        <v>1503</v>
      </c>
      <c r="F28" s="60" t="s">
        <v>5146</v>
      </c>
      <c r="G28" s="50" t="s">
        <v>539</v>
      </c>
      <c r="H28" s="50" t="s">
        <v>4637</v>
      </c>
      <c r="I28" s="90" t="s">
        <v>4799</v>
      </c>
      <c r="J28" s="3557"/>
      <c r="K28" s="3490"/>
      <c r="L28" s="3491"/>
      <c r="M28" s="3491"/>
      <c r="N28" s="3491"/>
      <c r="O28" s="3492"/>
      <c r="P28" s="83"/>
      <c r="Q28" s="121" t="s">
        <v>5259</v>
      </c>
      <c r="R28" s="122" t="s">
        <v>115</v>
      </c>
      <c r="S28" s="122">
        <v>11</v>
      </c>
      <c r="T28" s="122">
        <v>1</v>
      </c>
      <c r="U28" s="122">
        <v>0</v>
      </c>
      <c r="V28" s="122">
        <v>1</v>
      </c>
      <c r="W28" s="1285" t="s">
        <v>5148</v>
      </c>
      <c r="X28" s="123" t="s">
        <v>99</v>
      </c>
      <c r="Y28" s="160" t="s">
        <v>14</v>
      </c>
      <c r="Z28" s="3568"/>
      <c r="AA28" s="164"/>
      <c r="AB28" s="164"/>
      <c r="AC28" s="165"/>
      <c r="AD28" s="165"/>
      <c r="AE28" s="165"/>
      <c r="AF28" s="148"/>
      <c r="AG28" s="183"/>
      <c r="AH28" s="183"/>
    </row>
    <row r="29" spans="2:34" ht="14.25" customHeight="1">
      <c r="B29" s="57" t="s">
        <v>5260</v>
      </c>
      <c r="C29" s="58">
        <v>1</v>
      </c>
      <c r="D29" s="58">
        <v>0</v>
      </c>
      <c r="E29" s="58" t="s">
        <v>5261</v>
      </c>
      <c r="F29" s="59" t="s">
        <v>5146</v>
      </c>
      <c r="G29" s="58" t="s">
        <v>539</v>
      </c>
      <c r="H29" s="58" t="s">
        <v>4555</v>
      </c>
      <c r="I29" s="92" t="s">
        <v>5262</v>
      </c>
      <c r="J29" s="3557"/>
      <c r="K29" s="3493"/>
      <c r="L29" s="3493"/>
      <c r="M29" s="3493"/>
      <c r="N29" s="3493"/>
      <c r="O29" s="3494"/>
      <c r="P29" s="93"/>
      <c r="Q29" s="124" t="s">
        <v>5263</v>
      </c>
      <c r="R29" s="125" t="s">
        <v>115</v>
      </c>
      <c r="S29" s="125">
        <v>14</v>
      </c>
      <c r="T29" s="125">
        <v>4</v>
      </c>
      <c r="U29" s="125">
        <v>0</v>
      </c>
      <c r="V29" s="125">
        <v>2</v>
      </c>
      <c r="W29" s="1287" t="s">
        <v>5148</v>
      </c>
      <c r="X29" s="126" t="s">
        <v>5143</v>
      </c>
      <c r="Y29" s="163" t="s">
        <v>4555</v>
      </c>
      <c r="Z29" s="3568"/>
      <c r="AA29" s="164"/>
      <c r="AB29" s="164"/>
      <c r="AC29" s="165"/>
      <c r="AD29" s="165"/>
      <c r="AE29" s="165"/>
      <c r="AF29" s="148"/>
      <c r="AG29" s="183"/>
      <c r="AH29" s="183"/>
    </row>
    <row r="30" spans="2:34" ht="14.25" customHeight="1">
      <c r="B30" s="54" t="s">
        <v>5264</v>
      </c>
      <c r="C30" s="50" t="s">
        <v>5265</v>
      </c>
      <c r="D30" s="50">
        <v>0</v>
      </c>
      <c r="E30" s="50" t="s">
        <v>5266</v>
      </c>
      <c r="F30" s="60" t="s">
        <v>5146</v>
      </c>
      <c r="G30" s="50" t="s">
        <v>539</v>
      </c>
      <c r="H30" s="50" t="s">
        <v>4555</v>
      </c>
      <c r="I30" s="90" t="s">
        <v>5267</v>
      </c>
      <c r="J30" s="3557"/>
      <c r="K30" s="3421" t="s">
        <v>5268</v>
      </c>
      <c r="L30" s="3421"/>
      <c r="M30" s="3421"/>
      <c r="N30" s="3421"/>
      <c r="O30" s="3422"/>
      <c r="P30" s="93"/>
      <c r="Q30" s="121" t="s">
        <v>5269</v>
      </c>
      <c r="R30" s="122" t="s">
        <v>115</v>
      </c>
      <c r="S30" s="122">
        <v>14</v>
      </c>
      <c r="T30" s="122">
        <v>6</v>
      </c>
      <c r="U30" s="122">
        <v>2</v>
      </c>
      <c r="V30" s="122">
        <v>5</v>
      </c>
      <c r="W30" s="1285" t="s">
        <v>5148</v>
      </c>
      <c r="X30" s="123" t="s">
        <v>5192</v>
      </c>
      <c r="Y30" s="160" t="s">
        <v>4555</v>
      </c>
      <c r="Z30" s="3568"/>
      <c r="AA30" s="164"/>
      <c r="AB30" s="164"/>
      <c r="AC30" s="165"/>
      <c r="AD30" s="165"/>
      <c r="AE30" s="165"/>
      <c r="AF30" s="148"/>
      <c r="AG30" s="183"/>
      <c r="AH30" s="183"/>
    </row>
    <row r="31" spans="2:34" ht="14.25" customHeight="1">
      <c r="B31" s="61" t="s">
        <v>5270</v>
      </c>
      <c r="C31" s="62" t="s">
        <v>5271</v>
      </c>
      <c r="D31" s="62">
        <v>0</v>
      </c>
      <c r="E31" s="62" t="s">
        <v>5272</v>
      </c>
      <c r="F31" s="63" t="s">
        <v>5146</v>
      </c>
      <c r="G31" s="62" t="s">
        <v>539</v>
      </c>
      <c r="H31" s="62" t="s">
        <v>14</v>
      </c>
      <c r="I31" s="94">
        <v>15</v>
      </c>
      <c r="J31" s="3557"/>
      <c r="K31" s="3423"/>
      <c r="L31" s="3424"/>
      <c r="M31" s="3424"/>
      <c r="N31" s="3424"/>
      <c r="O31" s="3425"/>
      <c r="P31" s="93"/>
      <c r="Q31" s="124" t="s">
        <v>5273</v>
      </c>
      <c r="R31" s="125" t="s">
        <v>385</v>
      </c>
      <c r="S31" s="125" t="s">
        <v>5274</v>
      </c>
      <c r="T31" s="125">
        <v>-1</v>
      </c>
      <c r="U31" s="125">
        <v>0</v>
      </c>
      <c r="V31" s="125">
        <v>1</v>
      </c>
      <c r="W31" s="1287" t="s">
        <v>5148</v>
      </c>
      <c r="X31" s="126" t="s">
        <v>99</v>
      </c>
      <c r="Y31" s="163" t="s">
        <v>14</v>
      </c>
      <c r="Z31" s="3568"/>
      <c r="AA31" s="164"/>
      <c r="AB31" s="164"/>
      <c r="AC31" s="165"/>
      <c r="AD31" s="165"/>
      <c r="AE31" s="165"/>
      <c r="AF31" s="148"/>
      <c r="AG31" s="182"/>
      <c r="AH31" s="182"/>
    </row>
    <row r="32" spans="2:34" ht="14.25" customHeight="1">
      <c r="B32" s="54" t="s">
        <v>5275</v>
      </c>
      <c r="C32" s="50" t="s">
        <v>4630</v>
      </c>
      <c r="D32" s="50">
        <v>0</v>
      </c>
      <c r="E32" s="50" t="s">
        <v>1503</v>
      </c>
      <c r="F32" s="60" t="s">
        <v>5146</v>
      </c>
      <c r="G32" s="50" t="s">
        <v>539</v>
      </c>
      <c r="H32" s="50" t="s">
        <v>4555</v>
      </c>
      <c r="I32" s="1284" t="s">
        <v>4564</v>
      </c>
      <c r="J32" s="3557"/>
      <c r="K32" s="3426"/>
      <c r="L32" s="3426"/>
      <c r="M32" s="3426"/>
      <c r="N32" s="3426"/>
      <c r="O32" s="3427"/>
      <c r="P32" s="93"/>
      <c r="Q32" s="121" t="s">
        <v>5276</v>
      </c>
      <c r="R32" s="122" t="s">
        <v>385</v>
      </c>
      <c r="S32" s="122" t="s">
        <v>5274</v>
      </c>
      <c r="T32" s="122">
        <v>-1</v>
      </c>
      <c r="U32" s="122">
        <v>0</v>
      </c>
      <c r="V32" s="122">
        <v>1</v>
      </c>
      <c r="W32" s="1285" t="s">
        <v>5148</v>
      </c>
      <c r="X32" s="123" t="s">
        <v>99</v>
      </c>
      <c r="Y32" s="160" t="s">
        <v>4555</v>
      </c>
      <c r="Z32" s="3568"/>
      <c r="AA32" s="164"/>
      <c r="AB32" s="164"/>
      <c r="AC32" s="164"/>
      <c r="AD32" s="165"/>
      <c r="AE32" s="165"/>
      <c r="AF32" s="155"/>
      <c r="AG32" s="182"/>
      <c r="AH32" s="182"/>
    </row>
    <row r="33" spans="2:34" ht="14.25" customHeight="1">
      <c r="B33" s="57" t="s">
        <v>5277</v>
      </c>
      <c r="C33" s="58" t="s">
        <v>5278</v>
      </c>
      <c r="D33" s="58">
        <v>0</v>
      </c>
      <c r="E33" s="58" t="s">
        <v>1503</v>
      </c>
      <c r="F33" s="58" t="s">
        <v>5279</v>
      </c>
      <c r="G33" s="58" t="s">
        <v>179</v>
      </c>
      <c r="H33" s="58" t="s">
        <v>4555</v>
      </c>
      <c r="I33" s="92" t="s">
        <v>5280</v>
      </c>
      <c r="J33" s="3557"/>
      <c r="K33" s="93"/>
      <c r="L33" s="93"/>
      <c r="M33" s="93"/>
      <c r="N33" s="93"/>
      <c r="O33" s="93"/>
      <c r="P33" s="93"/>
      <c r="Q33" s="124" t="s">
        <v>5281</v>
      </c>
      <c r="R33" s="125" t="s">
        <v>116</v>
      </c>
      <c r="S33" s="125">
        <v>8</v>
      </c>
      <c r="T33" s="125">
        <v>4</v>
      </c>
      <c r="U33" s="125">
        <v>0</v>
      </c>
      <c r="V33" s="125">
        <v>1</v>
      </c>
      <c r="W33" s="1287" t="s">
        <v>5148</v>
      </c>
      <c r="X33" s="126" t="s">
        <v>99</v>
      </c>
      <c r="Y33" s="163" t="s">
        <v>4555</v>
      </c>
      <c r="Z33" s="3568"/>
      <c r="AA33" s="164"/>
      <c r="AB33" s="164"/>
      <c r="AC33" s="164"/>
      <c r="AD33" s="165"/>
      <c r="AE33" s="165"/>
      <c r="AF33" s="155"/>
      <c r="AG33" s="182"/>
      <c r="AH33" s="182"/>
    </row>
    <row r="34" spans="2:34" ht="14.25" customHeight="1">
      <c r="B34" s="54" t="s">
        <v>5282</v>
      </c>
      <c r="C34" s="50" t="s">
        <v>5283</v>
      </c>
      <c r="D34" s="50">
        <v>0</v>
      </c>
      <c r="E34" s="50" t="s">
        <v>5284</v>
      </c>
      <c r="F34" s="60" t="s">
        <v>5146</v>
      </c>
      <c r="G34" s="50" t="s">
        <v>179</v>
      </c>
      <c r="H34" s="50" t="s">
        <v>4555</v>
      </c>
      <c r="I34" s="1284" t="s">
        <v>4564</v>
      </c>
      <c r="J34" s="3557"/>
      <c r="K34" s="93"/>
      <c r="L34" s="93"/>
      <c r="M34" s="93"/>
      <c r="N34" s="93"/>
      <c r="O34" s="93"/>
      <c r="P34" s="93"/>
      <c r="Q34" s="121" t="s">
        <v>5285</v>
      </c>
      <c r="R34" s="122" t="s">
        <v>115</v>
      </c>
      <c r="S34" s="122">
        <v>10</v>
      </c>
      <c r="T34" s="122">
        <v>-2</v>
      </c>
      <c r="U34" s="122">
        <v>0</v>
      </c>
      <c r="V34" s="122">
        <v>1</v>
      </c>
      <c r="W34" s="1285" t="s">
        <v>5148</v>
      </c>
      <c r="X34" s="123" t="s">
        <v>99</v>
      </c>
      <c r="Y34" s="160" t="s">
        <v>4555</v>
      </c>
      <c r="Z34" s="3568"/>
      <c r="AA34" s="164"/>
      <c r="AB34" s="164"/>
      <c r="AC34" s="164"/>
      <c r="AD34" s="165"/>
      <c r="AE34" s="165"/>
      <c r="AF34" s="148"/>
      <c r="AG34" s="182"/>
      <c r="AH34" s="182"/>
    </row>
    <row r="35" spans="2:34" ht="14.25" customHeight="1">
      <c r="B35" s="57" t="s">
        <v>5286</v>
      </c>
      <c r="C35" s="58" t="s">
        <v>4630</v>
      </c>
      <c r="D35" s="58">
        <v>0</v>
      </c>
      <c r="E35" s="58" t="s">
        <v>1497</v>
      </c>
      <c r="F35" s="59" t="s">
        <v>5146</v>
      </c>
      <c r="G35" s="58" t="s">
        <v>539</v>
      </c>
      <c r="H35" s="58" t="s">
        <v>4555</v>
      </c>
      <c r="I35" s="92" t="s">
        <v>5287</v>
      </c>
      <c r="J35" s="3557"/>
      <c r="K35" s="93"/>
      <c r="L35" s="93"/>
      <c r="M35" s="93"/>
      <c r="N35" s="93"/>
      <c r="O35" s="93"/>
      <c r="P35" s="93"/>
      <c r="Q35" s="124" t="s">
        <v>5288</v>
      </c>
      <c r="R35" s="125" t="s">
        <v>5289</v>
      </c>
      <c r="S35" s="125">
        <v>10</v>
      </c>
      <c r="T35" s="125">
        <v>4</v>
      </c>
      <c r="U35" s="125">
        <v>0</v>
      </c>
      <c r="V35" s="125">
        <v>1</v>
      </c>
      <c r="W35" s="1287" t="s">
        <v>5148</v>
      </c>
      <c r="X35" s="126" t="s">
        <v>99</v>
      </c>
      <c r="Y35" s="163" t="s">
        <v>4555</v>
      </c>
      <c r="Z35" s="3568"/>
      <c r="AA35" s="164"/>
      <c r="AB35" s="164"/>
      <c r="AC35" s="164"/>
      <c r="AD35" s="165"/>
      <c r="AE35" s="165"/>
      <c r="AF35" s="148"/>
      <c r="AG35" s="182"/>
      <c r="AH35" s="182"/>
    </row>
    <row r="36" spans="2:34" ht="14.25" customHeight="1">
      <c r="B36" s="54" t="s">
        <v>5290</v>
      </c>
      <c r="C36" s="50">
        <v>3</v>
      </c>
      <c r="D36" s="50">
        <v>0</v>
      </c>
      <c r="E36" s="50" t="s">
        <v>5291</v>
      </c>
      <c r="F36" s="60" t="s">
        <v>5146</v>
      </c>
      <c r="G36" s="50" t="s">
        <v>539</v>
      </c>
      <c r="H36" s="50" t="s">
        <v>5292</v>
      </c>
      <c r="I36" s="90" t="s">
        <v>4799</v>
      </c>
      <c r="J36" s="3557"/>
      <c r="K36" s="93"/>
      <c r="L36" s="3430" t="s">
        <v>5293</v>
      </c>
      <c r="M36" s="3430"/>
      <c r="N36" s="3430"/>
      <c r="O36" s="3430"/>
      <c r="P36" s="83"/>
      <c r="Q36" s="121" t="s">
        <v>5294</v>
      </c>
      <c r="R36" s="122" t="s">
        <v>5295</v>
      </c>
      <c r="S36" s="122">
        <v>9</v>
      </c>
      <c r="T36" s="122">
        <v>3</v>
      </c>
      <c r="U36" s="122">
        <v>0</v>
      </c>
      <c r="V36" s="122">
        <v>2</v>
      </c>
      <c r="W36" s="1285" t="s">
        <v>5148</v>
      </c>
      <c r="X36" s="123" t="s">
        <v>5143</v>
      </c>
      <c r="Y36" s="160" t="s">
        <v>4555</v>
      </c>
      <c r="Z36" s="3568"/>
      <c r="AA36" s="164"/>
      <c r="AB36" s="164"/>
      <c r="AC36" s="164"/>
      <c r="AD36" s="165"/>
      <c r="AE36" s="165"/>
      <c r="AF36" s="148"/>
      <c r="AG36" s="182"/>
      <c r="AH36" s="182"/>
    </row>
    <row r="37" spans="2:34" ht="14.25" customHeight="1">
      <c r="B37" s="57" t="s">
        <v>5296</v>
      </c>
      <c r="C37" s="58">
        <v>3</v>
      </c>
      <c r="D37" s="58">
        <v>0</v>
      </c>
      <c r="E37" s="58" t="s">
        <v>5297</v>
      </c>
      <c r="F37" s="59" t="s">
        <v>5146</v>
      </c>
      <c r="G37" s="58" t="s">
        <v>539</v>
      </c>
      <c r="H37" s="58" t="s">
        <v>5292</v>
      </c>
      <c r="I37" s="92" t="s">
        <v>4799</v>
      </c>
      <c r="J37" s="3557"/>
      <c r="K37" s="93"/>
      <c r="L37" s="3430"/>
      <c r="M37" s="3430"/>
      <c r="N37" s="3430"/>
      <c r="O37" s="3430"/>
      <c r="P37" s="83"/>
      <c r="Q37" s="127" t="s">
        <v>5298</v>
      </c>
      <c r="R37" s="128" t="s">
        <v>5178</v>
      </c>
      <c r="S37" s="128">
        <v>19</v>
      </c>
      <c r="T37" s="128">
        <v>65</v>
      </c>
      <c r="U37" s="128">
        <v>10</v>
      </c>
      <c r="V37" s="128">
        <v>300</v>
      </c>
      <c r="W37" s="1288" t="s">
        <v>5148</v>
      </c>
      <c r="X37" s="129" t="s">
        <v>5192</v>
      </c>
      <c r="Y37" s="166" t="s">
        <v>4555</v>
      </c>
      <c r="Z37" s="3478" t="s">
        <v>5299</v>
      </c>
      <c r="AA37" s="165"/>
      <c r="AB37" s="165"/>
      <c r="AC37" s="165"/>
      <c r="AD37" s="165"/>
      <c r="AE37" s="165"/>
      <c r="AF37" s="148"/>
      <c r="AG37" s="182"/>
      <c r="AH37" s="182"/>
    </row>
    <row r="38" spans="2:34" ht="14.25" customHeight="1">
      <c r="B38" s="54" t="s">
        <v>5300</v>
      </c>
      <c r="C38" s="50">
        <v>2</v>
      </c>
      <c r="D38" s="50">
        <v>0</v>
      </c>
      <c r="E38" s="50" t="s">
        <v>1497</v>
      </c>
      <c r="F38" s="60" t="s">
        <v>5146</v>
      </c>
      <c r="G38" s="50" t="s">
        <v>539</v>
      </c>
      <c r="H38" s="50" t="s">
        <v>5292</v>
      </c>
      <c r="I38" s="90" t="s">
        <v>4799</v>
      </c>
      <c r="J38" s="3557"/>
      <c r="K38" s="93"/>
      <c r="L38" s="3430"/>
      <c r="M38" s="3430"/>
      <c r="N38" s="3430"/>
      <c r="O38" s="3430"/>
      <c r="P38" s="83"/>
      <c r="Q38" s="124" t="s">
        <v>5301</v>
      </c>
      <c r="R38" s="125" t="s">
        <v>5302</v>
      </c>
      <c r="S38" s="125">
        <v>20</v>
      </c>
      <c r="T38" s="125">
        <v>45</v>
      </c>
      <c r="U38" s="125">
        <v>15</v>
      </c>
      <c r="V38" s="125">
        <v>1</v>
      </c>
      <c r="W38" s="1287" t="s">
        <v>5142</v>
      </c>
      <c r="X38" s="130" t="s">
        <v>5303</v>
      </c>
      <c r="Y38" s="163" t="s">
        <v>4555</v>
      </c>
      <c r="Z38" s="3478"/>
      <c r="AA38" s="165"/>
      <c r="AB38" s="165"/>
      <c r="AC38" s="165"/>
      <c r="AD38" s="165"/>
      <c r="AE38" s="165"/>
      <c r="AF38" s="148"/>
      <c r="AG38" s="182"/>
      <c r="AH38" s="182"/>
    </row>
    <row r="39" spans="2:34" ht="14.25" customHeight="1">
      <c r="B39" s="57" t="s">
        <v>5304</v>
      </c>
      <c r="C39" s="58">
        <v>4</v>
      </c>
      <c r="D39" s="58">
        <v>0</v>
      </c>
      <c r="E39" s="58" t="s">
        <v>5261</v>
      </c>
      <c r="F39" s="59" t="s">
        <v>5146</v>
      </c>
      <c r="G39" s="64" t="s">
        <v>539</v>
      </c>
      <c r="H39" s="58" t="s">
        <v>5305</v>
      </c>
      <c r="I39" s="92" t="s">
        <v>4799</v>
      </c>
      <c r="J39" s="3557"/>
      <c r="K39" s="93"/>
      <c r="L39" s="3430"/>
      <c r="M39" s="3430"/>
      <c r="N39" s="3430"/>
      <c r="O39" s="3430"/>
      <c r="P39" s="83"/>
      <c r="Q39" s="127" t="s">
        <v>5306</v>
      </c>
      <c r="R39" s="128" t="s">
        <v>5302</v>
      </c>
      <c r="S39" s="128">
        <v>19</v>
      </c>
      <c r="T39" s="128">
        <v>53</v>
      </c>
      <c r="U39" s="128">
        <v>20</v>
      </c>
      <c r="V39" s="128">
        <v>2</v>
      </c>
      <c r="W39" s="1288" t="s">
        <v>5142</v>
      </c>
      <c r="X39" s="129" t="s">
        <v>5303</v>
      </c>
      <c r="Y39" s="166" t="s">
        <v>4555</v>
      </c>
      <c r="Z39" s="3478"/>
      <c r="AA39" s="3496" t="s">
        <v>5307</v>
      </c>
      <c r="AB39" s="3497"/>
      <c r="AC39" s="3497"/>
      <c r="AD39" s="3497"/>
      <c r="AE39" s="3498"/>
      <c r="AF39" s="148"/>
      <c r="AG39" s="182"/>
      <c r="AH39" s="182"/>
    </row>
    <row r="40" spans="2:34" ht="14.25" customHeight="1">
      <c r="B40" s="65" t="s">
        <v>5308</v>
      </c>
      <c r="C40" s="66">
        <v>4</v>
      </c>
      <c r="D40" s="66">
        <v>0</v>
      </c>
      <c r="E40" s="66" t="s">
        <v>5261</v>
      </c>
      <c r="F40" s="67" t="s">
        <v>5146</v>
      </c>
      <c r="G40" s="68" t="s">
        <v>539</v>
      </c>
      <c r="H40" s="66" t="s">
        <v>5309</v>
      </c>
      <c r="I40" s="95" t="s">
        <v>4799</v>
      </c>
      <c r="J40" s="3557"/>
      <c r="K40" s="93"/>
      <c r="L40" s="3430"/>
      <c r="M40" s="3430"/>
      <c r="N40" s="3430"/>
      <c r="O40" s="3430"/>
      <c r="P40" s="83"/>
      <c r="Q40" s="124" t="s">
        <v>5310</v>
      </c>
      <c r="R40" s="125" t="s">
        <v>5178</v>
      </c>
      <c r="S40" s="125">
        <v>18</v>
      </c>
      <c r="T40" s="125">
        <v>35</v>
      </c>
      <c r="U40" s="125">
        <v>7</v>
      </c>
      <c r="V40" s="125" t="s">
        <v>5311</v>
      </c>
      <c r="W40" s="1287" t="s">
        <v>5148</v>
      </c>
      <c r="X40" s="130" t="s">
        <v>5192</v>
      </c>
      <c r="Y40" s="163" t="s">
        <v>14</v>
      </c>
      <c r="Z40" s="3478"/>
      <c r="AA40" s="3499"/>
      <c r="AB40" s="3500"/>
      <c r="AC40" s="3500"/>
      <c r="AD40" s="3500"/>
      <c r="AE40" s="3501"/>
      <c r="AF40" s="148"/>
      <c r="AG40" s="183"/>
      <c r="AH40" s="183"/>
    </row>
    <row r="41" spans="2:34" ht="14.25" customHeight="1">
      <c r="B41" s="57" t="s">
        <v>5312</v>
      </c>
      <c r="C41" s="64">
        <v>1</v>
      </c>
      <c r="D41" s="58">
        <v>0</v>
      </c>
      <c r="E41" s="58" t="s">
        <v>5284</v>
      </c>
      <c r="F41" s="59" t="s">
        <v>5146</v>
      </c>
      <c r="G41" s="64" t="s">
        <v>179</v>
      </c>
      <c r="H41" s="58" t="s">
        <v>5313</v>
      </c>
      <c r="I41" s="92" t="s">
        <v>5314</v>
      </c>
      <c r="J41" s="3557"/>
      <c r="K41" s="93"/>
      <c r="L41" s="3430"/>
      <c r="M41" s="3430"/>
      <c r="N41" s="3430"/>
      <c r="O41" s="3430"/>
      <c r="P41" s="83"/>
      <c r="Q41" s="127" t="s">
        <v>5315</v>
      </c>
      <c r="R41" s="128" t="s">
        <v>5178</v>
      </c>
      <c r="S41" s="128">
        <v>18</v>
      </c>
      <c r="T41" s="128">
        <v>60</v>
      </c>
      <c r="U41" s="128">
        <v>15</v>
      </c>
      <c r="V41" s="128">
        <v>2</v>
      </c>
      <c r="W41" s="1288" t="s">
        <v>5142</v>
      </c>
      <c r="X41" s="129" t="s">
        <v>5303</v>
      </c>
      <c r="Y41" s="166" t="s">
        <v>4555</v>
      </c>
      <c r="Z41" s="3478"/>
      <c r="AA41" s="3502"/>
      <c r="AB41" s="3503"/>
      <c r="AC41" s="3503"/>
      <c r="AD41" s="3503"/>
      <c r="AE41" s="3504"/>
      <c r="AF41" s="148"/>
      <c r="AG41" s="183"/>
      <c r="AH41" s="183"/>
    </row>
    <row r="42" spans="2:34" ht="14.25" customHeight="1">
      <c r="B42" s="69" t="s">
        <v>5316</v>
      </c>
      <c r="C42" s="70">
        <v>2</v>
      </c>
      <c r="D42" s="71">
        <v>0</v>
      </c>
      <c r="E42" s="71" t="s">
        <v>5317</v>
      </c>
      <c r="F42" s="71" t="s">
        <v>5136</v>
      </c>
      <c r="G42" s="70" t="s">
        <v>179</v>
      </c>
      <c r="H42" s="71" t="s">
        <v>4555</v>
      </c>
      <c r="I42" s="96" t="s">
        <v>5318</v>
      </c>
      <c r="J42" s="3558" t="s">
        <v>5319</v>
      </c>
      <c r="K42" s="93"/>
      <c r="L42" s="3430"/>
      <c r="M42" s="3430"/>
      <c r="N42" s="3430"/>
      <c r="O42" s="3430"/>
      <c r="P42" s="83"/>
      <c r="Q42" s="124" t="s">
        <v>5320</v>
      </c>
      <c r="R42" s="125" t="s">
        <v>5178</v>
      </c>
      <c r="S42" s="125">
        <v>16</v>
      </c>
      <c r="T42" s="125">
        <v>64</v>
      </c>
      <c r="U42" s="125">
        <v>10</v>
      </c>
      <c r="V42" s="125">
        <v>2</v>
      </c>
      <c r="W42" s="1287" t="s">
        <v>5148</v>
      </c>
      <c r="X42" s="130" t="s">
        <v>5192</v>
      </c>
      <c r="Y42" s="163" t="s">
        <v>4555</v>
      </c>
      <c r="Z42" s="3478"/>
      <c r="AA42" s="3433" t="s">
        <v>5321</v>
      </c>
      <c r="AB42" s="3434"/>
      <c r="AC42" s="3434"/>
      <c r="AD42" s="3434"/>
      <c r="AE42" s="3435"/>
      <c r="AF42" s="148"/>
      <c r="AG42" s="183"/>
      <c r="AH42" s="183"/>
    </row>
    <row r="43" spans="2:34" ht="14.25" customHeight="1">
      <c r="B43" s="54" t="s">
        <v>5322</v>
      </c>
      <c r="C43" s="52">
        <v>2</v>
      </c>
      <c r="D43" s="50">
        <v>0</v>
      </c>
      <c r="E43" s="50" t="s">
        <v>5323</v>
      </c>
      <c r="F43" s="50" t="s">
        <v>5136</v>
      </c>
      <c r="G43" s="52" t="s">
        <v>179</v>
      </c>
      <c r="H43" s="50" t="s">
        <v>14</v>
      </c>
      <c r="I43" s="90">
        <v>160</v>
      </c>
      <c r="J43" s="3558"/>
      <c r="K43" s="93"/>
      <c r="L43" s="3430"/>
      <c r="M43" s="3430"/>
      <c r="N43" s="3430"/>
      <c r="O43" s="3430"/>
      <c r="P43" s="83"/>
      <c r="Q43" s="127" t="s">
        <v>5324</v>
      </c>
      <c r="R43" s="128" t="s">
        <v>5302</v>
      </c>
      <c r="S43" s="128" t="s">
        <v>5325</v>
      </c>
      <c r="T43" s="128">
        <v>35</v>
      </c>
      <c r="U43" s="128">
        <v>20</v>
      </c>
      <c r="V43" s="128">
        <v>1</v>
      </c>
      <c r="W43" s="1288" t="s">
        <v>5142</v>
      </c>
      <c r="X43" s="129" t="s">
        <v>99</v>
      </c>
      <c r="Y43" s="166" t="s">
        <v>14</v>
      </c>
      <c r="Z43" s="3478"/>
      <c r="AA43" s="3436"/>
      <c r="AB43" s="3437"/>
      <c r="AC43" s="3437"/>
      <c r="AD43" s="3437"/>
      <c r="AE43" s="3438"/>
      <c r="AF43" s="148"/>
      <c r="AG43" s="183"/>
      <c r="AH43" s="183"/>
    </row>
    <row r="44" spans="2:34" ht="14.25" customHeight="1">
      <c r="B44" s="69" t="s">
        <v>5326</v>
      </c>
      <c r="C44" s="70">
        <v>2</v>
      </c>
      <c r="D44" s="71">
        <v>0</v>
      </c>
      <c r="E44" s="71" t="s">
        <v>5327</v>
      </c>
      <c r="F44" s="71" t="s">
        <v>5328</v>
      </c>
      <c r="G44" s="70" t="s">
        <v>539</v>
      </c>
      <c r="H44" s="71" t="s">
        <v>4555</v>
      </c>
      <c r="I44" s="1289" t="s">
        <v>5329</v>
      </c>
      <c r="J44" s="3558"/>
      <c r="K44" s="93"/>
      <c r="L44" s="3430"/>
      <c r="M44" s="3430"/>
      <c r="N44" s="3430"/>
      <c r="O44" s="3430"/>
      <c r="P44" s="83"/>
      <c r="Q44" s="124" t="s">
        <v>5330</v>
      </c>
      <c r="R44" s="126" t="s">
        <v>5178</v>
      </c>
      <c r="S44" s="125">
        <v>15</v>
      </c>
      <c r="T44" s="126">
        <v>20</v>
      </c>
      <c r="U44" s="126">
        <v>4</v>
      </c>
      <c r="V44" s="126">
        <v>8</v>
      </c>
      <c r="W44" s="1290" t="s">
        <v>5148</v>
      </c>
      <c r="X44" s="126" t="s">
        <v>5143</v>
      </c>
      <c r="Y44" s="167" t="s">
        <v>14</v>
      </c>
      <c r="Z44" s="3478"/>
      <c r="AA44" s="3436"/>
      <c r="AB44" s="3437"/>
      <c r="AC44" s="3437"/>
      <c r="AD44" s="3437"/>
      <c r="AE44" s="3438"/>
      <c r="AF44" s="148"/>
      <c r="AG44" s="183"/>
      <c r="AH44" s="183"/>
    </row>
    <row r="45" spans="2:34" ht="14.25" customHeight="1">
      <c r="B45" s="54" t="s">
        <v>5331</v>
      </c>
      <c r="C45" s="52">
        <v>3</v>
      </c>
      <c r="D45" s="50">
        <v>0</v>
      </c>
      <c r="E45" s="50" t="s">
        <v>5332</v>
      </c>
      <c r="F45" s="50" t="s">
        <v>5136</v>
      </c>
      <c r="G45" s="52" t="s">
        <v>539</v>
      </c>
      <c r="H45" s="50" t="s">
        <v>14</v>
      </c>
      <c r="I45" s="90">
        <v>35</v>
      </c>
      <c r="J45" s="3558"/>
      <c r="K45" s="93"/>
      <c r="L45" s="3430"/>
      <c r="M45" s="3430"/>
      <c r="N45" s="3430"/>
      <c r="O45" s="3430"/>
      <c r="P45" s="83"/>
      <c r="Q45" s="131" t="s">
        <v>5333</v>
      </c>
      <c r="R45" s="132" t="s">
        <v>400</v>
      </c>
      <c r="S45" s="133">
        <v>14</v>
      </c>
      <c r="T45" s="134">
        <v>-2</v>
      </c>
      <c r="U45" s="134">
        <v>0</v>
      </c>
      <c r="V45" s="134" t="s">
        <v>99</v>
      </c>
      <c r="W45" s="134" t="s">
        <v>99</v>
      </c>
      <c r="X45" s="133" t="s">
        <v>99</v>
      </c>
      <c r="Y45" s="168" t="s">
        <v>14</v>
      </c>
      <c r="Z45" s="3478"/>
      <c r="AA45" s="3439"/>
      <c r="AB45" s="3440"/>
      <c r="AC45" s="3440"/>
      <c r="AD45" s="3440"/>
      <c r="AE45" s="3441"/>
      <c r="AF45" s="148"/>
      <c r="AG45" s="183"/>
      <c r="AH45" s="183"/>
    </row>
    <row r="46" spans="2:34" ht="14.25" customHeight="1">
      <c r="B46" s="69" t="s">
        <v>5334</v>
      </c>
      <c r="C46" s="70">
        <v>4</v>
      </c>
      <c r="D46" s="71">
        <v>1</v>
      </c>
      <c r="E46" s="71" t="s">
        <v>5335</v>
      </c>
      <c r="F46" s="71" t="s">
        <v>5136</v>
      </c>
      <c r="G46" s="70" t="s">
        <v>539</v>
      </c>
      <c r="H46" s="71" t="s">
        <v>5292</v>
      </c>
      <c r="I46" s="96" t="s">
        <v>4799</v>
      </c>
      <c r="J46" s="3558"/>
      <c r="K46" s="93"/>
      <c r="L46" s="97"/>
      <c r="M46" s="97"/>
      <c r="N46" s="97"/>
      <c r="O46" s="97"/>
      <c r="P46" s="83"/>
      <c r="Q46" s="135" t="s">
        <v>5336</v>
      </c>
      <c r="R46" s="136" t="s">
        <v>5178</v>
      </c>
      <c r="S46" s="136" t="s">
        <v>99</v>
      </c>
      <c r="T46" s="136">
        <v>6</v>
      </c>
      <c r="U46" s="136">
        <v>0</v>
      </c>
      <c r="V46" s="136">
        <v>9</v>
      </c>
      <c r="W46" s="1291" t="s">
        <v>5148</v>
      </c>
      <c r="X46" s="137" t="s">
        <v>5143</v>
      </c>
      <c r="Y46" s="169" t="s">
        <v>4555</v>
      </c>
      <c r="Z46" s="3478"/>
      <c r="AA46" s="170"/>
      <c r="AB46" s="164"/>
      <c r="AC46" s="164"/>
      <c r="AD46" s="164"/>
      <c r="AE46" s="164"/>
      <c r="AF46" s="148"/>
      <c r="AG46" s="183"/>
      <c r="AH46" s="183"/>
    </row>
    <row r="47" spans="2:34" ht="14.25" customHeight="1">
      <c r="B47" s="54" t="s">
        <v>5337</v>
      </c>
      <c r="C47" s="52">
        <v>4</v>
      </c>
      <c r="D47" s="50">
        <v>1</v>
      </c>
      <c r="E47" s="50" t="s">
        <v>5335</v>
      </c>
      <c r="F47" s="50" t="s">
        <v>5136</v>
      </c>
      <c r="G47" s="52" t="s">
        <v>539</v>
      </c>
      <c r="H47" s="50" t="s">
        <v>5292</v>
      </c>
      <c r="I47" s="90" t="s">
        <v>4799</v>
      </c>
      <c r="J47" s="3558"/>
      <c r="K47" s="93"/>
      <c r="L47" s="97"/>
      <c r="M47" s="97"/>
      <c r="N47" s="97"/>
      <c r="O47" s="97"/>
      <c r="P47" s="83"/>
      <c r="Q47" s="124" t="s">
        <v>5338</v>
      </c>
      <c r="R47" s="125" t="s">
        <v>5178</v>
      </c>
      <c r="S47" s="125">
        <v>12</v>
      </c>
      <c r="T47" s="125">
        <v>20</v>
      </c>
      <c r="U47" s="125">
        <v>2</v>
      </c>
      <c r="V47" s="125" t="s">
        <v>5339</v>
      </c>
      <c r="W47" s="1287" t="s">
        <v>5142</v>
      </c>
      <c r="X47" s="130" t="s">
        <v>5303</v>
      </c>
      <c r="Y47" s="163" t="s">
        <v>4569</v>
      </c>
      <c r="Z47" s="3478"/>
      <c r="AA47" s="170"/>
      <c r="AB47" s="164"/>
      <c r="AC47" s="164"/>
      <c r="AD47" s="164"/>
      <c r="AE47" s="164"/>
      <c r="AF47" s="148"/>
      <c r="AG47" s="183"/>
      <c r="AH47" s="183"/>
    </row>
    <row r="48" spans="2:34" ht="14.25" customHeight="1">
      <c r="B48" s="69" t="s">
        <v>5340</v>
      </c>
      <c r="C48" s="70">
        <v>4</v>
      </c>
      <c r="D48" s="71">
        <v>1</v>
      </c>
      <c r="E48" s="71" t="s">
        <v>5335</v>
      </c>
      <c r="F48" s="71" t="s">
        <v>5136</v>
      </c>
      <c r="G48" s="70" t="s">
        <v>539</v>
      </c>
      <c r="H48" s="71" t="s">
        <v>5292</v>
      </c>
      <c r="I48" s="96" t="s">
        <v>4799</v>
      </c>
      <c r="J48" s="3558"/>
      <c r="K48" s="93"/>
      <c r="L48" s="97"/>
      <c r="M48" s="97"/>
      <c r="N48" s="97"/>
      <c r="O48" s="97"/>
      <c r="P48" s="83"/>
      <c r="Q48" s="127" t="s">
        <v>5341</v>
      </c>
      <c r="R48" s="128" t="s">
        <v>5302</v>
      </c>
      <c r="S48" s="128">
        <v>12</v>
      </c>
      <c r="T48" s="128">
        <v>3</v>
      </c>
      <c r="U48" s="128">
        <v>0</v>
      </c>
      <c r="V48" s="128" t="s">
        <v>5339</v>
      </c>
      <c r="W48" s="1288" t="s">
        <v>5142</v>
      </c>
      <c r="X48" s="129" t="s">
        <v>5303</v>
      </c>
      <c r="Y48" s="166" t="s">
        <v>4555</v>
      </c>
      <c r="Z48" s="3478"/>
      <c r="AA48" s="170"/>
      <c r="AB48" s="164"/>
      <c r="AC48" s="164"/>
      <c r="AD48" s="164"/>
      <c r="AE48" s="164"/>
      <c r="AF48" s="148"/>
      <c r="AG48" s="183"/>
      <c r="AH48" s="183"/>
    </row>
    <row r="49" spans="2:34" ht="14.25" customHeight="1">
      <c r="B49" s="54" t="s">
        <v>5342</v>
      </c>
      <c r="C49" s="52">
        <v>5</v>
      </c>
      <c r="D49" s="50">
        <v>1</v>
      </c>
      <c r="E49" s="50" t="s">
        <v>5343</v>
      </c>
      <c r="F49" s="50" t="s">
        <v>5136</v>
      </c>
      <c r="G49" s="52" t="s">
        <v>539</v>
      </c>
      <c r="H49" s="50" t="s">
        <v>5292</v>
      </c>
      <c r="I49" s="90" t="s">
        <v>4799</v>
      </c>
      <c r="J49" s="3558"/>
      <c r="K49" s="93"/>
      <c r="L49" s="97"/>
      <c r="M49" s="97"/>
      <c r="N49" s="97"/>
      <c r="O49" s="97"/>
      <c r="P49" s="83"/>
      <c r="Q49" s="138" t="s">
        <v>5344</v>
      </c>
      <c r="R49" s="139" t="s">
        <v>5209</v>
      </c>
      <c r="S49" s="139">
        <v>9</v>
      </c>
      <c r="T49" s="139">
        <v>3</v>
      </c>
      <c r="U49" s="139">
        <v>0</v>
      </c>
      <c r="V49" s="139" t="s">
        <v>5339</v>
      </c>
      <c r="W49" s="1292" t="s">
        <v>5142</v>
      </c>
      <c r="X49" s="1293" t="s">
        <v>5142</v>
      </c>
      <c r="Y49" s="171" t="s">
        <v>5292</v>
      </c>
      <c r="Z49" s="3479" t="s">
        <v>5345</v>
      </c>
      <c r="AA49" s="172"/>
      <c r="AB49" s="165"/>
      <c r="AC49" s="165"/>
      <c r="AD49" s="165"/>
      <c r="AE49" s="165"/>
      <c r="AF49" s="148"/>
      <c r="AG49" s="183"/>
      <c r="AH49" s="183"/>
    </row>
    <row r="50" spans="2:34" ht="14.25" customHeight="1">
      <c r="B50" s="69" t="s">
        <v>5346</v>
      </c>
      <c r="C50" s="70">
        <v>4</v>
      </c>
      <c r="D50" s="71">
        <v>0</v>
      </c>
      <c r="E50" s="71" t="s">
        <v>5335</v>
      </c>
      <c r="F50" s="71" t="s">
        <v>5136</v>
      </c>
      <c r="G50" s="70" t="s">
        <v>539</v>
      </c>
      <c r="H50" s="71" t="s">
        <v>5292</v>
      </c>
      <c r="I50" s="96" t="s">
        <v>4799</v>
      </c>
      <c r="J50" s="3558"/>
      <c r="K50" s="93"/>
      <c r="L50" s="97"/>
      <c r="M50" s="97"/>
      <c r="N50" s="97"/>
      <c r="O50" s="97"/>
      <c r="P50" s="83"/>
      <c r="Q50" s="124" t="s">
        <v>5347</v>
      </c>
      <c r="R50" s="125" t="s">
        <v>5209</v>
      </c>
      <c r="S50" s="125">
        <v>9</v>
      </c>
      <c r="T50" s="125">
        <v>3</v>
      </c>
      <c r="U50" s="125">
        <v>0</v>
      </c>
      <c r="V50" s="125" t="s">
        <v>5348</v>
      </c>
      <c r="W50" s="1287" t="s">
        <v>5215</v>
      </c>
      <c r="X50" s="126" t="s">
        <v>5192</v>
      </c>
      <c r="Y50" s="163" t="s">
        <v>5292</v>
      </c>
      <c r="Z50" s="3479"/>
      <c r="AA50" s="165"/>
      <c r="AB50" s="165"/>
      <c r="AC50" s="165"/>
      <c r="AD50" s="165"/>
      <c r="AE50" s="165"/>
      <c r="AF50" s="148"/>
      <c r="AG50" s="183"/>
      <c r="AH50" s="183"/>
    </row>
    <row r="51" spans="2:34" ht="14.25" customHeight="1">
      <c r="B51" s="54" t="s">
        <v>5349</v>
      </c>
      <c r="C51" s="52">
        <v>5</v>
      </c>
      <c r="D51" s="50">
        <v>1</v>
      </c>
      <c r="E51" s="50" t="s">
        <v>5343</v>
      </c>
      <c r="F51" s="50" t="s">
        <v>5136</v>
      </c>
      <c r="G51" s="52" t="s">
        <v>539</v>
      </c>
      <c r="H51" s="50" t="s">
        <v>5292</v>
      </c>
      <c r="I51" s="90" t="s">
        <v>4799</v>
      </c>
      <c r="J51" s="3558"/>
      <c r="K51" s="93"/>
      <c r="L51" s="97"/>
      <c r="M51" s="97"/>
      <c r="N51" s="97"/>
      <c r="O51" s="97"/>
      <c r="P51" s="83"/>
      <c r="Q51" s="138" t="s">
        <v>5350</v>
      </c>
      <c r="R51" s="139" t="s">
        <v>5351</v>
      </c>
      <c r="S51" s="139">
        <v>12</v>
      </c>
      <c r="T51" s="139">
        <v>4</v>
      </c>
      <c r="U51" s="139">
        <v>0</v>
      </c>
      <c r="V51" s="139">
        <v>13</v>
      </c>
      <c r="W51" s="1292" t="s">
        <v>5215</v>
      </c>
      <c r="X51" s="140" t="s">
        <v>5192</v>
      </c>
      <c r="Y51" s="171" t="s">
        <v>4555</v>
      </c>
      <c r="Z51" s="3479"/>
      <c r="AA51" s="165"/>
      <c r="AB51" s="165"/>
      <c r="AC51" s="165"/>
      <c r="AD51" s="165"/>
      <c r="AE51" s="165"/>
      <c r="AF51" s="148"/>
      <c r="AG51" s="183"/>
      <c r="AH51" s="183"/>
    </row>
    <row r="52" spans="2:34" ht="14.25" customHeight="1">
      <c r="B52" s="69" t="s">
        <v>5352</v>
      </c>
      <c r="C52" s="70">
        <v>4</v>
      </c>
      <c r="D52" s="71">
        <v>1</v>
      </c>
      <c r="E52" s="71" t="s">
        <v>5343</v>
      </c>
      <c r="F52" s="71" t="s">
        <v>5136</v>
      </c>
      <c r="G52" s="70" t="s">
        <v>539</v>
      </c>
      <c r="H52" s="71" t="s">
        <v>5292</v>
      </c>
      <c r="I52" s="96" t="s">
        <v>4799</v>
      </c>
      <c r="J52" s="3558"/>
      <c r="K52" s="93"/>
      <c r="L52" s="97"/>
      <c r="M52" s="97"/>
      <c r="N52" s="97"/>
      <c r="O52" s="97"/>
      <c r="P52" s="83"/>
      <c r="Q52" s="124" t="s">
        <v>5353</v>
      </c>
      <c r="R52" s="125" t="s">
        <v>5351</v>
      </c>
      <c r="S52" s="141" t="s">
        <v>5354</v>
      </c>
      <c r="T52" s="125">
        <v>3</v>
      </c>
      <c r="U52" s="125">
        <v>0</v>
      </c>
      <c r="V52" s="125">
        <v>1</v>
      </c>
      <c r="W52" s="1287" t="s">
        <v>5148</v>
      </c>
      <c r="X52" s="126" t="s">
        <v>99</v>
      </c>
      <c r="Y52" s="163" t="s">
        <v>4555</v>
      </c>
      <c r="Z52" s="3479"/>
      <c r="AA52" s="165"/>
      <c r="AB52" s="165"/>
      <c r="AC52" s="165"/>
      <c r="AD52" s="165"/>
      <c r="AE52" s="165"/>
      <c r="AF52" s="148"/>
      <c r="AG52" s="183"/>
      <c r="AH52" s="183"/>
    </row>
    <row r="53" spans="2:34" ht="14.25" customHeight="1">
      <c r="B53" s="54" t="s">
        <v>5355</v>
      </c>
      <c r="C53" s="52">
        <v>3</v>
      </c>
      <c r="D53" s="50">
        <v>0</v>
      </c>
      <c r="E53" s="50" t="s">
        <v>5335</v>
      </c>
      <c r="F53" s="50" t="s">
        <v>5136</v>
      </c>
      <c r="G53" s="52" t="s">
        <v>539</v>
      </c>
      <c r="H53" s="50" t="s">
        <v>5292</v>
      </c>
      <c r="I53" s="90" t="s">
        <v>4799</v>
      </c>
      <c r="J53" s="3558"/>
      <c r="K53" s="93"/>
      <c r="L53" s="97"/>
      <c r="M53" s="97"/>
      <c r="N53" s="97"/>
      <c r="O53" s="97"/>
      <c r="P53" s="83"/>
      <c r="Q53" s="138" t="s">
        <v>5356</v>
      </c>
      <c r="R53" s="139" t="s">
        <v>5209</v>
      </c>
      <c r="S53" s="139">
        <v>8</v>
      </c>
      <c r="T53" s="139">
        <v>5</v>
      </c>
      <c r="U53" s="139">
        <v>0</v>
      </c>
      <c r="V53" s="139">
        <v>12</v>
      </c>
      <c r="W53" s="1292" t="s">
        <v>5148</v>
      </c>
      <c r="X53" s="140" t="s">
        <v>5143</v>
      </c>
      <c r="Y53" s="171" t="s">
        <v>5357</v>
      </c>
      <c r="Z53" s="3479"/>
      <c r="AA53" s="165"/>
      <c r="AB53" s="165"/>
      <c r="AC53" s="165"/>
      <c r="AD53" s="165"/>
      <c r="AE53" s="165"/>
      <c r="AF53" s="148"/>
      <c r="AG53" s="183"/>
      <c r="AH53" s="183"/>
    </row>
    <row r="54" spans="2:34" ht="14.25" customHeight="1">
      <c r="B54" s="69" t="s">
        <v>5358</v>
      </c>
      <c r="C54" s="70">
        <v>4</v>
      </c>
      <c r="D54" s="71">
        <v>0</v>
      </c>
      <c r="E54" s="71" t="s">
        <v>5135</v>
      </c>
      <c r="F54" s="71" t="s">
        <v>5136</v>
      </c>
      <c r="G54" s="70" t="s">
        <v>539</v>
      </c>
      <c r="H54" s="71" t="s">
        <v>14</v>
      </c>
      <c r="I54" s="96">
        <v>40</v>
      </c>
      <c r="J54" s="3558"/>
      <c r="K54" s="93"/>
      <c r="L54" s="97"/>
      <c r="M54" s="97"/>
      <c r="N54" s="97"/>
      <c r="O54" s="97"/>
      <c r="P54" s="83"/>
      <c r="Q54" s="124" t="s">
        <v>5359</v>
      </c>
      <c r="R54" s="125" t="s">
        <v>5219</v>
      </c>
      <c r="S54" s="125">
        <v>13</v>
      </c>
      <c r="T54" s="125">
        <v>5</v>
      </c>
      <c r="U54" s="125">
        <v>0</v>
      </c>
      <c r="V54" s="125">
        <v>9</v>
      </c>
      <c r="W54" s="1287" t="s">
        <v>5210</v>
      </c>
      <c r="X54" s="126" t="s">
        <v>5143</v>
      </c>
      <c r="Y54" s="163" t="s">
        <v>4555</v>
      </c>
      <c r="Z54" s="3479"/>
      <c r="AA54" s="165"/>
      <c r="AB54" s="165"/>
      <c r="AC54" s="165"/>
      <c r="AD54" s="165"/>
      <c r="AE54" s="165"/>
      <c r="AF54" s="148"/>
      <c r="AG54" s="183"/>
      <c r="AH54" s="183"/>
    </row>
    <row r="55" spans="2:34" ht="14.25" customHeight="1">
      <c r="B55" s="54" t="s">
        <v>5360</v>
      </c>
      <c r="C55" s="52">
        <v>6</v>
      </c>
      <c r="D55" s="50">
        <v>0</v>
      </c>
      <c r="E55" s="50" t="s">
        <v>5135</v>
      </c>
      <c r="F55" s="50" t="s">
        <v>5136</v>
      </c>
      <c r="G55" s="52" t="s">
        <v>539</v>
      </c>
      <c r="H55" s="50" t="s">
        <v>4555</v>
      </c>
      <c r="I55" s="90" t="s">
        <v>4799</v>
      </c>
      <c r="J55" s="3558"/>
      <c r="K55" s="93"/>
      <c r="L55" s="97"/>
      <c r="M55" s="97"/>
      <c r="N55" s="97"/>
      <c r="O55" s="97"/>
      <c r="P55" s="83"/>
      <c r="Q55" s="138" t="s">
        <v>5361</v>
      </c>
      <c r="R55" s="139" t="s">
        <v>5231</v>
      </c>
      <c r="S55" s="139">
        <v>10</v>
      </c>
      <c r="T55" s="139">
        <v>12</v>
      </c>
      <c r="U55" s="139" t="s">
        <v>5224</v>
      </c>
      <c r="V55" s="139" t="s">
        <v>5362</v>
      </c>
      <c r="W55" s="1292" t="s">
        <v>5148</v>
      </c>
      <c r="X55" s="140" t="s">
        <v>5238</v>
      </c>
      <c r="Y55" s="171" t="s">
        <v>4555</v>
      </c>
      <c r="Z55" s="3479"/>
      <c r="AA55" s="161"/>
      <c r="AB55" s="164"/>
      <c r="AC55" s="164"/>
      <c r="AD55" s="165"/>
      <c r="AE55" s="165"/>
      <c r="AF55" s="148"/>
      <c r="AG55" s="183"/>
      <c r="AH55" s="183"/>
    </row>
    <row r="56" spans="2:34" ht="14.25" customHeight="1">
      <c r="B56" s="69" t="s">
        <v>5363</v>
      </c>
      <c r="C56" s="70">
        <v>5</v>
      </c>
      <c r="D56" s="71">
        <v>1</v>
      </c>
      <c r="E56" s="71" t="s">
        <v>5364</v>
      </c>
      <c r="F56" s="71" t="s">
        <v>5136</v>
      </c>
      <c r="G56" s="70" t="s">
        <v>539</v>
      </c>
      <c r="H56" s="71" t="s">
        <v>14</v>
      </c>
      <c r="I56" s="96">
        <v>120</v>
      </c>
      <c r="J56" s="3558"/>
      <c r="K56" s="93"/>
      <c r="L56" s="97"/>
      <c r="M56" s="97"/>
      <c r="N56" s="97"/>
      <c r="O56" s="97"/>
      <c r="P56" s="83"/>
      <c r="Q56" s="124" t="s">
        <v>5365</v>
      </c>
      <c r="R56" s="125" t="s">
        <v>5231</v>
      </c>
      <c r="S56" s="125">
        <v>10</v>
      </c>
      <c r="T56" s="125">
        <v>11</v>
      </c>
      <c r="U56" s="125" t="s">
        <v>5224</v>
      </c>
      <c r="V56" s="125" t="s">
        <v>4011</v>
      </c>
      <c r="W56" s="1287" t="s">
        <v>5148</v>
      </c>
      <c r="X56" s="126" t="s">
        <v>5192</v>
      </c>
      <c r="Y56" s="163" t="s">
        <v>4555</v>
      </c>
      <c r="Z56" s="3479"/>
      <c r="AA56" s="161"/>
      <c r="AB56" s="164"/>
      <c r="AC56" s="164"/>
      <c r="AD56" s="165"/>
      <c r="AE56" s="165"/>
      <c r="AF56" s="148"/>
      <c r="AG56" s="183"/>
      <c r="AH56" s="183"/>
    </row>
    <row r="57" spans="2:34" ht="14.25" customHeight="1">
      <c r="B57" s="72" t="s">
        <v>5366</v>
      </c>
      <c r="C57" s="73">
        <v>12</v>
      </c>
      <c r="D57" s="73">
        <v>1</v>
      </c>
      <c r="E57" s="73" t="s">
        <v>5171</v>
      </c>
      <c r="F57" s="73" t="s">
        <v>5136</v>
      </c>
      <c r="G57" s="73" t="s">
        <v>539</v>
      </c>
      <c r="H57" s="73" t="s">
        <v>14</v>
      </c>
      <c r="I57" s="98" t="s">
        <v>4799</v>
      </c>
      <c r="J57" s="3558"/>
      <c r="K57" s="93"/>
      <c r="L57" s="97"/>
      <c r="M57" s="97"/>
      <c r="N57" s="97"/>
      <c r="O57" s="97"/>
      <c r="P57" s="83"/>
      <c r="Q57" s="138" t="s">
        <v>5367</v>
      </c>
      <c r="R57" s="139" t="s">
        <v>5368</v>
      </c>
      <c r="S57" s="139">
        <v>7</v>
      </c>
      <c r="T57" s="139">
        <v>90</v>
      </c>
      <c r="U57" s="139" t="s">
        <v>5224</v>
      </c>
      <c r="V57" s="139" t="s">
        <v>5369</v>
      </c>
      <c r="W57" s="1292" t="s">
        <v>5183</v>
      </c>
      <c r="X57" s="140" t="s">
        <v>5370</v>
      </c>
      <c r="Y57" s="171" t="s">
        <v>4555</v>
      </c>
      <c r="Z57" s="3480"/>
      <c r="AA57" s="164"/>
      <c r="AB57" s="164"/>
      <c r="AC57" s="164"/>
      <c r="AD57" s="165"/>
      <c r="AE57" s="165"/>
      <c r="AF57" s="148"/>
      <c r="AG57" s="183"/>
      <c r="AH57" s="183"/>
    </row>
    <row r="58" spans="2:34" ht="14.25" customHeight="1">
      <c r="B58" s="69" t="s">
        <v>5371</v>
      </c>
      <c r="C58" s="70" t="s">
        <v>5372</v>
      </c>
      <c r="D58" s="71">
        <v>1</v>
      </c>
      <c r="E58" s="71" t="s">
        <v>5171</v>
      </c>
      <c r="F58" s="71" t="s">
        <v>5136</v>
      </c>
      <c r="G58" s="70" t="s">
        <v>179</v>
      </c>
      <c r="H58" s="71" t="s">
        <v>4555</v>
      </c>
      <c r="I58" s="96" t="s">
        <v>4799</v>
      </c>
      <c r="J58" s="3558"/>
      <c r="K58" s="93"/>
      <c r="L58" s="97"/>
      <c r="M58" s="97"/>
      <c r="N58" s="97"/>
      <c r="O58" s="97"/>
      <c r="P58" s="83"/>
      <c r="Q58" s="142" t="s">
        <v>5373</v>
      </c>
      <c r="R58" s="143" t="s">
        <v>5289</v>
      </c>
      <c r="S58" s="143">
        <v>13</v>
      </c>
      <c r="T58" s="143">
        <v>16</v>
      </c>
      <c r="U58" s="143">
        <v>6</v>
      </c>
      <c r="V58" s="143" t="s">
        <v>4238</v>
      </c>
      <c r="W58" s="1294" t="s">
        <v>5148</v>
      </c>
      <c r="X58" s="144" t="s">
        <v>5192</v>
      </c>
      <c r="Y58" s="173" t="s">
        <v>14</v>
      </c>
      <c r="Z58" s="3481" t="s">
        <v>5374</v>
      </c>
      <c r="AA58" s="170"/>
      <c r="AB58" s="164"/>
      <c r="AC58" s="164"/>
      <c r="AD58" s="165"/>
      <c r="AE58" s="165"/>
      <c r="AF58" s="148"/>
      <c r="AG58" s="183"/>
      <c r="AH58" s="183"/>
    </row>
    <row r="59" spans="2:34" ht="14.25" customHeight="1">
      <c r="B59" s="74" t="s">
        <v>5375</v>
      </c>
      <c r="C59" s="75">
        <v>1</v>
      </c>
      <c r="D59" s="76">
        <v>0</v>
      </c>
      <c r="E59" s="76" t="s">
        <v>1648</v>
      </c>
      <c r="F59" s="76" t="s">
        <v>5376</v>
      </c>
      <c r="G59" s="75" t="s">
        <v>179</v>
      </c>
      <c r="H59" s="76" t="s">
        <v>4555</v>
      </c>
      <c r="I59" s="99" t="s">
        <v>5377</v>
      </c>
      <c r="J59" s="3559" t="s">
        <v>5378</v>
      </c>
      <c r="K59" s="93"/>
      <c r="L59" s="93"/>
      <c r="M59" s="100"/>
      <c r="N59" s="100"/>
      <c r="O59" s="100"/>
      <c r="P59" s="83"/>
      <c r="Q59" s="124" t="s">
        <v>5379</v>
      </c>
      <c r="R59" s="125" t="s">
        <v>5289</v>
      </c>
      <c r="S59" s="145">
        <v>11</v>
      </c>
      <c r="T59" s="125">
        <v>8</v>
      </c>
      <c r="U59" s="125">
        <v>4</v>
      </c>
      <c r="V59" s="125" t="s">
        <v>3928</v>
      </c>
      <c r="W59" s="1287" t="s">
        <v>5148</v>
      </c>
      <c r="X59" s="130" t="s">
        <v>5192</v>
      </c>
      <c r="Y59" s="163" t="s">
        <v>4555</v>
      </c>
      <c r="Z59" s="3481"/>
      <c r="AA59" s="170"/>
      <c r="AB59" s="164"/>
      <c r="AC59" s="164"/>
      <c r="AD59" s="165"/>
      <c r="AE59" s="165"/>
      <c r="AF59" s="148"/>
      <c r="AG59" s="183"/>
      <c r="AH59" s="183"/>
    </row>
    <row r="60" spans="2:34" ht="14.25" customHeight="1">
      <c r="B60" s="54" t="s">
        <v>5380</v>
      </c>
      <c r="C60" s="77">
        <v>2</v>
      </c>
      <c r="D60" s="50">
        <v>0</v>
      </c>
      <c r="E60" s="50" t="s">
        <v>1648</v>
      </c>
      <c r="F60" s="50" t="s">
        <v>5376</v>
      </c>
      <c r="G60" s="77" t="s">
        <v>539</v>
      </c>
      <c r="H60" s="50" t="s">
        <v>14</v>
      </c>
      <c r="I60" s="90">
        <v>20</v>
      </c>
      <c r="J60" s="3559"/>
      <c r="K60" s="93"/>
      <c r="L60" s="93"/>
      <c r="M60" s="100"/>
      <c r="N60" s="100"/>
      <c r="O60" s="100"/>
      <c r="P60" s="83"/>
      <c r="Q60" s="142" t="s">
        <v>5381</v>
      </c>
      <c r="R60" s="143" t="s">
        <v>5289</v>
      </c>
      <c r="S60" s="146" t="s">
        <v>4821</v>
      </c>
      <c r="T60" s="143">
        <v>6</v>
      </c>
      <c r="U60" s="143">
        <v>2</v>
      </c>
      <c r="V60" s="143" t="s">
        <v>3985</v>
      </c>
      <c r="W60" s="1294" t="s">
        <v>5148</v>
      </c>
      <c r="X60" s="144" t="s">
        <v>5192</v>
      </c>
      <c r="Y60" s="173" t="s">
        <v>14</v>
      </c>
      <c r="Z60" s="3481"/>
      <c r="AA60" s="3543" t="s">
        <v>5382</v>
      </c>
      <c r="AB60" s="3544"/>
      <c r="AC60" s="3544"/>
      <c r="AD60" s="3544"/>
      <c r="AE60" s="3545"/>
      <c r="AF60" s="148"/>
      <c r="AG60" s="183"/>
      <c r="AH60" s="183"/>
    </row>
    <row r="61" spans="2:34" ht="14.25" customHeight="1">
      <c r="B61" s="78" t="s">
        <v>5383</v>
      </c>
      <c r="C61" s="75">
        <v>1</v>
      </c>
      <c r="D61" s="79">
        <v>0</v>
      </c>
      <c r="E61" s="79" t="s">
        <v>1648</v>
      </c>
      <c r="F61" s="79" t="s">
        <v>5376</v>
      </c>
      <c r="G61" s="75" t="s">
        <v>179</v>
      </c>
      <c r="H61" s="79" t="s">
        <v>4555</v>
      </c>
      <c r="I61" s="1295" t="s">
        <v>5329</v>
      </c>
      <c r="J61" s="3559"/>
      <c r="K61" s="93"/>
      <c r="L61" s="93"/>
      <c r="M61" s="100"/>
      <c r="N61" s="100"/>
      <c r="O61" s="100"/>
      <c r="P61" s="83"/>
      <c r="Q61" s="124" t="s">
        <v>5384</v>
      </c>
      <c r="R61" s="125" t="s">
        <v>2507</v>
      </c>
      <c r="S61" s="145" t="s">
        <v>4687</v>
      </c>
      <c r="T61" s="125">
        <v>4</v>
      </c>
      <c r="U61" s="125">
        <v>2</v>
      </c>
      <c r="V61" s="145" t="s">
        <v>5385</v>
      </c>
      <c r="W61" s="125" t="s">
        <v>99</v>
      </c>
      <c r="X61" s="130" t="s">
        <v>5143</v>
      </c>
      <c r="Y61" s="163" t="s">
        <v>4555</v>
      </c>
      <c r="Z61" s="3481"/>
      <c r="AA61" s="174" t="s">
        <v>347</v>
      </c>
      <c r="AB61" s="175">
        <v>5</v>
      </c>
      <c r="AC61" s="175">
        <v>6</v>
      </c>
      <c r="AD61" s="175">
        <v>7</v>
      </c>
      <c r="AE61" s="176">
        <v>8</v>
      </c>
      <c r="AF61" s="148"/>
      <c r="AG61" s="183"/>
      <c r="AH61" s="183"/>
    </row>
    <row r="62" spans="2:34" ht="14.25" customHeight="1">
      <c r="B62" s="54" t="s">
        <v>5386</v>
      </c>
      <c r="C62" s="52">
        <v>1</v>
      </c>
      <c r="D62" s="50">
        <v>0</v>
      </c>
      <c r="E62" s="50" t="s">
        <v>1648</v>
      </c>
      <c r="F62" s="50" t="s">
        <v>5376</v>
      </c>
      <c r="G62" s="52" t="s">
        <v>539</v>
      </c>
      <c r="H62" s="50" t="s">
        <v>14</v>
      </c>
      <c r="I62" s="90" t="s">
        <v>4799</v>
      </c>
      <c r="J62" s="3559"/>
      <c r="K62" s="93"/>
      <c r="L62" s="93"/>
      <c r="M62" s="100"/>
      <c r="N62" s="100"/>
      <c r="O62" s="100"/>
      <c r="P62" s="83"/>
      <c r="Q62" s="142" t="s">
        <v>5387</v>
      </c>
      <c r="R62" s="143" t="s">
        <v>5289</v>
      </c>
      <c r="S62" s="146" t="s">
        <v>4683</v>
      </c>
      <c r="T62" s="143">
        <v>35</v>
      </c>
      <c r="U62" s="143">
        <v>3</v>
      </c>
      <c r="V62" s="143" t="s">
        <v>4011</v>
      </c>
      <c r="W62" s="1294" t="s">
        <v>5148</v>
      </c>
      <c r="X62" s="144" t="s">
        <v>5192</v>
      </c>
      <c r="Y62" s="173" t="s">
        <v>14</v>
      </c>
      <c r="Z62" s="3481"/>
      <c r="AA62" s="177" t="s">
        <v>5388</v>
      </c>
      <c r="AB62" s="178">
        <v>3</v>
      </c>
      <c r="AC62" s="179">
        <v>4</v>
      </c>
      <c r="AD62" s="179">
        <v>6</v>
      </c>
      <c r="AE62" s="180">
        <v>8</v>
      </c>
      <c r="AF62" s="148"/>
      <c r="AG62" s="183"/>
      <c r="AH62" s="183"/>
    </row>
    <row r="63" spans="2:34" ht="14.25" customHeight="1">
      <c r="B63" s="74" t="s">
        <v>5389</v>
      </c>
      <c r="C63" s="75">
        <v>2</v>
      </c>
      <c r="D63" s="76">
        <v>0</v>
      </c>
      <c r="E63" s="76" t="s">
        <v>1648</v>
      </c>
      <c r="F63" s="76" t="s">
        <v>5376</v>
      </c>
      <c r="G63" s="75" t="s">
        <v>539</v>
      </c>
      <c r="H63" s="76" t="s">
        <v>4555</v>
      </c>
      <c r="I63" s="1295" t="s">
        <v>5329</v>
      </c>
      <c r="J63" s="3559"/>
      <c r="K63" s="93"/>
      <c r="L63" s="93"/>
      <c r="M63" s="100"/>
      <c r="N63" s="100"/>
      <c r="O63" s="100"/>
      <c r="P63" s="83"/>
      <c r="Q63" s="124" t="s">
        <v>5390</v>
      </c>
      <c r="R63" s="125" t="s">
        <v>5289</v>
      </c>
      <c r="S63" s="145" t="s">
        <v>5391</v>
      </c>
      <c r="T63" s="125">
        <v>30</v>
      </c>
      <c r="U63" s="125">
        <v>3</v>
      </c>
      <c r="V63" s="145" t="s">
        <v>3991</v>
      </c>
      <c r="W63" s="1287" t="s">
        <v>5148</v>
      </c>
      <c r="X63" s="130" t="s">
        <v>5192</v>
      </c>
      <c r="Y63" s="163" t="s">
        <v>14</v>
      </c>
      <c r="Z63" s="3481"/>
      <c r="AA63" s="174" t="s">
        <v>347</v>
      </c>
      <c r="AB63" s="175">
        <v>9</v>
      </c>
      <c r="AC63" s="175">
        <v>10</v>
      </c>
      <c r="AD63" s="175">
        <v>11</v>
      </c>
      <c r="AE63" s="176">
        <v>12</v>
      </c>
      <c r="AF63" s="148"/>
      <c r="AG63" s="183"/>
      <c r="AH63" s="183"/>
    </row>
    <row r="64" spans="2:34" ht="14.25" customHeight="1">
      <c r="B64" s="54" t="s">
        <v>5392</v>
      </c>
      <c r="C64" s="77">
        <v>2</v>
      </c>
      <c r="D64" s="50">
        <v>0</v>
      </c>
      <c r="E64" s="50" t="s">
        <v>1648</v>
      </c>
      <c r="F64" s="50" t="s">
        <v>5376</v>
      </c>
      <c r="G64" s="77" t="s">
        <v>539</v>
      </c>
      <c r="H64" s="50" t="s">
        <v>5292</v>
      </c>
      <c r="I64" s="90" t="s">
        <v>4799</v>
      </c>
      <c r="J64" s="3559"/>
      <c r="K64" s="93"/>
      <c r="L64" s="93"/>
      <c r="M64" s="100"/>
      <c r="N64" s="100"/>
      <c r="O64" s="100"/>
      <c r="P64" s="83"/>
      <c r="Q64" s="142" t="s">
        <v>5393</v>
      </c>
      <c r="R64" s="143" t="s">
        <v>5289</v>
      </c>
      <c r="S64" s="146" t="s">
        <v>5394</v>
      </c>
      <c r="T64" s="143">
        <v>16</v>
      </c>
      <c r="U64" s="143">
        <v>2</v>
      </c>
      <c r="V64" s="143" t="s">
        <v>3650</v>
      </c>
      <c r="W64" s="1294" t="s">
        <v>5148</v>
      </c>
      <c r="X64" s="144" t="s">
        <v>5143</v>
      </c>
      <c r="Y64" s="173" t="s">
        <v>14</v>
      </c>
      <c r="Z64" s="3482"/>
      <c r="AA64" s="177" t="s">
        <v>5388</v>
      </c>
      <c r="AB64" s="178">
        <v>12</v>
      </c>
      <c r="AC64" s="179">
        <v>18</v>
      </c>
      <c r="AD64" s="179">
        <v>27</v>
      </c>
      <c r="AE64" s="180">
        <v>40</v>
      </c>
      <c r="AF64" s="148"/>
      <c r="AG64" s="183"/>
      <c r="AH64" s="183"/>
    </row>
    <row r="65" spans="2:34" ht="14.25" customHeight="1">
      <c r="B65" s="78" t="s">
        <v>5395</v>
      </c>
      <c r="C65" s="75">
        <v>1</v>
      </c>
      <c r="D65" s="79">
        <v>0</v>
      </c>
      <c r="E65" s="79" t="s">
        <v>1768</v>
      </c>
      <c r="F65" s="79" t="s">
        <v>5396</v>
      </c>
      <c r="G65" s="75" t="s">
        <v>179</v>
      </c>
      <c r="H65" s="79" t="s">
        <v>4555</v>
      </c>
      <c r="I65" s="203" t="s">
        <v>5397</v>
      </c>
      <c r="J65" s="3559"/>
      <c r="K65" s="93"/>
      <c r="L65" s="93"/>
      <c r="M65" s="100"/>
      <c r="N65" s="100"/>
      <c r="O65" s="100"/>
      <c r="P65" s="83"/>
      <c r="Q65" s="214"/>
      <c r="R65" s="215"/>
      <c r="S65" s="215"/>
      <c r="T65" s="215"/>
      <c r="U65" s="215"/>
      <c r="V65" s="215"/>
      <c r="W65" s="215"/>
      <c r="X65" s="216"/>
      <c r="Y65" s="234"/>
      <c r="Z65" s="161"/>
      <c r="AA65" s="174" t="s">
        <v>347</v>
      </c>
      <c r="AB65" s="175">
        <v>13</v>
      </c>
      <c r="AC65" s="175">
        <v>14</v>
      </c>
      <c r="AD65" s="175">
        <v>15</v>
      </c>
      <c r="AE65" s="176">
        <v>16</v>
      </c>
      <c r="AF65" s="148"/>
      <c r="AG65" s="182"/>
      <c r="AH65" s="182"/>
    </row>
    <row r="66" spans="2:34" ht="14.25" customHeight="1">
      <c r="B66" s="54" t="s">
        <v>5398</v>
      </c>
      <c r="C66" s="52">
        <v>2</v>
      </c>
      <c r="D66" s="50">
        <v>1</v>
      </c>
      <c r="E66" s="50" t="s">
        <v>1768</v>
      </c>
      <c r="F66" s="50" t="s">
        <v>5396</v>
      </c>
      <c r="G66" s="52" t="s">
        <v>539</v>
      </c>
      <c r="H66" s="50" t="s">
        <v>5292</v>
      </c>
      <c r="I66" s="90" t="s">
        <v>4799</v>
      </c>
      <c r="J66" s="3559"/>
      <c r="K66" s="93"/>
      <c r="L66" s="93"/>
      <c r="M66" s="100"/>
      <c r="N66" s="100"/>
      <c r="O66" s="100"/>
      <c r="P66" s="83"/>
      <c r="Q66" s="217"/>
      <c r="R66" s="218"/>
      <c r="S66" s="218"/>
      <c r="T66" s="218"/>
      <c r="U66" s="218"/>
      <c r="V66" s="218"/>
      <c r="W66" s="218"/>
      <c r="X66" s="219"/>
      <c r="Y66" s="235"/>
      <c r="Z66" s="161"/>
      <c r="AA66" s="177" t="s">
        <v>5388</v>
      </c>
      <c r="AB66" s="178">
        <v>60</v>
      </c>
      <c r="AC66" s="179">
        <v>90</v>
      </c>
      <c r="AD66" s="179">
        <v>135</v>
      </c>
      <c r="AE66" s="180">
        <v>200</v>
      </c>
      <c r="AF66" s="148"/>
      <c r="AG66" s="182"/>
      <c r="AH66" s="182"/>
    </row>
    <row r="67" spans="2:34" ht="14.25" customHeight="1">
      <c r="B67" s="74" t="s">
        <v>5399</v>
      </c>
      <c r="C67" s="75">
        <v>2</v>
      </c>
      <c r="D67" s="76">
        <v>1</v>
      </c>
      <c r="E67" s="76" t="s">
        <v>1768</v>
      </c>
      <c r="F67" s="76" t="s">
        <v>5396</v>
      </c>
      <c r="G67" s="75" t="s">
        <v>179</v>
      </c>
      <c r="H67" s="76" t="s">
        <v>4555</v>
      </c>
      <c r="I67" s="1296" t="s">
        <v>5400</v>
      </c>
      <c r="J67" s="3559"/>
      <c r="P67" s="83"/>
      <c r="Q67" s="214"/>
      <c r="R67" s="215"/>
      <c r="S67" s="215"/>
      <c r="T67" s="215"/>
      <c r="U67" s="215"/>
      <c r="V67" s="215"/>
      <c r="W67" s="216"/>
      <c r="X67" s="215"/>
      <c r="Y67" s="236"/>
      <c r="Z67" s="161"/>
      <c r="AA67" s="174" t="s">
        <v>347</v>
      </c>
      <c r="AB67" s="175">
        <v>17</v>
      </c>
      <c r="AC67" s="175">
        <v>18</v>
      </c>
      <c r="AD67" s="175">
        <v>19</v>
      </c>
      <c r="AE67" s="176">
        <v>20</v>
      </c>
      <c r="AF67" s="148"/>
      <c r="AG67" s="182"/>
      <c r="AH67" s="182"/>
    </row>
    <row r="68" spans="2:34" ht="14.25" customHeight="1">
      <c r="B68" s="184" t="s">
        <v>5401</v>
      </c>
      <c r="C68" s="185">
        <v>9</v>
      </c>
      <c r="D68" s="186">
        <v>1</v>
      </c>
      <c r="E68" s="186" t="s">
        <v>99</v>
      </c>
      <c r="F68" s="186" t="s">
        <v>5402</v>
      </c>
      <c r="G68" s="185" t="s">
        <v>539</v>
      </c>
      <c r="H68" s="186" t="s">
        <v>14</v>
      </c>
      <c r="I68" s="204">
        <v>40</v>
      </c>
      <c r="J68" s="3560" t="s">
        <v>5403</v>
      </c>
      <c r="K68" s="3562" t="s">
        <v>5404</v>
      </c>
      <c r="L68" s="3331" t="s">
        <v>5405</v>
      </c>
      <c r="M68" s="3331"/>
      <c r="N68" s="3331"/>
      <c r="O68" s="3331"/>
      <c r="P68" s="83"/>
      <c r="Q68" s="220"/>
      <c r="R68" s="221"/>
      <c r="S68" s="221"/>
      <c r="T68" s="221"/>
      <c r="U68" s="221"/>
      <c r="V68" s="221"/>
      <c r="W68" s="222"/>
      <c r="X68" s="221"/>
      <c r="Y68" s="237"/>
      <c r="Z68" s="161"/>
      <c r="AA68" s="238" t="s">
        <v>5388</v>
      </c>
      <c r="AB68" s="239">
        <v>300</v>
      </c>
      <c r="AC68" s="239">
        <v>450</v>
      </c>
      <c r="AD68" s="239">
        <v>675</v>
      </c>
      <c r="AE68" s="240">
        <v>1000</v>
      </c>
      <c r="AF68" s="148"/>
      <c r="AG68" s="183"/>
      <c r="AH68" s="183"/>
    </row>
    <row r="69" spans="2:34" ht="14.25" customHeight="1">
      <c r="B69" s="187" t="s">
        <v>5406</v>
      </c>
      <c r="C69" s="77">
        <v>25</v>
      </c>
      <c r="D69" s="188">
        <v>1</v>
      </c>
      <c r="E69" s="188" t="s">
        <v>99</v>
      </c>
      <c r="F69" s="188" t="s">
        <v>5402</v>
      </c>
      <c r="G69" s="77" t="s">
        <v>539</v>
      </c>
      <c r="H69" s="188" t="s">
        <v>14</v>
      </c>
      <c r="I69" s="205" t="s">
        <v>4799</v>
      </c>
      <c r="J69" s="3560"/>
      <c r="K69" s="3562"/>
      <c r="L69" s="3331"/>
      <c r="M69" s="3331"/>
      <c r="N69" s="3331"/>
      <c r="O69" s="3331"/>
      <c r="P69" s="83"/>
      <c r="Q69" s="223"/>
      <c r="R69" s="224"/>
      <c r="S69" s="224"/>
      <c r="T69" s="224"/>
      <c r="U69" s="224"/>
      <c r="V69" s="224"/>
      <c r="W69" s="224"/>
      <c r="X69" s="225"/>
      <c r="Y69" s="164"/>
      <c r="Z69" s="164"/>
      <c r="AA69" s="3546" t="s">
        <v>5407</v>
      </c>
      <c r="AB69" s="3546"/>
      <c r="AC69" s="3546"/>
      <c r="AD69" s="3546"/>
      <c r="AE69" s="3546"/>
      <c r="AF69" s="148"/>
      <c r="AG69" s="183"/>
      <c r="AH69" s="183"/>
    </row>
    <row r="70" spans="2:34" ht="14.25" customHeight="1">
      <c r="B70" s="184" t="s">
        <v>5408</v>
      </c>
      <c r="C70" s="185">
        <v>30</v>
      </c>
      <c r="D70" s="186">
        <v>2</v>
      </c>
      <c r="E70" s="186" t="s">
        <v>99</v>
      </c>
      <c r="F70" s="186" t="s">
        <v>5402</v>
      </c>
      <c r="G70" s="185" t="s">
        <v>539</v>
      </c>
      <c r="H70" s="186" t="s">
        <v>14</v>
      </c>
      <c r="I70" s="204" t="s">
        <v>4799</v>
      </c>
      <c r="J70" s="3560"/>
      <c r="K70" s="3562"/>
      <c r="L70" s="3331"/>
      <c r="M70" s="3331"/>
      <c r="N70" s="3331"/>
      <c r="O70" s="3331"/>
      <c r="P70" s="83"/>
      <c r="Q70" s="3291" t="s">
        <v>5409</v>
      </c>
      <c r="R70" s="3292"/>
      <c r="S70" s="3292"/>
      <c r="T70" s="3292"/>
      <c r="U70" s="3292"/>
      <c r="V70" s="3292"/>
      <c r="W70" s="3292"/>
      <c r="X70" s="3292"/>
      <c r="Y70" s="3292"/>
      <c r="Z70" s="3293"/>
      <c r="AA70" s="165"/>
      <c r="AB70" s="241"/>
      <c r="AC70" s="164"/>
      <c r="AD70" s="165"/>
      <c r="AE70" s="165"/>
      <c r="AF70" s="148"/>
      <c r="AG70" s="183"/>
      <c r="AH70" s="183"/>
    </row>
    <row r="71" spans="2:34" ht="14.25" customHeight="1">
      <c r="B71" s="189" t="s">
        <v>5410</v>
      </c>
      <c r="C71" s="190">
        <v>15</v>
      </c>
      <c r="D71" s="191">
        <v>0</v>
      </c>
      <c r="E71" s="191" t="s">
        <v>5411</v>
      </c>
      <c r="F71" s="191" t="s">
        <v>5412</v>
      </c>
      <c r="G71" s="190" t="s">
        <v>539</v>
      </c>
      <c r="H71" s="191" t="s">
        <v>5292</v>
      </c>
      <c r="I71" s="206" t="s">
        <v>4799</v>
      </c>
      <c r="J71" s="3560"/>
      <c r="K71" s="3562"/>
      <c r="L71" s="3331"/>
      <c r="M71" s="3331"/>
      <c r="N71" s="3331"/>
      <c r="O71" s="3331"/>
      <c r="P71" s="83"/>
      <c r="Q71" s="3383" t="s">
        <v>5413</v>
      </c>
      <c r="R71" s="3384"/>
      <c r="S71" s="3384"/>
      <c r="T71" s="3384"/>
      <c r="U71" s="3384"/>
      <c r="V71" s="3384"/>
      <c r="W71" s="3384"/>
      <c r="X71" s="3384"/>
      <c r="Y71" s="3384"/>
      <c r="Z71" s="3385"/>
      <c r="AA71" s="165"/>
      <c r="AB71" s="241"/>
      <c r="AC71" s="164"/>
      <c r="AD71" s="165"/>
      <c r="AE71" s="165"/>
      <c r="AF71" s="148"/>
      <c r="AG71" s="183"/>
      <c r="AH71" s="183"/>
    </row>
    <row r="72" spans="2:34" ht="14.25" customHeight="1">
      <c r="B72" s="184" t="s">
        <v>5414</v>
      </c>
      <c r="C72" s="185">
        <v>10</v>
      </c>
      <c r="D72" s="186">
        <v>1</v>
      </c>
      <c r="E72" s="186" t="s">
        <v>99</v>
      </c>
      <c r="F72" s="186" t="s">
        <v>5402</v>
      </c>
      <c r="G72" s="185" t="s">
        <v>539</v>
      </c>
      <c r="H72" s="186" t="s">
        <v>5292</v>
      </c>
      <c r="I72" s="204" t="s">
        <v>4799</v>
      </c>
      <c r="J72" s="3560"/>
      <c r="K72" s="3562"/>
      <c r="L72" s="3463" t="s">
        <v>5415</v>
      </c>
      <c r="M72" s="3463"/>
      <c r="N72" s="3463"/>
      <c r="O72" s="3463"/>
      <c r="P72" s="83"/>
      <c r="Q72" s="3386"/>
      <c r="R72" s="3387"/>
      <c r="S72" s="3387"/>
      <c r="T72" s="3387"/>
      <c r="U72" s="3387"/>
      <c r="V72" s="3387"/>
      <c r="W72" s="3387"/>
      <c r="X72" s="3387"/>
      <c r="Y72" s="3387"/>
      <c r="Z72" s="3388"/>
      <c r="AA72" s="165"/>
      <c r="AB72" s="241"/>
      <c r="AC72" s="164"/>
      <c r="AD72" s="165"/>
      <c r="AE72" s="165"/>
      <c r="AF72" s="148"/>
      <c r="AG72" s="183"/>
      <c r="AH72" s="183"/>
    </row>
    <row r="73" spans="2:34" ht="14.25" customHeight="1">
      <c r="B73" s="187" t="s">
        <v>5416</v>
      </c>
      <c r="C73" s="77">
        <v>15</v>
      </c>
      <c r="D73" s="188">
        <v>1</v>
      </c>
      <c r="E73" s="188" t="s">
        <v>99</v>
      </c>
      <c r="F73" s="188" t="s">
        <v>5402</v>
      </c>
      <c r="G73" s="77" t="s">
        <v>539</v>
      </c>
      <c r="H73" s="188" t="s">
        <v>5292</v>
      </c>
      <c r="I73" s="205" t="s">
        <v>4799</v>
      </c>
      <c r="J73" s="3560"/>
      <c r="K73" s="3562"/>
      <c r="L73" s="3463"/>
      <c r="M73" s="3463"/>
      <c r="N73" s="3463"/>
      <c r="O73" s="3463"/>
      <c r="P73" s="83"/>
      <c r="Q73" s="3389"/>
      <c r="R73" s="3390"/>
      <c r="S73" s="3390"/>
      <c r="T73" s="3390"/>
      <c r="U73" s="3390"/>
      <c r="V73" s="3390"/>
      <c r="W73" s="3390"/>
      <c r="X73" s="3390"/>
      <c r="Y73" s="3390"/>
      <c r="Z73" s="3391"/>
      <c r="AA73" s="165"/>
      <c r="AB73" s="241"/>
      <c r="AC73" s="164"/>
      <c r="AD73" s="165"/>
      <c r="AE73" s="165"/>
      <c r="AF73" s="148"/>
      <c r="AG73" s="183"/>
      <c r="AH73" s="183"/>
    </row>
    <row r="74" spans="2:34" ht="14.25" customHeight="1">
      <c r="B74" s="184" t="s">
        <v>5417</v>
      </c>
      <c r="C74" s="185">
        <v>20</v>
      </c>
      <c r="D74" s="186">
        <v>2</v>
      </c>
      <c r="E74" s="186" t="s">
        <v>99</v>
      </c>
      <c r="F74" s="186" t="s">
        <v>5402</v>
      </c>
      <c r="G74" s="185" t="s">
        <v>539</v>
      </c>
      <c r="H74" s="186" t="s">
        <v>5292</v>
      </c>
      <c r="I74" s="204" t="s">
        <v>4799</v>
      </c>
      <c r="J74" s="3560"/>
      <c r="K74" s="3562"/>
      <c r="L74" s="3463"/>
      <c r="M74" s="3463"/>
      <c r="N74" s="3463"/>
      <c r="O74" s="3463"/>
      <c r="P74" s="83"/>
      <c r="Q74" s="3383" t="s">
        <v>5418</v>
      </c>
      <c r="R74" s="3453"/>
      <c r="S74" s="3453"/>
      <c r="T74" s="3453"/>
      <c r="U74" s="3453"/>
      <c r="V74" s="3453"/>
      <c r="W74" s="3453"/>
      <c r="X74" s="3453"/>
      <c r="Y74" s="3453"/>
      <c r="Z74" s="3454"/>
      <c r="AA74" s="165"/>
      <c r="AB74" s="241"/>
      <c r="AC74" s="164"/>
      <c r="AD74" s="165"/>
      <c r="AE74" s="165"/>
      <c r="AF74" s="148"/>
      <c r="AG74" s="183"/>
      <c r="AH74" s="183"/>
    </row>
    <row r="75" spans="2:34" ht="14.25" customHeight="1">
      <c r="B75" s="192" t="s">
        <v>5419</v>
      </c>
      <c r="C75" s="193">
        <v>20</v>
      </c>
      <c r="D75" s="193" t="s">
        <v>99</v>
      </c>
      <c r="E75" s="193" t="s">
        <v>99</v>
      </c>
      <c r="F75" s="193" t="s">
        <v>1407</v>
      </c>
      <c r="G75" s="193" t="s">
        <v>539</v>
      </c>
      <c r="H75" s="193" t="s">
        <v>5292</v>
      </c>
      <c r="I75" s="207" t="s">
        <v>4799</v>
      </c>
      <c r="J75" s="3560"/>
      <c r="K75" s="3562"/>
      <c r="L75" s="3463"/>
      <c r="M75" s="3463"/>
      <c r="N75" s="3463"/>
      <c r="O75" s="3463"/>
      <c r="P75" s="83"/>
      <c r="Q75" s="3455"/>
      <c r="R75" s="3456"/>
      <c r="S75" s="3456"/>
      <c r="T75" s="3456"/>
      <c r="U75" s="3456"/>
      <c r="V75" s="3456"/>
      <c r="W75" s="3456"/>
      <c r="X75" s="3456"/>
      <c r="Y75" s="3456"/>
      <c r="Z75" s="3457"/>
      <c r="AA75" s="165"/>
      <c r="AB75" s="241"/>
      <c r="AC75" s="164"/>
      <c r="AD75" s="165"/>
      <c r="AE75" s="165"/>
      <c r="AF75" s="148"/>
      <c r="AG75" s="182"/>
      <c r="AH75" s="182"/>
    </row>
    <row r="76" spans="2:34" ht="14.25" customHeight="1">
      <c r="B76" s="194" t="s">
        <v>55</v>
      </c>
      <c r="C76" s="195">
        <v>0</v>
      </c>
      <c r="D76" s="196"/>
      <c r="E76" s="196"/>
      <c r="F76" s="196"/>
      <c r="G76" s="195"/>
      <c r="H76" s="196"/>
      <c r="I76" s="196"/>
      <c r="J76" s="3561" t="s">
        <v>1499</v>
      </c>
      <c r="K76" s="208"/>
      <c r="L76" s="208"/>
      <c r="M76" s="100"/>
      <c r="N76" s="209"/>
      <c r="O76" s="100"/>
      <c r="P76" s="83"/>
      <c r="Q76" s="3455"/>
      <c r="R76" s="3456"/>
      <c r="S76" s="3456"/>
      <c r="T76" s="3456"/>
      <c r="U76" s="3456"/>
      <c r="V76" s="3456"/>
      <c r="W76" s="3456"/>
      <c r="X76" s="3456"/>
      <c r="Y76" s="3456"/>
      <c r="Z76" s="3457"/>
      <c r="AA76" s="165"/>
      <c r="AB76" s="241"/>
      <c r="AC76" s="164"/>
      <c r="AD76" s="165"/>
      <c r="AE76" s="165"/>
      <c r="AF76" s="148"/>
      <c r="AG76" s="182"/>
      <c r="AH76" s="182"/>
    </row>
    <row r="77" spans="2:34" ht="14.25" customHeight="1">
      <c r="B77" s="194"/>
      <c r="C77" s="196"/>
      <c r="D77" s="196"/>
      <c r="E77" s="196"/>
      <c r="F77" s="196"/>
      <c r="G77" s="196"/>
      <c r="H77" s="196"/>
      <c r="I77" s="196"/>
      <c r="J77" s="3561"/>
      <c r="K77" s="208"/>
      <c r="L77" s="208"/>
      <c r="M77" s="100"/>
      <c r="N77" s="209"/>
      <c r="O77" s="100"/>
      <c r="P77" s="83"/>
      <c r="Q77" s="3547" t="s">
        <v>5420</v>
      </c>
      <c r="R77" s="3548"/>
      <c r="S77" s="3548"/>
      <c r="T77" s="3548"/>
      <c r="U77" s="3548"/>
      <c r="V77" s="3548"/>
      <c r="W77" s="3548"/>
      <c r="X77" s="3548"/>
      <c r="Y77" s="3548"/>
      <c r="Z77" s="3549"/>
      <c r="AA77" s="165"/>
      <c r="AB77" s="241"/>
      <c r="AC77" s="164"/>
      <c r="AD77" s="165"/>
      <c r="AE77" s="165"/>
      <c r="AF77" s="148"/>
      <c r="AG77" s="182"/>
      <c r="AH77" s="182"/>
    </row>
    <row r="78" spans="2:34" ht="14.25" customHeight="1">
      <c r="B78" s="194"/>
      <c r="C78" s="196"/>
      <c r="D78" s="196"/>
      <c r="E78" s="196"/>
      <c r="F78" s="196"/>
      <c r="G78" s="196"/>
      <c r="H78" s="196"/>
      <c r="I78" s="196"/>
      <c r="J78" s="3561"/>
      <c r="K78" s="208"/>
      <c r="L78" s="208"/>
      <c r="M78" s="100"/>
      <c r="N78" s="209"/>
      <c r="O78" s="100"/>
      <c r="P78" s="83"/>
      <c r="Q78" s="3342" t="s">
        <v>5421</v>
      </c>
      <c r="R78" s="3355"/>
      <c r="S78" s="3355"/>
      <c r="T78" s="3355"/>
      <c r="U78" s="3355"/>
      <c r="V78" s="3355"/>
      <c r="W78" s="3355"/>
      <c r="X78" s="3355"/>
      <c r="Y78" s="3355"/>
      <c r="Z78" s="3356"/>
      <c r="AA78" s="164"/>
      <c r="AB78" s="241"/>
      <c r="AC78" s="164"/>
      <c r="AD78" s="165"/>
      <c r="AE78" s="165"/>
      <c r="AF78" s="148"/>
      <c r="AG78" s="182"/>
      <c r="AH78" s="182"/>
    </row>
    <row r="79" spans="2:34" ht="14.25" customHeight="1">
      <c r="B79" s="194"/>
      <c r="C79" s="196"/>
      <c r="D79" s="196"/>
      <c r="E79" s="196"/>
      <c r="F79" s="196"/>
      <c r="G79" s="196"/>
      <c r="H79" s="196"/>
      <c r="I79" s="196"/>
      <c r="J79" s="3561"/>
      <c r="K79" s="93"/>
      <c r="L79" s="208"/>
      <c r="M79" s="208"/>
      <c r="N79" s="208"/>
      <c r="O79" s="208"/>
      <c r="P79" s="83"/>
      <c r="Q79" s="3342"/>
      <c r="R79" s="3355"/>
      <c r="S79" s="3355"/>
      <c r="T79" s="3355"/>
      <c r="U79" s="3355"/>
      <c r="V79" s="3355"/>
      <c r="W79" s="3355"/>
      <c r="X79" s="3355"/>
      <c r="Y79" s="3355"/>
      <c r="Z79" s="3356"/>
      <c r="AA79" s="164"/>
      <c r="AB79" s="241"/>
      <c r="AC79" s="164"/>
      <c r="AD79" s="165"/>
      <c r="AE79" s="165"/>
      <c r="AF79" s="148"/>
      <c r="AG79" s="182"/>
      <c r="AH79" s="182"/>
    </row>
    <row r="80" spans="2:34" ht="14.25" customHeight="1">
      <c r="B80" s="194"/>
      <c r="C80" s="196"/>
      <c r="D80" s="196"/>
      <c r="E80" s="196"/>
      <c r="F80" s="196"/>
      <c r="G80" s="196"/>
      <c r="H80" s="196"/>
      <c r="I80" s="196"/>
      <c r="J80" s="3561"/>
      <c r="K80" s="93"/>
      <c r="L80" s="208"/>
      <c r="M80" s="208"/>
      <c r="N80" s="208"/>
      <c r="O80" s="208"/>
      <c r="P80" s="83"/>
      <c r="Q80" s="3342"/>
      <c r="R80" s="3355"/>
      <c r="S80" s="3355"/>
      <c r="T80" s="3355"/>
      <c r="U80" s="3355"/>
      <c r="V80" s="3355"/>
      <c r="W80" s="3355"/>
      <c r="X80" s="3355"/>
      <c r="Y80" s="3355"/>
      <c r="Z80" s="3356"/>
      <c r="AA80" s="164"/>
      <c r="AB80" s="241"/>
      <c r="AC80" s="164"/>
      <c r="AD80" s="165"/>
      <c r="AE80" s="165"/>
      <c r="AF80" s="148"/>
      <c r="AG80" s="182"/>
      <c r="AH80" s="182"/>
    </row>
    <row r="81" spans="2:34" ht="14.25" customHeight="1">
      <c r="B81" s="194"/>
      <c r="C81" s="196"/>
      <c r="D81" s="196"/>
      <c r="E81" s="196"/>
      <c r="F81" s="196"/>
      <c r="G81" s="196"/>
      <c r="H81" s="196"/>
      <c r="I81" s="196"/>
      <c r="J81" s="3561"/>
      <c r="K81" s="93"/>
      <c r="L81" s="208"/>
      <c r="M81" s="208"/>
      <c r="N81" s="208"/>
      <c r="O81" s="208"/>
      <c r="P81" s="83"/>
      <c r="Q81" s="3359" t="s">
        <v>5422</v>
      </c>
      <c r="R81" s="3360"/>
      <c r="S81" s="3360"/>
      <c r="T81" s="3360"/>
      <c r="U81" s="3360"/>
      <c r="V81" s="3360"/>
      <c r="W81" s="3360"/>
      <c r="X81" s="3360"/>
      <c r="Y81" s="3360"/>
      <c r="Z81" s="3361"/>
      <c r="AA81" s="161"/>
      <c r="AB81" s="81"/>
      <c r="AC81" s="208"/>
      <c r="AD81" s="208"/>
      <c r="AE81" s="208"/>
    </row>
    <row r="82" spans="2:34" ht="14.25" customHeight="1">
      <c r="B82" s="194"/>
      <c r="C82" s="196"/>
      <c r="D82" s="196"/>
      <c r="E82" s="196"/>
      <c r="F82" s="196"/>
      <c r="G82" s="196"/>
      <c r="H82" s="196"/>
      <c r="I82" s="196"/>
      <c r="J82" s="3561"/>
      <c r="K82" s="93"/>
      <c r="L82" s="208"/>
      <c r="M82" s="208"/>
      <c r="N82" s="208"/>
      <c r="O82" s="208"/>
      <c r="P82" s="83"/>
      <c r="Q82" s="3342"/>
      <c r="R82" s="3355"/>
      <c r="S82" s="3355"/>
      <c r="T82" s="3355"/>
      <c r="U82" s="3355"/>
      <c r="V82" s="3355"/>
      <c r="W82" s="3355"/>
      <c r="X82" s="3355"/>
      <c r="Y82" s="3355"/>
      <c r="Z82" s="3356"/>
      <c r="AA82" s="161"/>
      <c r="AB82" s="81"/>
      <c r="AC82" s="208"/>
      <c r="AD82" s="208"/>
      <c r="AE82" s="208"/>
    </row>
    <row r="83" spans="2:34" ht="14.25" customHeight="1">
      <c r="B83" s="197"/>
      <c r="C83" s="197"/>
      <c r="D83" s="197"/>
      <c r="E83" s="197"/>
      <c r="F83" s="197"/>
      <c r="G83" s="197"/>
      <c r="H83" s="197"/>
      <c r="I83" s="81"/>
      <c r="J83" s="210"/>
      <c r="K83" s="93"/>
      <c r="L83" s="81"/>
      <c r="M83" s="93"/>
      <c r="N83" s="209"/>
      <c r="O83" s="100"/>
      <c r="P83" s="83"/>
      <c r="Q83" s="3362"/>
      <c r="R83" s="3363"/>
      <c r="S83" s="3363"/>
      <c r="T83" s="3363"/>
      <c r="U83" s="3363"/>
      <c r="V83" s="3363"/>
      <c r="W83" s="3363"/>
      <c r="X83" s="3363"/>
      <c r="Y83" s="3363"/>
      <c r="Z83" s="3364"/>
      <c r="AA83" s="161"/>
      <c r="AB83" s="81"/>
      <c r="AC83" s="208"/>
      <c r="AD83" s="208"/>
      <c r="AE83" s="208"/>
    </row>
    <row r="84" spans="2:34" ht="14.25" customHeight="1">
      <c r="B84" s="3550" t="s">
        <v>4962</v>
      </c>
      <c r="C84" s="3551"/>
      <c r="D84" s="3551"/>
      <c r="E84" s="3551"/>
      <c r="F84" s="3551"/>
      <c r="G84" s="3551"/>
      <c r="H84" s="3551"/>
      <c r="I84" s="3551"/>
      <c r="J84" s="3552"/>
      <c r="K84" s="93"/>
      <c r="L84" s="93"/>
      <c r="M84" s="93"/>
      <c r="N84" s="209"/>
      <c r="O84" s="100"/>
      <c r="P84" s="83"/>
      <c r="Q84" s="3342" t="s">
        <v>5423</v>
      </c>
      <c r="R84" s="3343"/>
      <c r="S84" s="3343"/>
      <c r="T84" s="3343"/>
      <c r="U84" s="3343"/>
      <c r="V84" s="3343"/>
      <c r="W84" s="3343"/>
      <c r="X84" s="3343"/>
      <c r="Y84" s="3343"/>
      <c r="Z84" s="3344"/>
      <c r="AA84" s="161"/>
      <c r="AB84" s="241"/>
      <c r="AC84" s="164"/>
      <c r="AD84" s="165"/>
      <c r="AE84" s="165"/>
      <c r="AF84" s="148"/>
      <c r="AG84" s="182"/>
      <c r="AH84" s="182"/>
    </row>
    <row r="85" spans="2:34" ht="14.25" customHeight="1">
      <c r="B85" s="3534" t="s">
        <v>5424</v>
      </c>
      <c r="C85" s="3535"/>
      <c r="D85" s="3535"/>
      <c r="E85" s="3535"/>
      <c r="F85" s="3535"/>
      <c r="G85" s="3535"/>
      <c r="H85" s="3535"/>
      <c r="I85" s="3535"/>
      <c r="J85" s="3536"/>
      <c r="K85" s="93"/>
      <c r="L85" s="93"/>
      <c r="M85" s="93"/>
      <c r="N85" s="209"/>
      <c r="O85" s="100"/>
      <c r="P85" s="83"/>
      <c r="Q85" s="3460"/>
      <c r="R85" s="3461"/>
      <c r="S85" s="3461"/>
      <c r="T85" s="3461"/>
      <c r="U85" s="3461"/>
      <c r="V85" s="3461"/>
      <c r="W85" s="3461"/>
      <c r="X85" s="3461"/>
      <c r="Y85" s="3461"/>
      <c r="Z85" s="3462"/>
      <c r="AA85" s="161"/>
      <c r="AB85" s="241"/>
      <c r="AC85" s="164"/>
      <c r="AD85" s="165"/>
      <c r="AE85" s="165"/>
      <c r="AF85" s="148"/>
      <c r="AG85" s="182"/>
      <c r="AH85" s="182"/>
    </row>
    <row r="86" spans="2:34" ht="14.25" customHeight="1">
      <c r="B86" s="3534" t="s">
        <v>5425</v>
      </c>
      <c r="C86" s="3535"/>
      <c r="D86" s="3535"/>
      <c r="E86" s="3535"/>
      <c r="F86" s="3535"/>
      <c r="G86" s="3535"/>
      <c r="H86" s="3535"/>
      <c r="I86" s="3535"/>
      <c r="J86" s="3536"/>
      <c r="K86" s="93"/>
      <c r="L86" s="93"/>
      <c r="M86" s="93"/>
      <c r="N86" s="209"/>
      <c r="O86" s="100"/>
      <c r="P86" s="83"/>
      <c r="Q86" s="3342" t="s">
        <v>5426</v>
      </c>
      <c r="R86" s="3343"/>
      <c r="S86" s="3343"/>
      <c r="T86" s="3343"/>
      <c r="U86" s="3343"/>
      <c r="V86" s="3343"/>
      <c r="W86" s="3343"/>
      <c r="X86" s="3343"/>
      <c r="Y86" s="3343"/>
      <c r="Z86" s="3344"/>
      <c r="AA86" s="161"/>
      <c r="AB86" s="241"/>
      <c r="AC86" s="164"/>
      <c r="AD86" s="165"/>
      <c r="AE86" s="165"/>
      <c r="AF86" s="148"/>
      <c r="AG86" s="182"/>
      <c r="AH86" s="182"/>
    </row>
    <row r="87" spans="2:34" ht="14.25" customHeight="1">
      <c r="B87" s="3534" t="s">
        <v>5427</v>
      </c>
      <c r="C87" s="3535"/>
      <c r="D87" s="3535"/>
      <c r="E87" s="3535"/>
      <c r="F87" s="3535"/>
      <c r="G87" s="3535"/>
      <c r="H87" s="3535"/>
      <c r="I87" s="3535"/>
      <c r="J87" s="3536"/>
      <c r="K87" s="93"/>
      <c r="L87" s="93"/>
      <c r="M87" s="93"/>
      <c r="N87" s="209"/>
      <c r="O87" s="100"/>
      <c r="P87" s="83"/>
      <c r="Q87" s="3345"/>
      <c r="R87" s="3346"/>
      <c r="S87" s="3346"/>
      <c r="T87" s="3346"/>
      <c r="U87" s="3346"/>
      <c r="V87" s="3346"/>
      <c r="W87" s="3346"/>
      <c r="X87" s="3346"/>
      <c r="Y87" s="3346"/>
      <c r="Z87" s="3347"/>
      <c r="AA87" s="81"/>
      <c r="AB87" s="81"/>
      <c r="AC87" s="208"/>
      <c r="AD87" s="208"/>
      <c r="AE87" s="208"/>
      <c r="AF87" s="148"/>
      <c r="AG87" s="182"/>
      <c r="AH87" s="182"/>
    </row>
    <row r="88" spans="2:34" ht="14.25" customHeight="1">
      <c r="B88" s="3534" t="s">
        <v>5428</v>
      </c>
      <c r="C88" s="3535"/>
      <c r="D88" s="3535"/>
      <c r="E88" s="3535"/>
      <c r="F88" s="3535"/>
      <c r="G88" s="3535"/>
      <c r="H88" s="3535"/>
      <c r="I88" s="3535"/>
      <c r="J88" s="3536"/>
      <c r="K88" s="93"/>
      <c r="L88" s="93"/>
      <c r="M88" s="93"/>
      <c r="N88" s="209"/>
      <c r="O88" s="100"/>
      <c r="P88" s="83"/>
      <c r="Q88" s="81"/>
      <c r="R88" s="81"/>
      <c r="S88" s="81"/>
      <c r="T88" s="81"/>
      <c r="U88" s="81"/>
      <c r="V88" s="81"/>
      <c r="W88" s="81"/>
      <c r="X88" s="81"/>
      <c r="Y88" s="81"/>
      <c r="Z88" s="81"/>
      <c r="AA88" s="81"/>
      <c r="AB88" s="81"/>
      <c r="AC88" s="208"/>
      <c r="AD88" s="208"/>
      <c r="AE88" s="208"/>
      <c r="AF88" s="148"/>
      <c r="AG88" s="182"/>
      <c r="AH88" s="182"/>
    </row>
    <row r="89" spans="2:34" ht="14.25" customHeight="1">
      <c r="B89" s="3537" t="s">
        <v>5429</v>
      </c>
      <c r="C89" s="3538"/>
      <c r="D89" s="3538"/>
      <c r="E89" s="3538"/>
      <c r="F89" s="3538"/>
      <c r="G89" s="3538"/>
      <c r="H89" s="3538"/>
      <c r="I89" s="3538"/>
      <c r="J89" s="3539"/>
      <c r="K89" s="93"/>
      <c r="L89" s="93"/>
      <c r="M89" s="93"/>
      <c r="N89" s="209"/>
      <c r="O89" s="100"/>
      <c r="P89" s="83"/>
      <c r="Q89" s="81"/>
      <c r="R89" s="81"/>
      <c r="S89" s="81"/>
      <c r="T89" s="81"/>
      <c r="U89" s="81"/>
      <c r="V89" s="81"/>
      <c r="W89" s="81"/>
      <c r="X89" s="81"/>
      <c r="Y89" s="81"/>
      <c r="Z89" s="81"/>
      <c r="AA89" s="81"/>
      <c r="AB89" s="81"/>
      <c r="AC89" s="208"/>
      <c r="AD89" s="208"/>
      <c r="AE89" s="208"/>
      <c r="AF89" s="148"/>
      <c r="AG89" s="182"/>
      <c r="AH89" s="182"/>
    </row>
    <row r="90" spans="2:34" ht="14.25" customHeight="1">
      <c r="B90" s="198"/>
      <c r="C90" s="198"/>
      <c r="D90" s="198"/>
      <c r="E90" s="198"/>
      <c r="F90" s="198"/>
      <c r="G90" s="198"/>
      <c r="H90" s="198"/>
      <c r="I90" s="198"/>
      <c r="J90" s="198"/>
      <c r="K90" s="93"/>
      <c r="L90" s="93"/>
      <c r="M90" s="93"/>
      <c r="N90" s="209"/>
      <c r="O90" s="100"/>
      <c r="P90" s="83"/>
      <c r="Q90" s="2358" t="s">
        <v>5430</v>
      </c>
      <c r="R90" s="2359"/>
      <c r="S90" s="2359"/>
      <c r="T90" s="2359"/>
      <c r="U90" s="2359"/>
      <c r="V90" s="2359"/>
      <c r="W90" s="2359"/>
      <c r="X90" s="2359"/>
      <c r="Y90" s="2359"/>
      <c r="Z90" s="2359"/>
      <c r="AA90" s="2359"/>
      <c r="AB90" s="2359"/>
      <c r="AC90" s="2359"/>
      <c r="AD90" s="2359"/>
      <c r="AE90" s="2360"/>
      <c r="AF90" s="148"/>
      <c r="AG90" s="183"/>
      <c r="AH90" s="183"/>
    </row>
    <row r="91" spans="2:34" ht="14.25" customHeight="1">
      <c r="B91" s="197"/>
      <c r="C91" s="197"/>
      <c r="D91" s="197"/>
      <c r="E91" s="197"/>
      <c r="F91" s="197"/>
      <c r="G91" s="197"/>
      <c r="H91" s="197"/>
      <c r="I91" s="81"/>
      <c r="J91" s="81"/>
      <c r="K91" s="93"/>
      <c r="L91" s="93"/>
      <c r="M91" s="100"/>
      <c r="N91" s="100"/>
      <c r="O91" s="100"/>
      <c r="P91" s="83"/>
      <c r="Q91" s="2361"/>
      <c r="R91" s="2362"/>
      <c r="S91" s="2362"/>
      <c r="T91" s="2362"/>
      <c r="U91" s="2362"/>
      <c r="V91" s="2362"/>
      <c r="W91" s="2362"/>
      <c r="X91" s="2362"/>
      <c r="Y91" s="2362"/>
      <c r="Z91" s="2362"/>
      <c r="AA91" s="2362"/>
      <c r="AB91" s="2362"/>
      <c r="AC91" s="2362"/>
      <c r="AD91" s="2362"/>
      <c r="AE91" s="2363"/>
      <c r="AF91" s="148"/>
      <c r="AG91" s="183"/>
      <c r="AH91" s="183"/>
    </row>
    <row r="92" spans="2:34" ht="14.25" customHeight="1">
      <c r="B92" s="197"/>
      <c r="C92" s="197"/>
      <c r="D92" s="197"/>
      <c r="E92" s="197"/>
      <c r="F92" s="197"/>
      <c r="G92" s="197"/>
      <c r="H92" s="197"/>
      <c r="I92" s="81"/>
      <c r="J92" s="81"/>
      <c r="K92" s="93"/>
      <c r="L92" s="93"/>
      <c r="M92" s="100"/>
      <c r="N92" s="100"/>
      <c r="O92" s="100"/>
      <c r="P92" s="83"/>
      <c r="Q92" s="2364"/>
      <c r="R92" s="2365"/>
      <c r="S92" s="2365"/>
      <c r="T92" s="2365"/>
      <c r="U92" s="2365"/>
      <c r="V92" s="2365"/>
      <c r="W92" s="2365"/>
      <c r="X92" s="2365"/>
      <c r="Y92" s="2365"/>
      <c r="Z92" s="2365"/>
      <c r="AA92" s="2365"/>
      <c r="AB92" s="2365"/>
      <c r="AC92" s="2365"/>
      <c r="AD92" s="2365"/>
      <c r="AE92" s="2366"/>
      <c r="AF92" s="148"/>
      <c r="AG92" s="183"/>
      <c r="AH92" s="183"/>
    </row>
    <row r="93" spans="2:34" ht="14.25" customHeight="1">
      <c r="B93" s="197"/>
      <c r="C93" s="197"/>
      <c r="D93" s="197"/>
      <c r="E93" s="197"/>
      <c r="F93" s="197"/>
      <c r="G93" s="197"/>
      <c r="H93" s="197"/>
      <c r="I93" s="81"/>
      <c r="J93" s="81"/>
      <c r="K93" s="93"/>
      <c r="L93" s="93"/>
      <c r="M93" s="100"/>
      <c r="N93" s="100"/>
      <c r="O93" s="100"/>
      <c r="P93" s="83"/>
      <c r="Q93" s="226"/>
      <c r="R93" s="226"/>
      <c r="S93" s="226"/>
      <c r="T93" s="226"/>
      <c r="U93" s="226"/>
      <c r="V93" s="226"/>
      <c r="W93" s="226"/>
      <c r="X93" s="226"/>
      <c r="Y93" s="226"/>
      <c r="Z93" s="226"/>
      <c r="AA93" s="226"/>
      <c r="AB93" s="226"/>
      <c r="AC93" s="226"/>
      <c r="AD93" s="226"/>
      <c r="AE93" s="226"/>
      <c r="AF93" s="148"/>
      <c r="AG93" s="183"/>
      <c r="AH93" s="183"/>
    </row>
    <row r="94" spans="2:34" ht="14.25" customHeight="1">
      <c r="B94" s="197"/>
      <c r="C94" s="197"/>
      <c r="D94" s="197"/>
      <c r="E94" s="197"/>
      <c r="F94" s="197"/>
      <c r="G94" s="197"/>
      <c r="H94" s="197"/>
      <c r="I94" s="81"/>
      <c r="J94" s="81"/>
      <c r="K94" s="93"/>
      <c r="L94" s="93"/>
      <c r="M94" s="100"/>
      <c r="N94" s="100"/>
      <c r="O94" s="100"/>
      <c r="P94" s="83"/>
      <c r="Q94" s="2552" t="s">
        <v>5431</v>
      </c>
      <c r="R94" s="2553"/>
      <c r="S94" s="2553"/>
      <c r="T94" s="2553"/>
      <c r="U94" s="2553"/>
      <c r="V94" s="2554"/>
      <c r="W94" s="227"/>
      <c r="X94" s="3348" t="s">
        <v>5432</v>
      </c>
      <c r="Y94" s="3349"/>
      <c r="Z94" s="3349"/>
      <c r="AA94" s="3349"/>
      <c r="AB94" s="3349"/>
      <c r="AC94" s="3349"/>
      <c r="AD94" s="3349"/>
      <c r="AE94" s="3350"/>
      <c r="AF94" s="148"/>
    </row>
    <row r="95" spans="2:34" ht="14.25" customHeight="1">
      <c r="B95" s="197"/>
      <c r="C95" s="197"/>
      <c r="D95" s="197"/>
      <c r="E95" s="197"/>
      <c r="F95" s="197"/>
      <c r="G95" s="197"/>
      <c r="H95" s="197"/>
      <c r="I95" s="81"/>
      <c r="J95" s="81"/>
      <c r="K95" s="93"/>
      <c r="L95" s="93"/>
      <c r="M95" s="100"/>
      <c r="N95" s="100"/>
      <c r="O95" s="100"/>
      <c r="P95" s="83"/>
      <c r="Q95" s="2555"/>
      <c r="R95" s="2556"/>
      <c r="S95" s="2556"/>
      <c r="T95" s="2556"/>
      <c r="U95" s="2556"/>
      <c r="V95" s="2558"/>
      <c r="W95" s="227"/>
      <c r="X95" s="3351"/>
      <c r="Y95" s="3352"/>
      <c r="Z95" s="3352"/>
      <c r="AA95" s="3352"/>
      <c r="AB95" s="3352"/>
      <c r="AC95" s="3352"/>
      <c r="AD95" s="3352"/>
      <c r="AE95" s="3414"/>
      <c r="AF95" s="148"/>
    </row>
    <row r="96" spans="2:34" ht="14.25" customHeight="1">
      <c r="B96" s="197"/>
      <c r="C96" s="197"/>
      <c r="D96" s="197"/>
      <c r="E96" s="197"/>
      <c r="F96" s="197"/>
      <c r="G96" s="197"/>
      <c r="H96" s="197"/>
      <c r="I96" s="81"/>
      <c r="J96" s="81"/>
      <c r="K96" s="93"/>
      <c r="L96" s="93"/>
      <c r="M96" s="100"/>
      <c r="N96" s="100"/>
      <c r="O96" s="100"/>
      <c r="P96" s="83"/>
      <c r="Q96" s="2391" t="s">
        <v>5433</v>
      </c>
      <c r="R96" s="2392"/>
      <c r="S96" s="2392"/>
      <c r="T96" s="2392"/>
      <c r="U96" s="2392"/>
      <c r="V96" s="2393"/>
      <c r="W96" s="228"/>
      <c r="X96" s="3465" t="s">
        <v>5434</v>
      </c>
      <c r="Y96" s="3392"/>
      <c r="Z96" s="3392"/>
      <c r="AA96" s="3392"/>
      <c r="AB96" s="3393"/>
      <c r="AC96" s="3484" t="s">
        <v>5435</v>
      </c>
      <c r="AD96" s="3392"/>
      <c r="AE96" s="3469"/>
      <c r="AF96" s="148"/>
    </row>
    <row r="97" spans="1:32" ht="14.25" customHeight="1">
      <c r="B97" s="197"/>
      <c r="C97" s="197"/>
      <c r="D97" s="197"/>
      <c r="E97" s="197"/>
      <c r="F97" s="197"/>
      <c r="G97" s="197"/>
      <c r="H97" s="197"/>
      <c r="I97" s="81"/>
      <c r="J97" s="81"/>
      <c r="K97" s="93"/>
      <c r="L97" s="93"/>
      <c r="M97" s="100"/>
      <c r="N97" s="100"/>
      <c r="O97" s="100"/>
      <c r="P97" s="83"/>
      <c r="Q97" s="2394"/>
      <c r="R97" s="2395"/>
      <c r="S97" s="2395"/>
      <c r="T97" s="2395"/>
      <c r="U97" s="2395"/>
      <c r="V97" s="2396"/>
      <c r="W97" s="228"/>
      <c r="X97" s="2367"/>
      <c r="Y97" s="2354"/>
      <c r="Z97" s="2354"/>
      <c r="AA97" s="2354"/>
      <c r="AB97" s="3395"/>
      <c r="AC97" s="242" t="s">
        <v>5436</v>
      </c>
      <c r="AD97" s="3484" t="s">
        <v>5437</v>
      </c>
      <c r="AE97" s="3469"/>
      <c r="AF97" s="148"/>
    </row>
    <row r="98" spans="1:32" ht="14.25" customHeight="1">
      <c r="B98" s="197"/>
      <c r="C98" s="197"/>
      <c r="D98" s="197"/>
      <c r="E98" s="197"/>
      <c r="F98" s="197"/>
      <c r="G98" s="197"/>
      <c r="H98" s="197"/>
      <c r="I98" s="81"/>
      <c r="J98" s="81"/>
      <c r="K98" s="3336"/>
      <c r="L98" s="3336"/>
      <c r="M98" s="100"/>
      <c r="N98" s="3336"/>
      <c r="O98" s="3336"/>
      <c r="P98" s="83"/>
      <c r="Q98" s="2394"/>
      <c r="R98" s="2395"/>
      <c r="S98" s="2395"/>
      <c r="T98" s="2395"/>
      <c r="U98" s="2395"/>
      <c r="V98" s="2396"/>
      <c r="W98" s="228"/>
      <c r="X98" s="2367"/>
      <c r="Y98" s="2354"/>
      <c r="Z98" s="2354"/>
      <c r="AA98" s="2354"/>
      <c r="AB98" s="3466"/>
      <c r="AC98" s="243" t="s">
        <v>5438</v>
      </c>
      <c r="AD98" s="3540" t="s">
        <v>5439</v>
      </c>
      <c r="AE98" s="3340"/>
      <c r="AF98" s="148"/>
    </row>
    <row r="99" spans="1:32" ht="14.25" customHeight="1">
      <c r="B99" s="197"/>
      <c r="C99" s="197"/>
      <c r="D99" s="197"/>
      <c r="E99" s="197"/>
      <c r="F99" s="197"/>
      <c r="G99" s="197"/>
      <c r="H99" s="197"/>
      <c r="I99" s="81"/>
      <c r="J99" s="81"/>
      <c r="K99" s="3336"/>
      <c r="L99" s="3336"/>
      <c r="M99" s="100"/>
      <c r="N99" s="3336"/>
      <c r="O99" s="3336"/>
      <c r="P99" s="83"/>
      <c r="Q99" s="2394"/>
      <c r="R99" s="2395"/>
      <c r="S99" s="2395"/>
      <c r="T99" s="2395"/>
      <c r="U99" s="2395"/>
      <c r="V99" s="2396"/>
      <c r="W99" s="228"/>
      <c r="X99" s="2367"/>
      <c r="Y99" s="2354"/>
      <c r="Z99" s="2354"/>
      <c r="AA99" s="2354"/>
      <c r="AB99" s="3466"/>
      <c r="AC99" s="244" t="s">
        <v>5440</v>
      </c>
      <c r="AD99" s="3485" t="s">
        <v>5441</v>
      </c>
      <c r="AE99" s="3533"/>
      <c r="AF99" s="148"/>
    </row>
    <row r="100" spans="1:32" ht="14.25" customHeight="1">
      <c r="B100" s="197"/>
      <c r="C100" s="197"/>
      <c r="D100" s="197"/>
      <c r="E100" s="197"/>
      <c r="F100" s="197"/>
      <c r="G100" s="197"/>
      <c r="H100" s="197"/>
      <c r="I100" s="81"/>
      <c r="J100" s="81"/>
      <c r="K100" s="3336"/>
      <c r="L100" s="3336"/>
      <c r="M100" s="100"/>
      <c r="N100" s="3336"/>
      <c r="O100" s="3336"/>
      <c r="P100" s="83"/>
      <c r="Q100" s="2397"/>
      <c r="R100" s="2398"/>
      <c r="S100" s="2398"/>
      <c r="T100" s="2398"/>
      <c r="U100" s="2398"/>
      <c r="V100" s="2399"/>
      <c r="W100" s="228"/>
      <c r="X100" s="3495"/>
      <c r="Y100" s="3394"/>
      <c r="Z100" s="3394"/>
      <c r="AA100" s="3394"/>
      <c r="AB100" s="3395"/>
      <c r="AC100" s="244" t="s">
        <v>5442</v>
      </c>
      <c r="AD100" s="3485" t="s">
        <v>5443</v>
      </c>
      <c r="AE100" s="3533"/>
      <c r="AF100" s="148"/>
    </row>
    <row r="101" spans="1:32" ht="14.25" customHeight="1">
      <c r="B101" s="197"/>
      <c r="C101" s="197"/>
      <c r="D101" s="197"/>
      <c r="E101" s="197"/>
      <c r="F101" s="197"/>
      <c r="G101" s="197"/>
      <c r="H101" s="197"/>
      <c r="I101" s="81"/>
      <c r="J101" s="81"/>
      <c r="K101" s="3336"/>
      <c r="L101" s="3336"/>
      <c r="M101" s="100"/>
      <c r="N101" s="3336"/>
      <c r="O101" s="3336"/>
      <c r="P101" s="83"/>
      <c r="Q101" s="229"/>
      <c r="R101" s="229"/>
      <c r="S101" s="229"/>
      <c r="T101" s="229"/>
      <c r="U101" s="229"/>
      <c r="V101" s="229"/>
      <c r="W101" s="228"/>
      <c r="X101" s="3406" t="s">
        <v>5444</v>
      </c>
      <c r="Y101" s="3407"/>
      <c r="Z101" s="3407"/>
      <c r="AA101" s="3407"/>
      <c r="AB101" s="3408"/>
      <c r="AC101" s="3407"/>
      <c r="AD101" s="3407"/>
      <c r="AE101" s="3409"/>
      <c r="AF101" s="148"/>
    </row>
    <row r="102" spans="1:32" ht="14.25" customHeight="1">
      <c r="B102" s="197"/>
      <c r="C102" s="197"/>
      <c r="D102" s="197"/>
      <c r="E102" s="197"/>
      <c r="F102" s="197"/>
      <c r="G102" s="197"/>
      <c r="H102" s="197"/>
      <c r="I102" s="81"/>
      <c r="J102" s="81"/>
      <c r="K102" s="3336"/>
      <c r="L102" s="3336"/>
      <c r="M102" s="100"/>
      <c r="N102" s="3336"/>
      <c r="O102" s="3336"/>
      <c r="P102" s="83"/>
      <c r="Q102" s="3514" t="s">
        <v>5445</v>
      </c>
      <c r="R102" s="3515"/>
      <c r="S102" s="3515"/>
      <c r="T102" s="3515"/>
      <c r="U102" s="3515"/>
      <c r="V102" s="3516"/>
      <c r="W102" s="230"/>
      <c r="X102" s="3410"/>
      <c r="Y102" s="3411"/>
      <c r="Z102" s="3411"/>
      <c r="AA102" s="3411"/>
      <c r="AB102" s="3412"/>
      <c r="AC102" s="3411"/>
      <c r="AD102" s="3411"/>
      <c r="AE102" s="3413"/>
      <c r="AF102" s="148"/>
    </row>
    <row r="103" spans="1:32" ht="27" customHeight="1">
      <c r="B103" s="197"/>
      <c r="C103" s="197"/>
      <c r="D103" s="197"/>
      <c r="E103" s="197"/>
      <c r="F103" s="197"/>
      <c r="G103" s="197"/>
      <c r="H103" s="197"/>
      <c r="I103" s="81"/>
      <c r="J103" s="81"/>
      <c r="K103" s="3336"/>
      <c r="L103" s="3336"/>
      <c r="M103" s="100"/>
      <c r="N103" s="3336"/>
      <c r="O103" s="3336"/>
      <c r="P103" s="83"/>
      <c r="Q103" s="3517"/>
      <c r="R103" s="3518"/>
      <c r="S103" s="3518"/>
      <c r="T103" s="3518"/>
      <c r="U103" s="3518"/>
      <c r="V103" s="3519"/>
      <c r="W103" s="230"/>
      <c r="X103" s="230"/>
      <c r="Y103" s="230"/>
      <c r="Z103" s="230"/>
      <c r="AA103" s="230"/>
      <c r="AB103" s="230"/>
      <c r="AC103" s="230"/>
      <c r="AD103" s="245"/>
      <c r="AE103" s="245"/>
      <c r="AF103" s="148"/>
    </row>
    <row r="104" spans="1:32" ht="27" customHeight="1">
      <c r="B104" s="197"/>
      <c r="C104" s="197"/>
      <c r="D104" s="197"/>
      <c r="E104" s="197"/>
      <c r="F104" s="197"/>
      <c r="G104" s="197"/>
      <c r="H104" s="197"/>
      <c r="I104" s="81"/>
      <c r="J104" s="81"/>
      <c r="K104" s="3336"/>
      <c r="L104" s="3336"/>
      <c r="M104" s="100"/>
      <c r="N104" s="3336"/>
      <c r="O104" s="3336"/>
      <c r="P104" s="83"/>
      <c r="Q104" s="2072" t="s">
        <v>5446</v>
      </c>
      <c r="R104" s="2052"/>
      <c r="S104" s="2052"/>
      <c r="T104" s="2052"/>
      <c r="U104" s="2052"/>
      <c r="V104" s="2540"/>
      <c r="W104" s="231"/>
      <c r="X104" s="3348" t="s">
        <v>5447</v>
      </c>
      <c r="Y104" s="3349"/>
      <c r="Z104" s="3349"/>
      <c r="AA104" s="3349"/>
      <c r="AB104" s="3349"/>
      <c r="AC104" s="3349"/>
      <c r="AD104" s="3349"/>
      <c r="AE104" s="3350"/>
      <c r="AF104" s="148"/>
    </row>
    <row r="105" spans="1:32" ht="27" customHeight="1">
      <c r="A105" s="199"/>
      <c r="B105" s="197"/>
      <c r="C105" s="197"/>
      <c r="D105" s="197"/>
      <c r="E105" s="197"/>
      <c r="F105" s="197"/>
      <c r="G105" s="197"/>
      <c r="H105" s="197"/>
      <c r="I105" s="81"/>
      <c r="J105" s="81"/>
      <c r="K105" s="3336"/>
      <c r="L105" s="3336"/>
      <c r="M105" s="100"/>
      <c r="N105" s="3336"/>
      <c r="O105" s="3336"/>
      <c r="P105" s="83"/>
      <c r="Q105" s="3471"/>
      <c r="R105" s="2516"/>
      <c r="S105" s="2516"/>
      <c r="T105" s="2516"/>
      <c r="U105" s="2516"/>
      <c r="V105" s="2517"/>
      <c r="W105" s="231"/>
      <c r="X105" s="3351"/>
      <c r="Y105" s="3352"/>
      <c r="Z105" s="3352"/>
      <c r="AA105" s="3352"/>
      <c r="AB105" s="3352"/>
      <c r="AC105" s="3353"/>
      <c r="AD105" s="3353"/>
      <c r="AE105" s="3354"/>
      <c r="AF105" s="148"/>
    </row>
    <row r="106" spans="1:32" ht="27" customHeight="1">
      <c r="A106" s="199"/>
      <c r="B106" s="197"/>
      <c r="C106" s="197"/>
      <c r="D106" s="197"/>
      <c r="E106" s="197"/>
      <c r="F106" s="197"/>
      <c r="G106" s="197"/>
      <c r="H106" s="197"/>
      <c r="I106" s="81"/>
      <c r="J106" s="81"/>
      <c r="K106" s="3369"/>
      <c r="L106" s="3369"/>
      <c r="M106" s="3369"/>
      <c r="N106" s="3369"/>
      <c r="O106" s="3369"/>
      <c r="P106" s="83"/>
      <c r="Q106" s="2680" t="s">
        <v>5448</v>
      </c>
      <c r="R106" s="3365"/>
      <c r="S106" s="3472" t="s">
        <v>5449</v>
      </c>
      <c r="T106" s="2681"/>
      <c r="U106" s="2681"/>
      <c r="V106" s="3473"/>
      <c r="W106" s="228"/>
      <c r="X106" s="3465" t="s">
        <v>5450</v>
      </c>
      <c r="Y106" s="3392"/>
      <c r="Z106" s="3392"/>
      <c r="AA106" s="3393"/>
      <c r="AB106" s="3484" t="s">
        <v>5451</v>
      </c>
      <c r="AC106" s="2354" t="s">
        <v>5452</v>
      </c>
      <c r="AD106" s="2354"/>
      <c r="AE106" s="2355"/>
      <c r="AF106" s="148"/>
    </row>
    <row r="107" spans="1:32" ht="27" customHeight="1">
      <c r="A107" s="199"/>
      <c r="B107" s="197"/>
      <c r="C107" s="197"/>
      <c r="D107" s="197"/>
      <c r="E107" s="197"/>
      <c r="F107" s="197"/>
      <c r="G107" s="197"/>
      <c r="H107" s="197"/>
      <c r="I107" s="81"/>
      <c r="J107" s="81"/>
      <c r="K107" s="100"/>
      <c r="L107" s="100"/>
      <c r="M107" s="100"/>
      <c r="N107" s="100"/>
      <c r="O107" s="100"/>
      <c r="P107" s="100"/>
      <c r="Q107" s="2680"/>
      <c r="R107" s="3365"/>
      <c r="S107" s="3472"/>
      <c r="T107" s="2681"/>
      <c r="U107" s="2681"/>
      <c r="V107" s="3473"/>
      <c r="W107" s="228"/>
      <c r="X107" s="2367"/>
      <c r="Y107" s="2354"/>
      <c r="Z107" s="2354"/>
      <c r="AA107" s="3466"/>
      <c r="AB107" s="3485"/>
      <c r="AC107" s="2354"/>
      <c r="AD107" s="2354"/>
      <c r="AE107" s="2355"/>
      <c r="AF107" s="148"/>
    </row>
    <row r="108" spans="1:32" ht="15" customHeight="1">
      <c r="A108" s="199"/>
      <c r="B108" s="197"/>
      <c r="C108" s="197"/>
      <c r="D108" s="197"/>
      <c r="E108" s="197"/>
      <c r="F108" s="197"/>
      <c r="G108" s="197"/>
      <c r="H108" s="197"/>
      <c r="I108" s="81"/>
      <c r="J108" s="81"/>
      <c r="K108" s="3369"/>
      <c r="L108" s="3369"/>
      <c r="M108" s="3369"/>
      <c r="N108" s="3369"/>
      <c r="O108" s="3369"/>
      <c r="P108" s="100"/>
      <c r="Q108" s="2680"/>
      <c r="R108" s="3365"/>
      <c r="S108" s="3474"/>
      <c r="T108" s="3475"/>
      <c r="U108" s="3475"/>
      <c r="V108" s="3476"/>
      <c r="W108" s="228"/>
      <c r="X108" s="2367"/>
      <c r="Y108" s="2354"/>
      <c r="Z108" s="2354"/>
      <c r="AA108" s="3467"/>
      <c r="AB108" s="3337" t="s">
        <v>5453</v>
      </c>
      <c r="AC108" s="3468" t="s">
        <v>5454</v>
      </c>
      <c r="AD108" s="3392"/>
      <c r="AE108" s="3469"/>
      <c r="AF108" s="148"/>
    </row>
    <row r="109" spans="1:32" ht="17.399999999999999">
      <c r="A109" s="199"/>
      <c r="B109" s="197"/>
      <c r="C109" s="197"/>
      <c r="D109" s="197"/>
      <c r="E109" s="197"/>
      <c r="F109" s="197"/>
      <c r="G109" s="197"/>
      <c r="H109" s="197"/>
      <c r="I109" s="81"/>
      <c r="J109" s="81"/>
      <c r="K109" s="3369"/>
      <c r="L109" s="3369"/>
      <c r="M109" s="100"/>
      <c r="N109" s="3369"/>
      <c r="O109" s="3369"/>
      <c r="P109" s="100"/>
      <c r="Q109" s="2680"/>
      <c r="R109" s="3365"/>
      <c r="S109" s="3442" t="s">
        <v>5455</v>
      </c>
      <c r="T109" s="2395"/>
      <c r="U109" s="2395" t="s">
        <v>5456</v>
      </c>
      <c r="V109" s="2396" t="s">
        <v>5457</v>
      </c>
      <c r="W109" s="228"/>
      <c r="X109" s="2367"/>
      <c r="Y109" s="2354"/>
      <c r="Z109" s="2354"/>
      <c r="AA109" s="3467"/>
      <c r="AB109" s="3337"/>
      <c r="AC109" s="3532"/>
      <c r="AD109" s="3394"/>
      <c r="AE109" s="3533"/>
      <c r="AF109" s="148"/>
    </row>
    <row r="110" spans="1:32" ht="17.399999999999999">
      <c r="A110" s="199"/>
      <c r="B110" s="197"/>
      <c r="C110" s="197"/>
      <c r="D110" s="197"/>
      <c r="E110" s="197"/>
      <c r="F110" s="197"/>
      <c r="G110" s="197"/>
      <c r="H110" s="197"/>
      <c r="I110" s="81"/>
      <c r="J110" s="81"/>
      <c r="K110" s="3369"/>
      <c r="L110" s="3369"/>
      <c r="M110" s="211"/>
      <c r="N110" s="3369"/>
      <c r="O110" s="3369"/>
      <c r="P110" s="100"/>
      <c r="Q110" s="2680"/>
      <c r="R110" s="3365"/>
      <c r="S110" s="3442"/>
      <c r="T110" s="2395"/>
      <c r="U110" s="2395"/>
      <c r="V110" s="2396"/>
      <c r="W110" s="228"/>
      <c r="X110" s="3396" t="s">
        <v>5458</v>
      </c>
      <c r="Y110" s="3397"/>
      <c r="Z110" s="3397"/>
      <c r="AA110" s="3398"/>
      <c r="AB110" s="3486" t="s">
        <v>5459</v>
      </c>
      <c r="AC110" s="3337" t="s">
        <v>5460</v>
      </c>
      <c r="AD110" s="2354"/>
      <c r="AE110" s="2355"/>
      <c r="AF110" s="148"/>
    </row>
    <row r="111" spans="1:32" ht="16.05" customHeight="1">
      <c r="A111" s="199"/>
      <c r="B111" s="197"/>
      <c r="C111" s="197"/>
      <c r="D111" s="197"/>
      <c r="E111" s="197"/>
      <c r="F111" s="197"/>
      <c r="G111" s="197"/>
      <c r="H111" s="197"/>
      <c r="I111" s="81"/>
      <c r="J111" s="81"/>
      <c r="K111" s="3369"/>
      <c r="L111" s="3369"/>
      <c r="M111" s="211"/>
      <c r="N111" s="3369"/>
      <c r="O111" s="3369"/>
      <c r="P111" s="100"/>
      <c r="Q111" s="2680"/>
      <c r="R111" s="3365"/>
      <c r="S111" s="3442"/>
      <c r="T111" s="2395"/>
      <c r="U111" s="2395"/>
      <c r="V111" s="2396"/>
      <c r="W111" s="228"/>
      <c r="X111" s="3396"/>
      <c r="Y111" s="3397"/>
      <c r="Z111" s="3397"/>
      <c r="AA111" s="3398"/>
      <c r="AB111" s="2993"/>
      <c r="AC111" s="3337"/>
      <c r="AD111" s="2354"/>
      <c r="AE111" s="2355"/>
      <c r="AF111" s="148"/>
    </row>
    <row r="112" spans="1:32" ht="17.399999999999999">
      <c r="A112" s="199"/>
      <c r="B112" s="197"/>
      <c r="C112" s="197"/>
      <c r="D112" s="197"/>
      <c r="E112" s="197"/>
      <c r="F112" s="197"/>
      <c r="G112" s="197"/>
      <c r="H112" s="197"/>
      <c r="I112" s="81"/>
      <c r="J112" s="81"/>
      <c r="K112" s="3369"/>
      <c r="L112" s="3369"/>
      <c r="M112" s="211"/>
      <c r="N112" s="3369"/>
      <c r="O112" s="3369"/>
      <c r="P112" s="100"/>
      <c r="Q112" s="3366"/>
      <c r="R112" s="3367"/>
      <c r="S112" s="3443"/>
      <c r="T112" s="3444"/>
      <c r="U112" s="3444"/>
      <c r="V112" s="3531"/>
      <c r="W112" s="228"/>
      <c r="X112" s="3396"/>
      <c r="Y112" s="3397"/>
      <c r="Z112" s="3397"/>
      <c r="AA112" s="3398"/>
      <c r="AB112" s="3419"/>
      <c r="AC112" s="3338"/>
      <c r="AD112" s="3339"/>
      <c r="AE112" s="3340"/>
      <c r="AF112" s="148"/>
    </row>
    <row r="113" spans="1:32" ht="17.399999999999999">
      <c r="A113" s="199"/>
      <c r="B113" s="197"/>
      <c r="C113" s="197"/>
      <c r="D113" s="197"/>
      <c r="E113" s="197"/>
      <c r="F113" s="197"/>
      <c r="G113" s="197"/>
      <c r="H113" s="197"/>
      <c r="I113" s="81"/>
      <c r="J113" s="81"/>
      <c r="K113" s="3369"/>
      <c r="L113" s="3369"/>
      <c r="M113" s="211"/>
      <c r="N113" s="3369"/>
      <c r="O113" s="3369"/>
      <c r="P113" s="100"/>
      <c r="Q113" s="2394" t="s">
        <v>5461</v>
      </c>
      <c r="R113" s="2395"/>
      <c r="S113" s="2395"/>
      <c r="T113" s="2395"/>
      <c r="U113" s="2395"/>
      <c r="V113" s="2396"/>
      <c r="W113" s="228"/>
      <c r="X113" s="3396"/>
      <c r="Y113" s="3397"/>
      <c r="Z113" s="3397"/>
      <c r="AA113" s="3398"/>
      <c r="AB113" s="3417" t="s">
        <v>5462</v>
      </c>
      <c r="AC113" s="2993"/>
      <c r="AD113" s="2993"/>
      <c r="AE113" s="3069"/>
      <c r="AF113" s="148"/>
    </row>
    <row r="114" spans="1:32" ht="17.399999999999999">
      <c r="A114" s="199"/>
      <c r="B114" s="197"/>
      <c r="C114" s="197"/>
      <c r="D114" s="197"/>
      <c r="E114" s="197"/>
      <c r="F114" s="197"/>
      <c r="G114" s="197"/>
      <c r="H114" s="197"/>
      <c r="I114" s="81"/>
      <c r="J114" s="81"/>
      <c r="K114" s="3377"/>
      <c r="L114" s="3377"/>
      <c r="M114" s="212"/>
      <c r="N114" s="3377"/>
      <c r="O114" s="3377"/>
      <c r="P114" s="213"/>
      <c r="Q114" s="2394"/>
      <c r="R114" s="2395"/>
      <c r="S114" s="2395"/>
      <c r="T114" s="2395"/>
      <c r="U114" s="2395"/>
      <c r="V114" s="2396"/>
      <c r="W114" s="228"/>
      <c r="X114" s="3524" t="s">
        <v>5463</v>
      </c>
      <c r="Y114" s="3525"/>
      <c r="Z114" s="3525"/>
      <c r="AA114" s="3526"/>
      <c r="AB114" s="3418"/>
      <c r="AC114" s="3419"/>
      <c r="AD114" s="3419"/>
      <c r="AE114" s="3420"/>
      <c r="AF114" s="148"/>
    </row>
    <row r="115" spans="1:32" ht="17.399999999999999">
      <c r="A115" s="199"/>
      <c r="B115" s="197"/>
      <c r="C115" s="197"/>
      <c r="D115" s="197"/>
      <c r="E115" s="197"/>
      <c r="F115" s="197"/>
      <c r="G115" s="197"/>
      <c r="H115" s="197"/>
      <c r="I115" s="81"/>
      <c r="J115" s="81"/>
      <c r="K115" s="3377"/>
      <c r="L115" s="3377"/>
      <c r="M115" s="212"/>
      <c r="N115" s="3377"/>
      <c r="O115" s="3377"/>
      <c r="P115" s="213"/>
      <c r="Q115" s="2397"/>
      <c r="R115" s="2398"/>
      <c r="S115" s="2398"/>
      <c r="T115" s="2398"/>
      <c r="U115" s="2398"/>
      <c r="V115" s="2399"/>
      <c r="W115" s="228"/>
      <c r="X115" s="3465" t="s">
        <v>5464</v>
      </c>
      <c r="Y115" s="3392" t="s">
        <v>5465</v>
      </c>
      <c r="Z115" s="3392" t="s">
        <v>5466</v>
      </c>
      <c r="AA115" s="3392"/>
      <c r="AB115" s="3392"/>
      <c r="AC115" s="3393"/>
      <c r="AD115" s="3468" t="s">
        <v>5467</v>
      </c>
      <c r="AE115" s="3469"/>
      <c r="AF115" s="148"/>
    </row>
    <row r="116" spans="1:32" ht="17.399999999999999">
      <c r="A116" s="199"/>
      <c r="B116" s="197"/>
      <c r="C116" s="197"/>
      <c r="D116" s="197"/>
      <c r="E116" s="197"/>
      <c r="F116" s="197"/>
      <c r="G116" s="197"/>
      <c r="H116" s="197"/>
      <c r="I116" s="81"/>
      <c r="J116" s="81"/>
      <c r="K116" s="3377"/>
      <c r="L116" s="3377"/>
      <c r="M116" s="212"/>
      <c r="N116" s="3377"/>
      <c r="O116" s="3377"/>
      <c r="P116" s="213"/>
      <c r="Q116" s="226"/>
      <c r="R116" s="226"/>
      <c r="S116" s="226"/>
      <c r="T116" s="226"/>
      <c r="U116" s="226"/>
      <c r="V116" s="226"/>
      <c r="W116" s="232"/>
      <c r="X116" s="3495"/>
      <c r="Y116" s="3394"/>
      <c r="Z116" s="3394"/>
      <c r="AA116" s="3394"/>
      <c r="AB116" s="3394"/>
      <c r="AC116" s="3395"/>
      <c r="AD116" s="3337"/>
      <c r="AE116" s="2355"/>
      <c r="AF116" s="148"/>
    </row>
    <row r="117" spans="1:32" ht="17.399999999999999">
      <c r="A117" s="199"/>
      <c r="B117" s="197"/>
      <c r="C117" s="197"/>
      <c r="D117" s="197"/>
      <c r="E117" s="197"/>
      <c r="F117" s="197"/>
      <c r="G117" s="197"/>
      <c r="H117" s="197"/>
      <c r="I117" s="81"/>
      <c r="J117" s="81"/>
      <c r="K117" s="3377"/>
      <c r="L117" s="3377"/>
      <c r="M117" s="212"/>
      <c r="N117" s="3377"/>
      <c r="O117" s="3377"/>
      <c r="P117" s="213"/>
      <c r="Q117" s="226"/>
      <c r="R117" s="226"/>
      <c r="S117" s="226"/>
      <c r="T117" s="226"/>
      <c r="U117" s="226"/>
      <c r="V117" s="226"/>
      <c r="W117" s="232"/>
      <c r="X117" s="3465" t="s">
        <v>5468</v>
      </c>
      <c r="Y117" s="3392" t="s">
        <v>5469</v>
      </c>
      <c r="Z117" s="3392" t="s">
        <v>5470</v>
      </c>
      <c r="AA117" s="3392"/>
      <c r="AB117" s="3392"/>
      <c r="AC117" s="3393"/>
      <c r="AD117" s="3337"/>
      <c r="AE117" s="2355"/>
      <c r="AF117" s="148"/>
    </row>
    <row r="118" spans="1:32" ht="17.399999999999999">
      <c r="A118" s="199"/>
      <c r="B118" s="197"/>
      <c r="C118" s="197"/>
      <c r="D118" s="197"/>
      <c r="E118" s="197"/>
      <c r="F118" s="197"/>
      <c r="G118" s="197"/>
      <c r="H118" s="197"/>
      <c r="I118" s="81"/>
      <c r="J118" s="81"/>
      <c r="K118" s="213"/>
      <c r="L118" s="213"/>
      <c r="M118" s="213"/>
      <c r="N118" s="213"/>
      <c r="O118" s="213"/>
      <c r="P118" s="213"/>
      <c r="Q118" s="226"/>
      <c r="R118" s="226"/>
      <c r="S118" s="226"/>
      <c r="T118" s="226"/>
      <c r="U118" s="226"/>
      <c r="V118" s="226"/>
      <c r="W118" s="232"/>
      <c r="X118" s="3495"/>
      <c r="Y118" s="3394"/>
      <c r="Z118" s="3394"/>
      <c r="AA118" s="3394"/>
      <c r="AB118" s="3394"/>
      <c r="AC118" s="3395"/>
      <c r="AD118" s="3337"/>
      <c r="AE118" s="2355"/>
      <c r="AF118" s="148"/>
    </row>
    <row r="119" spans="1:32" ht="17.399999999999999">
      <c r="A119" s="199"/>
      <c r="B119" s="197"/>
      <c r="C119" s="197"/>
      <c r="D119" s="197"/>
      <c r="E119" s="197"/>
      <c r="F119" s="197"/>
      <c r="G119" s="197"/>
      <c r="H119" s="197"/>
      <c r="I119" s="81"/>
      <c r="J119" s="81"/>
      <c r="K119" s="213"/>
      <c r="L119" s="213"/>
      <c r="M119" s="213"/>
      <c r="N119" s="213"/>
      <c r="O119" s="213"/>
      <c r="P119" s="213"/>
      <c r="Q119" s="226"/>
      <c r="R119" s="226"/>
      <c r="S119" s="226"/>
      <c r="T119" s="226"/>
      <c r="U119" s="226"/>
      <c r="V119" s="226"/>
      <c r="W119" s="232"/>
      <c r="X119" s="3465" t="s">
        <v>5471</v>
      </c>
      <c r="Y119" s="3392" t="s">
        <v>1507</v>
      </c>
      <c r="Z119" s="3392" t="s">
        <v>5472</v>
      </c>
      <c r="AA119" s="3392"/>
      <c r="AB119" s="3392"/>
      <c r="AC119" s="3393"/>
      <c r="AD119" s="3337"/>
      <c r="AE119" s="2355"/>
    </row>
    <row r="120" spans="1:32" ht="17.399999999999999">
      <c r="A120" s="199"/>
      <c r="B120" s="200"/>
      <c r="C120" s="200"/>
      <c r="D120" s="200"/>
      <c r="E120" s="200"/>
      <c r="F120" s="200"/>
      <c r="G120" s="200"/>
      <c r="H120" s="200"/>
      <c r="I120" s="213"/>
      <c r="J120" s="213"/>
      <c r="K120" s="213"/>
      <c r="L120" s="213"/>
      <c r="M120" s="213"/>
      <c r="N120" s="213"/>
      <c r="O120" s="213"/>
      <c r="P120" s="213"/>
      <c r="Q120" s="226"/>
      <c r="R120" s="226"/>
      <c r="S120" s="226"/>
      <c r="T120" s="226"/>
      <c r="U120" s="226"/>
      <c r="V120" s="226"/>
      <c r="W120" s="232"/>
      <c r="X120" s="2371"/>
      <c r="Y120" s="2372"/>
      <c r="Z120" s="2372"/>
      <c r="AA120" s="2372"/>
      <c r="AB120" s="2372"/>
      <c r="AC120" s="3416"/>
      <c r="AD120" s="3470"/>
      <c r="AE120" s="2373"/>
    </row>
    <row r="121" spans="1:32" ht="15.6">
      <c r="A121" s="199"/>
      <c r="B121" s="200"/>
      <c r="C121" s="200"/>
      <c r="D121" s="200"/>
      <c r="E121" s="200"/>
      <c r="F121" s="200"/>
      <c r="G121" s="200"/>
      <c r="H121" s="200"/>
      <c r="I121" s="200"/>
      <c r="J121" s="213"/>
      <c r="K121" s="213"/>
      <c r="L121" s="213"/>
      <c r="M121" s="213"/>
      <c r="N121" s="213"/>
      <c r="O121" s="213"/>
      <c r="P121" s="213"/>
      <c r="Q121" s="165"/>
      <c r="R121" s="165"/>
      <c r="S121" s="165"/>
      <c r="T121" s="165"/>
      <c r="U121" s="165"/>
      <c r="V121" s="165"/>
      <c r="W121" s="165"/>
      <c r="X121" s="165"/>
      <c r="Y121" s="165"/>
      <c r="Z121" s="165"/>
      <c r="AA121" s="164"/>
      <c r="AB121" s="164"/>
      <c r="AC121" s="164"/>
      <c r="AD121" s="164"/>
      <c r="AE121" s="164"/>
    </row>
    <row r="122" spans="1:32" ht="15.6">
      <c r="A122" s="199"/>
      <c r="B122" s="200"/>
      <c r="C122" s="200"/>
      <c r="D122" s="200"/>
      <c r="E122" s="200"/>
      <c r="F122" s="200"/>
      <c r="G122" s="200"/>
      <c r="H122" s="200"/>
      <c r="I122" s="200"/>
      <c r="J122" s="213"/>
      <c r="K122" s="213"/>
      <c r="L122" s="213"/>
      <c r="M122" s="213"/>
      <c r="N122" s="213"/>
      <c r="O122" s="213"/>
      <c r="P122" s="213"/>
      <c r="Q122" s="3399" t="s">
        <v>5473</v>
      </c>
      <c r="R122" s="3400"/>
      <c r="S122" s="3400"/>
      <c r="T122" s="3400"/>
      <c r="U122" s="3400"/>
      <c r="V122" s="3400"/>
      <c r="W122" s="3400"/>
      <c r="X122" s="3400"/>
      <c r="Y122" s="3400"/>
      <c r="Z122" s="3400"/>
      <c r="AA122" s="3400"/>
      <c r="AB122" s="3400"/>
      <c r="AC122" s="3400"/>
      <c r="AD122" s="3400"/>
      <c r="AE122" s="3401"/>
    </row>
    <row r="123" spans="1:32" ht="15.6">
      <c r="A123" s="199"/>
      <c r="B123" s="201"/>
      <c r="C123" s="200"/>
      <c r="D123" s="200"/>
      <c r="E123" s="202"/>
      <c r="F123" s="202"/>
      <c r="G123" s="202"/>
      <c r="H123" s="202"/>
      <c r="I123" s="202"/>
      <c r="J123" s="213"/>
      <c r="K123" s="213"/>
      <c r="L123" s="213"/>
      <c r="M123" s="213"/>
      <c r="N123" s="213"/>
      <c r="O123" s="213"/>
      <c r="P123" s="213"/>
      <c r="Q123" s="3402"/>
      <c r="R123" s="3403"/>
      <c r="S123" s="3403"/>
      <c r="T123" s="3403"/>
      <c r="U123" s="3403"/>
      <c r="V123" s="3403"/>
      <c r="W123" s="3403"/>
      <c r="X123" s="3403"/>
      <c r="Y123" s="3403"/>
      <c r="Z123" s="3403"/>
      <c r="AA123" s="3403"/>
      <c r="AB123" s="3403"/>
      <c r="AC123" s="3403"/>
      <c r="AD123" s="3403"/>
      <c r="AE123" s="3404"/>
    </row>
    <row r="124" spans="1:32" ht="15.6">
      <c r="A124" s="199"/>
      <c r="B124" s="201"/>
      <c r="C124" s="200"/>
      <c r="D124" s="200"/>
      <c r="E124" s="202"/>
      <c r="F124" s="202"/>
      <c r="G124" s="202"/>
      <c r="H124" s="202"/>
      <c r="I124" s="202"/>
      <c r="J124" s="213"/>
      <c r="K124" s="213"/>
      <c r="L124" s="202"/>
      <c r="M124" s="202"/>
      <c r="N124" s="202"/>
      <c r="O124" s="202"/>
      <c r="P124" s="202"/>
      <c r="Q124" s="3402"/>
      <c r="R124" s="3403"/>
      <c r="S124" s="3403"/>
      <c r="T124" s="3403"/>
      <c r="U124" s="3403"/>
      <c r="V124" s="3403"/>
      <c r="W124" s="3403"/>
      <c r="X124" s="3403"/>
      <c r="Y124" s="3403"/>
      <c r="Z124" s="3403"/>
      <c r="AA124" s="3403"/>
      <c r="AB124" s="3403"/>
      <c r="AC124" s="3403"/>
      <c r="AD124" s="3403"/>
      <c r="AE124" s="3404"/>
    </row>
    <row r="125" spans="1:32" ht="17.399999999999999">
      <c r="A125" s="199"/>
      <c r="B125" s="201"/>
      <c r="C125" s="200"/>
      <c r="D125" s="200"/>
      <c r="E125" s="202"/>
      <c r="F125" s="202"/>
      <c r="G125" s="202"/>
      <c r="H125" s="202"/>
      <c r="I125" s="202"/>
      <c r="J125" s="213"/>
      <c r="K125" s="213"/>
      <c r="L125" s="202"/>
      <c r="M125" s="202"/>
      <c r="N125" s="202"/>
      <c r="O125" s="202"/>
      <c r="P125" s="202"/>
      <c r="Q125" s="3527" t="s">
        <v>5474</v>
      </c>
      <c r="R125" s="3528"/>
      <c r="S125" s="3528"/>
      <c r="T125" s="3528"/>
      <c r="U125" s="3528"/>
      <c r="V125" s="3529" t="s">
        <v>169</v>
      </c>
      <c r="W125" s="3529"/>
      <c r="X125" s="3529" t="s">
        <v>5475</v>
      </c>
      <c r="Y125" s="3529"/>
      <c r="Z125" s="3529"/>
      <c r="AA125" s="3529"/>
      <c r="AB125" s="3529"/>
      <c r="AC125" s="3529"/>
      <c r="AD125" s="3529"/>
      <c r="AE125" s="3530"/>
    </row>
    <row r="126" spans="1:32" ht="15.6">
      <c r="A126" s="199"/>
      <c r="B126" s="201"/>
      <c r="C126" s="200"/>
      <c r="D126" s="200"/>
      <c r="E126" s="202"/>
      <c r="F126" s="202"/>
      <c r="G126" s="202"/>
      <c r="H126" s="202"/>
      <c r="I126" s="202"/>
      <c r="J126" s="213"/>
      <c r="K126" s="213"/>
      <c r="L126" s="202"/>
      <c r="M126" s="202"/>
      <c r="N126" s="202"/>
      <c r="O126" s="202"/>
      <c r="P126" s="202"/>
      <c r="Q126" s="3431" t="s">
        <v>5476</v>
      </c>
      <c r="R126" s="3432"/>
      <c r="S126" s="3432"/>
      <c r="T126" s="3432"/>
      <c r="U126" s="3432"/>
      <c r="V126" s="2972" t="s">
        <v>5477</v>
      </c>
      <c r="W126" s="2989"/>
      <c r="X126" s="2989" t="s">
        <v>5478</v>
      </c>
      <c r="Y126" s="2989"/>
      <c r="Z126" s="2989"/>
      <c r="AA126" s="2989"/>
      <c r="AB126" s="2989"/>
      <c r="AC126" s="2989"/>
      <c r="AD126" s="2989"/>
      <c r="AE126" s="3429"/>
    </row>
    <row r="127" spans="1:32" ht="15.6">
      <c r="A127" s="199"/>
      <c r="B127" s="201"/>
      <c r="C127" s="200"/>
      <c r="D127" s="200"/>
      <c r="E127" s="202"/>
      <c r="F127" s="202"/>
      <c r="G127" s="202"/>
      <c r="H127" s="202"/>
      <c r="I127" s="202"/>
      <c r="J127" s="213"/>
      <c r="K127" s="213"/>
      <c r="L127" s="202"/>
      <c r="M127" s="202"/>
      <c r="N127" s="202"/>
      <c r="O127" s="202"/>
      <c r="P127" s="202"/>
      <c r="Q127" s="3431"/>
      <c r="R127" s="3432"/>
      <c r="S127" s="3432"/>
      <c r="T127" s="3432"/>
      <c r="U127" s="3432"/>
      <c r="V127" s="2989"/>
      <c r="W127" s="2989"/>
      <c r="X127" s="2989"/>
      <c r="Y127" s="2989"/>
      <c r="Z127" s="2989"/>
      <c r="AA127" s="2989"/>
      <c r="AB127" s="2989"/>
      <c r="AC127" s="2989"/>
      <c r="AD127" s="2989"/>
      <c r="AE127" s="3429"/>
    </row>
    <row r="128" spans="1:32" ht="15.6">
      <c r="A128" s="199"/>
      <c r="B128" s="201"/>
      <c r="C128" s="200"/>
      <c r="D128" s="200"/>
      <c r="E128" s="202"/>
      <c r="F128" s="202"/>
      <c r="G128" s="202"/>
      <c r="H128" s="202"/>
      <c r="I128" s="202"/>
      <c r="J128" s="213"/>
      <c r="K128" s="213"/>
      <c r="L128" s="202"/>
      <c r="M128" s="202"/>
      <c r="N128" s="202"/>
      <c r="O128" s="202"/>
      <c r="P128" s="202"/>
      <c r="Q128" s="3431"/>
      <c r="R128" s="3432"/>
      <c r="S128" s="3432"/>
      <c r="T128" s="3432"/>
      <c r="U128" s="3432"/>
      <c r="V128" s="2989"/>
      <c r="W128" s="2989"/>
      <c r="X128" s="2989"/>
      <c r="Y128" s="2989"/>
      <c r="Z128" s="2989"/>
      <c r="AA128" s="2989"/>
      <c r="AB128" s="2989"/>
      <c r="AC128" s="2989"/>
      <c r="AD128" s="2989"/>
      <c r="AE128" s="3429"/>
    </row>
    <row r="129" spans="1:31" ht="15.6">
      <c r="A129" s="199"/>
      <c r="B129" s="201"/>
      <c r="C129" s="200"/>
      <c r="D129" s="200"/>
      <c r="E129" s="202"/>
      <c r="F129" s="202"/>
      <c r="G129" s="202"/>
      <c r="H129" s="202"/>
      <c r="I129" s="202"/>
      <c r="J129" s="213"/>
      <c r="K129" s="213"/>
      <c r="L129" s="202"/>
      <c r="M129" s="202"/>
      <c r="N129" s="202"/>
      <c r="O129" s="202"/>
      <c r="P129" s="202"/>
      <c r="Q129" s="3373" t="s">
        <v>5479</v>
      </c>
      <c r="R129" s="3374"/>
      <c r="S129" s="3374"/>
      <c r="T129" s="3374"/>
      <c r="U129" s="3374"/>
      <c r="V129" s="3332" t="s">
        <v>5480</v>
      </c>
      <c r="W129" s="3333"/>
      <c r="X129" s="3333" t="s">
        <v>5481</v>
      </c>
      <c r="Y129" s="3333"/>
      <c r="Z129" s="3333"/>
      <c r="AA129" s="3333"/>
      <c r="AB129" s="3333"/>
      <c r="AC129" s="3333"/>
      <c r="AD129" s="3333"/>
      <c r="AE129" s="3370"/>
    </row>
    <row r="130" spans="1:31" ht="15.6">
      <c r="A130" s="199"/>
      <c r="B130" s="201"/>
      <c r="C130" s="200"/>
      <c r="D130" s="200"/>
      <c r="E130" s="202"/>
      <c r="F130" s="202"/>
      <c r="G130" s="202"/>
      <c r="H130" s="202"/>
      <c r="I130" s="202"/>
      <c r="J130" s="213"/>
      <c r="K130" s="213"/>
      <c r="L130" s="202"/>
      <c r="M130" s="202"/>
      <c r="N130" s="202"/>
      <c r="O130" s="202"/>
      <c r="P130" s="202"/>
      <c r="Q130" s="3373"/>
      <c r="R130" s="3374"/>
      <c r="S130" s="3374"/>
      <c r="T130" s="3374"/>
      <c r="U130" s="3374"/>
      <c r="V130" s="3333"/>
      <c r="W130" s="3333"/>
      <c r="X130" s="3333"/>
      <c r="Y130" s="3333"/>
      <c r="Z130" s="3333"/>
      <c r="AA130" s="3333"/>
      <c r="AB130" s="3333"/>
      <c r="AC130" s="3333"/>
      <c r="AD130" s="3333"/>
      <c r="AE130" s="3370"/>
    </row>
    <row r="131" spans="1:31" ht="15.6">
      <c r="A131" s="199"/>
      <c r="B131" s="201"/>
      <c r="C131" s="200"/>
      <c r="D131" s="200"/>
      <c r="E131" s="202"/>
      <c r="F131" s="202"/>
      <c r="G131" s="202"/>
      <c r="H131" s="202"/>
      <c r="I131" s="202"/>
      <c r="J131" s="213"/>
      <c r="K131" s="213"/>
      <c r="L131" s="202"/>
      <c r="M131" s="202"/>
      <c r="N131" s="202"/>
      <c r="O131" s="202"/>
      <c r="P131" s="202"/>
      <c r="Q131" s="3373"/>
      <c r="R131" s="3374"/>
      <c r="S131" s="3374"/>
      <c r="T131" s="3374"/>
      <c r="U131" s="3374"/>
      <c r="V131" s="3333"/>
      <c r="W131" s="3333"/>
      <c r="X131" s="3333"/>
      <c r="Y131" s="3333"/>
      <c r="Z131" s="3333"/>
      <c r="AA131" s="3333"/>
      <c r="AB131" s="3333"/>
      <c r="AC131" s="3333"/>
      <c r="AD131" s="3333"/>
      <c r="AE131" s="3370"/>
    </row>
    <row r="132" spans="1:31" ht="15.6">
      <c r="A132" s="199"/>
      <c r="B132" s="200"/>
      <c r="C132" s="200"/>
      <c r="D132" s="200"/>
      <c r="E132" s="213"/>
      <c r="F132" s="213"/>
      <c r="G132" s="213"/>
      <c r="H132" s="213"/>
      <c r="I132" s="213"/>
      <c r="J132" s="213"/>
      <c r="K132" s="213"/>
      <c r="L132" s="202"/>
      <c r="M132" s="202"/>
      <c r="N132" s="202"/>
      <c r="O132" s="202"/>
      <c r="P132" s="202"/>
      <c r="Q132" s="3431" t="s">
        <v>5482</v>
      </c>
      <c r="R132" s="3432"/>
      <c r="S132" s="3432"/>
      <c r="T132" s="3432"/>
      <c r="U132" s="3432"/>
      <c r="V132" s="2972" t="s">
        <v>5483</v>
      </c>
      <c r="W132" s="2989"/>
      <c r="X132" s="2989" t="s">
        <v>5484</v>
      </c>
      <c r="Y132" s="2989"/>
      <c r="Z132" s="2989"/>
      <c r="AA132" s="2989"/>
      <c r="AB132" s="2989"/>
      <c r="AC132" s="2989"/>
      <c r="AD132" s="2989"/>
      <c r="AE132" s="3429"/>
    </row>
    <row r="133" spans="1:31" ht="15.6">
      <c r="A133" s="199"/>
      <c r="B133" s="200"/>
      <c r="C133" s="200"/>
      <c r="D133" s="200"/>
      <c r="E133" s="213"/>
      <c r="F133" s="213"/>
      <c r="G133" s="213"/>
      <c r="H133" s="213"/>
      <c r="I133" s="213"/>
      <c r="J133" s="213"/>
      <c r="K133" s="213"/>
      <c r="L133" s="202"/>
      <c r="M133" s="202"/>
      <c r="N133" s="202"/>
      <c r="O133" s="202"/>
      <c r="P133" s="202"/>
      <c r="Q133" s="3431"/>
      <c r="R133" s="3432"/>
      <c r="S133" s="3432"/>
      <c r="T133" s="3432"/>
      <c r="U133" s="3432"/>
      <c r="V133" s="2989"/>
      <c r="W133" s="2989"/>
      <c r="X133" s="2989"/>
      <c r="Y133" s="2989"/>
      <c r="Z133" s="2989"/>
      <c r="AA133" s="2989"/>
      <c r="AB133" s="2989"/>
      <c r="AC133" s="2989"/>
      <c r="AD133" s="2989"/>
      <c r="AE133" s="3429"/>
    </row>
    <row r="134" spans="1:31" ht="15.6">
      <c r="A134" s="199"/>
      <c r="B134" s="200"/>
      <c r="C134" s="200"/>
      <c r="D134" s="200"/>
      <c r="E134" s="213"/>
      <c r="F134" s="213"/>
      <c r="G134" s="213"/>
      <c r="H134" s="213"/>
      <c r="I134" s="213"/>
      <c r="J134" s="213"/>
      <c r="K134" s="213"/>
      <c r="L134" s="202"/>
      <c r="M134" s="202"/>
      <c r="N134" s="202"/>
      <c r="O134" s="202"/>
      <c r="P134" s="202"/>
      <c r="Q134" s="3431"/>
      <c r="R134" s="3432"/>
      <c r="S134" s="3432"/>
      <c r="T134" s="3432"/>
      <c r="U134" s="3432"/>
      <c r="V134" s="2989"/>
      <c r="W134" s="2989"/>
      <c r="X134" s="2989"/>
      <c r="Y134" s="2989"/>
      <c r="Z134" s="2989"/>
      <c r="AA134" s="2989"/>
      <c r="AB134" s="2989"/>
      <c r="AC134" s="2989"/>
      <c r="AD134" s="2989"/>
      <c r="AE134" s="3429"/>
    </row>
    <row r="135" spans="1:31" ht="15.6">
      <c r="A135" s="199"/>
      <c r="B135" s="200"/>
      <c r="C135" s="200"/>
      <c r="D135" s="200"/>
      <c r="E135" s="213"/>
      <c r="F135" s="213"/>
      <c r="G135" s="213"/>
      <c r="H135" s="213"/>
      <c r="I135" s="213"/>
      <c r="J135" s="213"/>
      <c r="K135" s="213"/>
      <c r="L135" s="202"/>
      <c r="M135" s="202"/>
      <c r="N135" s="202"/>
      <c r="O135" s="202"/>
      <c r="P135" s="202"/>
      <c r="Q135" s="3373" t="s">
        <v>5485</v>
      </c>
      <c r="R135" s="3374"/>
      <c r="S135" s="3374"/>
      <c r="T135" s="3374"/>
      <c r="U135" s="3374"/>
      <c r="V135" s="3332" t="s">
        <v>5486</v>
      </c>
      <c r="W135" s="3333"/>
      <c r="X135" s="3333" t="s">
        <v>5487</v>
      </c>
      <c r="Y135" s="3333"/>
      <c r="Z135" s="3333"/>
      <c r="AA135" s="3333"/>
      <c r="AB135" s="3333"/>
      <c r="AC135" s="3333"/>
      <c r="AD135" s="3333"/>
      <c r="AE135" s="3370"/>
    </row>
    <row r="136" spans="1:31" ht="15.6">
      <c r="A136" s="199"/>
      <c r="B136" s="200"/>
      <c r="C136" s="200"/>
      <c r="D136" s="200"/>
      <c r="E136" s="213"/>
      <c r="F136" s="213"/>
      <c r="G136" s="213"/>
      <c r="H136" s="213"/>
      <c r="I136" s="213"/>
      <c r="J136" s="213"/>
      <c r="K136" s="213"/>
      <c r="L136" s="202"/>
      <c r="M136" s="202"/>
      <c r="N136" s="202"/>
      <c r="O136" s="202"/>
      <c r="P136" s="202"/>
      <c r="Q136" s="3373"/>
      <c r="R136" s="3374"/>
      <c r="S136" s="3374"/>
      <c r="T136" s="3374"/>
      <c r="U136" s="3374"/>
      <c r="V136" s="3333"/>
      <c r="W136" s="3333"/>
      <c r="X136" s="3333"/>
      <c r="Y136" s="3333"/>
      <c r="Z136" s="3333"/>
      <c r="AA136" s="3333"/>
      <c r="AB136" s="3333"/>
      <c r="AC136" s="3333"/>
      <c r="AD136" s="3333"/>
      <c r="AE136" s="3370"/>
    </row>
    <row r="137" spans="1:31" ht="15.6">
      <c r="A137" s="199"/>
      <c r="B137" s="200"/>
      <c r="C137" s="200"/>
      <c r="D137" s="200"/>
      <c r="E137" s="213"/>
      <c r="F137" s="213"/>
      <c r="G137" s="213"/>
      <c r="H137" s="213"/>
      <c r="I137" s="213"/>
      <c r="J137" s="213"/>
      <c r="K137" s="213"/>
      <c r="L137" s="202"/>
      <c r="M137" s="202"/>
      <c r="N137" s="202"/>
      <c r="O137" s="202"/>
      <c r="P137" s="202"/>
      <c r="Q137" s="3373"/>
      <c r="R137" s="3374"/>
      <c r="S137" s="3374"/>
      <c r="T137" s="3374"/>
      <c r="U137" s="3374"/>
      <c r="V137" s="3333"/>
      <c r="W137" s="3333"/>
      <c r="X137" s="3333"/>
      <c r="Y137" s="3333"/>
      <c r="Z137" s="3333"/>
      <c r="AA137" s="3333"/>
      <c r="AB137" s="3333"/>
      <c r="AC137" s="3333"/>
      <c r="AD137" s="3333"/>
      <c r="AE137" s="3370"/>
    </row>
    <row r="138" spans="1:31" ht="15.6">
      <c r="A138" s="199"/>
      <c r="B138" s="200"/>
      <c r="C138" s="200"/>
      <c r="D138" s="200"/>
      <c r="E138" s="213"/>
      <c r="F138" s="213"/>
      <c r="G138" s="213"/>
      <c r="H138" s="213"/>
      <c r="I138" s="213"/>
      <c r="J138" s="213"/>
      <c r="K138" s="213"/>
      <c r="L138" s="202"/>
      <c r="M138" s="202"/>
      <c r="N138" s="202"/>
      <c r="O138" s="202"/>
      <c r="P138" s="202"/>
      <c r="Q138" s="3431" t="s">
        <v>5488</v>
      </c>
      <c r="R138" s="3432"/>
      <c r="S138" s="3432"/>
      <c r="T138" s="3432"/>
      <c r="U138" s="3432"/>
      <c r="V138" s="2972" t="s">
        <v>5489</v>
      </c>
      <c r="W138" s="2989"/>
      <c r="X138" s="2989" t="s">
        <v>5490</v>
      </c>
      <c r="Y138" s="2989"/>
      <c r="Z138" s="2989"/>
      <c r="AA138" s="2989"/>
      <c r="AB138" s="2989"/>
      <c r="AC138" s="2989"/>
      <c r="AD138" s="2989"/>
      <c r="AE138" s="3429"/>
    </row>
    <row r="139" spans="1:31" ht="15.6">
      <c r="A139" s="199"/>
      <c r="B139" s="200"/>
      <c r="C139" s="200"/>
      <c r="D139" s="200"/>
      <c r="E139" s="213"/>
      <c r="F139" s="213"/>
      <c r="G139" s="213"/>
      <c r="H139" s="213"/>
      <c r="I139" s="213"/>
      <c r="J139" s="213"/>
      <c r="K139" s="213"/>
      <c r="L139" s="202"/>
      <c r="M139" s="202"/>
      <c r="N139" s="202"/>
      <c r="O139" s="202"/>
      <c r="P139" s="202"/>
      <c r="Q139" s="3431"/>
      <c r="R139" s="3432"/>
      <c r="S139" s="3432"/>
      <c r="T139" s="3432"/>
      <c r="U139" s="3432"/>
      <c r="V139" s="2989"/>
      <c r="W139" s="2989"/>
      <c r="X139" s="2989"/>
      <c r="Y139" s="2989"/>
      <c r="Z139" s="2989"/>
      <c r="AA139" s="2989"/>
      <c r="AB139" s="2989"/>
      <c r="AC139" s="2989"/>
      <c r="AD139" s="2989"/>
      <c r="AE139" s="3429"/>
    </row>
    <row r="140" spans="1:31" ht="15.6">
      <c r="A140" s="199"/>
      <c r="B140" s="200"/>
      <c r="C140" s="200"/>
      <c r="D140" s="200"/>
      <c r="E140" s="213"/>
      <c r="F140" s="213"/>
      <c r="G140" s="213"/>
      <c r="H140" s="213"/>
      <c r="I140" s="213"/>
      <c r="J140" s="213"/>
      <c r="K140" s="213"/>
      <c r="L140" s="202"/>
      <c r="M140" s="202"/>
      <c r="N140" s="202"/>
      <c r="O140" s="202"/>
      <c r="P140" s="202"/>
      <c r="Q140" s="3520"/>
      <c r="R140" s="3521"/>
      <c r="S140" s="3521"/>
      <c r="T140" s="3521"/>
      <c r="U140" s="3521"/>
      <c r="V140" s="2980"/>
      <c r="W140" s="2980"/>
      <c r="X140" s="2980"/>
      <c r="Y140" s="2980"/>
      <c r="Z140" s="2980"/>
      <c r="AA140" s="2980"/>
      <c r="AB140" s="2980"/>
      <c r="AC140" s="2980"/>
      <c r="AD140" s="2980"/>
      <c r="AE140" s="2981"/>
    </row>
    <row r="141" spans="1:31">
      <c r="A141" s="199"/>
      <c r="B141" s="183"/>
      <c r="C141" s="183"/>
      <c r="D141" s="183"/>
      <c r="E141" s="183"/>
      <c r="F141" s="183"/>
      <c r="G141" s="183"/>
      <c r="H141" s="183"/>
      <c r="I141" s="183"/>
      <c r="J141" s="183"/>
      <c r="K141" s="183"/>
      <c r="L141" s="183"/>
      <c r="M141" s="183"/>
      <c r="N141" s="183"/>
      <c r="O141" s="183"/>
      <c r="P141" s="183"/>
      <c r="Q141" s="183"/>
    </row>
    <row r="142" spans="1:31" ht="37.200000000000003">
      <c r="A142" s="199"/>
      <c r="B142" s="246"/>
      <c r="C142" s="246"/>
      <c r="D142" s="246"/>
      <c r="E142" s="246"/>
      <c r="F142" s="246"/>
      <c r="G142" s="246"/>
      <c r="H142" s="246"/>
      <c r="I142" s="246"/>
      <c r="J142" s="246"/>
      <c r="K142" s="246"/>
      <c r="L142" s="246"/>
      <c r="M142" s="246"/>
      <c r="N142" s="246"/>
      <c r="O142" s="246"/>
      <c r="P142" s="246"/>
      <c r="Q142" s="246"/>
    </row>
    <row r="143" spans="1:31" ht="37.200000000000003">
      <c r="A143" s="199"/>
      <c r="B143" s="246"/>
      <c r="C143" s="246"/>
      <c r="D143" s="246"/>
      <c r="E143" s="246"/>
      <c r="F143" s="246"/>
      <c r="G143" s="246"/>
      <c r="H143" s="246"/>
      <c r="I143" s="246"/>
      <c r="J143" s="246"/>
      <c r="K143" s="246"/>
      <c r="L143" s="246"/>
      <c r="M143" s="246"/>
      <c r="N143" s="246"/>
      <c r="O143" s="246"/>
      <c r="P143" s="246"/>
      <c r="Q143" s="246"/>
    </row>
    <row r="144" spans="1:31" ht="37.200000000000003">
      <c r="A144" s="199"/>
      <c r="B144" s="246"/>
      <c r="C144" s="246"/>
      <c r="D144" s="246"/>
      <c r="E144" s="246"/>
      <c r="F144" s="246"/>
      <c r="G144" s="246"/>
      <c r="H144" s="246"/>
      <c r="I144" s="246"/>
      <c r="J144" s="246"/>
      <c r="K144" s="246"/>
      <c r="L144" s="246"/>
      <c r="M144" s="246"/>
      <c r="N144" s="246"/>
      <c r="O144" s="246"/>
      <c r="P144" s="246"/>
      <c r="Q144" s="246"/>
    </row>
    <row r="145" spans="1:19" ht="15.6">
      <c r="A145" s="199"/>
      <c r="B145" s="247"/>
      <c r="C145" s="247"/>
      <c r="D145" s="247"/>
      <c r="E145" s="247"/>
      <c r="F145" s="247"/>
      <c r="G145" s="248"/>
      <c r="H145" s="248"/>
      <c r="I145" s="253"/>
      <c r="J145" s="253"/>
      <c r="K145" s="253"/>
      <c r="L145" s="253"/>
      <c r="M145" s="253"/>
      <c r="N145" s="253"/>
      <c r="O145" s="253"/>
      <c r="P145" s="253"/>
      <c r="Q145" s="253"/>
    </row>
    <row r="146" spans="1:19" ht="22.95" customHeight="1">
      <c r="A146" s="199"/>
      <c r="B146" s="249"/>
      <c r="C146" s="247"/>
      <c r="D146" s="3458"/>
      <c r="E146" s="3458"/>
      <c r="F146" s="3458"/>
      <c r="G146" s="3458"/>
      <c r="H146" s="248"/>
      <c r="I146" s="3415"/>
      <c r="J146" s="3415"/>
      <c r="K146" s="253"/>
      <c r="L146" s="3415"/>
      <c r="M146" s="3415"/>
      <c r="N146" s="253"/>
      <c r="O146" s="3415"/>
      <c r="P146" s="3415"/>
      <c r="Q146" s="3415"/>
    </row>
    <row r="147" spans="1:19" ht="15.6">
      <c r="A147" s="199"/>
      <c r="B147" s="3371"/>
      <c r="C147" s="247"/>
      <c r="D147" s="3371"/>
      <c r="E147" s="3459"/>
      <c r="F147" s="3371"/>
      <c r="G147" s="3371"/>
      <c r="H147" s="247"/>
      <c r="I147" s="3334"/>
      <c r="J147" s="3334"/>
      <c r="K147" s="253"/>
      <c r="L147" s="3334"/>
      <c r="M147" s="3334"/>
      <c r="N147" s="253"/>
      <c r="O147" s="3334"/>
      <c r="P147" s="3368"/>
      <c r="Q147" s="3368"/>
    </row>
    <row r="148" spans="1:19" ht="15.6">
      <c r="A148" s="199"/>
      <c r="B148" s="3477"/>
      <c r="C148" s="247"/>
      <c r="D148" s="3459"/>
      <c r="E148" s="3459"/>
      <c r="F148" s="3371"/>
      <c r="G148" s="3371"/>
      <c r="H148" s="247"/>
      <c r="I148" s="3334"/>
      <c r="J148" s="3334"/>
      <c r="K148" s="253"/>
      <c r="L148" s="3334"/>
      <c r="M148" s="3334"/>
      <c r="N148" s="253"/>
      <c r="O148" s="3368"/>
      <c r="P148" s="3368"/>
      <c r="Q148" s="3368"/>
    </row>
    <row r="149" spans="1:19" ht="15.6">
      <c r="A149" s="199"/>
      <c r="B149" s="3477"/>
      <c r="C149" s="247"/>
      <c r="D149" s="3459"/>
      <c r="E149" s="3459"/>
      <c r="F149" s="3371"/>
      <c r="G149" s="3371"/>
      <c r="H149" s="247"/>
      <c r="I149" s="3334"/>
      <c r="J149" s="3334"/>
      <c r="K149" s="253"/>
      <c r="L149" s="3334"/>
      <c r="M149" s="3334"/>
      <c r="N149" s="253"/>
      <c r="O149" s="3368"/>
      <c r="P149" s="3368"/>
      <c r="Q149" s="3368"/>
    </row>
    <row r="150" spans="1:19" ht="15.6">
      <c r="A150" s="199"/>
      <c r="B150" s="3477"/>
      <c r="C150" s="247"/>
      <c r="D150" s="3459"/>
      <c r="E150" s="3459"/>
      <c r="F150" s="3371"/>
      <c r="G150" s="3371"/>
      <c r="H150" s="247"/>
      <c r="I150" s="3334"/>
      <c r="J150" s="3334"/>
      <c r="K150" s="253"/>
      <c r="L150" s="3334"/>
      <c r="M150" s="3334"/>
      <c r="N150" s="253"/>
      <c r="O150" s="3368"/>
      <c r="P150" s="3368"/>
      <c r="Q150" s="3368"/>
    </row>
    <row r="151" spans="1:19" ht="15.6">
      <c r="A151" s="199"/>
      <c r="B151" s="3477"/>
      <c r="C151" s="247"/>
      <c r="D151" s="3459"/>
      <c r="E151" s="3459"/>
      <c r="F151" s="3371"/>
      <c r="G151" s="3371"/>
      <c r="H151" s="247"/>
      <c r="I151" s="3334"/>
      <c r="J151" s="3334"/>
      <c r="K151" s="253"/>
      <c r="L151" s="3334"/>
      <c r="M151" s="3334"/>
      <c r="N151" s="253"/>
      <c r="O151" s="3368"/>
      <c r="P151" s="3368"/>
      <c r="Q151" s="3368"/>
    </row>
    <row r="152" spans="1:19" ht="15.6">
      <c r="A152" s="199"/>
      <c r="B152" s="3477"/>
      <c r="C152" s="247"/>
      <c r="D152" s="3459"/>
      <c r="E152" s="3459"/>
      <c r="F152" s="3371"/>
      <c r="G152" s="3371"/>
      <c r="H152" s="247"/>
      <c r="I152" s="3334"/>
      <c r="J152" s="3334"/>
      <c r="K152" s="253"/>
      <c r="L152" s="3334"/>
      <c r="M152" s="3334"/>
      <c r="N152" s="253"/>
      <c r="O152" s="3368"/>
      <c r="P152" s="3368"/>
      <c r="Q152" s="3368"/>
    </row>
    <row r="153" spans="1:19" ht="15.6">
      <c r="A153" s="199"/>
      <c r="B153" s="3477"/>
      <c r="C153" s="247"/>
      <c r="D153" s="3459"/>
      <c r="E153" s="3459"/>
      <c r="F153" s="3371"/>
      <c r="G153" s="3371"/>
      <c r="H153" s="247"/>
      <c r="I153" s="3334"/>
      <c r="J153" s="3334"/>
      <c r="K153" s="253"/>
      <c r="L153" s="3334"/>
      <c r="M153" s="3334"/>
      <c r="N153" s="253"/>
      <c r="O153" s="3368"/>
      <c r="P153" s="3368"/>
      <c r="Q153" s="3368"/>
    </row>
    <row r="154" spans="1:19" ht="15.6">
      <c r="A154" s="199"/>
      <c r="B154" s="3477"/>
      <c r="C154" s="247"/>
      <c r="D154" s="3459"/>
      <c r="E154" s="3459"/>
      <c r="F154" s="3371"/>
      <c r="G154" s="3371"/>
      <c r="H154" s="247"/>
      <c r="I154" s="3334"/>
      <c r="J154" s="3334"/>
      <c r="K154" s="253"/>
      <c r="L154" s="3334"/>
      <c r="M154" s="3334"/>
      <c r="N154" s="253"/>
      <c r="O154" s="3368"/>
      <c r="P154" s="3368"/>
      <c r="Q154" s="3368"/>
    </row>
    <row r="155" spans="1:19" ht="15.6">
      <c r="A155" s="199"/>
      <c r="B155" s="247"/>
      <c r="C155" s="247"/>
      <c r="D155" s="247"/>
      <c r="E155" s="247"/>
      <c r="F155" s="247"/>
      <c r="G155" s="247"/>
      <c r="H155" s="247"/>
      <c r="I155" s="253"/>
      <c r="J155" s="253"/>
      <c r="K155" s="253"/>
      <c r="L155" s="253"/>
      <c r="M155" s="253"/>
      <c r="N155" s="253"/>
      <c r="O155" s="253"/>
      <c r="P155" s="253"/>
      <c r="Q155" s="253"/>
    </row>
    <row r="156" spans="1:19" ht="15.6">
      <c r="A156" s="199"/>
      <c r="B156" s="247"/>
      <c r="C156" s="247"/>
      <c r="D156" s="247"/>
      <c r="E156" s="247"/>
      <c r="F156" s="247"/>
      <c r="G156" s="247"/>
      <c r="H156" s="247"/>
      <c r="I156" s="253"/>
      <c r="J156" s="253"/>
      <c r="K156" s="253"/>
      <c r="L156" s="253"/>
      <c r="M156" s="253"/>
      <c r="N156" s="253"/>
      <c r="O156" s="253"/>
      <c r="P156" s="253"/>
      <c r="Q156" s="253"/>
    </row>
    <row r="157" spans="1:19" ht="15.6">
      <c r="A157" s="199"/>
      <c r="B157" s="3458"/>
      <c r="C157" s="3458"/>
      <c r="D157" s="3458"/>
      <c r="E157" s="247"/>
      <c r="F157" s="3458"/>
      <c r="G157" s="3458"/>
      <c r="H157" s="3458"/>
      <c r="I157" s="3458"/>
      <c r="J157" s="253"/>
      <c r="K157" s="3415"/>
      <c r="L157" s="3415"/>
      <c r="M157" s="3415"/>
      <c r="N157" s="3415"/>
      <c r="O157" s="3415"/>
      <c r="P157" s="3415"/>
      <c r="Q157" s="3415"/>
      <c r="S157" s="256"/>
    </row>
    <row r="158" spans="1:19" ht="15.6">
      <c r="A158" s="199"/>
      <c r="B158" s="3458"/>
      <c r="C158" s="3458"/>
      <c r="D158" s="3458"/>
      <c r="E158" s="247"/>
      <c r="F158" s="3458"/>
      <c r="G158" s="3458"/>
      <c r="H158" s="3458"/>
      <c r="I158" s="3458"/>
      <c r="J158" s="253"/>
      <c r="K158" s="3415"/>
      <c r="L158" s="3415"/>
      <c r="M158" s="3415"/>
      <c r="N158" s="3415"/>
      <c r="O158" s="3415"/>
      <c r="P158" s="3415"/>
      <c r="Q158" s="3415"/>
      <c r="S158" s="256"/>
    </row>
    <row r="159" spans="1:19" ht="15.6">
      <c r="A159" s="199"/>
      <c r="B159" s="3380"/>
      <c r="C159" s="3371"/>
      <c r="D159" s="3371"/>
      <c r="E159" s="247"/>
      <c r="F159" s="3371"/>
      <c r="G159" s="3371"/>
      <c r="H159" s="3380"/>
      <c r="I159" s="3380"/>
      <c r="J159" s="253"/>
      <c r="K159" s="3334"/>
      <c r="L159" s="3334"/>
      <c r="M159" s="3334"/>
      <c r="N159" s="3334"/>
      <c r="O159" s="3335"/>
      <c r="P159" s="3335"/>
      <c r="Q159" s="3335"/>
      <c r="R159" s="257"/>
      <c r="S159" s="256"/>
    </row>
    <row r="160" spans="1:19" ht="15.6">
      <c r="A160" s="199"/>
      <c r="B160" s="3380"/>
      <c r="C160" s="3371"/>
      <c r="D160" s="3371"/>
      <c r="E160" s="247"/>
      <c r="F160" s="3371"/>
      <c r="G160" s="3371"/>
      <c r="H160" s="3380"/>
      <c r="I160" s="3380"/>
      <c r="J160" s="253"/>
      <c r="K160" s="3334"/>
      <c r="L160" s="3334"/>
      <c r="M160" s="3334"/>
      <c r="N160" s="3334"/>
      <c r="O160" s="3335"/>
      <c r="P160" s="3335"/>
      <c r="Q160" s="3335"/>
      <c r="R160" s="257"/>
      <c r="S160" s="256"/>
    </row>
    <row r="161" spans="2:19" ht="15.6">
      <c r="B161" s="3380"/>
      <c r="C161" s="250"/>
      <c r="D161" s="250"/>
      <c r="E161" s="248"/>
      <c r="F161" s="3371"/>
      <c r="G161" s="3371"/>
      <c r="H161" s="3380"/>
      <c r="I161" s="3380"/>
      <c r="J161" s="253"/>
      <c r="K161" s="3376"/>
      <c r="L161" s="3376"/>
      <c r="M161" s="3376"/>
      <c r="N161" s="3376"/>
      <c r="O161" s="3376"/>
      <c r="P161" s="3376"/>
      <c r="Q161" s="3376"/>
      <c r="S161" s="256"/>
    </row>
    <row r="162" spans="2:19" ht="15.6">
      <c r="B162" s="3380"/>
      <c r="C162" s="250"/>
      <c r="D162" s="250"/>
      <c r="E162" s="248"/>
      <c r="F162" s="3371"/>
      <c r="G162" s="3371"/>
      <c r="H162" s="3380"/>
      <c r="I162" s="3380"/>
      <c r="J162" s="253"/>
      <c r="K162" s="3376"/>
      <c r="L162" s="3376"/>
      <c r="M162" s="3376"/>
      <c r="N162" s="3376"/>
      <c r="O162" s="3376"/>
      <c r="P162" s="3376"/>
      <c r="Q162" s="3376"/>
      <c r="S162" s="256"/>
    </row>
    <row r="163" spans="2:19" ht="15.6">
      <c r="B163" s="3380"/>
      <c r="C163" s="250"/>
      <c r="D163" s="250"/>
      <c r="E163" s="248"/>
      <c r="F163" s="3371"/>
      <c r="G163" s="3371"/>
      <c r="H163" s="3380"/>
      <c r="I163" s="3380"/>
      <c r="J163" s="253"/>
      <c r="K163" s="3334"/>
      <c r="L163" s="3334"/>
      <c r="M163" s="3334"/>
      <c r="N163" s="3334"/>
      <c r="O163" s="3334"/>
      <c r="P163" s="3334"/>
      <c r="Q163" s="3334"/>
    </row>
    <row r="164" spans="2:19" ht="15.6">
      <c r="B164" s="3380"/>
      <c r="C164" s="250"/>
      <c r="D164" s="250"/>
      <c r="E164" s="248"/>
      <c r="F164" s="3371"/>
      <c r="G164" s="3371"/>
      <c r="H164" s="3380"/>
      <c r="I164" s="3380"/>
      <c r="J164" s="253"/>
      <c r="K164" s="3334"/>
      <c r="L164" s="3334"/>
      <c r="M164" s="3334"/>
      <c r="N164" s="3334"/>
      <c r="O164" s="3334"/>
      <c r="P164" s="3334"/>
      <c r="Q164" s="3334"/>
    </row>
    <row r="165" spans="2:19" ht="15.6">
      <c r="B165" s="3380"/>
      <c r="C165" s="250"/>
      <c r="D165" s="250"/>
      <c r="E165" s="248"/>
      <c r="F165" s="3371"/>
      <c r="G165" s="3371"/>
      <c r="H165" s="3380"/>
      <c r="I165" s="3380"/>
      <c r="J165" s="253"/>
      <c r="K165" s="3334"/>
      <c r="L165" s="3334"/>
      <c r="M165" s="3334"/>
      <c r="N165" s="3334"/>
      <c r="O165" s="3334"/>
      <c r="P165" s="3334"/>
      <c r="Q165" s="3334"/>
    </row>
    <row r="166" spans="2:19" ht="15.6">
      <c r="B166" s="3380"/>
      <c r="C166" s="250"/>
      <c r="D166" s="250"/>
      <c r="E166" s="248"/>
      <c r="F166" s="3371"/>
      <c r="G166" s="3371"/>
      <c r="H166" s="3380"/>
      <c r="I166" s="3380"/>
      <c r="J166" s="253"/>
      <c r="K166" s="3334"/>
      <c r="L166" s="3334"/>
      <c r="M166" s="3334"/>
      <c r="N166" s="3334"/>
      <c r="O166" s="3334"/>
      <c r="P166" s="3334"/>
      <c r="Q166" s="3334"/>
    </row>
    <row r="167" spans="2:19" ht="15.6">
      <c r="B167" s="3380"/>
      <c r="C167" s="251"/>
      <c r="D167" s="250"/>
      <c r="E167" s="248"/>
      <c r="F167" s="3371"/>
      <c r="G167" s="3371"/>
      <c r="H167" s="3380"/>
      <c r="I167" s="3380"/>
      <c r="J167" s="253"/>
      <c r="K167" s="3334"/>
      <c r="L167" s="3334"/>
      <c r="M167" s="3334"/>
      <c r="N167" s="3334"/>
      <c r="O167" s="3334"/>
      <c r="P167" s="3334"/>
      <c r="Q167" s="3334"/>
      <c r="R167" s="258"/>
    </row>
    <row r="168" spans="2:19" ht="15.6">
      <c r="B168" s="248"/>
      <c r="C168" s="252"/>
      <c r="D168" s="248"/>
      <c r="E168" s="248"/>
      <c r="F168" s="248"/>
      <c r="G168" s="248"/>
      <c r="H168" s="248"/>
      <c r="I168" s="253"/>
      <c r="J168" s="253"/>
      <c r="K168" s="254"/>
      <c r="L168" s="254"/>
      <c r="M168" s="254"/>
      <c r="N168" s="254"/>
      <c r="O168" s="255"/>
      <c r="P168" s="255"/>
      <c r="Q168" s="255"/>
      <c r="R168" s="258"/>
    </row>
    <row r="169" spans="2:19" ht="15.6">
      <c r="B169" s="248"/>
      <c r="C169" s="248"/>
      <c r="D169" s="248"/>
      <c r="E169" s="248"/>
      <c r="F169" s="248"/>
      <c r="G169" s="248"/>
      <c r="H169" s="248"/>
      <c r="I169" s="253"/>
      <c r="J169" s="253"/>
      <c r="K169" s="254"/>
      <c r="L169" s="254"/>
      <c r="M169" s="254"/>
      <c r="N169" s="254"/>
      <c r="O169" s="255"/>
      <c r="P169" s="255"/>
      <c r="Q169" s="255"/>
      <c r="R169" s="258"/>
    </row>
    <row r="170" spans="2:19" ht="15.6">
      <c r="B170" s="3415"/>
      <c r="C170" s="3415"/>
      <c r="D170" s="3415"/>
      <c r="E170" s="248"/>
      <c r="F170" s="3464"/>
      <c r="G170" s="3464"/>
      <c r="H170" s="248"/>
      <c r="I170" s="3415"/>
      <c r="J170" s="3415"/>
      <c r="K170" s="3415"/>
      <c r="L170" s="3415"/>
      <c r="M170" s="3415"/>
      <c r="N170" s="3415"/>
      <c r="O170" s="3415"/>
      <c r="P170" s="3415"/>
      <c r="Q170" s="3415"/>
      <c r="R170" s="258"/>
    </row>
    <row r="171" spans="2:19" ht="15.6">
      <c r="B171" s="3415"/>
      <c r="C171" s="3415"/>
      <c r="D171" s="3415"/>
      <c r="E171" s="248"/>
      <c r="F171" s="3464"/>
      <c r="G171" s="3464"/>
      <c r="H171" s="248"/>
      <c r="I171" s="3415"/>
      <c r="J171" s="3415"/>
      <c r="K171" s="3415"/>
      <c r="L171" s="3415"/>
      <c r="M171" s="3415"/>
      <c r="N171" s="3415"/>
      <c r="O171" s="3415"/>
      <c r="P171" s="3415"/>
      <c r="Q171" s="3415"/>
      <c r="R171" s="258"/>
    </row>
    <row r="172" spans="2:19" ht="15.6">
      <c r="B172" s="3382"/>
      <c r="C172" s="3334"/>
      <c r="D172" s="3334"/>
      <c r="E172" s="248"/>
      <c r="F172" s="3334"/>
      <c r="G172" s="3334"/>
      <c r="H172" s="248"/>
      <c r="I172" s="3334"/>
      <c r="J172" s="3334"/>
      <c r="K172" s="3334"/>
      <c r="L172" s="3334"/>
      <c r="M172" s="3334"/>
      <c r="N172" s="3334"/>
      <c r="O172" s="3334"/>
      <c r="P172" s="3334"/>
      <c r="Q172" s="3334"/>
      <c r="R172" s="258"/>
    </row>
    <row r="173" spans="2:19" ht="15.6">
      <c r="B173" s="3382"/>
      <c r="C173" s="3334"/>
      <c r="D173" s="3334"/>
      <c r="E173" s="248"/>
      <c r="F173" s="3334"/>
      <c r="G173" s="3334"/>
      <c r="H173" s="252"/>
      <c r="I173" s="3334"/>
      <c r="J173" s="3334"/>
      <c r="K173" s="3334"/>
      <c r="L173" s="3334"/>
      <c r="M173" s="3334"/>
      <c r="N173" s="3334"/>
      <c r="O173" s="3334"/>
      <c r="P173" s="3334"/>
      <c r="Q173" s="3334"/>
      <c r="R173" s="258"/>
    </row>
    <row r="174" spans="2:19" ht="15.6">
      <c r="B174" s="3382"/>
      <c r="C174" s="3334"/>
      <c r="D174" s="3334"/>
      <c r="E174" s="248"/>
      <c r="F174" s="3334"/>
      <c r="G174" s="3334"/>
      <c r="H174" s="252"/>
      <c r="I174" s="3368"/>
      <c r="J174" s="3334"/>
      <c r="K174" s="3334"/>
      <c r="L174" s="3334"/>
      <c r="M174" s="3334"/>
      <c r="N174" s="3334"/>
      <c r="O174" s="3334"/>
      <c r="P174" s="3334"/>
      <c r="Q174" s="3334"/>
      <c r="R174" s="258"/>
    </row>
    <row r="175" spans="2:19" ht="15">
      <c r="B175" s="3382"/>
      <c r="C175" s="3334"/>
      <c r="D175" s="3334"/>
      <c r="E175" s="248"/>
      <c r="F175" s="3334"/>
      <c r="G175" s="3334"/>
      <c r="H175" s="248"/>
      <c r="I175" s="3368"/>
      <c r="J175" s="3334"/>
      <c r="K175" s="3334"/>
      <c r="L175" s="3334"/>
      <c r="M175" s="3334"/>
      <c r="N175" s="3334"/>
      <c r="O175" s="3334"/>
      <c r="P175" s="3334"/>
      <c r="Q175" s="3334"/>
    </row>
    <row r="176" spans="2:19" ht="15">
      <c r="B176" s="3382"/>
      <c r="C176" s="3334"/>
      <c r="D176" s="3334"/>
      <c r="E176" s="248"/>
      <c r="F176" s="3334"/>
      <c r="G176" s="3334"/>
      <c r="H176" s="248"/>
      <c r="I176" s="3368"/>
      <c r="J176" s="3334"/>
      <c r="K176" s="3334"/>
      <c r="L176" s="3334"/>
      <c r="M176" s="3334"/>
      <c r="N176" s="3334"/>
      <c r="O176" s="3334"/>
      <c r="P176" s="3334"/>
      <c r="Q176" s="3334"/>
    </row>
    <row r="177" spans="2:17" ht="15.6">
      <c r="B177" s="3382"/>
      <c r="C177" s="3334"/>
      <c r="D177" s="3334"/>
      <c r="E177" s="248"/>
      <c r="F177" s="3334"/>
      <c r="G177" s="3334"/>
      <c r="H177" s="248"/>
      <c r="I177" s="251"/>
      <c r="J177" s="3368"/>
      <c r="K177" s="3368"/>
      <c r="L177" s="3368"/>
      <c r="M177" s="3334"/>
      <c r="N177" s="3334"/>
      <c r="O177" s="3334"/>
      <c r="P177" s="3334"/>
      <c r="Q177" s="3334"/>
    </row>
    <row r="178" spans="2:17" ht="15.6">
      <c r="B178" s="3382"/>
      <c r="C178" s="3334"/>
      <c r="D178" s="3334"/>
      <c r="E178" s="248"/>
      <c r="F178" s="3334"/>
      <c r="G178" s="3334"/>
      <c r="H178" s="248"/>
      <c r="I178" s="251"/>
      <c r="J178" s="3368"/>
      <c r="K178" s="3368"/>
      <c r="L178" s="3368"/>
      <c r="M178" s="3334"/>
      <c r="N178" s="3334"/>
      <c r="O178" s="3334"/>
      <c r="P178" s="3334"/>
      <c r="Q178" s="3334"/>
    </row>
    <row r="179" spans="2:17" ht="15.6">
      <c r="B179" s="3382"/>
      <c r="C179" s="3334"/>
      <c r="D179" s="3334"/>
      <c r="E179" s="248"/>
      <c r="F179" s="3334"/>
      <c r="G179" s="3334"/>
      <c r="H179" s="248"/>
      <c r="I179" s="251"/>
      <c r="J179" s="3368"/>
      <c r="K179" s="3368"/>
      <c r="L179" s="3368"/>
      <c r="M179" s="3334"/>
      <c r="N179" s="3334"/>
      <c r="O179" s="3334"/>
      <c r="P179" s="3334"/>
      <c r="Q179" s="3334"/>
    </row>
    <row r="180" spans="2:17" ht="15.6">
      <c r="B180" s="3382"/>
      <c r="C180" s="3334"/>
      <c r="D180" s="3334"/>
      <c r="E180" s="248"/>
      <c r="F180" s="3334"/>
      <c r="G180" s="3334"/>
      <c r="H180" s="248"/>
      <c r="I180" s="3368"/>
      <c r="J180" s="3368"/>
      <c r="K180" s="3368"/>
      <c r="L180" s="3368"/>
      <c r="M180" s="3334"/>
      <c r="N180" s="3334"/>
      <c r="O180" s="3334"/>
      <c r="P180" s="3334"/>
      <c r="Q180" s="3334"/>
    </row>
    <row r="181" spans="2:17" ht="15">
      <c r="B181" s="248"/>
      <c r="C181" s="248"/>
      <c r="D181" s="248"/>
      <c r="E181" s="248"/>
      <c r="F181" s="248"/>
      <c r="G181" s="248"/>
      <c r="H181" s="248"/>
      <c r="I181" s="3334"/>
      <c r="J181" s="3334"/>
      <c r="K181" s="3334"/>
      <c r="L181" s="3334"/>
      <c r="M181" s="3334"/>
      <c r="N181" s="3334"/>
      <c r="O181" s="3334"/>
      <c r="P181" s="3334"/>
      <c r="Q181" s="3334"/>
    </row>
    <row r="182" spans="2:17" ht="15">
      <c r="B182" s="248"/>
      <c r="C182" s="248"/>
      <c r="D182" s="248"/>
      <c r="E182" s="248"/>
      <c r="F182" s="248"/>
      <c r="G182" s="248"/>
      <c r="H182" s="248"/>
      <c r="I182" s="3334"/>
      <c r="J182" s="3334"/>
      <c r="K182" s="3334"/>
      <c r="L182" s="3334"/>
      <c r="M182" s="3334"/>
      <c r="N182" s="3334"/>
      <c r="O182" s="3334"/>
      <c r="P182" s="3334"/>
      <c r="Q182" s="3334"/>
    </row>
    <row r="183" spans="2:17" ht="15">
      <c r="B183" s="248"/>
      <c r="C183" s="248"/>
      <c r="D183" s="248"/>
      <c r="E183" s="248"/>
      <c r="F183" s="248"/>
      <c r="G183" s="248"/>
      <c r="H183" s="248"/>
      <c r="I183" s="3334"/>
      <c r="J183" s="3334"/>
      <c r="K183" s="3334"/>
      <c r="L183" s="3334"/>
      <c r="M183" s="3334"/>
      <c r="N183" s="3334"/>
      <c r="O183" s="3334"/>
      <c r="P183" s="3334"/>
      <c r="Q183" s="3334"/>
    </row>
    <row r="184" spans="2:17" ht="15.6">
      <c r="B184" s="248"/>
      <c r="C184" s="248"/>
      <c r="D184" s="248"/>
      <c r="E184" s="248"/>
      <c r="F184" s="248"/>
      <c r="G184" s="248"/>
      <c r="H184" s="248"/>
      <c r="I184" s="253"/>
      <c r="J184" s="253"/>
      <c r="K184" s="253"/>
      <c r="L184" s="253"/>
      <c r="M184" s="253"/>
      <c r="N184" s="253"/>
      <c r="O184" s="253"/>
      <c r="P184" s="253"/>
      <c r="Q184" s="253"/>
    </row>
    <row r="185" spans="2:17" ht="15" customHeight="1">
      <c r="B185" s="3405"/>
      <c r="C185" s="3405"/>
      <c r="D185" s="3405"/>
      <c r="E185" s="3405"/>
      <c r="F185" s="3405"/>
      <c r="G185" s="3405"/>
      <c r="H185" s="3405"/>
      <c r="I185" s="3405"/>
      <c r="J185" s="3405"/>
      <c r="K185" s="3405"/>
      <c r="L185" s="3405"/>
      <c r="M185" s="3405"/>
      <c r="N185" s="3405"/>
      <c r="O185" s="3405"/>
      <c r="P185" s="3405"/>
      <c r="Q185" s="3405"/>
    </row>
    <row r="186" spans="2:17" ht="15" customHeight="1">
      <c r="B186" s="3405"/>
      <c r="C186" s="3405"/>
      <c r="D186" s="3405"/>
      <c r="E186" s="3405"/>
      <c r="F186" s="3405"/>
      <c r="G186" s="3405"/>
      <c r="H186" s="3405"/>
      <c r="I186" s="3405"/>
      <c r="J186" s="3405"/>
      <c r="K186" s="3405"/>
      <c r="L186" s="3405"/>
      <c r="M186" s="3405"/>
      <c r="N186" s="3405"/>
      <c r="O186" s="3405"/>
      <c r="P186" s="3405"/>
      <c r="Q186" s="3405"/>
    </row>
    <row r="187" spans="2:17" ht="16.95" customHeight="1">
      <c r="B187" s="3375"/>
      <c r="C187" s="3375"/>
      <c r="D187" s="3375"/>
      <c r="E187" s="3375"/>
      <c r="F187" s="3375"/>
      <c r="G187" s="3375"/>
      <c r="H187" s="3375"/>
      <c r="I187" s="3375"/>
      <c r="J187" s="3375"/>
      <c r="K187" s="3375"/>
      <c r="L187" s="3375"/>
      <c r="M187" s="3375"/>
      <c r="N187" s="3375"/>
      <c r="O187" s="3375"/>
      <c r="P187" s="3375"/>
      <c r="Q187" s="3375"/>
    </row>
    <row r="188" spans="2:17" ht="16.95" customHeight="1">
      <c r="B188" s="3375"/>
      <c r="C188" s="3375"/>
      <c r="D188" s="3428"/>
      <c r="E188" s="3358"/>
      <c r="F188" s="3358"/>
      <c r="G188" s="3358"/>
      <c r="H188" s="3358"/>
      <c r="I188" s="3358"/>
      <c r="J188" s="3358"/>
      <c r="K188" s="3358"/>
      <c r="L188" s="3358"/>
      <c r="M188" s="3358"/>
      <c r="N188" s="3358"/>
      <c r="O188" s="3358"/>
      <c r="P188" s="3358"/>
      <c r="Q188" s="3358"/>
    </row>
    <row r="189" spans="2:17" ht="16.95" customHeight="1">
      <c r="B189" s="3375"/>
      <c r="C189" s="3375"/>
      <c r="D189" s="3358"/>
      <c r="E189" s="3358"/>
      <c r="F189" s="3358"/>
      <c r="G189" s="3358"/>
      <c r="H189" s="3358"/>
      <c r="I189" s="3358"/>
      <c r="J189" s="3358"/>
      <c r="K189" s="3358"/>
      <c r="L189" s="3358"/>
      <c r="M189" s="3358"/>
      <c r="N189" s="3358"/>
      <c r="O189" s="3358"/>
      <c r="P189" s="3358"/>
      <c r="Q189" s="3358"/>
    </row>
    <row r="190" spans="2:17" ht="16.95" customHeight="1">
      <c r="B190" s="3375"/>
      <c r="C190" s="3375"/>
      <c r="D190" s="3358"/>
      <c r="E190" s="3358"/>
      <c r="F190" s="3358"/>
      <c r="G190" s="3358"/>
      <c r="H190" s="3358"/>
      <c r="I190" s="3358"/>
      <c r="J190" s="3358"/>
      <c r="K190" s="3358"/>
      <c r="L190" s="3358"/>
      <c r="M190" s="3358"/>
      <c r="N190" s="3358"/>
      <c r="O190" s="3358"/>
      <c r="P190" s="3358"/>
      <c r="Q190" s="3358"/>
    </row>
    <row r="191" spans="2:17" ht="16.95" customHeight="1">
      <c r="B191" s="3375"/>
      <c r="C191" s="3375"/>
      <c r="D191" s="3358"/>
      <c r="E191" s="3358"/>
      <c r="F191" s="3358"/>
      <c r="G191" s="3358"/>
      <c r="H191" s="3358"/>
      <c r="I191" s="3358"/>
      <c r="J191" s="3358"/>
      <c r="K191" s="3358"/>
      <c r="L191" s="3358"/>
      <c r="M191" s="3358"/>
      <c r="N191" s="3358"/>
      <c r="O191" s="3358"/>
      <c r="P191" s="3358"/>
      <c r="Q191" s="3358"/>
    </row>
    <row r="192" spans="2:17" ht="16.95" customHeight="1">
      <c r="B192" s="3375"/>
      <c r="C192" s="3375"/>
      <c r="D192" s="3428"/>
      <c r="E192" s="3358"/>
      <c r="F192" s="3358"/>
      <c r="G192" s="3358"/>
      <c r="H192" s="3358"/>
      <c r="I192" s="3358"/>
      <c r="J192" s="3358"/>
      <c r="K192" s="3358"/>
      <c r="L192" s="3358"/>
      <c r="M192" s="3358"/>
      <c r="N192" s="3358"/>
      <c r="O192" s="3358"/>
      <c r="P192" s="3358"/>
      <c r="Q192" s="3358"/>
    </row>
    <row r="193" spans="2:17" ht="16.95" customHeight="1">
      <c r="B193" s="3375"/>
      <c r="C193" s="3375"/>
      <c r="D193" s="3358"/>
      <c r="E193" s="3358"/>
      <c r="F193" s="3358"/>
      <c r="G193" s="3358"/>
      <c r="H193" s="3358"/>
      <c r="I193" s="3358"/>
      <c r="J193" s="3358"/>
      <c r="K193" s="3358"/>
      <c r="L193" s="3358"/>
      <c r="M193" s="3358"/>
      <c r="N193" s="3358"/>
      <c r="O193" s="3358"/>
      <c r="P193" s="3358"/>
      <c r="Q193" s="3358"/>
    </row>
    <row r="194" spans="2:17" ht="16.95" customHeight="1">
      <c r="B194" s="3375"/>
      <c r="C194" s="3375"/>
      <c r="D194" s="3358"/>
      <c r="E194" s="3358"/>
      <c r="F194" s="3358"/>
      <c r="G194" s="3358"/>
      <c r="H194" s="3358"/>
      <c r="I194" s="3358"/>
      <c r="J194" s="3358"/>
      <c r="K194" s="3358"/>
      <c r="L194" s="3358"/>
      <c r="M194" s="3358"/>
      <c r="N194" s="3358"/>
      <c r="O194" s="3358"/>
      <c r="P194" s="3358"/>
      <c r="Q194" s="3358"/>
    </row>
    <row r="195" spans="2:17" ht="16.95" customHeight="1">
      <c r="B195" s="3375"/>
      <c r="C195" s="3375"/>
      <c r="D195" s="3358"/>
      <c r="E195" s="3358"/>
      <c r="F195" s="3358"/>
      <c r="G195" s="3358"/>
      <c r="H195" s="3358"/>
      <c r="I195" s="3358"/>
      <c r="J195" s="3358"/>
      <c r="K195" s="3358"/>
      <c r="L195" s="3358"/>
      <c r="M195" s="3358"/>
      <c r="N195" s="3358"/>
      <c r="O195" s="3358"/>
      <c r="P195" s="3358"/>
      <c r="Q195" s="3358"/>
    </row>
    <row r="196" spans="2:17" ht="16.95" customHeight="1">
      <c r="B196" s="3375"/>
      <c r="C196" s="3375"/>
      <c r="D196" s="3428"/>
      <c r="E196" s="3358"/>
      <c r="F196" s="3358"/>
      <c r="G196" s="3358"/>
      <c r="H196" s="3358"/>
      <c r="I196" s="3358"/>
      <c r="J196" s="3358"/>
      <c r="K196" s="3358"/>
      <c r="L196" s="3358"/>
      <c r="M196" s="3358"/>
      <c r="N196" s="3358"/>
      <c r="O196" s="3358"/>
      <c r="P196" s="3358"/>
      <c r="Q196" s="3358"/>
    </row>
    <row r="197" spans="2:17" ht="16.95" customHeight="1">
      <c r="B197" s="3375"/>
      <c r="C197" s="3375"/>
      <c r="D197" s="3358"/>
      <c r="E197" s="3358"/>
      <c r="F197" s="3358"/>
      <c r="G197" s="3358"/>
      <c r="H197" s="3358"/>
      <c r="I197" s="3358"/>
      <c r="J197" s="3358"/>
      <c r="K197" s="3358"/>
      <c r="L197" s="3358"/>
      <c r="M197" s="3358"/>
      <c r="N197" s="3358"/>
      <c r="O197" s="3358"/>
      <c r="P197" s="3358"/>
      <c r="Q197" s="3358"/>
    </row>
    <row r="198" spans="2:17" ht="16.95" customHeight="1">
      <c r="B198" s="3375"/>
      <c r="C198" s="3375"/>
      <c r="D198" s="3358"/>
      <c r="E198" s="3358"/>
      <c r="F198" s="3358"/>
      <c r="G198" s="3358"/>
      <c r="H198" s="3358"/>
      <c r="I198" s="3358"/>
      <c r="J198" s="3358"/>
      <c r="K198" s="3358"/>
      <c r="L198" s="3358"/>
      <c r="M198" s="3358"/>
      <c r="N198" s="3358"/>
      <c r="O198" s="3358"/>
      <c r="P198" s="3358"/>
      <c r="Q198" s="3358"/>
    </row>
    <row r="199" spans="2:17" ht="16.95" customHeight="1">
      <c r="B199" s="3375"/>
      <c r="C199" s="3375"/>
      <c r="D199" s="3358"/>
      <c r="E199" s="3358"/>
      <c r="F199" s="3358"/>
      <c r="G199" s="3358"/>
      <c r="H199" s="3358"/>
      <c r="I199" s="3358"/>
      <c r="J199" s="3358"/>
      <c r="K199" s="3358"/>
      <c r="L199" s="3358"/>
      <c r="M199" s="3358"/>
      <c r="N199" s="3358"/>
      <c r="O199" s="3358"/>
      <c r="P199" s="3358"/>
      <c r="Q199" s="3358"/>
    </row>
    <row r="200" spans="2:17" ht="16.95" customHeight="1">
      <c r="B200" s="3375"/>
      <c r="C200" s="3375"/>
      <c r="D200" s="3428"/>
      <c r="E200" s="3358"/>
      <c r="F200" s="3358"/>
      <c r="G200" s="3358"/>
      <c r="H200" s="3358"/>
      <c r="I200" s="3358"/>
      <c r="J200" s="3358"/>
      <c r="K200" s="3358"/>
      <c r="L200" s="3358"/>
      <c r="M200" s="3358"/>
      <c r="N200" s="3358"/>
      <c r="O200" s="3358"/>
      <c r="P200" s="3358"/>
      <c r="Q200" s="3358"/>
    </row>
    <row r="201" spans="2:17" ht="16.95" customHeight="1">
      <c r="B201" s="3375"/>
      <c r="C201" s="3375"/>
      <c r="D201" s="3358"/>
      <c r="E201" s="3358"/>
      <c r="F201" s="3358"/>
      <c r="G201" s="3358"/>
      <c r="H201" s="3358"/>
      <c r="I201" s="3358"/>
      <c r="J201" s="3358"/>
      <c r="K201" s="3358"/>
      <c r="L201" s="3358"/>
      <c r="M201" s="3358"/>
      <c r="N201" s="3358"/>
      <c r="O201" s="3358"/>
      <c r="P201" s="3358"/>
      <c r="Q201" s="3358"/>
    </row>
    <row r="202" spans="2:17" ht="16.95" customHeight="1">
      <c r="B202" s="3375"/>
      <c r="C202" s="3375"/>
      <c r="D202" s="3358"/>
      <c r="E202" s="3358"/>
      <c r="F202" s="3358"/>
      <c r="G202" s="3358"/>
      <c r="H202" s="3358"/>
      <c r="I202" s="3358"/>
      <c r="J202" s="3358"/>
      <c r="K202" s="3358"/>
      <c r="L202" s="3358"/>
      <c r="M202" s="3358"/>
      <c r="N202" s="3358"/>
      <c r="O202" s="3358"/>
      <c r="P202" s="3358"/>
      <c r="Q202" s="3358"/>
    </row>
    <row r="203" spans="2:17" ht="16.95" customHeight="1">
      <c r="B203" s="3375"/>
      <c r="C203" s="3375"/>
      <c r="D203" s="3358"/>
      <c r="E203" s="3358"/>
      <c r="F203" s="3358"/>
      <c r="G203" s="3358"/>
      <c r="H203" s="3358"/>
      <c r="I203" s="3358"/>
      <c r="J203" s="3358"/>
      <c r="K203" s="3358"/>
      <c r="L203" s="3358"/>
      <c r="M203" s="3358"/>
      <c r="N203" s="3358"/>
      <c r="O203" s="3358"/>
      <c r="P203" s="3358"/>
      <c r="Q203" s="3358"/>
    </row>
    <row r="204" spans="2:17" ht="16.95" customHeight="1">
      <c r="B204" s="3375"/>
      <c r="C204" s="3375"/>
      <c r="D204" s="3428"/>
      <c r="E204" s="3358"/>
      <c r="F204" s="3358"/>
      <c r="G204" s="3358"/>
      <c r="H204" s="3358"/>
      <c r="I204" s="3358"/>
      <c r="J204" s="3358"/>
      <c r="K204" s="3358"/>
      <c r="L204" s="3358"/>
      <c r="M204" s="3358"/>
      <c r="N204" s="3358"/>
      <c r="O204" s="3358"/>
      <c r="P204" s="3358"/>
      <c r="Q204" s="3358"/>
    </row>
    <row r="205" spans="2:17" ht="16.95" customHeight="1">
      <c r="B205" s="3375"/>
      <c r="C205" s="3375"/>
      <c r="D205" s="3358"/>
      <c r="E205" s="3358"/>
      <c r="F205" s="3358"/>
      <c r="G205" s="3358"/>
      <c r="H205" s="3358"/>
      <c r="I205" s="3358"/>
      <c r="J205" s="3358"/>
      <c r="K205" s="3358"/>
      <c r="L205" s="3358"/>
      <c r="M205" s="3358"/>
      <c r="N205" s="3358"/>
      <c r="O205" s="3358"/>
      <c r="P205" s="3358"/>
      <c r="Q205" s="3358"/>
    </row>
    <row r="206" spans="2:17" ht="16.95" customHeight="1">
      <c r="B206" s="3375"/>
      <c r="C206" s="3375"/>
      <c r="D206" s="3358"/>
      <c r="E206" s="3358"/>
      <c r="F206" s="3358"/>
      <c r="G206" s="3358"/>
      <c r="H206" s="3358"/>
      <c r="I206" s="3358"/>
      <c r="J206" s="3358"/>
      <c r="K206" s="3358"/>
      <c r="L206" s="3358"/>
      <c r="M206" s="3358"/>
      <c r="N206" s="3358"/>
      <c r="O206" s="3358"/>
      <c r="P206" s="3358"/>
      <c r="Q206" s="3358"/>
    </row>
    <row r="207" spans="2:17" ht="16.95" customHeight="1">
      <c r="B207" s="3375"/>
      <c r="C207" s="3375"/>
      <c r="D207" s="3358"/>
      <c r="E207" s="3358"/>
      <c r="F207" s="3358"/>
      <c r="G207" s="3358"/>
      <c r="H207" s="3358"/>
      <c r="I207" s="3358"/>
      <c r="J207" s="3358"/>
      <c r="K207" s="3358"/>
      <c r="L207" s="3358"/>
      <c r="M207" s="3358"/>
      <c r="N207" s="3358"/>
      <c r="O207" s="3358"/>
      <c r="P207" s="3358"/>
      <c r="Q207" s="3358"/>
    </row>
    <row r="208" spans="2:17" ht="16.95" customHeight="1">
      <c r="B208" s="3375"/>
      <c r="C208" s="3375"/>
      <c r="D208" s="3428"/>
      <c r="E208" s="3358"/>
      <c r="F208" s="3358"/>
      <c r="G208" s="3358"/>
      <c r="H208" s="3358"/>
      <c r="I208" s="3358"/>
      <c r="J208" s="3358"/>
      <c r="K208" s="3358"/>
      <c r="L208" s="3358"/>
      <c r="M208" s="3358"/>
      <c r="N208" s="3358"/>
      <c r="O208" s="3358"/>
      <c r="P208" s="3358"/>
      <c r="Q208" s="3358"/>
    </row>
    <row r="209" spans="2:24" ht="16.95" customHeight="1">
      <c r="B209" s="3375"/>
      <c r="C209" s="3375"/>
      <c r="D209" s="3358"/>
      <c r="E209" s="3358"/>
      <c r="F209" s="3358"/>
      <c r="G209" s="3358"/>
      <c r="H209" s="3358"/>
      <c r="I209" s="3358"/>
      <c r="J209" s="3358"/>
      <c r="K209" s="3358"/>
      <c r="L209" s="3358"/>
      <c r="M209" s="3358"/>
      <c r="N209" s="3358"/>
      <c r="O209" s="3358"/>
      <c r="P209" s="3358"/>
      <c r="Q209" s="3358"/>
    </row>
    <row r="210" spans="2:24" ht="16.95" customHeight="1">
      <c r="B210" s="3452"/>
      <c r="C210" s="3452"/>
      <c r="D210" s="3452"/>
      <c r="E210" s="3452"/>
      <c r="F210" s="3452"/>
      <c r="G210" s="3452"/>
      <c r="H210" s="3452"/>
      <c r="I210" s="3452"/>
      <c r="J210" s="3452"/>
      <c r="K210" s="3452"/>
      <c r="L210" s="3452"/>
      <c r="M210" s="3452"/>
      <c r="N210" s="3452"/>
      <c r="O210" s="3452"/>
      <c r="P210" s="3452"/>
      <c r="Q210" s="3452"/>
    </row>
    <row r="211" spans="2:24" ht="16.95" customHeight="1">
      <c r="B211" s="3452"/>
      <c r="C211" s="3452"/>
      <c r="D211" s="3452"/>
      <c r="E211" s="3452"/>
      <c r="F211" s="3452"/>
      <c r="G211" s="3452"/>
      <c r="H211" s="3452"/>
      <c r="I211" s="3452"/>
      <c r="J211" s="3452"/>
      <c r="K211" s="3452"/>
      <c r="L211" s="3452"/>
      <c r="M211" s="3452"/>
      <c r="N211" s="3452"/>
      <c r="O211" s="3452"/>
      <c r="P211" s="3452"/>
      <c r="Q211" s="3452"/>
      <c r="R211" s="256"/>
      <c r="S211" s="256"/>
      <c r="T211" s="256"/>
      <c r="U211" s="256"/>
      <c r="V211" s="256"/>
      <c r="W211" s="256"/>
      <c r="X211" s="256"/>
    </row>
    <row r="212" spans="2:24" ht="18" customHeight="1">
      <c r="B212" s="3357"/>
      <c r="C212" s="3357"/>
      <c r="D212" s="3357"/>
      <c r="E212" s="3357"/>
      <c r="F212" s="3357"/>
      <c r="G212" s="3357"/>
      <c r="H212" s="3357"/>
      <c r="I212" s="3357"/>
      <c r="J212" s="3357"/>
      <c r="K212" s="3357"/>
      <c r="L212" s="3357"/>
      <c r="M212" s="3357"/>
      <c r="N212" s="3357"/>
      <c r="O212" s="3357"/>
      <c r="P212" s="3357"/>
      <c r="Q212" s="3357"/>
      <c r="R212" s="261"/>
      <c r="S212" s="261"/>
      <c r="T212" s="261"/>
      <c r="U212" s="261"/>
      <c r="V212" s="261"/>
      <c r="W212" s="261"/>
      <c r="X212" s="261"/>
    </row>
    <row r="213" spans="2:24" ht="18" customHeight="1">
      <c r="B213" s="3357"/>
      <c r="C213" s="3357"/>
      <c r="D213" s="3357"/>
      <c r="E213" s="3357"/>
      <c r="F213" s="3357"/>
      <c r="G213" s="3357"/>
      <c r="H213" s="3357"/>
      <c r="I213" s="3357"/>
      <c r="J213" s="3357"/>
      <c r="K213" s="3357"/>
      <c r="L213" s="3357"/>
      <c r="M213" s="3357"/>
      <c r="N213" s="3357"/>
      <c r="O213" s="3357"/>
      <c r="P213" s="3357"/>
      <c r="Q213" s="3357"/>
      <c r="R213" s="261"/>
      <c r="S213" s="261"/>
      <c r="T213" s="261"/>
      <c r="U213" s="261"/>
      <c r="V213" s="261"/>
      <c r="W213" s="261"/>
      <c r="X213" s="261"/>
    </row>
    <row r="214" spans="2:24" ht="18" customHeight="1">
      <c r="B214" s="3357"/>
      <c r="C214" s="3357"/>
      <c r="D214" s="3357"/>
      <c r="E214" s="3357"/>
      <c r="F214" s="3357"/>
      <c r="G214" s="3357"/>
      <c r="H214" s="3357"/>
      <c r="I214" s="3357"/>
      <c r="J214" s="3357"/>
      <c r="K214" s="3357"/>
      <c r="L214" s="3357"/>
      <c r="M214" s="3357"/>
      <c r="N214" s="3357"/>
      <c r="O214" s="3357"/>
      <c r="P214" s="3357"/>
      <c r="Q214" s="3357"/>
      <c r="R214" s="261"/>
      <c r="S214" s="261"/>
      <c r="T214" s="261"/>
      <c r="U214" s="261"/>
      <c r="V214" s="261"/>
      <c r="W214" s="261"/>
      <c r="X214" s="261"/>
    </row>
    <row r="215" spans="2:24" ht="18" customHeight="1">
      <c r="B215" s="259"/>
      <c r="C215" s="259"/>
      <c r="D215" s="259"/>
      <c r="E215" s="259"/>
      <c r="F215" s="259"/>
      <c r="G215" s="259"/>
      <c r="H215" s="259"/>
      <c r="I215" s="259"/>
      <c r="J215" s="259"/>
      <c r="K215" s="259"/>
      <c r="L215" s="259"/>
      <c r="M215" s="259"/>
      <c r="N215" s="259"/>
      <c r="O215" s="259"/>
      <c r="P215" s="259"/>
      <c r="Q215" s="259"/>
      <c r="R215" s="262"/>
      <c r="S215" s="262"/>
      <c r="T215" s="262"/>
      <c r="U215" s="262"/>
      <c r="V215" s="262"/>
      <c r="W215" s="262"/>
      <c r="X215" s="262"/>
    </row>
    <row r="216" spans="2:24" ht="18" customHeight="1">
      <c r="B216" s="3379"/>
      <c r="C216" s="3379"/>
      <c r="D216" s="3379"/>
      <c r="E216" s="3379"/>
      <c r="F216" s="3379"/>
      <c r="G216" s="3379"/>
      <c r="H216" s="252"/>
      <c r="I216" s="183"/>
      <c r="J216" s="3379"/>
      <c r="K216" s="3379"/>
      <c r="L216" s="3379"/>
      <c r="M216" s="3379"/>
      <c r="N216" s="3379"/>
      <c r="O216" s="3379"/>
      <c r="P216" s="3379"/>
      <c r="Q216" s="3379"/>
    </row>
    <row r="217" spans="2:24" ht="18" customHeight="1">
      <c r="B217" s="3379"/>
      <c r="C217" s="3379"/>
      <c r="D217" s="3379"/>
      <c r="E217" s="3379"/>
      <c r="F217" s="3379"/>
      <c r="G217" s="3379"/>
      <c r="H217" s="252"/>
      <c r="I217" s="183"/>
      <c r="J217" s="3379"/>
      <c r="K217" s="3379"/>
      <c r="L217" s="3379"/>
      <c r="M217" s="3379"/>
      <c r="N217" s="3379"/>
      <c r="O217" s="3379"/>
      <c r="P217" s="3379"/>
      <c r="Q217" s="3379"/>
    </row>
    <row r="218" spans="2:24" ht="18" customHeight="1">
      <c r="B218" s="3378"/>
      <c r="C218" s="3378"/>
      <c r="D218" s="3378"/>
      <c r="E218" s="3378"/>
      <c r="F218" s="3378"/>
      <c r="G218" s="3372"/>
      <c r="H218" s="252"/>
      <c r="I218" s="183"/>
      <c r="J218" s="3372"/>
      <c r="K218" s="3372"/>
      <c r="L218" s="3372"/>
      <c r="M218" s="3372"/>
      <c r="N218" s="3381"/>
      <c r="O218" s="3381"/>
      <c r="P218" s="3381"/>
      <c r="Q218" s="3381"/>
    </row>
    <row r="219" spans="2:24" ht="18" customHeight="1">
      <c r="B219" s="3378"/>
      <c r="C219" s="3378"/>
      <c r="D219" s="3378"/>
      <c r="E219" s="3378"/>
      <c r="F219" s="3378"/>
      <c r="G219" s="3372"/>
      <c r="H219" s="252"/>
      <c r="I219" s="183"/>
      <c r="J219" s="3372"/>
      <c r="K219" s="3372"/>
      <c r="L219" s="3372"/>
      <c r="M219" s="3372"/>
      <c r="N219" s="3372"/>
      <c r="O219" s="3372"/>
      <c r="P219" s="3372"/>
      <c r="Q219" s="3372"/>
    </row>
    <row r="220" spans="2:24" ht="18" customHeight="1">
      <c r="B220" s="3378"/>
      <c r="C220" s="3378"/>
      <c r="D220" s="3378"/>
      <c r="E220" s="3378"/>
      <c r="F220" s="3378"/>
      <c r="G220" s="3372"/>
      <c r="H220" s="252"/>
      <c r="I220" s="183"/>
      <c r="J220" s="3372"/>
      <c r="K220" s="3372"/>
      <c r="L220" s="3372"/>
      <c r="M220" s="3372"/>
      <c r="N220" s="3372"/>
      <c r="O220" s="3372"/>
      <c r="P220" s="3372"/>
      <c r="Q220" s="3372"/>
    </row>
    <row r="221" spans="2:24" ht="18" customHeight="1">
      <c r="B221" s="3378"/>
      <c r="C221" s="3378"/>
      <c r="D221" s="3378"/>
      <c r="E221" s="3378"/>
      <c r="F221" s="3378"/>
      <c r="G221" s="3372"/>
      <c r="H221" s="252"/>
      <c r="I221" s="183"/>
      <c r="J221" s="3372"/>
      <c r="K221" s="3372"/>
      <c r="L221" s="3372"/>
      <c r="M221" s="3372"/>
      <c r="N221" s="3381"/>
      <c r="O221" s="3381"/>
      <c r="P221" s="3381"/>
      <c r="Q221" s="3381"/>
    </row>
    <row r="222" spans="2:24" ht="18" customHeight="1">
      <c r="B222" s="3378"/>
      <c r="C222" s="3378"/>
      <c r="D222" s="3378"/>
      <c r="E222" s="3378"/>
      <c r="F222" s="3378"/>
      <c r="G222" s="3372"/>
      <c r="H222" s="252"/>
      <c r="I222" s="183"/>
      <c r="J222" s="3372"/>
      <c r="K222" s="3372"/>
      <c r="L222" s="3372"/>
      <c r="M222" s="3372"/>
      <c r="N222" s="3372"/>
      <c r="O222" s="3372"/>
      <c r="P222" s="3372"/>
      <c r="Q222" s="3372"/>
    </row>
    <row r="223" spans="2:24" ht="18" customHeight="1">
      <c r="B223" s="3378"/>
      <c r="C223" s="3378"/>
      <c r="D223" s="3378"/>
      <c r="E223" s="3378"/>
      <c r="F223" s="3378"/>
      <c r="G223" s="3372"/>
      <c r="H223" s="252"/>
      <c r="I223" s="183"/>
      <c r="J223" s="3372"/>
      <c r="K223" s="3372"/>
      <c r="L223" s="3372"/>
      <c r="M223" s="3372"/>
      <c r="N223" s="3372"/>
      <c r="O223" s="3372"/>
      <c r="P223" s="3372"/>
      <c r="Q223" s="3372"/>
    </row>
    <row r="224" spans="2:24" ht="18" customHeight="1">
      <c r="B224" s="3378"/>
      <c r="C224" s="3378"/>
      <c r="D224" s="3378"/>
      <c r="E224" s="3378"/>
      <c r="F224" s="3378"/>
      <c r="G224" s="3372"/>
      <c r="H224" s="252"/>
      <c r="I224" s="183"/>
      <c r="J224" s="3341"/>
      <c r="K224" s="3341"/>
      <c r="L224" s="3341"/>
      <c r="M224" s="3341"/>
      <c r="N224" s="3341"/>
      <c r="O224" s="3341"/>
      <c r="P224" s="3341"/>
      <c r="Q224" s="3341"/>
    </row>
    <row r="225" spans="2:24" ht="18" customHeight="1">
      <c r="B225" s="3378"/>
      <c r="C225" s="3378"/>
      <c r="D225" s="3378"/>
      <c r="E225" s="3378"/>
      <c r="F225" s="3378"/>
      <c r="G225" s="3372"/>
      <c r="H225" s="252"/>
      <c r="I225" s="183"/>
      <c r="J225" s="3341"/>
      <c r="K225" s="3341"/>
      <c r="L225" s="3341"/>
      <c r="M225" s="3341"/>
      <c r="N225" s="3341"/>
      <c r="O225" s="3341"/>
      <c r="P225" s="3341"/>
      <c r="Q225" s="3341"/>
    </row>
    <row r="226" spans="2:24" ht="18" customHeight="1">
      <c r="B226" s="3378"/>
      <c r="C226" s="3378"/>
      <c r="D226" s="3378"/>
      <c r="E226" s="3378"/>
      <c r="F226" s="3378"/>
      <c r="G226" s="3372"/>
      <c r="H226" s="252"/>
      <c r="I226" s="183"/>
      <c r="J226" s="3341"/>
      <c r="K226" s="3341"/>
      <c r="L226" s="3341"/>
      <c r="M226" s="3341"/>
      <c r="N226" s="3341"/>
      <c r="O226" s="3341"/>
      <c r="P226" s="3341"/>
      <c r="Q226" s="3341"/>
    </row>
    <row r="227" spans="2:24" ht="18" customHeight="1">
      <c r="B227" s="3378"/>
      <c r="C227" s="3378"/>
      <c r="D227" s="3378"/>
      <c r="E227" s="3378"/>
      <c r="F227" s="3378"/>
      <c r="G227" s="3372"/>
      <c r="H227" s="252"/>
      <c r="I227" s="183"/>
      <c r="J227" s="3341"/>
      <c r="K227" s="3341"/>
      <c r="L227" s="3341"/>
      <c r="M227" s="3341"/>
      <c r="N227" s="3341"/>
      <c r="O227" s="3341"/>
      <c r="P227" s="3341"/>
      <c r="Q227" s="3341"/>
    </row>
    <row r="228" spans="2:24" ht="18" customHeight="1">
      <c r="B228" s="260"/>
      <c r="C228" s="260"/>
      <c r="D228" s="260"/>
      <c r="E228" s="260"/>
      <c r="F228" s="260"/>
      <c r="G228" s="259"/>
      <c r="H228" s="252"/>
      <c r="I228" s="183"/>
      <c r="J228" s="3341"/>
      <c r="K228" s="3341"/>
      <c r="L228" s="3341"/>
      <c r="M228" s="3341"/>
      <c r="N228" s="3341"/>
      <c r="O228" s="3341"/>
      <c r="P228" s="3341"/>
      <c r="Q228" s="3341"/>
    </row>
    <row r="229" spans="2:24" ht="18" customHeight="1">
      <c r="B229" s="260"/>
      <c r="C229" s="260"/>
      <c r="D229" s="260"/>
      <c r="E229" s="260"/>
      <c r="F229" s="260"/>
      <c r="G229" s="259"/>
      <c r="H229" s="259"/>
      <c r="I229" s="259"/>
      <c r="J229" s="259"/>
      <c r="K229" s="259"/>
      <c r="L229" s="259"/>
      <c r="M229" s="259"/>
      <c r="N229" s="259"/>
      <c r="O229" s="259"/>
      <c r="P229" s="259"/>
      <c r="Q229" s="183"/>
    </row>
    <row r="230" spans="2:24" ht="18" customHeight="1">
      <c r="B230" s="252"/>
      <c r="C230" s="183"/>
      <c r="D230" s="183"/>
      <c r="E230" s="183"/>
      <c r="F230" s="183"/>
      <c r="G230" s="183"/>
      <c r="H230" s="183"/>
      <c r="I230" s="183"/>
      <c r="J230" s="3379"/>
      <c r="K230" s="3379"/>
      <c r="L230" s="3379"/>
      <c r="M230" s="3379"/>
      <c r="N230" s="3379"/>
      <c r="O230" s="3379"/>
      <c r="P230" s="3379"/>
      <c r="Q230" s="3379"/>
    </row>
    <row r="231" spans="2:24" ht="18" customHeight="1">
      <c r="B231" s="252"/>
      <c r="C231" s="183"/>
      <c r="D231" s="183"/>
      <c r="E231" s="183"/>
      <c r="F231" s="183"/>
      <c r="G231" s="183"/>
      <c r="H231" s="183"/>
      <c r="I231" s="183"/>
      <c r="J231" s="3379"/>
      <c r="K231" s="3379"/>
      <c r="L231" s="3379"/>
      <c r="M231" s="3379"/>
      <c r="N231" s="3379"/>
      <c r="O231" s="3379"/>
      <c r="P231" s="3379"/>
      <c r="Q231" s="3379"/>
    </row>
    <row r="232" spans="2:24" ht="18" customHeight="1">
      <c r="B232" s="252"/>
      <c r="C232" s="183"/>
      <c r="D232" s="183"/>
      <c r="E232" s="183"/>
      <c r="F232" s="183"/>
      <c r="G232" s="183"/>
      <c r="H232" s="183"/>
      <c r="I232" s="183"/>
      <c r="J232" s="3372"/>
      <c r="K232" s="3372"/>
      <c r="L232" s="3372"/>
      <c r="M232" s="3372"/>
      <c r="N232" s="3372"/>
      <c r="O232" s="3372"/>
      <c r="P232" s="3372"/>
      <c r="Q232" s="3372"/>
    </row>
    <row r="233" spans="2:24" ht="18" customHeight="1">
      <c r="B233" s="252"/>
      <c r="C233" s="183"/>
      <c r="D233" s="183"/>
      <c r="E233" s="183"/>
      <c r="F233" s="183"/>
      <c r="G233" s="183"/>
      <c r="H233" s="183"/>
      <c r="I233" s="183"/>
      <c r="J233" s="3372"/>
      <c r="K233" s="3372"/>
      <c r="L233" s="3372"/>
      <c r="M233" s="3372"/>
      <c r="N233" s="3372"/>
      <c r="O233" s="3372"/>
      <c r="P233" s="3372"/>
      <c r="Q233" s="3372"/>
    </row>
    <row r="234" spans="2:24" ht="18" customHeight="1">
      <c r="B234" s="252"/>
      <c r="C234" s="183"/>
      <c r="D234" s="183"/>
      <c r="E234" s="183"/>
      <c r="F234" s="183"/>
      <c r="G234" s="183"/>
      <c r="H234" s="183"/>
      <c r="I234" s="183"/>
      <c r="J234" s="3341"/>
      <c r="K234" s="3341"/>
      <c r="L234" s="3341"/>
      <c r="M234" s="3341"/>
      <c r="N234" s="3341"/>
      <c r="O234" s="3341"/>
      <c r="P234" s="3341"/>
      <c r="Q234" s="3341"/>
    </row>
    <row r="235" spans="2:24" ht="18" customHeight="1">
      <c r="B235" s="252"/>
      <c r="C235" s="183"/>
      <c r="D235" s="183"/>
      <c r="E235" s="183"/>
      <c r="F235" s="183"/>
      <c r="G235" s="183"/>
      <c r="H235" s="183"/>
      <c r="I235" s="183"/>
      <c r="J235" s="3341"/>
      <c r="K235" s="3341"/>
      <c r="L235" s="3341"/>
      <c r="M235" s="3341"/>
      <c r="N235" s="3341"/>
      <c r="O235" s="3341"/>
      <c r="P235" s="3341"/>
      <c r="Q235" s="3341"/>
    </row>
    <row r="236" spans="2:24" ht="18" customHeight="1">
      <c r="B236" s="252"/>
      <c r="C236" s="183"/>
      <c r="D236" s="183"/>
      <c r="E236" s="183"/>
      <c r="F236" s="183"/>
      <c r="G236" s="183"/>
      <c r="H236" s="183"/>
      <c r="I236" s="183"/>
      <c r="J236" s="3341"/>
      <c r="K236" s="3341"/>
      <c r="L236" s="3341"/>
      <c r="M236" s="3341"/>
      <c r="N236" s="3341"/>
      <c r="O236" s="3341"/>
      <c r="P236" s="3341"/>
      <c r="Q236" s="3341"/>
    </row>
    <row r="237" spans="2:24" ht="18" customHeight="1">
      <c r="B237" s="252"/>
      <c r="C237" s="183"/>
      <c r="D237" s="183"/>
      <c r="E237" s="183"/>
      <c r="F237" s="183"/>
      <c r="G237" s="183"/>
      <c r="H237" s="183"/>
      <c r="I237" s="183"/>
      <c r="J237" s="3341"/>
      <c r="K237" s="3341"/>
      <c r="L237" s="3341"/>
      <c r="M237" s="3341"/>
      <c r="N237" s="3341"/>
      <c r="O237" s="3341"/>
      <c r="P237" s="3341"/>
      <c r="Q237" s="3341"/>
    </row>
    <row r="238" spans="2:24" ht="18" customHeight="1">
      <c r="B238" s="252"/>
      <c r="C238" s="183"/>
      <c r="D238" s="183"/>
      <c r="E238" s="183"/>
      <c r="F238" s="183"/>
      <c r="G238" s="183"/>
      <c r="H238" s="183"/>
      <c r="I238" s="183"/>
      <c r="J238" s="3341"/>
      <c r="K238" s="3341"/>
      <c r="L238" s="3341"/>
      <c r="M238" s="3341"/>
      <c r="N238" s="3341"/>
      <c r="O238" s="3341"/>
      <c r="P238" s="3341"/>
      <c r="Q238" s="3341"/>
    </row>
    <row r="239" spans="2:24" ht="18" customHeight="1">
      <c r="B239" s="252"/>
      <c r="C239" s="183"/>
      <c r="D239" s="183"/>
      <c r="E239" s="183"/>
      <c r="F239" s="183"/>
      <c r="G239" s="183"/>
      <c r="H239" s="183"/>
      <c r="I239" s="183"/>
      <c r="J239" s="3341"/>
      <c r="K239" s="3341"/>
      <c r="L239" s="3341"/>
      <c r="M239" s="3341"/>
      <c r="N239" s="3341"/>
      <c r="O239" s="3341"/>
      <c r="P239" s="3341"/>
      <c r="Q239" s="3341"/>
      <c r="R239" s="262"/>
      <c r="S239" s="262"/>
      <c r="T239" s="262"/>
      <c r="U239" s="262"/>
      <c r="V239" s="262"/>
      <c r="W239" s="262"/>
      <c r="X239" s="262"/>
    </row>
    <row r="240" spans="2:24" ht="18" customHeight="1">
      <c r="B240" s="248"/>
      <c r="C240" s="183"/>
      <c r="D240" s="183"/>
      <c r="E240" s="183"/>
      <c r="F240" s="183"/>
      <c r="G240" s="183"/>
      <c r="H240" s="183"/>
      <c r="I240" s="253"/>
      <c r="J240" s="253"/>
      <c r="K240" s="253"/>
      <c r="L240" s="253"/>
      <c r="M240" s="253"/>
      <c r="N240" s="253"/>
      <c r="O240" s="253"/>
      <c r="P240" s="253"/>
      <c r="Q240" s="253"/>
    </row>
    <row r="241" spans="2:17" ht="18" customHeight="1">
      <c r="B241" s="252"/>
      <c r="C241" s="183"/>
      <c r="D241" s="183"/>
      <c r="E241" s="183"/>
      <c r="F241" s="183"/>
      <c r="G241" s="183"/>
      <c r="H241" s="183"/>
      <c r="I241" s="183"/>
      <c r="J241" s="3379"/>
      <c r="K241" s="3379"/>
      <c r="L241" s="3379"/>
      <c r="M241" s="3379"/>
      <c r="N241" s="3379"/>
      <c r="O241" s="3379"/>
      <c r="P241" s="3379"/>
      <c r="Q241" s="3379"/>
    </row>
    <row r="242" spans="2:17" ht="18" customHeight="1">
      <c r="B242" s="252"/>
      <c r="C242" s="183"/>
      <c r="D242" s="183"/>
      <c r="E242" s="183"/>
      <c r="F242" s="183"/>
      <c r="G242" s="183"/>
      <c r="H242" s="183"/>
      <c r="I242" s="183"/>
      <c r="J242" s="3379"/>
      <c r="K242" s="3379"/>
      <c r="L242" s="3379"/>
      <c r="M242" s="3379"/>
      <c r="N242" s="3379"/>
      <c r="O242" s="3379"/>
      <c r="P242" s="3379"/>
      <c r="Q242" s="3379"/>
    </row>
    <row r="243" spans="2:17" ht="18" customHeight="1">
      <c r="B243" s="252"/>
      <c r="C243" s="183"/>
      <c r="D243" s="183"/>
      <c r="E243" s="183"/>
      <c r="F243" s="183"/>
      <c r="G243" s="183"/>
      <c r="H243" s="183"/>
      <c r="I243" s="183"/>
      <c r="J243" s="3372"/>
      <c r="K243" s="3372"/>
      <c r="L243" s="3372"/>
      <c r="M243" s="3372"/>
      <c r="N243" s="3381"/>
      <c r="O243" s="3381"/>
      <c r="P243" s="3381"/>
      <c r="Q243" s="3381"/>
    </row>
    <row r="244" spans="2:17" ht="18" customHeight="1">
      <c r="B244" s="252"/>
      <c r="C244" s="252"/>
      <c r="D244" s="252"/>
      <c r="E244" s="252"/>
      <c r="F244" s="252"/>
      <c r="G244" s="252"/>
      <c r="H244" s="252"/>
      <c r="I244" s="183"/>
      <c r="J244" s="3372"/>
      <c r="K244" s="3372"/>
      <c r="L244" s="3372"/>
      <c r="M244" s="3372"/>
      <c r="N244" s="3372"/>
      <c r="O244" s="3372"/>
      <c r="P244" s="3372"/>
      <c r="Q244" s="3372"/>
    </row>
    <row r="245" spans="2:17" ht="18" customHeight="1">
      <c r="B245" s="252"/>
      <c r="C245" s="252"/>
      <c r="D245" s="252"/>
      <c r="E245" s="252"/>
      <c r="F245" s="252"/>
      <c r="G245" s="252"/>
      <c r="H245" s="252"/>
      <c r="I245" s="183"/>
      <c r="J245" s="3372"/>
      <c r="K245" s="3372"/>
      <c r="L245" s="3372"/>
      <c r="M245" s="3372"/>
      <c r="N245" s="3372"/>
      <c r="O245" s="3372"/>
      <c r="P245" s="3372"/>
      <c r="Q245" s="3372"/>
    </row>
    <row r="246" spans="2:17" ht="18" customHeight="1">
      <c r="B246" s="252"/>
      <c r="C246" s="252"/>
      <c r="D246" s="252"/>
      <c r="E246" s="252"/>
      <c r="F246" s="252"/>
      <c r="G246" s="252"/>
      <c r="H246" s="252"/>
      <c r="I246" s="183"/>
      <c r="J246" s="3372"/>
      <c r="K246" s="3372"/>
      <c r="L246" s="3372"/>
      <c r="M246" s="3372"/>
      <c r="N246" s="3381"/>
      <c r="O246" s="3381"/>
      <c r="P246" s="3381"/>
      <c r="Q246" s="3381"/>
    </row>
    <row r="247" spans="2:17" ht="18" customHeight="1">
      <c r="B247" s="252"/>
      <c r="C247" s="252"/>
      <c r="D247" s="252"/>
      <c r="E247" s="252"/>
      <c r="F247" s="252"/>
      <c r="G247" s="252"/>
      <c r="H247" s="252"/>
      <c r="I247" s="183"/>
      <c r="J247" s="3372"/>
      <c r="K247" s="3372"/>
      <c r="L247" s="3372"/>
      <c r="M247" s="3372"/>
      <c r="N247" s="3372"/>
      <c r="O247" s="3372"/>
      <c r="P247" s="3372"/>
      <c r="Q247" s="3372"/>
    </row>
    <row r="248" spans="2:17" ht="18" customHeight="1">
      <c r="B248" s="252"/>
      <c r="C248" s="252"/>
      <c r="D248" s="252"/>
      <c r="E248" s="252"/>
      <c r="F248" s="252"/>
      <c r="G248" s="252"/>
      <c r="H248" s="252"/>
      <c r="I248" s="183"/>
      <c r="J248" s="3372"/>
      <c r="K248" s="3372"/>
      <c r="L248" s="3372"/>
      <c r="M248" s="3372"/>
      <c r="N248" s="3372"/>
      <c r="O248" s="3372"/>
      <c r="P248" s="3372"/>
      <c r="Q248" s="3372"/>
    </row>
    <row r="249" spans="2:17">
      <c r="B249" s="252"/>
      <c r="C249" s="252"/>
      <c r="D249" s="252"/>
      <c r="E249" s="252"/>
      <c r="F249" s="252"/>
      <c r="G249" s="252"/>
      <c r="H249" s="252"/>
      <c r="I249" s="183"/>
      <c r="J249" s="3341"/>
      <c r="K249" s="3341"/>
      <c r="L249" s="3341"/>
      <c r="M249" s="3341"/>
      <c r="N249" s="3341"/>
      <c r="O249" s="3341"/>
      <c r="P249" s="3341"/>
      <c r="Q249" s="3341"/>
    </row>
    <row r="250" spans="2:17">
      <c r="B250" s="252"/>
      <c r="C250" s="252"/>
      <c r="D250" s="252"/>
      <c r="E250" s="252"/>
      <c r="F250" s="252"/>
      <c r="G250" s="252"/>
      <c r="H250" s="252"/>
      <c r="I250" s="183"/>
      <c r="J250" s="3341"/>
      <c r="K250" s="3341"/>
      <c r="L250" s="3341"/>
      <c r="M250" s="3341"/>
      <c r="N250" s="3341"/>
      <c r="O250" s="3341"/>
      <c r="P250" s="3341"/>
      <c r="Q250" s="3341"/>
    </row>
    <row r="251" spans="2:17">
      <c r="B251" s="252"/>
      <c r="C251" s="252"/>
      <c r="D251" s="252"/>
      <c r="E251" s="252"/>
      <c r="F251" s="252"/>
      <c r="G251" s="252"/>
      <c r="H251" s="252"/>
      <c r="I251" s="183"/>
      <c r="J251" s="3341"/>
      <c r="K251" s="3341"/>
      <c r="L251" s="3341"/>
      <c r="M251" s="3341"/>
      <c r="N251" s="3341"/>
      <c r="O251" s="3341"/>
      <c r="P251" s="3341"/>
      <c r="Q251" s="3341"/>
    </row>
    <row r="252" spans="2:17">
      <c r="B252" s="252"/>
      <c r="C252" s="252"/>
      <c r="D252" s="252"/>
      <c r="E252" s="252"/>
      <c r="F252" s="252"/>
      <c r="G252" s="252"/>
      <c r="H252" s="252"/>
      <c r="I252" s="183"/>
      <c r="J252" s="3341"/>
      <c r="K252" s="3341"/>
      <c r="L252" s="3341"/>
      <c r="M252" s="3341"/>
      <c r="N252" s="3341"/>
      <c r="O252" s="3341"/>
      <c r="P252" s="3341"/>
      <c r="Q252" s="3341"/>
    </row>
    <row r="253" spans="2:17">
      <c r="B253" s="252"/>
      <c r="C253" s="252"/>
      <c r="D253" s="252"/>
      <c r="E253" s="252"/>
      <c r="F253" s="252"/>
      <c r="G253" s="252"/>
      <c r="H253" s="252"/>
      <c r="I253" s="183"/>
      <c r="J253" s="3341"/>
      <c r="K253" s="3341"/>
      <c r="L253" s="3341"/>
      <c r="M253" s="3341"/>
      <c r="N253" s="3341"/>
      <c r="O253" s="3341"/>
      <c r="P253" s="3341"/>
      <c r="Q253" s="3341"/>
    </row>
    <row r="254" spans="2:17">
      <c r="B254" s="252"/>
      <c r="C254" s="252"/>
      <c r="D254" s="252"/>
      <c r="E254" s="252"/>
      <c r="F254" s="252"/>
      <c r="G254" s="252"/>
      <c r="H254" s="252"/>
      <c r="I254" s="183"/>
      <c r="J254" s="3341"/>
      <c r="K254" s="3341"/>
      <c r="L254" s="3341"/>
      <c r="M254" s="3341"/>
      <c r="N254" s="3341"/>
      <c r="O254" s="3341"/>
      <c r="P254" s="3341"/>
      <c r="Q254" s="3341"/>
    </row>
    <row r="255" spans="2:17" ht="15.6">
      <c r="B255" s="248"/>
      <c r="C255" s="248"/>
      <c r="D255" s="248"/>
      <c r="E255" s="248"/>
      <c r="F255" s="248"/>
      <c r="G255" s="248"/>
      <c r="H255" s="248"/>
      <c r="I255" s="253"/>
      <c r="J255" s="253"/>
      <c r="K255" s="253"/>
      <c r="L255" s="253"/>
      <c r="M255" s="253"/>
      <c r="N255" s="253"/>
      <c r="O255" s="253"/>
      <c r="P255" s="253"/>
      <c r="Q255" s="253"/>
    </row>
    <row r="256" spans="2:17" ht="15.6">
      <c r="B256" s="248"/>
      <c r="C256" s="248"/>
      <c r="D256" s="248"/>
      <c r="E256" s="248"/>
      <c r="F256" s="248"/>
      <c r="G256" s="248"/>
      <c r="H256" s="248"/>
      <c r="I256" s="253"/>
      <c r="J256" s="253"/>
      <c r="K256" s="253"/>
      <c r="L256" s="253"/>
      <c r="M256" s="253"/>
      <c r="N256" s="253"/>
      <c r="O256" s="253"/>
      <c r="P256" s="253"/>
      <c r="Q256" s="253"/>
    </row>
    <row r="257" spans="2:17" ht="15.6">
      <c r="B257" s="248"/>
      <c r="C257" s="248"/>
      <c r="D257" s="248"/>
      <c r="E257" s="248"/>
      <c r="F257" s="248"/>
      <c r="G257" s="248"/>
      <c r="H257" s="248"/>
      <c r="I257" s="253"/>
      <c r="J257" s="253"/>
      <c r="K257" s="253"/>
      <c r="L257" s="253"/>
      <c r="M257" s="253"/>
      <c r="N257" s="253"/>
      <c r="O257" s="253"/>
      <c r="P257" s="253"/>
      <c r="Q257" s="253"/>
    </row>
    <row r="258" spans="2:17" ht="15.6">
      <c r="B258" s="248"/>
      <c r="C258" s="248"/>
      <c r="D258" s="248"/>
      <c r="E258" s="248"/>
      <c r="F258" s="248"/>
      <c r="G258" s="248"/>
      <c r="H258" s="248"/>
      <c r="I258" s="253"/>
      <c r="J258" s="253"/>
      <c r="K258" s="253"/>
      <c r="L258" s="253"/>
      <c r="M258" s="253"/>
      <c r="N258" s="253"/>
      <c r="O258" s="253"/>
      <c r="P258" s="253"/>
      <c r="Q258" s="253"/>
    </row>
    <row r="259" spans="2:17" ht="15.6">
      <c r="B259" s="263"/>
      <c r="C259" s="264"/>
      <c r="D259" s="265"/>
      <c r="E259" s="265"/>
      <c r="F259" s="265"/>
      <c r="G259" s="265"/>
      <c r="H259" s="265"/>
      <c r="I259" s="265"/>
      <c r="J259" s="253"/>
      <c r="K259" s="253"/>
      <c r="L259" s="253"/>
      <c r="M259" s="253"/>
      <c r="N259" s="253"/>
      <c r="O259" s="253"/>
      <c r="P259" s="253"/>
      <c r="Q259" s="253"/>
    </row>
    <row r="260" spans="2:17" ht="15.6">
      <c r="B260" s="248"/>
      <c r="C260" s="248"/>
      <c r="D260" s="248"/>
      <c r="E260" s="248"/>
      <c r="F260" s="248"/>
      <c r="G260" s="248"/>
      <c r="H260" s="248"/>
      <c r="I260" s="253"/>
      <c r="J260" s="253"/>
      <c r="K260" s="253"/>
      <c r="L260" s="253"/>
      <c r="M260" s="253"/>
      <c r="N260" s="253"/>
      <c r="O260" s="253"/>
      <c r="P260" s="253"/>
      <c r="Q260" s="253"/>
    </row>
    <row r="261" spans="2:17" ht="15.6">
      <c r="B261" s="248"/>
      <c r="C261" s="248"/>
      <c r="D261" s="248"/>
      <c r="E261" s="248"/>
      <c r="F261" s="248"/>
      <c r="G261" s="248"/>
      <c r="H261" s="248"/>
      <c r="I261" s="253"/>
      <c r="J261" s="253"/>
      <c r="K261" s="253"/>
      <c r="L261" s="253"/>
      <c r="M261" s="253"/>
      <c r="N261" s="253"/>
      <c r="O261" s="253"/>
      <c r="P261" s="253"/>
      <c r="Q261" s="253"/>
    </row>
    <row r="262" spans="2:17" ht="15.6">
      <c r="B262" s="248"/>
      <c r="C262" s="248"/>
      <c r="D262" s="248"/>
      <c r="E262" s="248"/>
      <c r="F262" s="248"/>
      <c r="G262" s="248"/>
      <c r="H262" s="248"/>
      <c r="I262" s="253"/>
      <c r="J262" s="253"/>
      <c r="K262" s="253"/>
      <c r="L262" s="253"/>
      <c r="M262" s="253"/>
      <c r="N262" s="253"/>
      <c r="O262" s="253"/>
      <c r="P262" s="253"/>
      <c r="Q262" s="253"/>
    </row>
    <row r="263" spans="2:17" ht="15.6">
      <c r="B263" s="248"/>
      <c r="C263" s="248"/>
      <c r="D263" s="248"/>
      <c r="E263" s="248"/>
      <c r="F263" s="248"/>
      <c r="G263" s="248"/>
      <c r="H263" s="248"/>
      <c r="I263" s="253"/>
      <c r="J263" s="253"/>
      <c r="K263" s="253"/>
      <c r="L263" s="253"/>
      <c r="M263" s="253"/>
      <c r="N263" s="253"/>
      <c r="O263" s="253"/>
      <c r="P263" s="253"/>
      <c r="Q263" s="253"/>
    </row>
    <row r="264" spans="2:17" ht="15.6">
      <c r="B264" s="248"/>
      <c r="C264" s="248"/>
      <c r="D264" s="248"/>
      <c r="E264" s="248"/>
      <c r="F264" s="248"/>
      <c r="G264" s="248"/>
      <c r="H264" s="248"/>
      <c r="I264" s="253"/>
      <c r="J264" s="253"/>
      <c r="K264" s="253"/>
      <c r="L264" s="253"/>
      <c r="M264" s="253"/>
      <c r="N264" s="253"/>
      <c r="O264" s="253"/>
      <c r="P264" s="253"/>
      <c r="Q264" s="253"/>
    </row>
    <row r="265" spans="2:17" ht="15.6">
      <c r="B265" s="248"/>
      <c r="C265" s="248"/>
      <c r="D265" s="248"/>
      <c r="E265" s="248"/>
      <c r="F265" s="248"/>
      <c r="G265" s="248"/>
      <c r="H265" s="248"/>
      <c r="I265" s="253"/>
      <c r="J265" s="253"/>
      <c r="K265" s="253"/>
      <c r="L265" s="253"/>
      <c r="M265" s="253"/>
      <c r="N265" s="253"/>
      <c r="O265" s="253"/>
      <c r="P265" s="253"/>
      <c r="Q265" s="253"/>
    </row>
    <row r="266" spans="2:17" ht="15.6">
      <c r="B266" s="248"/>
      <c r="C266" s="248"/>
      <c r="D266" s="248"/>
      <c r="E266" s="248"/>
      <c r="F266" s="248"/>
      <c r="G266" s="248"/>
      <c r="H266" s="248"/>
      <c r="I266" s="253"/>
      <c r="J266" s="253"/>
      <c r="K266" s="253"/>
      <c r="L266" s="253"/>
      <c r="M266" s="253"/>
      <c r="N266" s="253"/>
      <c r="O266" s="253"/>
      <c r="P266" s="253"/>
      <c r="Q266" s="253"/>
    </row>
    <row r="267" spans="2:17" ht="15.6">
      <c r="B267" s="248"/>
      <c r="C267" s="248"/>
      <c r="D267" s="248"/>
      <c r="E267" s="248"/>
      <c r="F267" s="248"/>
      <c r="G267" s="248"/>
      <c r="H267" s="248"/>
      <c r="I267" s="253"/>
      <c r="J267" s="253"/>
      <c r="K267" s="253"/>
      <c r="L267" s="253"/>
      <c r="M267" s="253"/>
      <c r="N267" s="253"/>
      <c r="O267" s="253"/>
      <c r="P267" s="253"/>
      <c r="Q267" s="253"/>
    </row>
    <row r="268" spans="2:17" ht="15.6">
      <c r="B268" s="248"/>
      <c r="C268" s="248"/>
      <c r="D268" s="248"/>
      <c r="E268" s="248"/>
      <c r="F268" s="248"/>
      <c r="G268" s="248"/>
      <c r="H268" s="248"/>
      <c r="I268" s="253"/>
      <c r="J268" s="253"/>
      <c r="K268" s="253"/>
      <c r="L268" s="253"/>
      <c r="M268" s="253"/>
      <c r="N268" s="253"/>
      <c r="O268" s="253"/>
      <c r="P268" s="253"/>
      <c r="Q268" s="253"/>
    </row>
    <row r="269" spans="2:17" ht="15.6">
      <c r="B269" s="248"/>
      <c r="C269" s="248"/>
      <c r="D269" s="248"/>
      <c r="E269" s="248"/>
      <c r="F269" s="248"/>
      <c r="G269" s="248"/>
      <c r="H269" s="248"/>
      <c r="I269" s="253"/>
      <c r="J269" s="253"/>
      <c r="K269" s="253"/>
      <c r="L269" s="253"/>
      <c r="M269" s="253"/>
      <c r="N269" s="253"/>
      <c r="O269" s="253"/>
      <c r="P269" s="253"/>
      <c r="Q269" s="253"/>
    </row>
    <row r="270" spans="2:17" ht="15.6">
      <c r="B270" s="248"/>
      <c r="C270" s="248"/>
      <c r="D270" s="248"/>
      <c r="E270" s="248"/>
      <c r="F270" s="248"/>
      <c r="G270" s="248"/>
      <c r="H270" s="248"/>
      <c r="I270" s="253"/>
      <c r="J270" s="253"/>
      <c r="K270" s="253"/>
      <c r="L270" s="253"/>
      <c r="M270" s="253"/>
      <c r="N270" s="253"/>
      <c r="O270" s="253"/>
      <c r="P270" s="253"/>
      <c r="Q270" s="253"/>
    </row>
    <row r="271" spans="2:17" ht="15.6">
      <c r="B271" s="248"/>
      <c r="C271" s="248"/>
      <c r="D271" s="248"/>
      <c r="E271" s="248"/>
      <c r="F271" s="248"/>
      <c r="G271" s="248"/>
      <c r="H271" s="248"/>
      <c r="I271" s="253"/>
      <c r="J271" s="253"/>
      <c r="K271" s="253"/>
      <c r="L271" s="253"/>
      <c r="M271" s="253"/>
      <c r="N271" s="253"/>
      <c r="O271" s="253"/>
      <c r="P271" s="253"/>
      <c r="Q271" s="253"/>
    </row>
    <row r="272" spans="2:17" ht="15.6">
      <c r="B272" s="248"/>
      <c r="C272" s="248"/>
      <c r="D272" s="248"/>
      <c r="E272" s="248"/>
      <c r="F272" s="248"/>
      <c r="G272" s="248"/>
      <c r="H272" s="248"/>
      <c r="I272" s="253"/>
      <c r="J272" s="253"/>
      <c r="K272" s="253"/>
      <c r="L272" s="253"/>
      <c r="M272" s="253"/>
      <c r="N272" s="253"/>
      <c r="O272" s="253"/>
      <c r="P272" s="253"/>
      <c r="Q272" s="253"/>
    </row>
    <row r="273" spans="2:17" ht="15.6">
      <c r="B273" s="248"/>
      <c r="C273" s="248"/>
      <c r="D273" s="248"/>
      <c r="E273" s="248"/>
      <c r="F273" s="248"/>
      <c r="G273" s="248"/>
      <c r="H273" s="248"/>
      <c r="I273" s="253"/>
      <c r="J273" s="253"/>
      <c r="K273" s="253"/>
      <c r="L273" s="253"/>
      <c r="M273" s="253"/>
      <c r="N273" s="253"/>
      <c r="O273" s="253"/>
      <c r="P273" s="253"/>
      <c r="Q273" s="253"/>
    </row>
    <row r="274" spans="2:17" ht="15.6">
      <c r="B274" s="248"/>
      <c r="C274" s="248"/>
      <c r="D274" s="248"/>
      <c r="E274" s="248"/>
      <c r="F274" s="248"/>
      <c r="G274" s="248"/>
      <c r="H274" s="248"/>
      <c r="I274" s="253"/>
      <c r="J274" s="253"/>
      <c r="K274" s="253"/>
      <c r="L274" s="253"/>
      <c r="M274" s="253"/>
      <c r="N274" s="253"/>
      <c r="O274" s="253"/>
      <c r="P274" s="253"/>
      <c r="Q274" s="253"/>
    </row>
    <row r="275" spans="2:17" ht="15.6">
      <c r="B275" s="248"/>
      <c r="C275" s="248"/>
      <c r="D275" s="248"/>
      <c r="E275" s="248"/>
      <c r="F275" s="248"/>
      <c r="G275" s="248"/>
      <c r="H275" s="248"/>
      <c r="I275" s="253"/>
      <c r="J275" s="253"/>
      <c r="K275" s="253"/>
      <c r="L275" s="253"/>
      <c r="M275" s="253"/>
      <c r="N275" s="253"/>
      <c r="O275" s="253"/>
      <c r="P275" s="253"/>
      <c r="Q275" s="253"/>
    </row>
    <row r="276" spans="2:17" ht="15.6">
      <c r="B276" s="248"/>
      <c r="C276" s="248"/>
      <c r="D276" s="248"/>
      <c r="E276" s="248"/>
      <c r="F276" s="248"/>
      <c r="G276" s="248"/>
      <c r="H276" s="248"/>
      <c r="I276" s="253"/>
      <c r="J276" s="253"/>
      <c r="K276" s="253"/>
      <c r="L276" s="253"/>
      <c r="M276" s="253"/>
      <c r="N276" s="253"/>
      <c r="O276" s="253"/>
      <c r="P276" s="253"/>
      <c r="Q276" s="253"/>
    </row>
    <row r="277" spans="2:17" ht="15.6">
      <c r="B277" s="248"/>
      <c r="C277" s="248"/>
      <c r="D277" s="248"/>
      <c r="E277" s="248"/>
      <c r="F277" s="248"/>
      <c r="G277" s="248"/>
      <c r="H277" s="248"/>
      <c r="I277" s="253"/>
      <c r="J277" s="253"/>
      <c r="K277" s="253"/>
      <c r="L277" s="253"/>
      <c r="M277" s="253"/>
      <c r="N277" s="253"/>
      <c r="O277" s="253"/>
      <c r="P277" s="253"/>
      <c r="Q277" s="253"/>
    </row>
    <row r="278" spans="2:17" ht="15.6">
      <c r="B278" s="248"/>
      <c r="C278" s="248"/>
      <c r="D278" s="248"/>
      <c r="E278" s="248"/>
      <c r="F278" s="248"/>
      <c r="G278" s="248"/>
      <c r="H278" s="248"/>
      <c r="I278" s="253"/>
      <c r="J278" s="253"/>
      <c r="K278" s="253"/>
      <c r="L278" s="253"/>
      <c r="M278" s="253"/>
      <c r="N278" s="253"/>
      <c r="O278" s="253"/>
      <c r="P278" s="253"/>
      <c r="Q278" s="253"/>
    </row>
    <row r="279" spans="2:17" ht="15.6">
      <c r="B279" s="248"/>
      <c r="C279" s="248"/>
      <c r="D279" s="248"/>
      <c r="E279" s="248"/>
      <c r="F279" s="248"/>
      <c r="G279" s="248"/>
      <c r="H279" s="248"/>
      <c r="I279" s="253"/>
      <c r="J279" s="253"/>
      <c r="K279" s="253"/>
      <c r="L279" s="253"/>
      <c r="M279" s="253"/>
      <c r="N279" s="253"/>
      <c r="O279" s="253"/>
      <c r="P279" s="253"/>
      <c r="Q279" s="253"/>
    </row>
    <row r="280" spans="2:17" ht="15.6">
      <c r="B280" s="248"/>
      <c r="C280" s="248"/>
      <c r="D280" s="248"/>
      <c r="E280" s="248"/>
      <c r="F280" s="248"/>
      <c r="G280" s="248"/>
      <c r="H280" s="248"/>
      <c r="I280" s="253"/>
      <c r="J280" s="253"/>
      <c r="K280" s="253"/>
      <c r="L280" s="253"/>
      <c r="M280" s="253"/>
      <c r="N280" s="253"/>
      <c r="O280" s="253"/>
      <c r="P280" s="253"/>
      <c r="Q280" s="253"/>
    </row>
    <row r="281" spans="2:17" ht="15.6">
      <c r="B281" s="248"/>
      <c r="C281" s="248"/>
      <c r="D281" s="248"/>
      <c r="E281" s="248"/>
      <c r="F281" s="248"/>
      <c r="G281" s="248"/>
      <c r="H281" s="248"/>
      <c r="I281" s="253"/>
      <c r="J281" s="253"/>
      <c r="K281" s="253"/>
      <c r="L281" s="253"/>
      <c r="M281" s="253"/>
      <c r="N281" s="253"/>
      <c r="O281" s="253"/>
      <c r="P281" s="253"/>
      <c r="Q281" s="253"/>
    </row>
    <row r="282" spans="2:17" ht="15.6">
      <c r="B282" s="248"/>
      <c r="C282" s="248"/>
      <c r="D282" s="248"/>
      <c r="E282" s="248"/>
      <c r="F282" s="248"/>
      <c r="G282" s="248"/>
      <c r="H282" s="248"/>
      <c r="I282" s="253"/>
      <c r="J282" s="253"/>
      <c r="K282" s="253"/>
      <c r="L282" s="253"/>
      <c r="M282" s="253"/>
      <c r="N282" s="253"/>
      <c r="O282" s="253"/>
      <c r="P282" s="253"/>
      <c r="Q282" s="253"/>
    </row>
    <row r="283" spans="2:17" ht="15.6">
      <c r="B283" s="248"/>
      <c r="C283" s="248"/>
      <c r="D283" s="248"/>
      <c r="E283" s="248"/>
      <c r="F283" s="248"/>
      <c r="G283" s="248"/>
      <c r="H283" s="248"/>
      <c r="I283" s="253"/>
      <c r="J283" s="253"/>
      <c r="K283" s="253"/>
      <c r="L283" s="253"/>
      <c r="M283" s="253"/>
      <c r="N283" s="253"/>
      <c r="O283" s="253"/>
      <c r="P283" s="253"/>
      <c r="Q283" s="253"/>
    </row>
    <row r="284" spans="2:17" ht="15.6">
      <c r="B284" s="248"/>
      <c r="C284" s="248"/>
      <c r="D284" s="248"/>
      <c r="E284" s="248"/>
      <c r="F284" s="248"/>
      <c r="G284" s="248"/>
      <c r="H284" s="248"/>
      <c r="I284" s="253"/>
      <c r="J284" s="253"/>
      <c r="K284" s="253"/>
      <c r="L284" s="253"/>
      <c r="M284" s="253"/>
      <c r="N284" s="253"/>
      <c r="O284" s="253"/>
      <c r="P284" s="253"/>
      <c r="Q284" s="253"/>
    </row>
    <row r="285" spans="2:17" ht="15.6">
      <c r="B285" s="248"/>
      <c r="C285" s="248"/>
      <c r="D285" s="248"/>
      <c r="E285" s="248"/>
      <c r="F285" s="248"/>
      <c r="G285" s="248"/>
      <c r="H285" s="248"/>
      <c r="I285" s="253"/>
      <c r="J285" s="253"/>
      <c r="K285" s="253"/>
      <c r="L285" s="253"/>
      <c r="M285" s="253"/>
      <c r="N285" s="253"/>
      <c r="O285" s="253"/>
      <c r="P285" s="253"/>
      <c r="Q285" s="253"/>
    </row>
    <row r="286" spans="2:17" ht="15.6">
      <c r="B286" s="248"/>
      <c r="C286" s="248"/>
      <c r="D286" s="248"/>
      <c r="E286" s="248"/>
      <c r="F286" s="248"/>
      <c r="G286" s="248"/>
      <c r="H286" s="248"/>
      <c r="I286" s="253"/>
      <c r="J286" s="253"/>
      <c r="K286" s="253"/>
      <c r="L286" s="253"/>
      <c r="M286" s="253"/>
      <c r="N286" s="253"/>
      <c r="O286" s="253"/>
      <c r="P286" s="253"/>
      <c r="Q286" s="253"/>
    </row>
    <row r="287" spans="2:17" ht="15.6">
      <c r="B287" s="248"/>
      <c r="C287" s="248"/>
      <c r="D287" s="248"/>
      <c r="E287" s="248"/>
      <c r="F287" s="248"/>
      <c r="G287" s="248"/>
      <c r="H287" s="248"/>
      <c r="I287" s="253"/>
      <c r="J287" s="253"/>
      <c r="K287" s="253"/>
      <c r="L287" s="253"/>
      <c r="M287" s="253"/>
      <c r="N287" s="253"/>
      <c r="O287" s="253"/>
      <c r="P287" s="253"/>
      <c r="Q287" s="253"/>
    </row>
    <row r="288" spans="2:17" ht="15.6">
      <c r="B288" s="248"/>
      <c r="C288" s="248"/>
      <c r="D288" s="248"/>
      <c r="E288" s="248"/>
      <c r="F288" s="248"/>
      <c r="G288" s="248"/>
      <c r="H288" s="248"/>
      <c r="I288" s="253"/>
      <c r="J288" s="253"/>
      <c r="K288" s="253"/>
      <c r="L288" s="253"/>
      <c r="M288" s="253"/>
      <c r="N288" s="253"/>
      <c r="O288" s="253"/>
      <c r="P288" s="253"/>
      <c r="Q288" s="253"/>
    </row>
    <row r="289" spans="2:17" ht="15.6">
      <c r="B289" s="248"/>
      <c r="C289" s="248"/>
      <c r="D289" s="248"/>
      <c r="E289" s="248"/>
      <c r="F289" s="248"/>
      <c r="G289" s="248"/>
      <c r="H289" s="248"/>
      <c r="I289" s="253"/>
      <c r="J289" s="253"/>
      <c r="K289" s="253"/>
      <c r="L289" s="253"/>
      <c r="M289" s="253"/>
      <c r="N289" s="253"/>
      <c r="O289" s="253"/>
      <c r="P289" s="253"/>
      <c r="Q289" s="253"/>
    </row>
    <row r="290" spans="2:17" ht="15.6">
      <c r="B290" s="266"/>
      <c r="C290" s="266"/>
      <c r="D290" s="266"/>
      <c r="E290" s="266"/>
      <c r="F290" s="266"/>
      <c r="G290" s="266"/>
      <c r="H290" s="266"/>
      <c r="I290" s="267"/>
      <c r="J290" s="267"/>
      <c r="K290" s="267"/>
      <c r="L290" s="267"/>
      <c r="M290" s="267"/>
      <c r="N290" s="267"/>
      <c r="O290" s="267"/>
      <c r="P290" s="267"/>
      <c r="Q290" s="267"/>
    </row>
    <row r="291" spans="2:17" ht="15.6">
      <c r="B291" s="266"/>
      <c r="C291" s="266"/>
      <c r="D291" s="266"/>
      <c r="E291" s="266"/>
      <c r="F291" s="266"/>
      <c r="G291" s="266"/>
      <c r="H291" s="266"/>
      <c r="I291" s="267"/>
      <c r="J291" s="267"/>
      <c r="K291" s="267"/>
      <c r="L291" s="267"/>
      <c r="M291" s="267"/>
      <c r="N291" s="267"/>
      <c r="O291" s="267"/>
      <c r="P291" s="267"/>
      <c r="Q291" s="267"/>
    </row>
    <row r="292" spans="2:17" ht="15.6">
      <c r="B292" s="266"/>
      <c r="C292" s="266"/>
      <c r="D292" s="266"/>
      <c r="E292" s="266"/>
      <c r="F292" s="266"/>
      <c r="G292" s="266"/>
      <c r="H292" s="266"/>
      <c r="I292" s="267"/>
      <c r="J292" s="267"/>
      <c r="K292" s="267"/>
      <c r="L292" s="267"/>
      <c r="M292" s="267"/>
      <c r="N292" s="267"/>
      <c r="O292" s="267"/>
      <c r="P292" s="267"/>
      <c r="Q292" s="267"/>
    </row>
    <row r="293" spans="2:17" ht="15.6">
      <c r="B293" s="266"/>
      <c r="C293" s="266"/>
      <c r="D293" s="266"/>
      <c r="E293" s="266"/>
      <c r="F293" s="266"/>
      <c r="G293" s="266"/>
      <c r="H293" s="266"/>
      <c r="I293" s="267"/>
      <c r="J293" s="267"/>
      <c r="K293" s="267"/>
      <c r="L293" s="267"/>
      <c r="M293" s="267"/>
      <c r="N293" s="267"/>
      <c r="O293" s="267"/>
      <c r="P293" s="267"/>
      <c r="Q293" s="267"/>
    </row>
    <row r="294" spans="2:17" ht="15.6">
      <c r="B294" s="266"/>
      <c r="C294" s="266"/>
      <c r="D294" s="266"/>
      <c r="E294" s="266"/>
      <c r="F294" s="266"/>
      <c r="G294" s="266"/>
      <c r="H294" s="266"/>
      <c r="I294" s="267"/>
      <c r="J294" s="267"/>
      <c r="K294" s="267"/>
      <c r="L294" s="267"/>
      <c r="M294" s="267"/>
      <c r="N294" s="267"/>
      <c r="O294" s="267"/>
      <c r="P294" s="267"/>
      <c r="Q294" s="267"/>
    </row>
    <row r="295" spans="2:17" ht="15.6">
      <c r="B295" s="266"/>
      <c r="C295" s="266"/>
      <c r="D295" s="266"/>
      <c r="E295" s="266"/>
      <c r="F295" s="266"/>
      <c r="G295" s="266"/>
      <c r="H295" s="266"/>
      <c r="I295" s="267"/>
      <c r="J295" s="267"/>
      <c r="K295" s="267"/>
      <c r="L295" s="267"/>
      <c r="M295" s="267"/>
      <c r="N295" s="267"/>
      <c r="O295" s="267"/>
      <c r="P295" s="267"/>
      <c r="Q295" s="267"/>
    </row>
    <row r="296" spans="2:17" ht="15.6">
      <c r="B296" s="266"/>
      <c r="C296" s="266"/>
      <c r="D296" s="266"/>
      <c r="E296" s="266"/>
      <c r="F296" s="266"/>
      <c r="G296" s="266"/>
      <c r="H296" s="266"/>
      <c r="I296" s="267"/>
      <c r="J296" s="267"/>
      <c r="K296" s="267"/>
      <c r="L296" s="267"/>
      <c r="M296" s="267"/>
      <c r="N296" s="267"/>
      <c r="O296" s="267"/>
      <c r="P296" s="267"/>
      <c r="Q296" s="267"/>
    </row>
    <row r="297" spans="2:17" ht="15.6">
      <c r="B297" s="266"/>
      <c r="C297" s="266"/>
      <c r="D297" s="266"/>
      <c r="E297" s="266"/>
      <c r="F297" s="266"/>
      <c r="G297" s="266"/>
      <c r="H297" s="266"/>
      <c r="I297" s="267"/>
      <c r="J297" s="267"/>
      <c r="K297" s="267"/>
      <c r="L297" s="267"/>
      <c r="M297" s="267"/>
      <c r="N297" s="267"/>
      <c r="O297" s="267"/>
      <c r="P297" s="267"/>
      <c r="Q297" s="267"/>
    </row>
    <row r="298" spans="2:17" ht="15.6">
      <c r="B298" s="266"/>
      <c r="C298" s="266"/>
      <c r="D298" s="266"/>
      <c r="E298" s="266"/>
      <c r="F298" s="266"/>
      <c r="G298" s="266"/>
      <c r="H298" s="266"/>
      <c r="I298" s="267"/>
      <c r="J298" s="267"/>
      <c r="K298" s="267"/>
      <c r="L298" s="267"/>
      <c r="M298" s="267"/>
      <c r="N298" s="267"/>
      <c r="O298" s="267"/>
      <c r="P298" s="267"/>
      <c r="Q298" s="267"/>
    </row>
    <row r="299" spans="2:17" ht="15.6">
      <c r="B299" s="266"/>
      <c r="C299" s="266"/>
      <c r="D299" s="266"/>
      <c r="E299" s="266"/>
      <c r="F299" s="266"/>
      <c r="G299" s="266"/>
      <c r="H299" s="266"/>
      <c r="I299" s="267"/>
      <c r="J299" s="267"/>
      <c r="K299" s="267"/>
      <c r="L299" s="267"/>
      <c r="M299" s="267"/>
      <c r="N299" s="267"/>
      <c r="O299" s="267"/>
      <c r="P299" s="267"/>
      <c r="Q299" s="267"/>
    </row>
    <row r="300" spans="2:17" ht="15.6">
      <c r="B300" s="266"/>
      <c r="C300" s="266"/>
      <c r="D300" s="266"/>
      <c r="E300" s="266"/>
      <c r="F300" s="266"/>
      <c r="G300" s="266"/>
      <c r="H300" s="266"/>
      <c r="I300" s="267"/>
      <c r="J300" s="267"/>
      <c r="K300" s="267"/>
      <c r="L300" s="267"/>
      <c r="M300" s="267"/>
      <c r="N300" s="267"/>
      <c r="O300" s="267"/>
      <c r="P300" s="267"/>
      <c r="Q300" s="267"/>
    </row>
    <row r="301" spans="2:17" ht="15.6">
      <c r="B301" s="266"/>
      <c r="C301" s="266"/>
      <c r="D301" s="266"/>
      <c r="E301" s="266"/>
      <c r="F301" s="266"/>
      <c r="G301" s="266"/>
      <c r="H301" s="266"/>
      <c r="I301" s="267"/>
      <c r="J301" s="267"/>
      <c r="K301" s="267"/>
      <c r="L301" s="267"/>
      <c r="M301" s="267"/>
      <c r="N301" s="267"/>
      <c r="O301" s="267"/>
      <c r="P301" s="267"/>
      <c r="Q301" s="267"/>
    </row>
    <row r="302" spans="2:17" ht="15.6">
      <c r="B302" s="266"/>
      <c r="C302" s="266"/>
      <c r="D302" s="266"/>
      <c r="E302" s="266"/>
      <c r="F302" s="266"/>
      <c r="G302" s="266"/>
      <c r="H302" s="266"/>
      <c r="I302" s="267"/>
      <c r="J302" s="267"/>
      <c r="K302" s="267"/>
      <c r="L302" s="267"/>
      <c r="M302" s="267"/>
      <c r="N302" s="267"/>
      <c r="O302" s="267"/>
      <c r="P302" s="267"/>
      <c r="Q302" s="267"/>
    </row>
    <row r="303" spans="2:17" ht="15.6">
      <c r="B303" s="266"/>
      <c r="C303" s="266"/>
      <c r="D303" s="266"/>
      <c r="E303" s="266"/>
      <c r="F303" s="266"/>
      <c r="G303" s="266"/>
      <c r="H303" s="266"/>
      <c r="I303" s="267"/>
      <c r="J303" s="267"/>
      <c r="K303" s="267"/>
      <c r="L303" s="267"/>
      <c r="M303" s="267"/>
      <c r="N303" s="267"/>
      <c r="O303" s="267"/>
      <c r="P303" s="267"/>
      <c r="Q303" s="267"/>
    </row>
    <row r="304" spans="2:17" ht="15.6">
      <c r="B304" s="266"/>
      <c r="C304" s="266"/>
      <c r="D304" s="266"/>
      <c r="E304" s="266"/>
      <c r="F304" s="266"/>
      <c r="G304" s="266"/>
      <c r="H304" s="266"/>
      <c r="I304" s="267"/>
      <c r="J304" s="267"/>
      <c r="K304" s="267"/>
      <c r="L304" s="267"/>
      <c r="M304" s="267"/>
      <c r="N304" s="267"/>
      <c r="O304" s="267"/>
      <c r="P304" s="267"/>
      <c r="Q304" s="267"/>
    </row>
    <row r="305" spans="2:17" ht="15.6">
      <c r="B305" s="266"/>
      <c r="C305" s="266"/>
      <c r="D305" s="266"/>
      <c r="E305" s="266"/>
      <c r="F305" s="266"/>
      <c r="G305" s="266"/>
      <c r="H305" s="266"/>
      <c r="I305" s="267"/>
      <c r="J305" s="267"/>
      <c r="K305" s="267"/>
      <c r="L305" s="267"/>
      <c r="M305" s="267"/>
      <c r="N305" s="267"/>
      <c r="O305" s="267"/>
      <c r="P305" s="267"/>
      <c r="Q305" s="267"/>
    </row>
    <row r="306" spans="2:17" ht="15.6">
      <c r="B306" s="266"/>
      <c r="C306" s="266"/>
      <c r="D306" s="266"/>
      <c r="E306" s="266"/>
      <c r="F306" s="266"/>
      <c r="G306" s="266"/>
      <c r="H306" s="266"/>
      <c r="I306" s="267"/>
      <c r="J306" s="267"/>
      <c r="K306" s="267"/>
      <c r="L306" s="267"/>
      <c r="M306" s="267"/>
      <c r="N306" s="267"/>
      <c r="O306" s="267"/>
      <c r="P306" s="267"/>
      <c r="Q306" s="267"/>
    </row>
    <row r="307" spans="2:17" ht="15.6">
      <c r="B307" s="266"/>
      <c r="C307" s="266"/>
      <c r="D307" s="266"/>
      <c r="E307" s="266"/>
      <c r="F307" s="266"/>
      <c r="G307" s="266"/>
      <c r="H307" s="266"/>
      <c r="I307" s="267"/>
      <c r="J307" s="267"/>
      <c r="K307" s="267"/>
      <c r="L307" s="267"/>
      <c r="M307" s="267"/>
      <c r="N307" s="267"/>
      <c r="O307" s="267"/>
      <c r="P307" s="267"/>
      <c r="Q307" s="267"/>
    </row>
    <row r="308" spans="2:17" ht="15.6">
      <c r="B308" s="266"/>
      <c r="C308" s="266"/>
      <c r="D308" s="266"/>
      <c r="E308" s="266"/>
      <c r="F308" s="266"/>
      <c r="G308" s="266"/>
      <c r="H308" s="266"/>
      <c r="I308" s="267"/>
      <c r="J308" s="267"/>
      <c r="K308" s="267"/>
      <c r="L308" s="267"/>
      <c r="M308" s="267"/>
      <c r="N308" s="267"/>
      <c r="O308" s="267"/>
      <c r="P308" s="267"/>
      <c r="Q308" s="267"/>
    </row>
    <row r="309" spans="2:17" ht="15.6">
      <c r="B309" s="266"/>
      <c r="C309" s="266"/>
      <c r="D309" s="266"/>
      <c r="E309" s="266"/>
      <c r="F309" s="266"/>
      <c r="G309" s="266"/>
      <c r="H309" s="266"/>
      <c r="I309" s="267"/>
      <c r="J309" s="267"/>
      <c r="K309" s="267"/>
      <c r="L309" s="267"/>
      <c r="M309" s="267"/>
      <c r="N309" s="267"/>
      <c r="O309" s="267"/>
      <c r="P309" s="267"/>
      <c r="Q309" s="267"/>
    </row>
    <row r="310" spans="2:17" ht="15.6">
      <c r="B310" s="266"/>
      <c r="C310" s="266"/>
      <c r="D310" s="266"/>
      <c r="E310" s="266"/>
      <c r="F310" s="266"/>
      <c r="G310" s="266"/>
      <c r="H310" s="266"/>
      <c r="I310" s="267"/>
      <c r="J310" s="267"/>
      <c r="K310" s="267"/>
      <c r="L310" s="267"/>
      <c r="M310" s="267"/>
      <c r="N310" s="267"/>
      <c r="O310" s="267"/>
      <c r="P310" s="267"/>
      <c r="Q310" s="267"/>
    </row>
    <row r="311" spans="2:17" ht="15.6">
      <c r="B311" s="266"/>
      <c r="C311" s="266"/>
      <c r="D311" s="266"/>
      <c r="E311" s="266"/>
      <c r="F311" s="266"/>
      <c r="G311" s="266"/>
      <c r="H311" s="266"/>
      <c r="I311" s="267"/>
      <c r="J311" s="267"/>
      <c r="K311" s="267"/>
      <c r="L311" s="267"/>
      <c r="M311" s="267"/>
      <c r="N311" s="267"/>
      <c r="O311" s="267"/>
      <c r="P311" s="267"/>
      <c r="Q311" s="267"/>
    </row>
    <row r="312" spans="2:17" ht="15.6">
      <c r="B312" s="266"/>
      <c r="C312" s="266"/>
      <c r="D312" s="266"/>
      <c r="E312" s="266"/>
      <c r="F312" s="266"/>
      <c r="G312" s="266"/>
      <c r="H312" s="266"/>
      <c r="I312" s="267"/>
      <c r="J312" s="267"/>
      <c r="K312" s="267"/>
      <c r="L312" s="267"/>
      <c r="M312" s="267"/>
      <c r="N312" s="267"/>
      <c r="O312" s="267"/>
      <c r="P312" s="267"/>
      <c r="Q312" s="267"/>
    </row>
    <row r="313" spans="2:17" ht="15.6">
      <c r="B313" s="266"/>
      <c r="C313" s="266"/>
      <c r="D313" s="266"/>
      <c r="E313" s="266"/>
      <c r="F313" s="266"/>
      <c r="G313" s="266"/>
      <c r="H313" s="266"/>
      <c r="I313" s="267"/>
      <c r="J313" s="267"/>
      <c r="K313" s="267"/>
      <c r="L313" s="267"/>
      <c r="M313" s="267"/>
      <c r="N313" s="267"/>
      <c r="O313" s="267"/>
      <c r="P313" s="267"/>
      <c r="Q313" s="267"/>
    </row>
    <row r="314" spans="2:17" ht="15.6">
      <c r="B314" s="266"/>
      <c r="C314" s="266"/>
      <c r="D314" s="266"/>
      <c r="E314" s="266"/>
      <c r="F314" s="266"/>
      <c r="G314" s="266"/>
      <c r="H314" s="266"/>
      <c r="I314" s="267"/>
      <c r="J314" s="267"/>
      <c r="K314" s="267"/>
      <c r="L314" s="267"/>
      <c r="M314" s="267"/>
      <c r="N314" s="267"/>
      <c r="O314" s="267"/>
      <c r="P314" s="267"/>
      <c r="Q314" s="267"/>
    </row>
    <row r="315" spans="2:17" ht="15.6">
      <c r="B315" s="266"/>
      <c r="C315" s="266"/>
      <c r="D315" s="266"/>
      <c r="E315" s="266"/>
      <c r="F315" s="266"/>
      <c r="G315" s="266"/>
      <c r="H315" s="266"/>
      <c r="I315" s="267"/>
      <c r="J315" s="267"/>
      <c r="K315" s="267"/>
      <c r="L315" s="267"/>
      <c r="M315" s="267"/>
      <c r="N315" s="267"/>
      <c r="O315" s="267"/>
      <c r="P315" s="267"/>
      <c r="Q315" s="267"/>
    </row>
    <row r="316" spans="2:17" ht="15.6">
      <c r="B316" s="266"/>
      <c r="C316" s="266"/>
      <c r="D316" s="266"/>
      <c r="E316" s="266"/>
      <c r="F316" s="266"/>
      <c r="G316" s="266"/>
      <c r="H316" s="266"/>
      <c r="I316" s="267"/>
      <c r="J316" s="267"/>
      <c r="K316" s="267"/>
      <c r="L316" s="267"/>
      <c r="M316" s="267"/>
      <c r="N316" s="267"/>
      <c r="O316" s="267"/>
      <c r="P316" s="267"/>
      <c r="Q316" s="267"/>
    </row>
    <row r="317" spans="2:17" ht="15.6">
      <c r="B317" s="266"/>
      <c r="C317" s="266"/>
      <c r="D317" s="266"/>
      <c r="E317" s="266"/>
      <c r="F317" s="266"/>
      <c r="G317" s="266"/>
      <c r="H317" s="266"/>
      <c r="I317" s="267"/>
      <c r="J317" s="267"/>
      <c r="K317" s="267"/>
      <c r="L317" s="267"/>
      <c r="M317" s="267"/>
      <c r="N317" s="267"/>
      <c r="O317" s="267"/>
      <c r="P317" s="267"/>
      <c r="Q317" s="267"/>
    </row>
    <row r="318" spans="2:17" ht="15.6">
      <c r="B318" s="266"/>
      <c r="C318" s="266"/>
      <c r="D318" s="266"/>
      <c r="E318" s="266"/>
      <c r="F318" s="266"/>
      <c r="G318" s="266"/>
      <c r="H318" s="266"/>
      <c r="I318" s="267"/>
      <c r="J318" s="267"/>
      <c r="K318" s="267"/>
      <c r="L318" s="267"/>
      <c r="M318" s="267"/>
      <c r="N318" s="267"/>
      <c r="O318" s="267"/>
      <c r="P318" s="267"/>
      <c r="Q318" s="267"/>
    </row>
    <row r="319" spans="2:17" ht="15.6">
      <c r="B319" s="266"/>
      <c r="C319" s="266"/>
      <c r="D319" s="266"/>
      <c r="E319" s="266"/>
      <c r="F319" s="266"/>
      <c r="G319" s="266"/>
      <c r="H319" s="266"/>
      <c r="I319" s="267"/>
      <c r="J319" s="267"/>
      <c r="K319" s="267"/>
      <c r="L319" s="267"/>
      <c r="M319" s="267"/>
      <c r="N319" s="267"/>
      <c r="O319" s="267"/>
      <c r="P319" s="267"/>
      <c r="Q319" s="267"/>
    </row>
    <row r="320" spans="2:17" ht="15.6">
      <c r="B320" s="266"/>
      <c r="C320" s="266"/>
      <c r="D320" s="266"/>
      <c r="E320" s="266"/>
      <c r="F320" s="266"/>
      <c r="G320" s="266"/>
      <c r="H320" s="266"/>
      <c r="I320" s="267"/>
      <c r="J320" s="267"/>
      <c r="K320" s="267"/>
      <c r="L320" s="267"/>
      <c r="M320" s="267"/>
      <c r="N320" s="267"/>
      <c r="O320" s="267"/>
      <c r="P320" s="267"/>
      <c r="Q320" s="267"/>
    </row>
    <row r="321" spans="2:17" ht="15.6">
      <c r="B321" s="266"/>
      <c r="C321" s="266"/>
      <c r="D321" s="266"/>
      <c r="E321" s="266"/>
      <c r="F321" s="266"/>
      <c r="G321" s="266"/>
      <c r="H321" s="266"/>
      <c r="I321" s="267"/>
      <c r="J321" s="267"/>
      <c r="K321" s="267"/>
      <c r="L321" s="267"/>
      <c r="M321" s="267"/>
      <c r="N321" s="267"/>
      <c r="O321" s="267"/>
      <c r="P321" s="267"/>
      <c r="Q321" s="267"/>
    </row>
    <row r="322" spans="2:17" ht="15.6">
      <c r="B322" s="266"/>
      <c r="C322" s="266"/>
      <c r="D322" s="266"/>
      <c r="E322" s="266"/>
      <c r="F322" s="266"/>
      <c r="G322" s="266"/>
      <c r="H322" s="266"/>
      <c r="I322" s="267"/>
      <c r="J322" s="267"/>
      <c r="K322" s="267"/>
      <c r="L322" s="267"/>
      <c r="M322" s="267"/>
      <c r="N322" s="267"/>
      <c r="O322" s="267"/>
      <c r="P322" s="267"/>
      <c r="Q322" s="267"/>
    </row>
    <row r="323" spans="2:17" ht="15.6">
      <c r="B323" s="266"/>
      <c r="C323" s="266"/>
      <c r="D323" s="266"/>
      <c r="E323" s="266"/>
      <c r="F323" s="266"/>
      <c r="G323" s="266"/>
      <c r="H323" s="266"/>
      <c r="I323" s="267"/>
      <c r="J323" s="267"/>
      <c r="K323" s="267"/>
      <c r="L323" s="267"/>
      <c r="M323" s="267"/>
      <c r="N323" s="267"/>
      <c r="O323" s="267"/>
      <c r="P323" s="267"/>
      <c r="Q323" s="267"/>
    </row>
    <row r="324" spans="2:17" ht="15.6">
      <c r="B324" s="266"/>
      <c r="C324" s="266"/>
      <c r="D324" s="266"/>
      <c r="E324" s="266"/>
      <c r="F324" s="266"/>
      <c r="G324" s="266"/>
      <c r="H324" s="266"/>
      <c r="I324" s="267"/>
      <c r="J324" s="267"/>
      <c r="K324" s="267"/>
      <c r="L324" s="267"/>
      <c r="M324" s="267"/>
      <c r="N324" s="267"/>
      <c r="O324" s="267"/>
      <c r="P324" s="267"/>
      <c r="Q324" s="267"/>
    </row>
    <row r="325" spans="2:17" ht="15.6">
      <c r="B325" s="266"/>
      <c r="C325" s="266"/>
      <c r="D325" s="266"/>
      <c r="E325" s="266"/>
      <c r="F325" s="266"/>
      <c r="G325" s="266"/>
      <c r="H325" s="266"/>
      <c r="I325" s="267"/>
      <c r="J325" s="267"/>
      <c r="K325" s="267"/>
      <c r="L325" s="267"/>
      <c r="M325" s="267"/>
      <c r="N325" s="267"/>
      <c r="O325" s="267"/>
      <c r="P325" s="267"/>
      <c r="Q325" s="267"/>
    </row>
    <row r="326" spans="2:17" ht="15.6">
      <c r="B326" s="266"/>
      <c r="C326" s="266"/>
      <c r="D326" s="266"/>
      <c r="E326" s="266"/>
      <c r="F326" s="266"/>
      <c r="G326" s="266"/>
      <c r="H326" s="266"/>
      <c r="I326" s="267"/>
      <c r="J326" s="267"/>
      <c r="K326" s="267"/>
      <c r="L326" s="267"/>
      <c r="M326" s="267"/>
      <c r="N326" s="267"/>
      <c r="O326" s="267"/>
      <c r="P326" s="267"/>
      <c r="Q326" s="267"/>
    </row>
    <row r="327" spans="2:17" ht="15.6">
      <c r="B327" s="266"/>
      <c r="C327" s="266"/>
      <c r="D327" s="266"/>
      <c r="E327" s="266"/>
      <c r="F327" s="266"/>
      <c r="G327" s="266"/>
      <c r="H327" s="266"/>
      <c r="I327" s="267"/>
      <c r="J327" s="267"/>
      <c r="K327" s="267"/>
      <c r="L327" s="267"/>
      <c r="M327" s="267"/>
      <c r="N327" s="267"/>
      <c r="O327" s="267"/>
      <c r="P327" s="267"/>
      <c r="Q327" s="267"/>
    </row>
    <row r="328" spans="2:17" ht="15.6">
      <c r="B328" s="266"/>
      <c r="C328" s="266"/>
      <c r="D328" s="266"/>
      <c r="E328" s="266"/>
      <c r="F328" s="266"/>
      <c r="G328" s="266"/>
      <c r="H328" s="266"/>
      <c r="I328" s="267"/>
      <c r="J328" s="267"/>
      <c r="K328" s="267"/>
      <c r="L328" s="267"/>
      <c r="M328" s="267"/>
      <c r="N328" s="267"/>
      <c r="O328" s="267"/>
      <c r="P328" s="267"/>
      <c r="Q328" s="267"/>
    </row>
    <row r="329" spans="2:17" ht="15.6">
      <c r="B329" s="266"/>
      <c r="C329" s="266"/>
      <c r="D329" s="266"/>
      <c r="E329" s="266"/>
      <c r="F329" s="266"/>
      <c r="G329" s="266"/>
      <c r="H329" s="266"/>
      <c r="I329" s="267"/>
      <c r="J329" s="267"/>
      <c r="K329" s="267"/>
      <c r="L329" s="267"/>
      <c r="M329" s="267"/>
      <c r="N329" s="267"/>
      <c r="O329" s="267"/>
      <c r="P329" s="267"/>
      <c r="Q329" s="267"/>
    </row>
    <row r="330" spans="2:17" ht="15.6">
      <c r="B330" s="266"/>
      <c r="C330" s="266"/>
      <c r="D330" s="266"/>
      <c r="E330" s="266"/>
      <c r="F330" s="266"/>
      <c r="G330" s="266"/>
      <c r="H330" s="266"/>
      <c r="I330" s="267"/>
      <c r="J330" s="267"/>
      <c r="K330" s="267"/>
      <c r="L330" s="267"/>
      <c r="M330" s="267"/>
      <c r="N330" s="267"/>
      <c r="O330" s="267"/>
      <c r="P330" s="267"/>
      <c r="Q330" s="267"/>
    </row>
    <row r="331" spans="2:17" ht="15.6">
      <c r="B331" s="266"/>
      <c r="C331" s="266"/>
      <c r="D331" s="266"/>
      <c r="E331" s="266"/>
      <c r="F331" s="266"/>
      <c r="G331" s="266"/>
      <c r="H331" s="266"/>
      <c r="I331" s="267"/>
      <c r="J331" s="267"/>
      <c r="K331" s="267"/>
      <c r="L331" s="267"/>
      <c r="M331" s="267"/>
      <c r="N331" s="267"/>
      <c r="O331" s="267"/>
      <c r="P331" s="267"/>
      <c r="Q331" s="267"/>
    </row>
    <row r="332" spans="2:17" ht="15.6">
      <c r="B332" s="266"/>
      <c r="C332" s="266"/>
      <c r="D332" s="266"/>
      <c r="E332" s="266"/>
      <c r="F332" s="266"/>
      <c r="G332" s="266"/>
      <c r="H332" s="266"/>
      <c r="I332" s="267"/>
      <c r="J332" s="267"/>
      <c r="K332" s="267"/>
      <c r="L332" s="267"/>
      <c r="M332" s="267"/>
      <c r="N332" s="267"/>
      <c r="O332" s="267"/>
      <c r="P332" s="267"/>
      <c r="Q332" s="267"/>
    </row>
    <row r="333" spans="2:17" ht="15.6">
      <c r="B333" s="266"/>
      <c r="C333" s="266"/>
      <c r="D333" s="266"/>
      <c r="E333" s="266"/>
      <c r="F333" s="266"/>
      <c r="G333" s="266"/>
      <c r="H333" s="266"/>
      <c r="I333" s="267"/>
      <c r="J333" s="267"/>
      <c r="K333" s="267"/>
      <c r="L333" s="267"/>
      <c r="M333" s="267"/>
      <c r="N333" s="267"/>
      <c r="O333" s="267"/>
      <c r="P333" s="267"/>
      <c r="Q333" s="267"/>
    </row>
    <row r="334" spans="2:17" ht="15.6">
      <c r="B334" s="266"/>
      <c r="C334" s="266"/>
      <c r="D334" s="266"/>
      <c r="E334" s="266"/>
      <c r="F334" s="266"/>
      <c r="G334" s="266"/>
      <c r="H334" s="266"/>
      <c r="I334" s="267"/>
      <c r="J334" s="267"/>
      <c r="K334" s="267"/>
      <c r="L334" s="267"/>
      <c r="M334" s="267"/>
      <c r="N334" s="267"/>
      <c r="O334" s="267"/>
      <c r="P334" s="267"/>
      <c r="Q334" s="267"/>
    </row>
    <row r="335" spans="2:17" ht="15.6">
      <c r="B335" s="266"/>
      <c r="C335" s="266"/>
      <c r="D335" s="266"/>
      <c r="E335" s="266"/>
      <c r="F335" s="266"/>
      <c r="G335" s="266"/>
      <c r="H335" s="266"/>
      <c r="I335" s="267"/>
      <c r="J335" s="267"/>
      <c r="K335" s="267"/>
      <c r="L335" s="267"/>
      <c r="M335" s="267"/>
      <c r="N335" s="267"/>
      <c r="O335" s="267"/>
      <c r="P335" s="267"/>
      <c r="Q335" s="267"/>
    </row>
    <row r="336" spans="2:17" ht="15.6">
      <c r="B336" s="266"/>
      <c r="C336" s="266"/>
      <c r="D336" s="266"/>
      <c r="E336" s="266"/>
      <c r="F336" s="266"/>
      <c r="G336" s="266"/>
      <c r="H336" s="266"/>
      <c r="I336" s="267"/>
      <c r="J336" s="267"/>
      <c r="K336" s="267"/>
      <c r="L336" s="267"/>
      <c r="M336" s="267"/>
      <c r="N336" s="267"/>
      <c r="O336" s="267"/>
      <c r="P336" s="267"/>
      <c r="Q336" s="267"/>
    </row>
    <row r="337" spans="2:17" ht="15.6">
      <c r="B337" s="266"/>
      <c r="C337" s="266"/>
      <c r="D337" s="266"/>
      <c r="E337" s="266"/>
      <c r="F337" s="266"/>
      <c r="G337" s="266"/>
      <c r="H337" s="266"/>
      <c r="I337" s="267"/>
      <c r="J337" s="267"/>
      <c r="K337" s="267"/>
      <c r="L337" s="267"/>
      <c r="M337" s="267"/>
      <c r="N337" s="267"/>
      <c r="O337" s="267"/>
      <c r="P337" s="267"/>
      <c r="Q337" s="267"/>
    </row>
    <row r="338" spans="2:17" ht="15.6">
      <c r="B338" s="266"/>
      <c r="C338" s="266"/>
      <c r="D338" s="266"/>
      <c r="E338" s="266"/>
      <c r="F338" s="266"/>
      <c r="G338" s="266"/>
      <c r="H338" s="266"/>
      <c r="I338" s="267"/>
      <c r="J338" s="267"/>
      <c r="K338" s="267"/>
      <c r="L338" s="267"/>
      <c r="M338" s="267"/>
      <c r="N338" s="267"/>
      <c r="O338" s="267"/>
      <c r="P338" s="267"/>
      <c r="Q338" s="267"/>
    </row>
    <row r="339" spans="2:17" ht="15.6">
      <c r="B339" s="266"/>
      <c r="C339" s="266"/>
      <c r="D339" s="266"/>
      <c r="E339" s="266"/>
      <c r="F339" s="266"/>
      <c r="G339" s="266"/>
      <c r="H339" s="266"/>
      <c r="I339" s="267"/>
      <c r="J339" s="267"/>
      <c r="K339" s="267"/>
      <c r="L339" s="267"/>
      <c r="M339" s="267"/>
      <c r="N339" s="267"/>
      <c r="O339" s="267"/>
      <c r="P339" s="267"/>
      <c r="Q339" s="267"/>
    </row>
    <row r="340" spans="2:17" ht="15.6">
      <c r="B340" s="266"/>
      <c r="C340" s="266"/>
      <c r="D340" s="266"/>
      <c r="E340" s="266"/>
      <c r="F340" s="266"/>
      <c r="G340" s="266"/>
      <c r="H340" s="266"/>
      <c r="I340" s="267"/>
      <c r="J340" s="267"/>
      <c r="K340" s="267"/>
      <c r="L340" s="267"/>
      <c r="M340" s="267"/>
      <c r="N340" s="267"/>
      <c r="O340" s="267"/>
      <c r="P340" s="267"/>
      <c r="Q340" s="267"/>
    </row>
    <row r="341" spans="2:17" ht="15.6">
      <c r="B341" s="266"/>
      <c r="C341" s="266"/>
      <c r="D341" s="266"/>
      <c r="E341" s="266"/>
      <c r="F341" s="266"/>
      <c r="G341" s="266"/>
      <c r="H341" s="266"/>
      <c r="I341" s="267"/>
      <c r="J341" s="267"/>
      <c r="K341" s="267"/>
      <c r="L341" s="267"/>
      <c r="M341" s="267"/>
      <c r="N341" s="267"/>
      <c r="O341" s="267"/>
      <c r="P341" s="267"/>
      <c r="Q341" s="267"/>
    </row>
    <row r="342" spans="2:17" ht="15.6">
      <c r="B342" s="266"/>
      <c r="C342" s="266"/>
      <c r="D342" s="266"/>
      <c r="E342" s="266"/>
      <c r="F342" s="266"/>
      <c r="G342" s="266"/>
      <c r="H342" s="266"/>
      <c r="I342" s="267"/>
      <c r="J342" s="267"/>
      <c r="K342" s="267"/>
      <c r="L342" s="267"/>
      <c r="M342" s="267"/>
      <c r="N342" s="267"/>
      <c r="O342" s="267"/>
      <c r="P342" s="267"/>
      <c r="Q342" s="267"/>
    </row>
    <row r="343" spans="2:17" ht="15.6">
      <c r="B343" s="266"/>
      <c r="C343" s="266"/>
      <c r="D343" s="266"/>
      <c r="E343" s="266"/>
      <c r="F343" s="266"/>
      <c r="G343" s="266"/>
      <c r="H343" s="266"/>
      <c r="I343" s="267"/>
      <c r="J343" s="267"/>
      <c r="K343" s="267"/>
      <c r="L343" s="267"/>
      <c r="M343" s="267"/>
      <c r="N343" s="267"/>
      <c r="O343" s="267"/>
      <c r="P343" s="267"/>
      <c r="Q343" s="267"/>
    </row>
    <row r="344" spans="2:17" ht="15.6">
      <c r="B344" s="266"/>
      <c r="C344" s="266"/>
      <c r="D344" s="266"/>
      <c r="E344" s="266"/>
      <c r="F344" s="266"/>
      <c r="G344" s="266"/>
      <c r="H344" s="266"/>
      <c r="I344" s="267"/>
      <c r="J344" s="267"/>
      <c r="K344" s="267"/>
      <c r="L344" s="267"/>
      <c r="M344" s="267"/>
      <c r="N344" s="267"/>
      <c r="O344" s="267"/>
      <c r="P344" s="267"/>
      <c r="Q344" s="267"/>
    </row>
    <row r="345" spans="2:17" ht="15.6">
      <c r="B345" s="266"/>
      <c r="C345" s="266"/>
      <c r="D345" s="266"/>
      <c r="E345" s="266"/>
      <c r="F345" s="266"/>
      <c r="G345" s="266"/>
      <c r="H345" s="266"/>
      <c r="I345" s="267"/>
      <c r="J345" s="267"/>
      <c r="K345" s="267"/>
      <c r="L345" s="267"/>
      <c r="M345" s="267"/>
      <c r="N345" s="267"/>
      <c r="O345" s="267"/>
      <c r="P345" s="267"/>
      <c r="Q345" s="267"/>
    </row>
    <row r="346" spans="2:17" ht="15.6">
      <c r="B346" s="266"/>
      <c r="C346" s="266"/>
      <c r="D346" s="266"/>
      <c r="E346" s="266"/>
      <c r="F346" s="266"/>
      <c r="G346" s="266"/>
      <c r="H346" s="266"/>
      <c r="I346" s="267"/>
      <c r="J346" s="267"/>
      <c r="K346" s="267"/>
      <c r="L346" s="267"/>
      <c r="M346" s="267"/>
      <c r="N346" s="267"/>
      <c r="O346" s="267"/>
      <c r="P346" s="267"/>
      <c r="Q346" s="267"/>
    </row>
    <row r="347" spans="2:17" ht="15.6">
      <c r="B347" s="266"/>
      <c r="C347" s="266"/>
      <c r="D347" s="266"/>
      <c r="E347" s="266"/>
      <c r="F347" s="266"/>
      <c r="G347" s="266"/>
      <c r="H347" s="266"/>
      <c r="I347" s="267"/>
      <c r="J347" s="267"/>
      <c r="K347" s="267"/>
      <c r="L347" s="267"/>
      <c r="M347" s="267"/>
      <c r="N347" s="267"/>
      <c r="O347" s="267"/>
      <c r="P347" s="267"/>
      <c r="Q347" s="267"/>
    </row>
    <row r="348" spans="2:17" ht="15.6">
      <c r="B348" s="266"/>
      <c r="C348" s="266"/>
      <c r="D348" s="266"/>
      <c r="E348" s="266"/>
      <c r="F348" s="266"/>
      <c r="G348" s="266"/>
      <c r="H348" s="266"/>
      <c r="I348" s="267"/>
      <c r="J348" s="267"/>
      <c r="K348" s="267"/>
      <c r="L348" s="267"/>
      <c r="M348" s="267"/>
      <c r="N348" s="267"/>
      <c r="O348" s="267"/>
      <c r="P348" s="267"/>
      <c r="Q348" s="267"/>
    </row>
    <row r="349" spans="2:17" ht="15.6">
      <c r="B349" s="266"/>
      <c r="C349" s="266"/>
      <c r="D349" s="266"/>
      <c r="E349" s="266"/>
      <c r="F349" s="266"/>
      <c r="G349" s="266"/>
      <c r="H349" s="266"/>
      <c r="I349" s="267"/>
      <c r="J349" s="267"/>
      <c r="K349" s="267"/>
      <c r="L349" s="267"/>
      <c r="M349" s="267"/>
      <c r="N349" s="267"/>
      <c r="O349" s="267"/>
      <c r="P349" s="267"/>
      <c r="Q349" s="267"/>
    </row>
    <row r="350" spans="2:17" ht="15.6">
      <c r="B350" s="266"/>
      <c r="C350" s="266"/>
      <c r="D350" s="266"/>
      <c r="E350" s="266"/>
      <c r="F350" s="266"/>
      <c r="G350" s="266"/>
      <c r="H350" s="266"/>
      <c r="I350" s="267"/>
      <c r="J350" s="267"/>
      <c r="K350" s="267"/>
      <c r="L350" s="267"/>
      <c r="M350" s="267"/>
      <c r="N350" s="267"/>
      <c r="O350" s="267"/>
      <c r="P350" s="267"/>
      <c r="Q350" s="267"/>
    </row>
    <row r="351" spans="2:17" ht="15.6">
      <c r="B351" s="266"/>
      <c r="C351" s="266"/>
      <c r="D351" s="266"/>
      <c r="E351" s="266"/>
      <c r="F351" s="266"/>
      <c r="G351" s="266"/>
      <c r="H351" s="266"/>
      <c r="I351" s="267"/>
      <c r="J351" s="267"/>
      <c r="K351" s="267"/>
      <c r="L351" s="267"/>
      <c r="M351" s="267"/>
      <c r="N351" s="267"/>
      <c r="O351" s="267"/>
      <c r="P351" s="267"/>
      <c r="Q351" s="267"/>
    </row>
    <row r="352" spans="2:17" ht="15.6">
      <c r="B352" s="266"/>
      <c r="C352" s="266"/>
      <c r="D352" s="266"/>
      <c r="E352" s="266"/>
      <c r="F352" s="266"/>
      <c r="G352" s="266"/>
      <c r="H352" s="266"/>
      <c r="I352" s="267"/>
      <c r="J352" s="267"/>
      <c r="K352" s="267"/>
      <c r="L352" s="267"/>
      <c r="M352" s="267"/>
      <c r="N352" s="267"/>
      <c r="O352" s="267"/>
      <c r="P352" s="267"/>
      <c r="Q352" s="267"/>
    </row>
    <row r="353" spans="2:17" ht="15.6">
      <c r="B353" s="266"/>
      <c r="C353" s="266"/>
      <c r="D353" s="266"/>
      <c r="E353" s="266"/>
      <c r="F353" s="266"/>
      <c r="G353" s="266"/>
      <c r="H353" s="266"/>
      <c r="I353" s="267"/>
      <c r="J353" s="267"/>
      <c r="K353" s="267"/>
      <c r="L353" s="267"/>
      <c r="M353" s="267"/>
      <c r="N353" s="267"/>
      <c r="O353" s="267"/>
      <c r="P353" s="267"/>
      <c r="Q353" s="267"/>
    </row>
    <row r="354" spans="2:17" ht="15.6">
      <c r="B354" s="266"/>
      <c r="C354" s="266"/>
      <c r="D354" s="266"/>
      <c r="E354" s="266"/>
      <c r="F354" s="266"/>
      <c r="G354" s="266"/>
      <c r="H354" s="266"/>
      <c r="I354" s="267"/>
      <c r="J354" s="267"/>
      <c r="K354" s="267"/>
      <c r="L354" s="267"/>
      <c r="M354" s="267"/>
      <c r="N354" s="267"/>
      <c r="O354" s="267"/>
      <c r="P354" s="267"/>
      <c r="Q354" s="267"/>
    </row>
    <row r="355" spans="2:17" ht="15.6">
      <c r="B355" s="266"/>
      <c r="C355" s="266"/>
      <c r="D355" s="266"/>
      <c r="E355" s="266"/>
      <c r="F355" s="266"/>
      <c r="G355" s="266"/>
      <c r="H355" s="266"/>
      <c r="I355" s="267"/>
      <c r="J355" s="267"/>
      <c r="K355" s="267"/>
      <c r="L355" s="267"/>
      <c r="M355" s="267"/>
      <c r="N355" s="267"/>
      <c r="O355" s="267"/>
      <c r="P355" s="267"/>
      <c r="Q355" s="267"/>
    </row>
  </sheetData>
  <sheetProtection password="D857" sheet="1" objects="1"/>
  <mergeCells count="239">
    <mergeCell ref="K1:O1"/>
    <mergeCell ref="AA1:AE1"/>
    <mergeCell ref="AA60:AE60"/>
    <mergeCell ref="AA69:AE69"/>
    <mergeCell ref="Q70:Z70"/>
    <mergeCell ref="Q77:Z77"/>
    <mergeCell ref="B84:J84"/>
    <mergeCell ref="B85:J85"/>
    <mergeCell ref="B86:J86"/>
    <mergeCell ref="H13:H15"/>
    <mergeCell ref="I13:I15"/>
    <mergeCell ref="J2:J12"/>
    <mergeCell ref="J13:J26"/>
    <mergeCell ref="J27:J41"/>
    <mergeCell ref="J42:J58"/>
    <mergeCell ref="J59:J67"/>
    <mergeCell ref="J68:J75"/>
    <mergeCell ref="J76:J82"/>
    <mergeCell ref="K68:K75"/>
    <mergeCell ref="Z2:Z10"/>
    <mergeCell ref="Z11:Z13"/>
    <mergeCell ref="Z14:Z16"/>
    <mergeCell ref="Z17:Z23"/>
    <mergeCell ref="Z24:Z36"/>
    <mergeCell ref="N110:O111"/>
    <mergeCell ref="B87:J87"/>
    <mergeCell ref="B88:J88"/>
    <mergeCell ref="B89:J89"/>
    <mergeCell ref="AC96:AE96"/>
    <mergeCell ref="AD97:AE97"/>
    <mergeCell ref="AD98:AE98"/>
    <mergeCell ref="AD99:AE99"/>
    <mergeCell ref="AD100:AE100"/>
    <mergeCell ref="K106:O106"/>
    <mergeCell ref="D204:E205"/>
    <mergeCell ref="F204:G205"/>
    <mergeCell ref="H190:Q191"/>
    <mergeCell ref="K108:O108"/>
    <mergeCell ref="K109:L109"/>
    <mergeCell ref="N109:O109"/>
    <mergeCell ref="X114:AA114"/>
    <mergeCell ref="Q125:U125"/>
    <mergeCell ref="V125:W125"/>
    <mergeCell ref="X125:AE125"/>
    <mergeCell ref="D146:E146"/>
    <mergeCell ref="F146:G146"/>
    <mergeCell ref="I146:J146"/>
    <mergeCell ref="L146:M146"/>
    <mergeCell ref="O146:Q146"/>
    <mergeCell ref="U109:U112"/>
    <mergeCell ref="V109:V112"/>
    <mergeCell ref="X115:X116"/>
    <mergeCell ref="X117:X118"/>
    <mergeCell ref="X119:X120"/>
    <mergeCell ref="Y115:Y116"/>
    <mergeCell ref="Y117:Y118"/>
    <mergeCell ref="Y119:Y120"/>
    <mergeCell ref="AC108:AE109"/>
    <mergeCell ref="H200:Q201"/>
    <mergeCell ref="B190:C191"/>
    <mergeCell ref="D190:E191"/>
    <mergeCell ref="F190:G191"/>
    <mergeCell ref="K163:Q163"/>
    <mergeCell ref="J177:L177"/>
    <mergeCell ref="J178:L178"/>
    <mergeCell ref="J179:L179"/>
    <mergeCell ref="I180:L180"/>
    <mergeCell ref="B187:C187"/>
    <mergeCell ref="D187:E187"/>
    <mergeCell ref="F187:G187"/>
    <mergeCell ref="H187:Q187"/>
    <mergeCell ref="Z37:Z48"/>
    <mergeCell ref="Z49:Z57"/>
    <mergeCell ref="Z58:Z64"/>
    <mergeCell ref="AA2:AA23"/>
    <mergeCell ref="AB106:AB107"/>
    <mergeCell ref="AB108:AB109"/>
    <mergeCell ref="AB110:AB112"/>
    <mergeCell ref="B188:C189"/>
    <mergeCell ref="D188:E189"/>
    <mergeCell ref="F188:G189"/>
    <mergeCell ref="K27:O29"/>
    <mergeCell ref="C157:D158"/>
    <mergeCell ref="X96:AB100"/>
    <mergeCell ref="K98:L102"/>
    <mergeCell ref="AA39:AE41"/>
    <mergeCell ref="AB21:AE23"/>
    <mergeCell ref="Q113:V115"/>
    <mergeCell ref="Q102:V103"/>
    <mergeCell ref="K116:L117"/>
    <mergeCell ref="Q138:U140"/>
    <mergeCell ref="K157:Q158"/>
    <mergeCell ref="I147:J154"/>
    <mergeCell ref="X132:AE134"/>
    <mergeCell ref="K2:O12"/>
    <mergeCell ref="L72:O75"/>
    <mergeCell ref="F170:G171"/>
    <mergeCell ref="J224:Q228"/>
    <mergeCell ref="X106:AA109"/>
    <mergeCell ref="V135:W137"/>
    <mergeCell ref="AD115:AE120"/>
    <mergeCell ref="J234:Q239"/>
    <mergeCell ref="H204:Q205"/>
    <mergeCell ref="H210:Q211"/>
    <mergeCell ref="B223:F227"/>
    <mergeCell ref="Q104:V105"/>
    <mergeCell ref="B194:C195"/>
    <mergeCell ref="D194:E195"/>
    <mergeCell ref="F194:G195"/>
    <mergeCell ref="J230:Q231"/>
    <mergeCell ref="V138:W140"/>
    <mergeCell ref="S106:V108"/>
    <mergeCell ref="H202:Q203"/>
    <mergeCell ref="N218:Q218"/>
    <mergeCell ref="N221:Q221"/>
    <mergeCell ref="B147:B154"/>
    <mergeCell ref="B157:B158"/>
    <mergeCell ref="B159:B167"/>
    <mergeCell ref="B170:B171"/>
    <mergeCell ref="K13:O16"/>
    <mergeCell ref="B208:C209"/>
    <mergeCell ref="D208:E209"/>
    <mergeCell ref="F208:G209"/>
    <mergeCell ref="B192:C193"/>
    <mergeCell ref="D192:E193"/>
    <mergeCell ref="F192:G193"/>
    <mergeCell ref="B216:G217"/>
    <mergeCell ref="N116:O117"/>
    <mergeCell ref="I181:Q183"/>
    <mergeCell ref="N98:O101"/>
    <mergeCell ref="B210:C211"/>
    <mergeCell ref="D210:E211"/>
    <mergeCell ref="F210:G211"/>
    <mergeCell ref="Q94:V95"/>
    <mergeCell ref="Q74:Z76"/>
    <mergeCell ref="F157:G158"/>
    <mergeCell ref="H157:I158"/>
    <mergeCell ref="K164:N167"/>
    <mergeCell ref="D147:E154"/>
    <mergeCell ref="F147:G154"/>
    <mergeCell ref="L147:M154"/>
    <mergeCell ref="Q84:Z85"/>
    <mergeCell ref="O164:Q167"/>
    <mergeCell ref="K30:O32"/>
    <mergeCell ref="H196:Q197"/>
    <mergeCell ref="N114:O115"/>
    <mergeCell ref="B202:C203"/>
    <mergeCell ref="D202:E203"/>
    <mergeCell ref="F202:G203"/>
    <mergeCell ref="X129:AE131"/>
    <mergeCell ref="B196:C197"/>
    <mergeCell ref="D196:E197"/>
    <mergeCell ref="F196:G197"/>
    <mergeCell ref="X138:AE140"/>
    <mergeCell ref="X126:AE128"/>
    <mergeCell ref="H192:Q193"/>
    <mergeCell ref="J174:L176"/>
    <mergeCell ref="L36:O45"/>
    <mergeCell ref="K112:L113"/>
    <mergeCell ref="AC106:AE107"/>
    <mergeCell ref="F172:G180"/>
    <mergeCell ref="C170:D171"/>
    <mergeCell ref="Q126:U128"/>
    <mergeCell ref="H188:Q189"/>
    <mergeCell ref="Q132:U134"/>
    <mergeCell ref="AA42:AE45"/>
    <mergeCell ref="S109:T112"/>
    <mergeCell ref="Q71:Z73"/>
    <mergeCell ref="V126:W128"/>
    <mergeCell ref="H194:Q195"/>
    <mergeCell ref="Z117:AC118"/>
    <mergeCell ref="X110:AA113"/>
    <mergeCell ref="Q122:AE124"/>
    <mergeCell ref="N219:Q220"/>
    <mergeCell ref="J218:M223"/>
    <mergeCell ref="N102:O105"/>
    <mergeCell ref="H198:Q199"/>
    <mergeCell ref="B185:Q186"/>
    <mergeCell ref="Q90:AE92"/>
    <mergeCell ref="J216:Q217"/>
    <mergeCell ref="Q135:U137"/>
    <mergeCell ref="V132:W134"/>
    <mergeCell ref="X101:AE102"/>
    <mergeCell ref="H208:Q209"/>
    <mergeCell ref="X94:AE95"/>
    <mergeCell ref="N222:Q223"/>
    <mergeCell ref="I170:Q171"/>
    <mergeCell ref="Z119:AC120"/>
    <mergeCell ref="Z115:AC116"/>
    <mergeCell ref="AB113:AE114"/>
    <mergeCell ref="F159:G167"/>
    <mergeCell ref="K161:Q162"/>
    <mergeCell ref="I172:L173"/>
    <mergeCell ref="K110:L111"/>
    <mergeCell ref="K114:L115"/>
    <mergeCell ref="N244:Q245"/>
    <mergeCell ref="B218:F222"/>
    <mergeCell ref="J243:M248"/>
    <mergeCell ref="N247:Q248"/>
    <mergeCell ref="J241:Q242"/>
    <mergeCell ref="H159:I167"/>
    <mergeCell ref="N243:Q243"/>
    <mergeCell ref="N246:Q246"/>
    <mergeCell ref="B172:B180"/>
    <mergeCell ref="G218:G227"/>
    <mergeCell ref="I174:I176"/>
    <mergeCell ref="B198:C199"/>
    <mergeCell ref="D198:E199"/>
    <mergeCell ref="F198:G199"/>
    <mergeCell ref="B206:C207"/>
    <mergeCell ref="D206:E207"/>
    <mergeCell ref="F206:G207"/>
    <mergeCell ref="B200:C201"/>
    <mergeCell ref="D200:E201"/>
    <mergeCell ref="F200:G201"/>
    <mergeCell ref="L68:O71"/>
    <mergeCell ref="V129:W131"/>
    <mergeCell ref="M172:Q180"/>
    <mergeCell ref="O159:Q160"/>
    <mergeCell ref="K103:L105"/>
    <mergeCell ref="AC110:AE112"/>
    <mergeCell ref="J249:Q254"/>
    <mergeCell ref="Q86:Z87"/>
    <mergeCell ref="C172:D180"/>
    <mergeCell ref="X104:AE105"/>
    <mergeCell ref="Q78:Z80"/>
    <mergeCell ref="B212:Q214"/>
    <mergeCell ref="H206:Q207"/>
    <mergeCell ref="Q81:Z83"/>
    <mergeCell ref="K159:N160"/>
    <mergeCell ref="Q106:R112"/>
    <mergeCell ref="O147:Q154"/>
    <mergeCell ref="N112:O113"/>
    <mergeCell ref="X135:AE137"/>
    <mergeCell ref="Q96:V100"/>
    <mergeCell ref="C159:D160"/>
    <mergeCell ref="J232:Q233"/>
    <mergeCell ref="Q129:U131"/>
    <mergeCell ref="B204:C205"/>
  </mergeCells>
  <phoneticPr fontId="188" type="noConversion"/>
  <pageMargins left="0.75" right="0.75" top="1" bottom="1" header="0.50902777777777797" footer="0.5090277777777779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C1:H145"/>
  <sheetViews>
    <sheetView showGridLines="0" showRowColHeaders="0" zoomScale="75" zoomScaleNormal="75" workbookViewId="0">
      <selection activeCell="C17" sqref="C17:C18"/>
    </sheetView>
  </sheetViews>
  <sheetFormatPr defaultColWidth="9" defaultRowHeight="15.6"/>
  <cols>
    <col min="1" max="3" width="9" style="16" customWidth="1"/>
    <col min="4" max="4" width="80.6640625" style="16" customWidth="1"/>
    <col min="5" max="6" width="9" style="16" customWidth="1"/>
    <col min="7" max="7" width="80.6640625" style="16" customWidth="1"/>
    <col min="8" max="8" width="9" style="16" customWidth="1"/>
    <col min="9" max="16384" width="9" style="16"/>
  </cols>
  <sheetData>
    <row r="1" spans="3:7" ht="12" customHeight="1"/>
    <row r="2" spans="3:7" ht="19.05" customHeight="1">
      <c r="C2" s="3608" t="s">
        <v>5491</v>
      </c>
      <c r="D2" s="3609"/>
      <c r="F2" s="3610" t="s">
        <v>5492</v>
      </c>
      <c r="G2" s="3611"/>
    </row>
    <row r="3" spans="3:7">
      <c r="C3" s="17" t="s">
        <v>433</v>
      </c>
      <c r="D3" s="18" t="s">
        <v>5493</v>
      </c>
      <c r="F3" s="17" t="s">
        <v>433</v>
      </c>
      <c r="G3" s="18" t="s">
        <v>5493</v>
      </c>
    </row>
    <row r="4" spans="3:7" ht="55.05" customHeight="1">
      <c r="C4" s="19">
        <v>1</v>
      </c>
      <c r="D4" s="20" t="s">
        <v>5494</v>
      </c>
      <c r="F4" s="19">
        <v>1</v>
      </c>
      <c r="G4" s="20" t="s">
        <v>5495</v>
      </c>
    </row>
    <row r="5" spans="3:7" ht="55.05" customHeight="1">
      <c r="C5" s="21">
        <v>2</v>
      </c>
      <c r="D5" s="22" t="s">
        <v>5496</v>
      </c>
      <c r="F5" s="21">
        <v>2</v>
      </c>
      <c r="G5" s="22" t="s">
        <v>5497</v>
      </c>
    </row>
    <row r="6" spans="3:7" ht="55.05" customHeight="1">
      <c r="C6" s="19">
        <v>3</v>
      </c>
      <c r="D6" s="20" t="s">
        <v>5498</v>
      </c>
      <c r="F6" s="19">
        <v>3</v>
      </c>
      <c r="G6" s="20" t="s">
        <v>5499</v>
      </c>
    </row>
    <row r="7" spans="3:7" ht="55.05" customHeight="1">
      <c r="C7" s="21">
        <v>4</v>
      </c>
      <c r="D7" s="22" t="s">
        <v>5500</v>
      </c>
      <c r="F7" s="21">
        <v>4</v>
      </c>
      <c r="G7" s="22" t="s">
        <v>5501</v>
      </c>
    </row>
    <row r="8" spans="3:7" ht="55.05" customHeight="1">
      <c r="C8" s="19">
        <v>5</v>
      </c>
      <c r="D8" s="20" t="s">
        <v>5502</v>
      </c>
      <c r="F8" s="19">
        <v>5</v>
      </c>
      <c r="G8" s="20" t="s">
        <v>5503</v>
      </c>
    </row>
    <row r="9" spans="3:7" ht="55.05" customHeight="1">
      <c r="C9" s="21">
        <v>6</v>
      </c>
      <c r="D9" s="22" t="s">
        <v>5504</v>
      </c>
      <c r="F9" s="21">
        <v>6</v>
      </c>
      <c r="G9" s="22" t="s">
        <v>5505</v>
      </c>
    </row>
    <row r="10" spans="3:7" ht="55.05" customHeight="1">
      <c r="C10" s="19">
        <v>7</v>
      </c>
      <c r="D10" s="20" t="s">
        <v>5506</v>
      </c>
      <c r="F10" s="19">
        <v>7</v>
      </c>
      <c r="G10" s="20" t="s">
        <v>5507</v>
      </c>
    </row>
    <row r="11" spans="3:7" ht="55.05" customHeight="1">
      <c r="C11" s="21">
        <v>8</v>
      </c>
      <c r="D11" s="22" t="s">
        <v>5508</v>
      </c>
      <c r="F11" s="21">
        <v>8</v>
      </c>
      <c r="G11" s="22" t="s">
        <v>5509</v>
      </c>
    </row>
    <row r="12" spans="3:7" ht="55.05" customHeight="1">
      <c r="C12" s="19">
        <v>9</v>
      </c>
      <c r="D12" s="20" t="s">
        <v>5510</v>
      </c>
      <c r="F12" s="19">
        <v>9</v>
      </c>
      <c r="G12" s="20" t="s">
        <v>5511</v>
      </c>
    </row>
    <row r="13" spans="3:7" ht="55.05" customHeight="1">
      <c r="C13" s="23">
        <v>10</v>
      </c>
      <c r="D13" s="24" t="s">
        <v>5512</v>
      </c>
      <c r="F13" s="23">
        <v>10</v>
      </c>
      <c r="G13" s="25" t="s">
        <v>5513</v>
      </c>
    </row>
    <row r="15" spans="3:7">
      <c r="C15" s="3612" t="s">
        <v>2310</v>
      </c>
      <c r="D15" s="3613"/>
      <c r="F15" s="3612" t="s">
        <v>2311</v>
      </c>
      <c r="G15" s="3613"/>
    </row>
    <row r="16" spans="3:7">
      <c r="C16" s="26" t="s">
        <v>433</v>
      </c>
      <c r="D16" s="27" t="s">
        <v>5514</v>
      </c>
      <c r="E16" s="28"/>
      <c r="F16" s="26" t="s">
        <v>433</v>
      </c>
      <c r="G16" s="27" t="s">
        <v>5514</v>
      </c>
    </row>
    <row r="17" spans="3:7">
      <c r="C17" s="3579">
        <v>0</v>
      </c>
      <c r="D17" s="3614" t="str">
        <f>IF(C17=0,"请在左侧输入数字",VLOOKUP(C17,附表!M114:N213,2,FALSE))</f>
        <v>请在左侧输入数字</v>
      </c>
      <c r="E17" s="28"/>
      <c r="F17" s="3579">
        <v>0</v>
      </c>
      <c r="G17" s="3614" t="str">
        <f>IF(F17=0,"请在左侧输入数字",VLOOKUP(F17,附表!S114:T213,2,FALSE))</f>
        <v>请在左侧输入数字</v>
      </c>
    </row>
    <row r="18" spans="3:7">
      <c r="C18" s="3580"/>
      <c r="D18" s="3615"/>
      <c r="E18" s="28"/>
      <c r="F18" s="3580"/>
      <c r="G18" s="3615"/>
    </row>
    <row r="19" spans="3:7" ht="19.2">
      <c r="C19" s="29"/>
      <c r="D19" s="29"/>
      <c r="E19" s="28"/>
      <c r="F19" s="29"/>
      <c r="G19" s="29"/>
    </row>
    <row r="23" spans="3:7">
      <c r="C23" s="3584" t="s">
        <v>5515</v>
      </c>
      <c r="D23" s="3585"/>
      <c r="E23" s="3585"/>
      <c r="F23" s="3585"/>
      <c r="G23" s="3586"/>
    </row>
    <row r="24" spans="3:7" ht="16.95" customHeight="1">
      <c r="C24" s="3587"/>
      <c r="D24" s="3588"/>
      <c r="E24" s="3588"/>
      <c r="F24" s="3588"/>
      <c r="G24" s="3589"/>
    </row>
    <row r="25" spans="3:7" ht="19.95" customHeight="1">
      <c r="C25" s="3590"/>
      <c r="D25" s="3591"/>
      <c r="E25" s="3591"/>
      <c r="F25" s="3591"/>
      <c r="G25" s="3592"/>
    </row>
    <row r="26" spans="3:7" ht="19.2">
      <c r="C26" s="29"/>
      <c r="D26" s="29"/>
      <c r="E26" s="28"/>
      <c r="F26" s="29"/>
      <c r="G26" s="29"/>
    </row>
    <row r="27" spans="3:7">
      <c r="C27" s="3599" t="s">
        <v>5516</v>
      </c>
      <c r="D27" s="3600"/>
      <c r="E27" s="28"/>
      <c r="F27" s="3599" t="s">
        <v>5517</v>
      </c>
      <c r="G27" s="3600"/>
    </row>
    <row r="28" spans="3:7">
      <c r="C28" s="3601"/>
      <c r="D28" s="3602"/>
      <c r="E28" s="28"/>
      <c r="F28" s="3601"/>
      <c r="G28" s="3602"/>
    </row>
    <row r="29" spans="3:7">
      <c r="C29" s="3593" t="s">
        <v>5518</v>
      </c>
      <c r="D29" s="3594"/>
      <c r="E29" s="28"/>
      <c r="F29" s="3593" t="s">
        <v>5519</v>
      </c>
      <c r="G29" s="3594"/>
    </row>
    <row r="30" spans="3:7">
      <c r="C30" s="3595"/>
      <c r="D30" s="3596"/>
      <c r="E30" s="28"/>
      <c r="F30" s="3595"/>
      <c r="G30" s="3596"/>
    </row>
    <row r="31" spans="3:7" ht="15" customHeight="1">
      <c r="C31" s="3595"/>
      <c r="D31" s="3596"/>
      <c r="E31" s="28"/>
      <c r="F31" s="3595"/>
      <c r="G31" s="3596"/>
    </row>
    <row r="32" spans="3:7" ht="15" customHeight="1">
      <c r="C32" s="3597"/>
      <c r="D32" s="3598"/>
      <c r="E32" s="28"/>
      <c r="F32" s="3595"/>
      <c r="G32" s="3596"/>
    </row>
    <row r="33" spans="3:8" ht="15" customHeight="1">
      <c r="C33" s="29"/>
      <c r="D33" s="29"/>
      <c r="E33" s="28"/>
      <c r="F33" s="3595"/>
      <c r="G33" s="3596"/>
    </row>
    <row r="34" spans="3:8" ht="15" customHeight="1">
      <c r="C34" s="3599" t="s">
        <v>5520</v>
      </c>
      <c r="D34" s="3603" t="s">
        <v>5521</v>
      </c>
      <c r="E34" s="28"/>
      <c r="F34" s="3595"/>
      <c r="G34" s="3596"/>
    </row>
    <row r="35" spans="3:8" ht="15" customHeight="1">
      <c r="C35" s="3601"/>
      <c r="D35" s="3604"/>
      <c r="E35" s="28"/>
      <c r="F35" s="3595"/>
      <c r="G35" s="3596"/>
    </row>
    <row r="36" spans="3:8" ht="15" customHeight="1">
      <c r="C36" s="3601"/>
      <c r="D36" s="3604"/>
      <c r="E36" s="28"/>
      <c r="F36" s="3595"/>
      <c r="G36" s="3596"/>
    </row>
    <row r="37" spans="3:8" ht="15" customHeight="1">
      <c r="C37" s="3601"/>
      <c r="D37" s="3604"/>
      <c r="E37" s="28"/>
      <c r="F37" s="3595"/>
      <c r="G37" s="3596"/>
    </row>
    <row r="38" spans="3:8" ht="15" customHeight="1">
      <c r="C38" s="3601"/>
      <c r="D38" s="3604"/>
      <c r="E38" s="28"/>
      <c r="F38" s="3595"/>
      <c r="G38" s="3596"/>
    </row>
    <row r="39" spans="3:8" ht="15" customHeight="1">
      <c r="C39" s="3601"/>
      <c r="D39" s="3604"/>
      <c r="E39" s="28"/>
      <c r="F39" s="3595"/>
      <c r="G39" s="3596"/>
      <c r="H39" s="30" t="s">
        <v>5522</v>
      </c>
    </row>
    <row r="40" spans="3:8">
      <c r="C40" s="3601"/>
      <c r="D40" s="3604" t="s">
        <v>5523</v>
      </c>
      <c r="E40" s="28"/>
      <c r="F40" s="3595"/>
      <c r="G40" s="3596"/>
    </row>
    <row r="41" spans="3:8">
      <c r="C41" s="3601"/>
      <c r="D41" s="3604"/>
      <c r="E41" s="28"/>
      <c r="F41" s="3595"/>
      <c r="G41" s="3596"/>
    </row>
    <row r="42" spans="3:8">
      <c r="C42" s="3607"/>
      <c r="D42" s="3605"/>
      <c r="E42" s="28"/>
      <c r="F42" s="3597"/>
      <c r="G42" s="3598"/>
    </row>
    <row r="43" spans="3:8" ht="19.2">
      <c r="C43" s="29"/>
      <c r="D43" s="29"/>
      <c r="E43" s="28"/>
      <c r="F43" s="29"/>
      <c r="G43" s="29"/>
    </row>
    <row r="44" spans="3:8">
      <c r="C44" s="3584" t="s">
        <v>5524</v>
      </c>
      <c r="D44" s="3585"/>
      <c r="E44" s="3585"/>
      <c r="F44" s="3585"/>
      <c r="G44" s="3586"/>
    </row>
    <row r="45" spans="3:8">
      <c r="C45" s="3587"/>
      <c r="D45" s="3588"/>
      <c r="E45" s="3588"/>
      <c r="F45" s="3588"/>
      <c r="G45" s="3589"/>
    </row>
    <row r="46" spans="3:8">
      <c r="C46" s="3590"/>
      <c r="D46" s="3591"/>
      <c r="E46" s="3591"/>
      <c r="F46" s="3591"/>
      <c r="G46" s="3592"/>
    </row>
    <row r="47" spans="3:8" ht="19.2">
      <c r="C47" s="29"/>
      <c r="D47" s="29"/>
      <c r="E47" s="28"/>
      <c r="F47" s="29"/>
      <c r="G47" s="29"/>
    </row>
    <row r="48" spans="3:8">
      <c r="C48" s="3581" t="s">
        <v>5525</v>
      </c>
      <c r="D48" s="3569" t="s">
        <v>5526</v>
      </c>
      <c r="E48" s="28"/>
      <c r="F48" s="3581" t="s">
        <v>5527</v>
      </c>
      <c r="G48" s="3569" t="s">
        <v>5528</v>
      </c>
    </row>
    <row r="49" spans="3:7">
      <c r="C49" s="3582"/>
      <c r="D49" s="3570"/>
      <c r="E49" s="28"/>
      <c r="F49" s="3582"/>
      <c r="G49" s="3570"/>
    </row>
    <row r="50" spans="3:7">
      <c r="C50" s="3583"/>
      <c r="D50" s="3571"/>
      <c r="E50" s="28"/>
      <c r="F50" s="3583"/>
      <c r="G50" s="3571"/>
    </row>
    <row r="51" spans="3:7">
      <c r="D51" s="28"/>
      <c r="E51" s="28"/>
      <c r="F51" s="31"/>
      <c r="G51" s="31"/>
    </row>
    <row r="52" spans="3:7">
      <c r="C52" s="3581" t="s">
        <v>5529</v>
      </c>
      <c r="D52" s="3569" t="s">
        <v>5530</v>
      </c>
      <c r="E52" s="28"/>
      <c r="F52" s="3581" t="s">
        <v>5531</v>
      </c>
      <c r="G52" s="3572" t="s">
        <v>5532</v>
      </c>
    </row>
    <row r="53" spans="3:7">
      <c r="C53" s="3582"/>
      <c r="D53" s="3570"/>
      <c r="E53" s="28"/>
      <c r="F53" s="3582"/>
      <c r="G53" s="3573"/>
    </row>
    <row r="54" spans="3:7">
      <c r="C54" s="3582"/>
      <c r="D54" s="3570"/>
      <c r="E54" s="28"/>
      <c r="F54" s="3582"/>
      <c r="G54" s="3574" t="s">
        <v>5533</v>
      </c>
    </row>
    <row r="55" spans="3:7">
      <c r="C55" s="3582" t="s">
        <v>5534</v>
      </c>
      <c r="D55" s="3578" t="s">
        <v>5535</v>
      </c>
      <c r="E55" s="28"/>
      <c r="F55" s="3582"/>
      <c r="G55" s="3574"/>
    </row>
    <row r="56" spans="3:7">
      <c r="C56" s="3582"/>
      <c r="D56" s="3606"/>
      <c r="E56" s="28"/>
      <c r="F56" s="3582"/>
      <c r="G56" s="3573"/>
    </row>
    <row r="57" spans="3:7">
      <c r="C57" s="3582"/>
      <c r="D57" s="3570" t="s">
        <v>5536</v>
      </c>
      <c r="E57" s="28"/>
      <c r="F57" s="3582"/>
      <c r="G57" s="3574" t="s">
        <v>5537</v>
      </c>
    </row>
    <row r="58" spans="3:7">
      <c r="C58" s="3582"/>
      <c r="D58" s="3570"/>
      <c r="E58" s="28"/>
      <c r="F58" s="3582"/>
      <c r="G58" s="3575"/>
    </row>
    <row r="59" spans="3:7">
      <c r="C59" s="3582" t="s">
        <v>5538</v>
      </c>
      <c r="D59" s="3578" t="s">
        <v>5539</v>
      </c>
      <c r="E59" s="28"/>
      <c r="F59" s="3582"/>
      <c r="G59" s="3575"/>
    </row>
    <row r="60" spans="3:7">
      <c r="C60" s="3582"/>
      <c r="D60" s="3570"/>
      <c r="E60" s="28"/>
      <c r="F60" s="3582"/>
      <c r="G60" s="3576" t="s">
        <v>5540</v>
      </c>
    </row>
    <row r="61" spans="3:7">
      <c r="C61" s="3582"/>
      <c r="D61" s="3570"/>
      <c r="E61" s="28"/>
      <c r="F61" s="3582"/>
      <c r="G61" s="3575"/>
    </row>
    <row r="62" spans="3:7">
      <c r="C62" s="3583"/>
      <c r="D62" s="3571"/>
      <c r="E62" s="28"/>
      <c r="F62" s="3582"/>
      <c r="G62" s="3575"/>
    </row>
    <row r="63" spans="3:7">
      <c r="C63" s="32"/>
      <c r="D63" s="32"/>
      <c r="E63" s="28"/>
      <c r="F63" s="3583"/>
      <c r="G63" s="3577"/>
    </row>
    <row r="64" spans="3:7">
      <c r="C64" s="31"/>
      <c r="D64" s="31"/>
      <c r="E64" s="28"/>
      <c r="F64" s="31"/>
      <c r="G64" s="31"/>
    </row>
    <row r="65" spans="3:7">
      <c r="C65" s="31"/>
      <c r="D65" s="31"/>
      <c r="E65" s="28"/>
      <c r="F65" s="31"/>
      <c r="G65" s="31"/>
    </row>
    <row r="66" spans="3:7">
      <c r="C66" s="31"/>
      <c r="D66" s="31"/>
      <c r="E66" s="28"/>
      <c r="F66" s="31"/>
      <c r="G66" s="31"/>
    </row>
    <row r="67" spans="3:7">
      <c r="C67" s="31"/>
      <c r="D67" s="31"/>
      <c r="E67" s="28"/>
      <c r="F67" s="31"/>
      <c r="G67" s="31"/>
    </row>
    <row r="68" spans="3:7">
      <c r="C68" s="31"/>
      <c r="D68" s="31"/>
      <c r="E68" s="28"/>
      <c r="F68" s="31"/>
      <c r="G68" s="31"/>
    </row>
    <row r="69" spans="3:7">
      <c r="C69" s="31"/>
      <c r="D69" s="31"/>
      <c r="E69" s="28"/>
      <c r="F69" s="31"/>
      <c r="G69" s="31"/>
    </row>
    <row r="70" spans="3:7">
      <c r="C70" s="31"/>
      <c r="D70" s="31"/>
      <c r="E70" s="28"/>
      <c r="F70" s="31"/>
      <c r="G70" s="31"/>
    </row>
    <row r="71" spans="3:7">
      <c r="C71" s="31"/>
      <c r="D71" s="31"/>
      <c r="E71" s="28"/>
      <c r="F71" s="31"/>
      <c r="G71" s="31"/>
    </row>
    <row r="72" spans="3:7">
      <c r="C72" s="31"/>
      <c r="D72" s="31"/>
      <c r="E72" s="28"/>
      <c r="F72" s="31"/>
      <c r="G72" s="31"/>
    </row>
    <row r="73" spans="3:7">
      <c r="C73" s="31"/>
      <c r="D73" s="31"/>
      <c r="E73" s="28"/>
      <c r="F73" s="31"/>
      <c r="G73" s="31"/>
    </row>
    <row r="74" spans="3:7">
      <c r="C74" s="31"/>
      <c r="D74" s="31"/>
      <c r="E74" s="28"/>
      <c r="F74" s="31"/>
      <c r="G74" s="31"/>
    </row>
    <row r="75" spans="3:7">
      <c r="C75" s="31"/>
      <c r="D75" s="31"/>
      <c r="E75" s="28"/>
      <c r="F75" s="31"/>
      <c r="G75" s="31"/>
    </row>
    <row r="76" spans="3:7">
      <c r="C76" s="31"/>
      <c r="D76" s="31"/>
      <c r="E76" s="28"/>
      <c r="F76" s="31"/>
      <c r="G76" s="31"/>
    </row>
    <row r="77" spans="3:7">
      <c r="C77" s="31"/>
      <c r="D77" s="31"/>
      <c r="E77" s="28"/>
      <c r="F77" s="31"/>
      <c r="G77" s="31"/>
    </row>
    <row r="78" spans="3:7">
      <c r="C78" s="31"/>
      <c r="D78" s="31"/>
      <c r="E78" s="28"/>
      <c r="F78" s="31"/>
      <c r="G78" s="31"/>
    </row>
    <row r="79" spans="3:7">
      <c r="C79" s="31"/>
      <c r="D79" s="31"/>
      <c r="E79" s="28"/>
      <c r="F79" s="31"/>
      <c r="G79" s="31"/>
    </row>
    <row r="80" spans="3:7">
      <c r="C80" s="31"/>
      <c r="D80" s="31"/>
      <c r="E80" s="28"/>
      <c r="F80" s="31"/>
      <c r="G80" s="31"/>
    </row>
    <row r="81" spans="3:7">
      <c r="C81" s="31"/>
      <c r="D81" s="31"/>
      <c r="E81" s="28"/>
      <c r="F81" s="31"/>
      <c r="G81" s="31"/>
    </row>
    <row r="82" spans="3:7">
      <c r="C82" s="31"/>
      <c r="D82" s="31"/>
      <c r="E82" s="28"/>
      <c r="F82" s="31"/>
      <c r="G82" s="31"/>
    </row>
    <row r="83" spans="3:7">
      <c r="C83" s="31"/>
      <c r="D83" s="31"/>
      <c r="E83" s="28"/>
      <c r="F83" s="31"/>
      <c r="G83" s="31"/>
    </row>
    <row r="84" spans="3:7">
      <c r="C84" s="31"/>
      <c r="D84" s="31"/>
      <c r="E84" s="28"/>
      <c r="F84" s="31"/>
      <c r="G84" s="31"/>
    </row>
    <row r="85" spans="3:7">
      <c r="C85" s="31"/>
      <c r="D85" s="31"/>
      <c r="E85" s="28"/>
      <c r="F85" s="31"/>
      <c r="G85" s="31"/>
    </row>
    <row r="86" spans="3:7">
      <c r="C86" s="31"/>
      <c r="D86" s="31"/>
      <c r="E86" s="28"/>
      <c r="F86" s="31"/>
      <c r="G86" s="31"/>
    </row>
    <row r="87" spans="3:7">
      <c r="C87" s="31"/>
      <c r="D87" s="31"/>
      <c r="E87" s="28"/>
      <c r="F87" s="31"/>
      <c r="G87" s="31"/>
    </row>
    <row r="88" spans="3:7">
      <c r="C88" s="31"/>
      <c r="D88" s="31"/>
      <c r="E88" s="28"/>
      <c r="F88" s="31"/>
      <c r="G88" s="31"/>
    </row>
    <row r="89" spans="3:7">
      <c r="C89" s="31"/>
      <c r="D89" s="31"/>
      <c r="E89" s="28"/>
      <c r="F89" s="31"/>
      <c r="G89" s="31"/>
    </row>
    <row r="90" spans="3:7">
      <c r="C90" s="31"/>
      <c r="D90" s="31"/>
      <c r="E90" s="28"/>
      <c r="F90" s="31"/>
      <c r="G90" s="31"/>
    </row>
    <row r="91" spans="3:7">
      <c r="C91" s="31"/>
      <c r="D91" s="31"/>
      <c r="E91" s="28"/>
      <c r="F91" s="31"/>
      <c r="G91" s="31"/>
    </row>
    <row r="92" spans="3:7">
      <c r="C92" s="31"/>
      <c r="D92" s="31"/>
      <c r="E92" s="28"/>
      <c r="F92" s="31"/>
      <c r="G92" s="31"/>
    </row>
    <row r="93" spans="3:7">
      <c r="C93" s="31"/>
      <c r="D93" s="31"/>
      <c r="E93" s="28"/>
      <c r="F93" s="31"/>
      <c r="G93" s="31"/>
    </row>
    <row r="94" spans="3:7" ht="19.2">
      <c r="C94" s="29"/>
      <c r="D94" s="29"/>
      <c r="E94" s="28"/>
      <c r="F94" s="29"/>
      <c r="G94" s="29"/>
    </row>
    <row r="95" spans="3:7" ht="19.2">
      <c r="C95" s="29"/>
      <c r="D95" s="29"/>
      <c r="E95" s="28"/>
      <c r="F95" s="29"/>
      <c r="G95" s="29"/>
    </row>
    <row r="96" spans="3:7" ht="19.2">
      <c r="C96" s="29"/>
      <c r="D96" s="29"/>
      <c r="E96" s="28"/>
      <c r="F96" s="29"/>
      <c r="G96" s="29"/>
    </row>
    <row r="97" spans="3:7" ht="19.2">
      <c r="C97" s="29"/>
      <c r="D97" s="29"/>
      <c r="E97" s="28"/>
      <c r="F97" s="29"/>
      <c r="G97" s="29"/>
    </row>
    <row r="98" spans="3:7" ht="19.2">
      <c r="C98" s="29"/>
      <c r="D98" s="29"/>
      <c r="E98" s="28"/>
      <c r="F98" s="29"/>
      <c r="G98" s="29"/>
    </row>
    <row r="99" spans="3:7" ht="19.2">
      <c r="C99" s="29"/>
      <c r="D99" s="29"/>
      <c r="E99" s="28"/>
      <c r="F99" s="29"/>
      <c r="G99" s="29"/>
    </row>
    <row r="100" spans="3:7" ht="19.2">
      <c r="C100" s="29"/>
      <c r="D100" s="29"/>
      <c r="E100" s="28"/>
      <c r="F100" s="29"/>
      <c r="G100" s="29"/>
    </row>
    <row r="101" spans="3:7" ht="19.2">
      <c r="C101" s="29"/>
      <c r="D101" s="29"/>
      <c r="E101" s="28"/>
      <c r="F101" s="29"/>
      <c r="G101" s="29"/>
    </row>
    <row r="102" spans="3:7" ht="19.2">
      <c r="C102" s="29"/>
      <c r="D102" s="29"/>
      <c r="E102" s="28"/>
      <c r="F102" s="29"/>
      <c r="G102" s="29"/>
    </row>
    <row r="103" spans="3:7" ht="19.2">
      <c r="C103" s="29"/>
      <c r="D103" s="29"/>
      <c r="E103" s="28"/>
      <c r="F103" s="29"/>
      <c r="G103" s="29"/>
    </row>
    <row r="104" spans="3:7" ht="19.2">
      <c r="C104" s="29"/>
      <c r="D104" s="29"/>
      <c r="E104" s="28"/>
      <c r="F104" s="29"/>
      <c r="G104" s="29"/>
    </row>
    <row r="105" spans="3:7" ht="19.2">
      <c r="C105" s="29"/>
      <c r="D105" s="29"/>
      <c r="E105" s="28"/>
      <c r="F105" s="29"/>
      <c r="G105" s="29"/>
    </row>
    <row r="106" spans="3:7" ht="19.2">
      <c r="C106" s="29"/>
      <c r="D106" s="29"/>
      <c r="E106" s="28"/>
      <c r="F106" s="29"/>
      <c r="G106" s="29"/>
    </row>
    <row r="107" spans="3:7" ht="19.2">
      <c r="C107" s="29"/>
      <c r="D107" s="29"/>
      <c r="E107" s="28"/>
      <c r="F107" s="29"/>
      <c r="G107" s="29"/>
    </row>
    <row r="108" spans="3:7" ht="19.2">
      <c r="C108" s="29"/>
      <c r="D108" s="29"/>
      <c r="E108" s="28"/>
      <c r="F108" s="29"/>
      <c r="G108" s="29"/>
    </row>
    <row r="109" spans="3:7" ht="19.2">
      <c r="C109" s="29"/>
      <c r="D109" s="29"/>
      <c r="E109" s="28"/>
      <c r="F109" s="29"/>
      <c r="G109" s="29"/>
    </row>
    <row r="110" spans="3:7" ht="19.2">
      <c r="C110" s="29"/>
      <c r="D110" s="29"/>
      <c r="E110" s="28"/>
      <c r="F110" s="29"/>
      <c r="G110" s="29"/>
    </row>
    <row r="111" spans="3:7" ht="19.2">
      <c r="C111" s="29"/>
      <c r="D111" s="29"/>
      <c r="E111" s="28"/>
      <c r="F111" s="29"/>
      <c r="G111" s="29"/>
    </row>
    <row r="112" spans="3:7" ht="19.2">
      <c r="C112" s="29"/>
      <c r="D112" s="29"/>
      <c r="E112" s="28"/>
      <c r="F112" s="29"/>
      <c r="G112" s="29"/>
    </row>
    <row r="113" spans="3:7" ht="19.2">
      <c r="C113" s="29"/>
      <c r="D113" s="29"/>
      <c r="E113" s="28"/>
      <c r="F113" s="29"/>
      <c r="G113" s="29"/>
    </row>
    <row r="114" spans="3:7" ht="19.2">
      <c r="C114" s="29"/>
      <c r="D114" s="29"/>
      <c r="E114" s="28"/>
      <c r="F114" s="29"/>
      <c r="G114" s="29"/>
    </row>
    <row r="115" spans="3:7" ht="19.2">
      <c r="C115" s="29"/>
      <c r="D115" s="29"/>
      <c r="E115" s="28"/>
      <c r="F115" s="29"/>
      <c r="G115" s="29"/>
    </row>
    <row r="116" spans="3:7" ht="19.2">
      <c r="C116" s="29"/>
      <c r="D116" s="29"/>
      <c r="E116" s="28"/>
      <c r="F116" s="29"/>
      <c r="G116" s="29"/>
    </row>
    <row r="117" spans="3:7" ht="19.2">
      <c r="C117" s="29"/>
      <c r="D117" s="29"/>
      <c r="E117" s="28"/>
      <c r="F117" s="29"/>
      <c r="G117" s="29"/>
    </row>
    <row r="118" spans="3:7" ht="19.2">
      <c r="C118" s="29"/>
      <c r="D118" s="29"/>
      <c r="E118" s="28"/>
      <c r="F118" s="29"/>
      <c r="G118" s="29"/>
    </row>
    <row r="119" spans="3:7" ht="19.2">
      <c r="C119" s="29"/>
      <c r="D119" s="29"/>
      <c r="E119" s="28"/>
      <c r="F119" s="29"/>
      <c r="G119" s="29"/>
    </row>
    <row r="120" spans="3:7" ht="19.2">
      <c r="C120" s="29"/>
      <c r="D120" s="29"/>
      <c r="E120" s="28"/>
      <c r="F120" s="29"/>
      <c r="G120" s="29"/>
    </row>
    <row r="121" spans="3:7" ht="19.2">
      <c r="C121" s="29"/>
      <c r="D121" s="29"/>
      <c r="E121" s="28"/>
      <c r="F121" s="29"/>
      <c r="G121" s="29"/>
    </row>
    <row r="122" spans="3:7" ht="19.2">
      <c r="C122" s="29"/>
      <c r="D122" s="29"/>
      <c r="E122" s="28"/>
      <c r="F122" s="29"/>
      <c r="G122" s="29"/>
    </row>
    <row r="123" spans="3:7" ht="19.2">
      <c r="C123" s="29"/>
      <c r="D123" s="29"/>
      <c r="E123" s="28"/>
      <c r="F123" s="29"/>
      <c r="G123" s="29"/>
    </row>
    <row r="124" spans="3:7" ht="19.2">
      <c r="C124" s="29"/>
      <c r="D124" s="29"/>
      <c r="E124" s="28"/>
      <c r="F124" s="29"/>
      <c r="G124" s="29"/>
    </row>
    <row r="125" spans="3:7" ht="19.2">
      <c r="C125" s="29"/>
      <c r="D125" s="29"/>
      <c r="E125" s="28"/>
      <c r="F125" s="29"/>
      <c r="G125" s="29"/>
    </row>
    <row r="126" spans="3:7" ht="19.2">
      <c r="C126" s="29"/>
      <c r="D126" s="29"/>
      <c r="E126" s="28"/>
      <c r="F126" s="29"/>
      <c r="G126" s="29"/>
    </row>
    <row r="127" spans="3:7" ht="19.2">
      <c r="C127" s="29"/>
      <c r="D127" s="29"/>
      <c r="E127" s="28"/>
      <c r="F127" s="29"/>
      <c r="G127" s="29"/>
    </row>
    <row r="128" spans="3:7" ht="19.2">
      <c r="C128" s="29"/>
      <c r="D128" s="29"/>
      <c r="E128" s="28"/>
      <c r="F128" s="29"/>
      <c r="G128" s="29"/>
    </row>
    <row r="129" spans="3:7" ht="19.2">
      <c r="C129" s="29"/>
      <c r="D129" s="29"/>
      <c r="E129" s="28"/>
      <c r="F129" s="29"/>
      <c r="G129" s="29"/>
    </row>
    <row r="130" spans="3:7" ht="19.2">
      <c r="C130" s="29"/>
      <c r="D130" s="29"/>
      <c r="E130" s="28"/>
      <c r="F130" s="29"/>
      <c r="G130" s="29"/>
    </row>
    <row r="131" spans="3:7" ht="19.2">
      <c r="C131" s="29"/>
      <c r="D131" s="29"/>
      <c r="E131" s="28"/>
      <c r="F131" s="29"/>
      <c r="G131" s="29"/>
    </row>
    <row r="132" spans="3:7" ht="19.2">
      <c r="C132" s="29"/>
      <c r="D132" s="29"/>
      <c r="E132" s="28"/>
      <c r="F132" s="29"/>
      <c r="G132" s="29"/>
    </row>
    <row r="133" spans="3:7" ht="19.2">
      <c r="C133" s="29"/>
      <c r="D133" s="29"/>
      <c r="E133" s="28"/>
      <c r="F133" s="29"/>
      <c r="G133" s="29"/>
    </row>
    <row r="134" spans="3:7" ht="19.2">
      <c r="C134" s="29"/>
      <c r="D134" s="29"/>
      <c r="E134" s="28"/>
      <c r="F134" s="29"/>
      <c r="G134" s="29"/>
    </row>
    <row r="135" spans="3:7" ht="19.2">
      <c r="C135" s="29"/>
      <c r="D135" s="29"/>
      <c r="E135" s="28"/>
      <c r="F135" s="29"/>
      <c r="G135" s="29"/>
    </row>
    <row r="136" spans="3:7" ht="19.2">
      <c r="C136" s="29"/>
      <c r="D136" s="29"/>
      <c r="E136" s="28"/>
      <c r="F136" s="29"/>
      <c r="G136" s="29"/>
    </row>
    <row r="137" spans="3:7" ht="19.2">
      <c r="C137" s="29"/>
      <c r="D137" s="29"/>
      <c r="E137" s="28"/>
      <c r="F137" s="29"/>
      <c r="G137" s="29"/>
    </row>
    <row r="138" spans="3:7" ht="19.2">
      <c r="C138" s="29"/>
      <c r="D138" s="29"/>
      <c r="E138" s="28"/>
      <c r="F138" s="29"/>
      <c r="G138" s="29"/>
    </row>
    <row r="139" spans="3:7" ht="19.2">
      <c r="C139" s="28"/>
      <c r="D139" s="28"/>
      <c r="E139" s="28"/>
      <c r="F139" s="29"/>
      <c r="G139" s="29"/>
    </row>
    <row r="140" spans="3:7" ht="19.2">
      <c r="C140" s="28"/>
      <c r="D140" s="28"/>
      <c r="E140" s="28"/>
      <c r="F140" s="29"/>
      <c r="G140" s="29"/>
    </row>
    <row r="141" spans="3:7" ht="19.2">
      <c r="C141" s="28"/>
      <c r="D141" s="28"/>
      <c r="E141" s="28"/>
      <c r="F141" s="29"/>
      <c r="G141" s="29"/>
    </row>
    <row r="142" spans="3:7" ht="19.2">
      <c r="C142" s="28"/>
      <c r="D142" s="28"/>
      <c r="E142" s="28"/>
      <c r="F142" s="29"/>
      <c r="G142" s="29"/>
    </row>
    <row r="143" spans="3:7" ht="19.2">
      <c r="C143" s="28"/>
      <c r="D143" s="28"/>
      <c r="E143" s="28"/>
      <c r="F143" s="29"/>
      <c r="G143" s="29"/>
    </row>
    <row r="144" spans="3:7" ht="19.2">
      <c r="C144" s="28"/>
      <c r="D144" s="28"/>
      <c r="E144" s="28"/>
      <c r="F144" s="29"/>
      <c r="G144" s="29"/>
    </row>
    <row r="145" spans="3:7" ht="19.2">
      <c r="C145" s="28"/>
      <c r="D145" s="28"/>
      <c r="E145" s="28"/>
      <c r="F145" s="29"/>
      <c r="G145" s="29"/>
    </row>
  </sheetData>
  <sheetProtection password="D857" sheet="1" objects="1"/>
  <mergeCells count="33">
    <mergeCell ref="C2:D2"/>
    <mergeCell ref="F2:G2"/>
    <mergeCell ref="C15:D15"/>
    <mergeCell ref="F15:G15"/>
    <mergeCell ref="C17:C18"/>
    <mergeCell ref="D17:D18"/>
    <mergeCell ref="G17:G18"/>
    <mergeCell ref="C34:C42"/>
    <mergeCell ref="C48:C50"/>
    <mergeCell ref="C52:C54"/>
    <mergeCell ref="C55:C58"/>
    <mergeCell ref="C59:C62"/>
    <mergeCell ref="D57:D58"/>
    <mergeCell ref="D59:D62"/>
    <mergeCell ref="F17:F18"/>
    <mergeCell ref="F48:F50"/>
    <mergeCell ref="F52:F63"/>
    <mergeCell ref="C23:G25"/>
    <mergeCell ref="F29:G42"/>
    <mergeCell ref="C27:D28"/>
    <mergeCell ref="C44:G46"/>
    <mergeCell ref="F27:G28"/>
    <mergeCell ref="C29:D32"/>
    <mergeCell ref="D34:D39"/>
    <mergeCell ref="D40:D42"/>
    <mergeCell ref="D48:D50"/>
    <mergeCell ref="D52:D54"/>
    <mergeCell ref="D55:D56"/>
    <mergeCell ref="G48:G50"/>
    <mergeCell ref="G52:G53"/>
    <mergeCell ref="G54:G56"/>
    <mergeCell ref="G57:G59"/>
    <mergeCell ref="G60:G63"/>
  </mergeCells>
  <phoneticPr fontId="188" type="noConversion"/>
  <dataValidations count="1">
    <dataValidation allowBlank="1" showInputMessage="1" showErrorMessage="1" promptTitle="具体内容" prompt="如果疯狂发作是在远离其他调查员同伴的情况下发作，或是所有人同时进入疯狂发作的话，守秘人可以有选择的进行简单的描述来决定接下来调查员的动作与当前场景最后的结果。。在这种情况下，调查员往往会在疯狂中迷失自身并不为玩家所控数个小时甚至更久。（通常是 1D10 个小时或者由守秘人自行决定）。" sqref="F2:G2" xr:uid="{00000000-0002-0000-0B00-000000000000}"/>
  </dataValidations>
  <pageMargins left="0.75" right="0.75" top="1" bottom="1" header="0.50902777777777797" footer="0.50902777777777797"/>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B00-000001000000}">
          <x14:formula1>
            <xm:f>附表!$M$113:$M$213</xm:f>
          </x14:formula1>
          <xm:sqref>C17:C18 F17:F18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D1:AX551"/>
  <sheetViews>
    <sheetView topLeftCell="O1" zoomScale="60" zoomScaleNormal="60" workbookViewId="0">
      <selection activeCell="P1" sqref="P1:Z2"/>
    </sheetView>
  </sheetViews>
  <sheetFormatPr defaultColWidth="9" defaultRowHeight="22.05" customHeight="1"/>
  <cols>
    <col min="1" max="1" width="5.6640625" style="1" customWidth="1"/>
    <col min="2" max="14" width="9" style="1" customWidth="1"/>
    <col min="15" max="15" width="2.77734375" style="1" customWidth="1"/>
    <col min="16" max="26" width="9" style="1" customWidth="1"/>
    <col min="27" max="27" width="2.77734375" style="1" customWidth="1"/>
    <col min="28" max="38" width="9" style="1" customWidth="1"/>
    <col min="39" max="39" width="2.77734375" style="1" customWidth="1"/>
    <col min="40" max="40" width="9" style="1" customWidth="1"/>
    <col min="41" max="16384" width="9" style="1"/>
  </cols>
  <sheetData>
    <row r="1" spans="4:50" ht="22.05" customHeight="1">
      <c r="D1" s="3646" t="s">
        <v>5541</v>
      </c>
      <c r="E1" s="3646"/>
      <c r="F1" s="3646"/>
      <c r="G1" s="3646"/>
      <c r="H1" s="3646"/>
      <c r="I1" s="3646"/>
      <c r="J1" s="3646"/>
      <c r="K1" s="3646"/>
      <c r="L1" s="3646"/>
      <c r="M1" s="3646"/>
      <c r="N1" s="3646"/>
      <c r="O1" s="2"/>
      <c r="P1" s="3646" t="s">
        <v>5542</v>
      </c>
      <c r="Q1" s="3646"/>
      <c r="R1" s="3646"/>
      <c r="S1" s="3646"/>
      <c r="T1" s="3646"/>
      <c r="U1" s="3646"/>
      <c r="V1" s="3646"/>
      <c r="W1" s="3646"/>
      <c r="X1" s="3646"/>
      <c r="Y1" s="3646"/>
      <c r="Z1" s="3646"/>
      <c r="AA1" s="2"/>
      <c r="AB1" s="3646" t="s">
        <v>5543</v>
      </c>
      <c r="AC1" s="3646"/>
      <c r="AD1" s="3646"/>
      <c r="AE1" s="3646"/>
      <c r="AF1" s="3646"/>
      <c r="AG1" s="3646"/>
      <c r="AH1" s="3646"/>
      <c r="AI1" s="3646"/>
      <c r="AJ1" s="3646"/>
      <c r="AK1" s="3646"/>
      <c r="AL1" s="3646"/>
      <c r="AM1" s="2"/>
      <c r="AN1" s="3646" t="s">
        <v>5544</v>
      </c>
      <c r="AO1" s="3646"/>
      <c r="AP1" s="3646"/>
      <c r="AQ1" s="3646"/>
      <c r="AR1" s="3646"/>
      <c r="AS1" s="3646"/>
      <c r="AT1" s="3646"/>
      <c r="AU1" s="3646"/>
      <c r="AV1" s="3646"/>
      <c r="AW1" s="3646"/>
      <c r="AX1" s="3646"/>
    </row>
    <row r="2" spans="4:50" ht="22.05" customHeight="1">
      <c r="D2" s="3647"/>
      <c r="E2" s="3647"/>
      <c r="F2" s="3647"/>
      <c r="G2" s="3647"/>
      <c r="H2" s="3647"/>
      <c r="I2" s="3647"/>
      <c r="J2" s="3647"/>
      <c r="K2" s="3647"/>
      <c r="L2" s="3647"/>
      <c r="M2" s="3647"/>
      <c r="N2" s="3647"/>
      <c r="O2" s="2"/>
      <c r="P2" s="3647"/>
      <c r="Q2" s="3647"/>
      <c r="R2" s="3647"/>
      <c r="S2" s="3647"/>
      <c r="T2" s="3647"/>
      <c r="U2" s="3647"/>
      <c r="V2" s="3647"/>
      <c r="W2" s="3647"/>
      <c r="X2" s="3647"/>
      <c r="Y2" s="3647"/>
      <c r="Z2" s="3647"/>
      <c r="AA2" s="2"/>
      <c r="AB2" s="3647"/>
      <c r="AC2" s="3647"/>
      <c r="AD2" s="3647"/>
      <c r="AE2" s="3647"/>
      <c r="AF2" s="3647"/>
      <c r="AG2" s="3647"/>
      <c r="AH2" s="3647"/>
      <c r="AI2" s="3647"/>
      <c r="AJ2" s="3647"/>
      <c r="AK2" s="3647"/>
      <c r="AL2" s="3647"/>
      <c r="AM2" s="2"/>
      <c r="AN2" s="3646"/>
      <c r="AO2" s="3646"/>
      <c r="AP2" s="3646"/>
      <c r="AQ2" s="3646"/>
      <c r="AR2" s="3646"/>
      <c r="AS2" s="3646"/>
      <c r="AT2" s="3646"/>
      <c r="AU2" s="3646"/>
      <c r="AV2" s="3646"/>
      <c r="AW2" s="3646"/>
      <c r="AX2" s="3646"/>
    </row>
    <row r="3" spans="4:50" ht="22.05" customHeight="1">
      <c r="D3" s="3650" t="s">
        <v>5545</v>
      </c>
      <c r="E3" s="3650"/>
      <c r="F3" s="3631" t="s">
        <v>5546</v>
      </c>
      <c r="G3" s="3632"/>
      <c r="H3" s="3632"/>
      <c r="I3" s="3632"/>
      <c r="J3" s="3632"/>
      <c r="K3" s="3632"/>
      <c r="L3" s="3632"/>
      <c r="M3" s="3632"/>
      <c r="N3" s="3632"/>
      <c r="O3" s="3"/>
      <c r="P3" s="3660" t="s">
        <v>5547</v>
      </c>
      <c r="Q3" s="3660"/>
      <c r="R3" s="3660"/>
      <c r="S3" s="3660"/>
      <c r="T3" s="3660"/>
      <c r="U3" s="3660"/>
      <c r="V3" s="3660"/>
      <c r="W3" s="3660"/>
      <c r="X3" s="3660"/>
      <c r="Y3" s="3660"/>
      <c r="Z3" s="3660"/>
      <c r="AA3" s="3"/>
      <c r="AB3" s="3670" t="s">
        <v>5548</v>
      </c>
      <c r="AC3" s="3660"/>
      <c r="AD3" s="3660"/>
      <c r="AE3" s="3660"/>
      <c r="AF3" s="3660"/>
      <c r="AG3" s="3660"/>
      <c r="AH3" s="3660"/>
      <c r="AI3" s="3660"/>
      <c r="AJ3" s="3660"/>
      <c r="AK3" s="3660"/>
      <c r="AL3" s="3660"/>
      <c r="AM3" s="3"/>
      <c r="AN3" s="3680" t="s">
        <v>5549</v>
      </c>
      <c r="AO3" s="3660"/>
      <c r="AP3" s="3660"/>
      <c r="AQ3" s="3660"/>
      <c r="AR3" s="3660"/>
      <c r="AS3" s="3660"/>
      <c r="AT3" s="3660"/>
      <c r="AU3" s="3660"/>
      <c r="AV3" s="3660"/>
      <c r="AW3" s="3660"/>
      <c r="AX3" s="3660"/>
    </row>
    <row r="4" spans="4:50" ht="22.05" customHeight="1">
      <c r="D4" s="3650"/>
      <c r="E4" s="3650"/>
      <c r="F4" s="3632"/>
      <c r="G4" s="3632"/>
      <c r="H4" s="3632"/>
      <c r="I4" s="3632"/>
      <c r="J4" s="3632"/>
      <c r="K4" s="3632"/>
      <c r="L4" s="3632"/>
      <c r="M4" s="3632"/>
      <c r="N4" s="3632"/>
      <c r="O4" s="3"/>
      <c r="P4" s="3627" t="s">
        <v>5550</v>
      </c>
      <c r="Q4" s="3623" t="s">
        <v>5551</v>
      </c>
      <c r="R4" s="3623"/>
      <c r="S4" s="3623"/>
      <c r="T4" s="3623"/>
      <c r="U4" s="3623"/>
      <c r="V4" s="3623"/>
      <c r="W4" s="3623"/>
      <c r="X4" s="3623"/>
      <c r="Y4" s="3623"/>
      <c r="Z4" s="3623"/>
      <c r="AA4" s="3"/>
      <c r="AB4" s="3627" t="s">
        <v>5552</v>
      </c>
      <c r="AC4" s="3648" t="s">
        <v>5553</v>
      </c>
      <c r="AD4" s="3619"/>
      <c r="AE4" s="3619"/>
      <c r="AF4" s="3619"/>
      <c r="AG4" s="3619"/>
      <c r="AH4" s="3619"/>
      <c r="AI4" s="3619"/>
      <c r="AJ4" s="3619"/>
      <c r="AK4" s="3619"/>
      <c r="AL4" s="3619"/>
      <c r="AM4" s="3"/>
      <c r="AN4" s="3626" t="s">
        <v>5554</v>
      </c>
      <c r="AO4" s="3652" t="s">
        <v>5555</v>
      </c>
      <c r="AP4" s="3619"/>
      <c r="AQ4" s="3619"/>
      <c r="AR4" s="3619"/>
      <c r="AS4" s="3619"/>
      <c r="AT4" s="3619"/>
      <c r="AU4" s="3619"/>
      <c r="AV4" s="3619"/>
      <c r="AW4" s="3619"/>
      <c r="AX4" s="3619"/>
    </row>
    <row r="5" spans="4:50" ht="22.05" customHeight="1">
      <c r="D5" s="3650" t="s">
        <v>5556</v>
      </c>
      <c r="E5" s="3650"/>
      <c r="F5" s="3631" t="s">
        <v>5557</v>
      </c>
      <c r="G5" s="3632"/>
      <c r="H5" s="3632"/>
      <c r="I5" s="3632"/>
      <c r="J5" s="3632"/>
      <c r="K5" s="3632"/>
      <c r="L5" s="3632"/>
      <c r="M5" s="3632"/>
      <c r="N5" s="3632"/>
      <c r="O5" s="3"/>
      <c r="P5" s="3627"/>
      <c r="Q5" s="3623"/>
      <c r="R5" s="3623"/>
      <c r="S5" s="3623"/>
      <c r="T5" s="3623"/>
      <c r="U5" s="3623"/>
      <c r="V5" s="3623"/>
      <c r="W5" s="3623"/>
      <c r="X5" s="3623"/>
      <c r="Y5" s="3623"/>
      <c r="Z5" s="3623"/>
      <c r="AA5" s="3"/>
      <c r="AB5" s="3627"/>
      <c r="AC5" s="3640" t="s">
        <v>5558</v>
      </c>
      <c r="AD5" s="3619"/>
      <c r="AE5" s="3619"/>
      <c r="AF5" s="3619"/>
      <c r="AG5" s="3619"/>
      <c r="AH5" s="3619"/>
      <c r="AI5" s="3619"/>
      <c r="AJ5" s="3619"/>
      <c r="AK5" s="3619"/>
      <c r="AL5" s="3619"/>
      <c r="AM5" s="3"/>
      <c r="AN5" s="3626"/>
      <c r="AO5" s="3619"/>
      <c r="AP5" s="3619"/>
      <c r="AQ5" s="3619"/>
      <c r="AR5" s="3619"/>
      <c r="AS5" s="3619"/>
      <c r="AT5" s="3619"/>
      <c r="AU5" s="3619"/>
      <c r="AV5" s="3619"/>
      <c r="AW5" s="3619"/>
      <c r="AX5" s="3619"/>
    </row>
    <row r="6" spans="4:50" ht="22.05" customHeight="1">
      <c r="D6" s="3650"/>
      <c r="E6" s="3650"/>
      <c r="F6" s="3632"/>
      <c r="G6" s="3632"/>
      <c r="H6" s="3632"/>
      <c r="I6" s="3632"/>
      <c r="J6" s="3632"/>
      <c r="K6" s="3632"/>
      <c r="L6" s="3632"/>
      <c r="M6" s="3632"/>
      <c r="N6" s="3632"/>
      <c r="O6" s="3"/>
      <c r="P6" s="3627"/>
      <c r="Q6" s="3623"/>
      <c r="R6" s="3623"/>
      <c r="S6" s="3623"/>
      <c r="T6" s="3623"/>
      <c r="U6" s="3623"/>
      <c r="V6" s="3623"/>
      <c r="W6" s="3623"/>
      <c r="X6" s="3623"/>
      <c r="Y6" s="3623"/>
      <c r="Z6" s="3623"/>
      <c r="AA6" s="3"/>
      <c r="AB6" s="3627"/>
      <c r="AC6" s="3648"/>
      <c r="AD6" s="3619"/>
      <c r="AE6" s="3619"/>
      <c r="AF6" s="3619"/>
      <c r="AG6" s="3619"/>
      <c r="AH6" s="3619"/>
      <c r="AI6" s="3619"/>
      <c r="AJ6" s="3619"/>
      <c r="AK6" s="3619"/>
      <c r="AL6" s="3619"/>
      <c r="AM6" s="3"/>
      <c r="AN6" s="3626"/>
      <c r="AO6" s="3619"/>
      <c r="AP6" s="3619"/>
      <c r="AQ6" s="3619"/>
      <c r="AR6" s="3619"/>
      <c r="AS6" s="3619"/>
      <c r="AT6" s="3619"/>
      <c r="AU6" s="3619"/>
      <c r="AV6" s="3619"/>
      <c r="AW6" s="3619"/>
      <c r="AX6" s="3619"/>
    </row>
    <row r="7" spans="4:50" ht="22.05" customHeight="1">
      <c r="D7" s="3650" t="s">
        <v>5559</v>
      </c>
      <c r="E7" s="3650"/>
      <c r="F7" s="3641" t="s">
        <v>5560</v>
      </c>
      <c r="G7" s="3642"/>
      <c r="H7" s="3642"/>
      <c r="I7" s="3642"/>
      <c r="J7" s="3642"/>
      <c r="K7" s="3642"/>
      <c r="L7" s="3642"/>
      <c r="M7" s="3642"/>
      <c r="N7" s="3642"/>
      <c r="O7" s="3"/>
      <c r="P7" s="3627" t="s">
        <v>5561</v>
      </c>
      <c r="Q7" s="3623" t="s">
        <v>5562</v>
      </c>
      <c r="R7" s="3623"/>
      <c r="S7" s="3623"/>
      <c r="T7" s="3623"/>
      <c r="U7" s="3623"/>
      <c r="V7" s="3623"/>
      <c r="W7" s="3623"/>
      <c r="X7" s="3623"/>
      <c r="Y7" s="3623"/>
      <c r="Z7" s="3623"/>
      <c r="AA7" s="3"/>
      <c r="AB7" s="3627"/>
      <c r="AC7" s="3640" t="s">
        <v>5563</v>
      </c>
      <c r="AD7" s="3618"/>
      <c r="AE7" s="3618"/>
      <c r="AF7" s="3618"/>
      <c r="AG7" s="3618"/>
      <c r="AH7" s="3618"/>
      <c r="AI7" s="3618"/>
      <c r="AJ7" s="3618"/>
      <c r="AK7" s="3618"/>
      <c r="AL7" s="3618"/>
      <c r="AM7" s="3"/>
      <c r="AN7" s="3626"/>
      <c r="AO7" s="3619"/>
      <c r="AP7" s="3619"/>
      <c r="AQ7" s="3619"/>
      <c r="AR7" s="3619"/>
      <c r="AS7" s="3619"/>
      <c r="AT7" s="3619"/>
      <c r="AU7" s="3619"/>
      <c r="AV7" s="3619"/>
      <c r="AW7" s="3619"/>
      <c r="AX7" s="3619"/>
    </row>
    <row r="8" spans="4:50" customFormat="1" ht="22.05" customHeight="1">
      <c r="D8" s="3650"/>
      <c r="E8" s="3650"/>
      <c r="F8" s="3642"/>
      <c r="G8" s="3642"/>
      <c r="H8" s="3642"/>
      <c r="I8" s="3642"/>
      <c r="J8" s="3642"/>
      <c r="K8" s="3642"/>
      <c r="L8" s="3642"/>
      <c r="M8" s="3642"/>
      <c r="N8" s="3642"/>
      <c r="O8" s="3"/>
      <c r="P8" s="3627"/>
      <c r="Q8" s="3623"/>
      <c r="R8" s="3623"/>
      <c r="S8" s="3623"/>
      <c r="T8" s="3623"/>
      <c r="U8" s="3623"/>
      <c r="V8" s="3623"/>
      <c r="W8" s="3623"/>
      <c r="X8" s="3623"/>
      <c r="Y8" s="3623"/>
      <c r="Z8" s="3623"/>
      <c r="AA8" s="3"/>
      <c r="AB8" s="3627"/>
      <c r="AC8" s="3640"/>
      <c r="AD8" s="3618"/>
      <c r="AE8" s="3618"/>
      <c r="AF8" s="3618"/>
      <c r="AG8" s="3618"/>
      <c r="AH8" s="3618"/>
      <c r="AI8" s="3618"/>
      <c r="AJ8" s="3618"/>
      <c r="AK8" s="3618"/>
      <c r="AL8" s="3618"/>
      <c r="AM8" s="3"/>
      <c r="AN8" s="3626"/>
      <c r="AO8" s="3619"/>
      <c r="AP8" s="3619"/>
      <c r="AQ8" s="3619"/>
      <c r="AR8" s="3619"/>
      <c r="AS8" s="3619"/>
      <c r="AT8" s="3619"/>
      <c r="AU8" s="3619"/>
      <c r="AV8" s="3619"/>
      <c r="AW8" s="3619"/>
      <c r="AX8" s="3619"/>
    </row>
    <row r="9" spans="4:50" ht="22.05" customHeight="1">
      <c r="D9" s="3650" t="s">
        <v>5564</v>
      </c>
      <c r="E9" s="3650"/>
      <c r="F9" s="3631" t="s">
        <v>5565</v>
      </c>
      <c r="G9" s="3632"/>
      <c r="H9" s="3632"/>
      <c r="I9" s="3632"/>
      <c r="J9" s="3632"/>
      <c r="K9" s="3632"/>
      <c r="L9" s="3632"/>
      <c r="M9" s="3632"/>
      <c r="N9" s="3632"/>
      <c r="O9" s="3"/>
      <c r="P9" s="3627"/>
      <c r="Q9" s="3623"/>
      <c r="R9" s="3623"/>
      <c r="S9" s="3623"/>
      <c r="T9" s="3623"/>
      <c r="U9" s="3623"/>
      <c r="V9" s="3623"/>
      <c r="W9" s="3623"/>
      <c r="X9" s="3623"/>
      <c r="Y9" s="3623"/>
      <c r="Z9" s="3623"/>
      <c r="AA9" s="3"/>
      <c r="AB9" s="3627"/>
      <c r="AC9" s="3640"/>
      <c r="AD9" s="3618"/>
      <c r="AE9" s="3618"/>
      <c r="AF9" s="3618"/>
      <c r="AG9" s="3618"/>
      <c r="AH9" s="3618"/>
      <c r="AI9" s="3618"/>
      <c r="AJ9" s="3618"/>
      <c r="AK9" s="3618"/>
      <c r="AL9" s="3618"/>
      <c r="AM9" s="3"/>
      <c r="AN9" s="3626"/>
      <c r="AO9" s="3619"/>
      <c r="AP9" s="3619"/>
      <c r="AQ9" s="3619"/>
      <c r="AR9" s="3619"/>
      <c r="AS9" s="3619"/>
      <c r="AT9" s="3619"/>
      <c r="AU9" s="3619"/>
      <c r="AV9" s="3619"/>
      <c r="AW9" s="3619"/>
      <c r="AX9" s="3619"/>
    </row>
    <row r="10" spans="4:50" customFormat="1" ht="22.05" customHeight="1">
      <c r="D10" s="3650"/>
      <c r="E10" s="3650"/>
      <c r="F10" s="3632"/>
      <c r="G10" s="3632"/>
      <c r="H10" s="3632"/>
      <c r="I10" s="3632"/>
      <c r="J10" s="3632"/>
      <c r="K10" s="3632"/>
      <c r="L10" s="3632"/>
      <c r="M10" s="3632"/>
      <c r="N10" s="3632"/>
      <c r="O10" s="3"/>
      <c r="P10" s="3627" t="s">
        <v>5566</v>
      </c>
      <c r="Q10" s="3623" t="s">
        <v>5567</v>
      </c>
      <c r="R10" s="3623"/>
      <c r="S10" s="3623"/>
      <c r="T10" s="3623"/>
      <c r="U10" s="3623"/>
      <c r="V10" s="3623"/>
      <c r="W10" s="3623"/>
      <c r="X10" s="3623"/>
      <c r="Y10" s="3623"/>
      <c r="Z10" s="3623"/>
      <c r="AA10" s="3"/>
      <c r="AB10" s="3627"/>
      <c r="AC10" s="3640"/>
      <c r="AD10" s="3618"/>
      <c r="AE10" s="3618"/>
      <c r="AF10" s="3618"/>
      <c r="AG10" s="3618"/>
      <c r="AH10" s="3618"/>
      <c r="AI10" s="3618"/>
      <c r="AJ10" s="3618"/>
      <c r="AK10" s="3618"/>
      <c r="AL10" s="3618"/>
      <c r="AM10" s="3"/>
      <c r="AN10" s="3626"/>
      <c r="AO10" s="3619"/>
      <c r="AP10" s="3619"/>
      <c r="AQ10" s="3619"/>
      <c r="AR10" s="3619"/>
      <c r="AS10" s="3619"/>
      <c r="AT10" s="3619"/>
      <c r="AU10" s="3619"/>
      <c r="AV10" s="3619"/>
      <c r="AW10" s="3619"/>
      <c r="AX10" s="3619"/>
    </row>
    <row r="11" spans="4:50" ht="22.05" customHeight="1">
      <c r="D11" s="3650" t="s">
        <v>5568</v>
      </c>
      <c r="E11" s="3650"/>
      <c r="F11" s="3631" t="s">
        <v>5569</v>
      </c>
      <c r="G11" s="3631"/>
      <c r="H11" s="3631"/>
      <c r="I11" s="3631"/>
      <c r="J11" s="3631"/>
      <c r="K11" s="3631"/>
      <c r="L11" s="3631"/>
      <c r="M11" s="3631"/>
      <c r="N11" s="3631"/>
      <c r="O11" s="3"/>
      <c r="P11" s="3627"/>
      <c r="Q11" s="3623"/>
      <c r="R11" s="3623"/>
      <c r="S11" s="3623"/>
      <c r="T11" s="3623"/>
      <c r="U11" s="3623"/>
      <c r="V11" s="3623"/>
      <c r="W11" s="3623"/>
      <c r="X11" s="3623"/>
      <c r="Y11" s="3623"/>
      <c r="Z11" s="3623"/>
      <c r="AA11" s="3"/>
      <c r="AB11" s="3625" t="s">
        <v>5570</v>
      </c>
      <c r="AC11" s="3618" t="s">
        <v>5571</v>
      </c>
      <c r="AD11" s="3618"/>
      <c r="AE11" s="3618"/>
      <c r="AF11" s="3618"/>
      <c r="AG11" s="3618"/>
      <c r="AH11" s="3618"/>
      <c r="AI11" s="3618"/>
      <c r="AJ11" s="3618"/>
      <c r="AK11" s="3618"/>
      <c r="AL11" s="3618"/>
      <c r="AM11" s="3"/>
      <c r="AN11" s="3626"/>
      <c r="AO11" s="3619"/>
      <c r="AP11" s="3619"/>
      <c r="AQ11" s="3619"/>
      <c r="AR11" s="3619"/>
      <c r="AS11" s="3619"/>
      <c r="AT11" s="3619"/>
      <c r="AU11" s="3619"/>
      <c r="AV11" s="3619"/>
      <c r="AW11" s="3619"/>
      <c r="AX11" s="3619"/>
    </row>
    <row r="12" spans="4:50" ht="22.05" customHeight="1">
      <c r="D12" s="3650"/>
      <c r="E12" s="3650"/>
      <c r="F12" s="3631"/>
      <c r="G12" s="3631"/>
      <c r="H12" s="3631"/>
      <c r="I12" s="3631"/>
      <c r="J12" s="3631"/>
      <c r="K12" s="3631"/>
      <c r="L12" s="3631"/>
      <c r="M12" s="3631"/>
      <c r="N12" s="3631"/>
      <c r="O12" s="3"/>
      <c r="P12" s="3627" t="s">
        <v>114</v>
      </c>
      <c r="Q12" s="3636" t="s">
        <v>5572</v>
      </c>
      <c r="R12" s="3636"/>
      <c r="S12" s="3636"/>
      <c r="T12" s="3636"/>
      <c r="U12" s="3636"/>
      <c r="V12" s="3636"/>
      <c r="W12" s="3636"/>
      <c r="X12" s="3636"/>
      <c r="Y12" s="3636"/>
      <c r="Z12" s="3636"/>
      <c r="AA12" s="3"/>
      <c r="AB12" s="3626"/>
      <c r="AC12" s="3618"/>
      <c r="AD12" s="3618"/>
      <c r="AE12" s="3618"/>
      <c r="AF12" s="3618"/>
      <c r="AG12" s="3618"/>
      <c r="AH12" s="3618"/>
      <c r="AI12" s="3618"/>
      <c r="AJ12" s="3618"/>
      <c r="AK12" s="3618"/>
      <c r="AL12" s="3618"/>
      <c r="AM12" s="3"/>
      <c r="AN12" s="3626"/>
      <c r="AO12" s="3619"/>
      <c r="AP12" s="3619"/>
      <c r="AQ12" s="3619"/>
      <c r="AR12" s="3619"/>
      <c r="AS12" s="3619"/>
      <c r="AT12" s="3619"/>
      <c r="AU12" s="3619"/>
      <c r="AV12" s="3619"/>
      <c r="AW12" s="3619"/>
      <c r="AX12" s="3619"/>
    </row>
    <row r="13" spans="4:50" customFormat="1" ht="22.05" customHeight="1">
      <c r="D13" s="3681" t="s">
        <v>5573</v>
      </c>
      <c r="E13" s="3681"/>
      <c r="F13" s="3631" t="s">
        <v>5574</v>
      </c>
      <c r="G13" s="3631"/>
      <c r="H13" s="3631"/>
      <c r="I13" s="3631"/>
      <c r="J13" s="3631"/>
      <c r="K13" s="3631"/>
      <c r="L13" s="3631"/>
      <c r="M13" s="3631"/>
      <c r="N13" s="3631"/>
      <c r="O13" s="3"/>
      <c r="P13" s="3661"/>
      <c r="Q13" s="3637"/>
      <c r="R13" s="3637"/>
      <c r="S13" s="3637"/>
      <c r="T13" s="3637"/>
      <c r="U13" s="3637"/>
      <c r="V13" s="3637"/>
      <c r="W13" s="3637"/>
      <c r="X13" s="3637"/>
      <c r="Y13" s="3637"/>
      <c r="Z13" s="3637"/>
      <c r="AA13" s="3"/>
      <c r="AB13" s="3626"/>
      <c r="AC13" s="3618"/>
      <c r="AD13" s="3618"/>
      <c r="AE13" s="3618"/>
      <c r="AF13" s="3618"/>
      <c r="AG13" s="3618"/>
      <c r="AH13" s="3618"/>
      <c r="AI13" s="3618"/>
      <c r="AJ13" s="3618"/>
      <c r="AK13" s="3618"/>
      <c r="AL13" s="3618"/>
      <c r="AM13" s="3"/>
      <c r="AN13" s="3626"/>
      <c r="AO13" s="3619"/>
      <c r="AP13" s="3619"/>
      <c r="AQ13" s="3619"/>
      <c r="AR13" s="3619"/>
      <c r="AS13" s="3619"/>
      <c r="AT13" s="3619"/>
      <c r="AU13" s="3619"/>
      <c r="AV13" s="3619"/>
      <c r="AW13" s="3619"/>
      <c r="AX13" s="3619"/>
    </row>
    <row r="14" spans="4:50" ht="22.05" customHeight="1">
      <c r="D14" s="3681"/>
      <c r="E14" s="3681"/>
      <c r="F14" s="3631"/>
      <c r="G14" s="3631"/>
      <c r="H14" s="3631"/>
      <c r="I14" s="3631"/>
      <c r="J14" s="3631"/>
      <c r="K14" s="3631"/>
      <c r="L14" s="3631"/>
      <c r="M14" s="3631"/>
      <c r="N14" s="3631"/>
      <c r="O14" s="3"/>
      <c r="P14" s="3660" t="s">
        <v>5575</v>
      </c>
      <c r="Q14" s="3660"/>
      <c r="R14" s="3660"/>
      <c r="S14" s="3660"/>
      <c r="T14" s="3660"/>
      <c r="U14" s="3660"/>
      <c r="V14" s="3660"/>
      <c r="W14" s="3660"/>
      <c r="X14" s="3660"/>
      <c r="Y14" s="3660"/>
      <c r="Z14" s="3660"/>
      <c r="AA14" s="3"/>
      <c r="AB14" s="5" t="s">
        <v>5576</v>
      </c>
      <c r="AC14" s="3619" t="s">
        <v>5577</v>
      </c>
      <c r="AD14" s="3619"/>
      <c r="AE14" s="3619"/>
      <c r="AF14" s="3619"/>
      <c r="AG14" s="3619"/>
      <c r="AH14" s="3619"/>
      <c r="AI14" s="3619"/>
      <c r="AJ14" s="3619"/>
      <c r="AK14" s="3619"/>
      <c r="AL14" s="3619"/>
      <c r="AM14" s="3"/>
      <c r="AN14" s="3626"/>
      <c r="AO14" s="3619"/>
      <c r="AP14" s="3619"/>
      <c r="AQ14" s="3619"/>
      <c r="AR14" s="3619"/>
      <c r="AS14" s="3619"/>
      <c r="AT14" s="3619"/>
      <c r="AU14" s="3619"/>
      <c r="AV14" s="3619"/>
      <c r="AW14" s="3619"/>
      <c r="AX14" s="3619"/>
    </row>
    <row r="15" spans="4:50" ht="22.05" customHeight="1">
      <c r="O15" s="3"/>
      <c r="P15" s="3627" t="s">
        <v>5550</v>
      </c>
      <c r="Q15" s="3623" t="s">
        <v>5578</v>
      </c>
      <c r="R15" s="3623"/>
      <c r="S15" s="3623"/>
      <c r="T15" s="3623"/>
      <c r="U15" s="3623"/>
      <c r="V15" s="3623"/>
      <c r="W15" s="3623"/>
      <c r="X15" s="3623"/>
      <c r="Y15" s="3623"/>
      <c r="Z15" s="3623"/>
      <c r="AA15" s="3"/>
      <c r="AB15" s="5" t="s">
        <v>5579</v>
      </c>
      <c r="AC15" s="3619" t="s">
        <v>5580</v>
      </c>
      <c r="AD15" s="3619"/>
      <c r="AE15" s="3619"/>
      <c r="AF15" s="3619"/>
      <c r="AG15" s="3619"/>
      <c r="AH15" s="3619"/>
      <c r="AI15" s="3619"/>
      <c r="AJ15" s="3619"/>
      <c r="AK15" s="3619"/>
      <c r="AL15" s="3619"/>
      <c r="AM15" s="3"/>
      <c r="AN15" s="3626"/>
      <c r="AO15" s="3619"/>
      <c r="AP15" s="3619"/>
      <c r="AQ15" s="3619"/>
      <c r="AR15" s="3619"/>
      <c r="AS15" s="3619"/>
      <c r="AT15" s="3619"/>
      <c r="AU15" s="3619"/>
      <c r="AV15" s="3619"/>
      <c r="AW15" s="3619"/>
      <c r="AX15" s="3619"/>
    </row>
    <row r="16" spans="4:50" ht="22.05" customHeight="1">
      <c r="D16" s="3677" t="s">
        <v>5581</v>
      </c>
      <c r="E16" s="3677"/>
      <c r="F16" s="3677"/>
      <c r="G16" s="3677"/>
      <c r="H16" s="3677"/>
      <c r="I16" s="3677"/>
      <c r="J16" s="3677"/>
      <c r="K16" s="3677"/>
      <c r="L16" s="3677"/>
      <c r="M16" s="3677"/>
      <c r="N16" s="3677"/>
      <c r="O16" s="3"/>
      <c r="P16" s="3627"/>
      <c r="Q16" s="3623"/>
      <c r="R16" s="3623"/>
      <c r="S16" s="3623"/>
      <c r="T16" s="3623"/>
      <c r="U16" s="3623"/>
      <c r="V16" s="3623"/>
      <c r="W16" s="3623"/>
      <c r="X16" s="3623"/>
      <c r="Y16" s="3623"/>
      <c r="Z16" s="3623"/>
      <c r="AA16" s="3"/>
      <c r="AB16" s="5" t="s">
        <v>5582</v>
      </c>
      <c r="AC16" s="3618" t="s">
        <v>5583</v>
      </c>
      <c r="AD16" s="3618"/>
      <c r="AE16" s="3618"/>
      <c r="AF16" s="3618"/>
      <c r="AG16" s="3618"/>
      <c r="AH16" s="3618"/>
      <c r="AI16" s="3618"/>
      <c r="AJ16" s="3618"/>
      <c r="AK16" s="3618"/>
      <c r="AL16" s="3618"/>
      <c r="AM16" s="3"/>
      <c r="AN16" s="3660" t="s">
        <v>5584</v>
      </c>
      <c r="AO16" s="3660"/>
      <c r="AP16" s="3660"/>
      <c r="AQ16" s="3660"/>
      <c r="AR16" s="3660"/>
      <c r="AS16" s="3660"/>
      <c r="AT16" s="3660"/>
      <c r="AU16" s="3660"/>
      <c r="AV16" s="3660"/>
      <c r="AW16" s="3660"/>
      <c r="AX16" s="3660"/>
    </row>
    <row r="17" spans="4:50" ht="22.05" customHeight="1">
      <c r="D17" s="3633" t="s">
        <v>5585</v>
      </c>
      <c r="E17" s="3634"/>
      <c r="F17" s="3634"/>
      <c r="G17" s="3634"/>
      <c r="H17" s="3634"/>
      <c r="I17" s="3634"/>
      <c r="J17" s="3634"/>
      <c r="K17" s="3634"/>
      <c r="L17" s="3634"/>
      <c r="M17" s="3634"/>
      <c r="N17" s="3634"/>
      <c r="O17" s="3"/>
      <c r="P17" s="3627"/>
      <c r="Q17" s="3623"/>
      <c r="R17" s="3623"/>
      <c r="S17" s="3623"/>
      <c r="T17" s="3623"/>
      <c r="U17" s="3623"/>
      <c r="V17" s="3623"/>
      <c r="W17" s="3623"/>
      <c r="X17" s="3623"/>
      <c r="Y17" s="3623"/>
      <c r="Z17" s="3623"/>
      <c r="AA17" s="3"/>
      <c r="AB17" s="3660" t="s">
        <v>5586</v>
      </c>
      <c r="AC17" s="3660"/>
      <c r="AD17" s="3660"/>
      <c r="AE17" s="3660"/>
      <c r="AF17" s="3660"/>
      <c r="AG17" s="3660"/>
      <c r="AH17" s="3660"/>
      <c r="AI17" s="3660"/>
      <c r="AJ17" s="3660"/>
      <c r="AK17" s="3660"/>
      <c r="AL17" s="3660"/>
      <c r="AM17" s="3"/>
      <c r="AN17" s="3626"/>
      <c r="AO17" s="3618"/>
      <c r="AP17" s="3618"/>
      <c r="AQ17" s="3618"/>
      <c r="AR17" s="3618"/>
      <c r="AS17" s="3618"/>
      <c r="AT17" s="3618"/>
      <c r="AU17" s="3618"/>
      <c r="AV17" s="3618"/>
      <c r="AW17" s="3618"/>
      <c r="AX17" s="3618"/>
    </row>
    <row r="18" spans="4:50" ht="22.05" customHeight="1">
      <c r="D18" s="3634"/>
      <c r="E18" s="3634"/>
      <c r="F18" s="3634"/>
      <c r="G18" s="3634"/>
      <c r="H18" s="3634"/>
      <c r="I18" s="3634"/>
      <c r="J18" s="3634"/>
      <c r="K18" s="3634"/>
      <c r="L18" s="3634"/>
      <c r="M18" s="3634"/>
      <c r="N18" s="3634"/>
      <c r="O18" s="3"/>
      <c r="P18" s="3627" t="s">
        <v>5570</v>
      </c>
      <c r="Q18" s="3623" t="s">
        <v>5587</v>
      </c>
      <c r="R18" s="3623"/>
      <c r="S18" s="3623"/>
      <c r="T18" s="3623"/>
      <c r="U18" s="3623"/>
      <c r="V18" s="3623"/>
      <c r="W18" s="3623"/>
      <c r="X18" s="3623"/>
      <c r="Y18" s="3623"/>
      <c r="Z18" s="3623"/>
      <c r="AA18" s="3"/>
      <c r="AB18" s="3627" t="s">
        <v>5552</v>
      </c>
      <c r="AC18" s="3618" t="s">
        <v>5588</v>
      </c>
      <c r="AD18" s="3618"/>
      <c r="AE18" s="3618"/>
      <c r="AF18" s="3618"/>
      <c r="AG18" s="3618"/>
      <c r="AH18" s="3618"/>
      <c r="AI18" s="3618"/>
      <c r="AJ18" s="3618"/>
      <c r="AK18" s="3618"/>
      <c r="AL18" s="3618"/>
      <c r="AM18" s="3"/>
      <c r="AN18" s="3626"/>
      <c r="AO18" s="3618"/>
      <c r="AP18" s="3618"/>
      <c r="AQ18" s="3618"/>
      <c r="AR18" s="3618"/>
      <c r="AS18" s="3618"/>
      <c r="AT18" s="3618"/>
      <c r="AU18" s="3618"/>
      <c r="AV18" s="3618"/>
      <c r="AW18" s="3618"/>
      <c r="AX18" s="3618"/>
    </row>
    <row r="19" spans="4:50" ht="22.05" customHeight="1">
      <c r="D19" s="3633" t="s">
        <v>5589</v>
      </c>
      <c r="E19" s="3634"/>
      <c r="F19" s="3634"/>
      <c r="G19" s="3634"/>
      <c r="H19" s="3634"/>
      <c r="I19" s="3634"/>
      <c r="J19" s="3634"/>
      <c r="K19" s="3634"/>
      <c r="L19" s="3634"/>
      <c r="M19" s="3634"/>
      <c r="N19" s="3634"/>
      <c r="O19" s="3"/>
      <c r="P19" s="3627"/>
      <c r="Q19" s="3623"/>
      <c r="R19" s="3623"/>
      <c r="S19" s="3623"/>
      <c r="T19" s="3623"/>
      <c r="U19" s="3623"/>
      <c r="V19" s="3623"/>
      <c r="W19" s="3623"/>
      <c r="X19" s="3623"/>
      <c r="Y19" s="3623"/>
      <c r="Z19" s="3623"/>
      <c r="AA19" s="3"/>
      <c r="AB19" s="3627"/>
      <c r="AC19" s="3618" t="s">
        <v>5590</v>
      </c>
      <c r="AD19" s="3618"/>
      <c r="AE19" s="3618"/>
      <c r="AF19" s="3618"/>
      <c r="AG19" s="3618"/>
      <c r="AH19" s="3618"/>
      <c r="AI19" s="3618"/>
      <c r="AJ19" s="3618"/>
      <c r="AK19" s="3618"/>
      <c r="AL19" s="3618"/>
      <c r="AM19" s="3"/>
      <c r="AN19" s="3626"/>
      <c r="AO19" s="3618"/>
      <c r="AP19" s="3618"/>
      <c r="AQ19" s="3618"/>
      <c r="AR19" s="3618"/>
      <c r="AS19" s="3618"/>
      <c r="AT19" s="3618"/>
      <c r="AU19" s="3618"/>
      <c r="AV19" s="3618"/>
      <c r="AW19" s="3618"/>
      <c r="AX19" s="3618"/>
    </row>
    <row r="20" spans="4:50" ht="22.05" customHeight="1">
      <c r="D20" s="3634"/>
      <c r="E20" s="3634"/>
      <c r="F20" s="3634"/>
      <c r="G20" s="3634"/>
      <c r="H20" s="3634"/>
      <c r="I20" s="3634"/>
      <c r="J20" s="3634"/>
      <c r="K20" s="3634"/>
      <c r="L20" s="3634"/>
      <c r="M20" s="3634"/>
      <c r="N20" s="3634"/>
      <c r="O20" s="3"/>
      <c r="P20" s="3627"/>
      <c r="Q20" s="3623"/>
      <c r="R20" s="3623"/>
      <c r="S20" s="3623"/>
      <c r="T20" s="3623"/>
      <c r="U20" s="3623"/>
      <c r="V20" s="3623"/>
      <c r="W20" s="3623"/>
      <c r="X20" s="3623"/>
      <c r="Y20" s="3623"/>
      <c r="Z20" s="3623"/>
      <c r="AA20" s="3"/>
      <c r="AB20" s="3627"/>
      <c r="AC20" s="3618" t="s">
        <v>5591</v>
      </c>
      <c r="AD20" s="3618"/>
      <c r="AE20" s="3618"/>
      <c r="AF20" s="3618"/>
      <c r="AG20" s="3618"/>
      <c r="AH20" s="3618"/>
      <c r="AI20" s="3618"/>
      <c r="AJ20" s="3618"/>
      <c r="AK20" s="3618"/>
      <c r="AL20" s="3618"/>
      <c r="AM20" s="3"/>
      <c r="AN20" s="3626"/>
      <c r="AO20" s="3618"/>
      <c r="AP20" s="3618"/>
      <c r="AQ20" s="3618"/>
      <c r="AR20" s="3618"/>
      <c r="AS20" s="3618"/>
      <c r="AT20" s="3618"/>
      <c r="AU20" s="3618"/>
      <c r="AV20" s="3618"/>
      <c r="AW20" s="3618"/>
      <c r="AX20" s="3618"/>
    </row>
    <row r="21" spans="4:50" ht="22.05" customHeight="1">
      <c r="D21" s="3633" t="s">
        <v>5592</v>
      </c>
      <c r="E21" s="3634"/>
      <c r="F21" s="3634"/>
      <c r="G21" s="3634"/>
      <c r="H21" s="3634"/>
      <c r="I21" s="3634"/>
      <c r="J21" s="3634"/>
      <c r="K21" s="3634"/>
      <c r="L21" s="3634"/>
      <c r="M21" s="3634"/>
      <c r="N21" s="3634"/>
      <c r="O21" s="3"/>
      <c r="P21" s="3627" t="s">
        <v>5576</v>
      </c>
      <c r="Q21" s="3623" t="s">
        <v>5593</v>
      </c>
      <c r="R21" s="3623"/>
      <c r="S21" s="3623"/>
      <c r="T21" s="3623"/>
      <c r="U21" s="3623"/>
      <c r="V21" s="3623"/>
      <c r="W21" s="3623"/>
      <c r="X21" s="3623"/>
      <c r="Y21" s="3623"/>
      <c r="Z21" s="3623"/>
      <c r="AA21" s="3"/>
      <c r="AB21" s="3627"/>
      <c r="AC21" s="3618" t="s">
        <v>5594</v>
      </c>
      <c r="AD21" s="3618"/>
      <c r="AE21" s="3618"/>
      <c r="AF21" s="3618"/>
      <c r="AG21" s="3618"/>
      <c r="AH21" s="3618"/>
      <c r="AI21" s="3618"/>
      <c r="AJ21" s="3618"/>
      <c r="AK21" s="3618"/>
      <c r="AL21" s="3618"/>
      <c r="AM21" s="3"/>
      <c r="AN21" s="3626"/>
      <c r="AO21" s="3618"/>
      <c r="AP21" s="3618"/>
      <c r="AQ21" s="3618"/>
      <c r="AR21" s="3618"/>
      <c r="AS21" s="3618"/>
      <c r="AT21" s="3618"/>
      <c r="AU21" s="3618"/>
      <c r="AV21" s="3618"/>
      <c r="AW21" s="3618"/>
      <c r="AX21" s="3618"/>
    </row>
    <row r="22" spans="4:50" ht="22.05" customHeight="1">
      <c r="D22" s="3634"/>
      <c r="E22" s="3634"/>
      <c r="F22" s="3634"/>
      <c r="G22" s="3634"/>
      <c r="H22" s="3634"/>
      <c r="I22" s="3634"/>
      <c r="J22" s="3634"/>
      <c r="K22" s="3634"/>
      <c r="L22" s="3634"/>
      <c r="M22" s="3634"/>
      <c r="N22" s="3634"/>
      <c r="O22" s="3"/>
      <c r="P22" s="3627"/>
      <c r="Q22" s="3623"/>
      <c r="R22" s="3623"/>
      <c r="S22" s="3623"/>
      <c r="T22" s="3623"/>
      <c r="U22" s="3623"/>
      <c r="V22" s="3623"/>
      <c r="W22" s="3623"/>
      <c r="X22" s="3623"/>
      <c r="Y22" s="3623"/>
      <c r="Z22" s="3623"/>
      <c r="AA22" s="3"/>
      <c r="AB22" s="3627"/>
      <c r="AC22" s="3618" t="s">
        <v>5595</v>
      </c>
      <c r="AD22" s="3618"/>
      <c r="AE22" s="3618"/>
      <c r="AF22" s="3618"/>
      <c r="AG22" s="3618"/>
      <c r="AH22" s="3618"/>
      <c r="AI22" s="3618"/>
      <c r="AJ22" s="3618"/>
      <c r="AK22" s="3618"/>
      <c r="AL22" s="3618"/>
      <c r="AM22" s="3"/>
      <c r="AN22" s="3626"/>
      <c r="AO22" s="3619" t="s">
        <v>5596</v>
      </c>
      <c r="AP22" s="3619"/>
      <c r="AQ22" s="3619"/>
      <c r="AR22" s="3619"/>
      <c r="AS22" s="3619"/>
      <c r="AT22" s="3619"/>
      <c r="AU22" s="3619"/>
      <c r="AV22" s="3619"/>
      <c r="AW22" s="3619"/>
      <c r="AX22" s="3619"/>
    </row>
    <row r="23" spans="4:50" ht="22.05" customHeight="1">
      <c r="O23" s="3"/>
      <c r="P23" s="3627" t="s">
        <v>114</v>
      </c>
      <c r="Q23" s="3636" t="s">
        <v>5597</v>
      </c>
      <c r="R23" s="3636"/>
      <c r="S23" s="3636"/>
      <c r="T23" s="3636"/>
      <c r="U23" s="3636"/>
      <c r="V23" s="3636"/>
      <c r="W23" s="3636"/>
      <c r="X23" s="3636"/>
      <c r="Y23" s="3636"/>
      <c r="Z23" s="3636"/>
      <c r="AA23" s="3"/>
      <c r="AB23" s="6" t="s">
        <v>5598</v>
      </c>
      <c r="AC23" s="3618" t="s">
        <v>5599</v>
      </c>
      <c r="AD23" s="3618"/>
      <c r="AE23" s="3618"/>
      <c r="AF23" s="3618"/>
      <c r="AG23" s="3618"/>
      <c r="AH23" s="3618"/>
      <c r="AI23" s="3618"/>
      <c r="AJ23" s="3618"/>
      <c r="AK23" s="3618"/>
      <c r="AL23" s="3618"/>
      <c r="AM23" s="3"/>
      <c r="AN23" s="3626"/>
      <c r="AO23" s="3619" t="s">
        <v>5600</v>
      </c>
      <c r="AP23" s="3619"/>
      <c r="AQ23" s="3619"/>
      <c r="AR23" s="3619"/>
      <c r="AS23" s="3619"/>
      <c r="AT23" s="3619"/>
      <c r="AU23" s="3619"/>
      <c r="AV23" s="3619"/>
      <c r="AW23" s="3619"/>
      <c r="AX23" s="3619"/>
    </row>
    <row r="24" spans="4:50" ht="22.05" customHeight="1">
      <c r="D24" s="3677" t="s">
        <v>5601</v>
      </c>
      <c r="E24" s="3677"/>
      <c r="F24" s="3677"/>
      <c r="G24" s="3677"/>
      <c r="H24" s="3677"/>
      <c r="I24" s="3677"/>
      <c r="J24" s="3677"/>
      <c r="K24" s="3677"/>
      <c r="L24" s="3677"/>
      <c r="M24" s="3677"/>
      <c r="N24" s="3677"/>
      <c r="O24" s="3"/>
      <c r="P24" s="3661"/>
      <c r="Q24" s="3637"/>
      <c r="R24" s="3637"/>
      <c r="S24" s="3637"/>
      <c r="T24" s="3637"/>
      <c r="U24" s="3637"/>
      <c r="V24" s="3637"/>
      <c r="W24" s="3637"/>
      <c r="X24" s="3637"/>
      <c r="Y24" s="3637"/>
      <c r="Z24" s="3637"/>
      <c r="AA24" s="3"/>
      <c r="AB24" s="4" t="s">
        <v>114</v>
      </c>
      <c r="AC24" s="3620"/>
      <c r="AD24" s="3620"/>
      <c r="AE24" s="3620"/>
      <c r="AF24" s="3620"/>
      <c r="AG24" s="3620"/>
      <c r="AH24" s="3620"/>
      <c r="AI24" s="3620"/>
      <c r="AJ24" s="3620"/>
      <c r="AK24" s="3620"/>
      <c r="AL24" s="3620"/>
      <c r="AM24" s="3"/>
      <c r="AN24" s="3626"/>
      <c r="AO24" s="3618" t="s">
        <v>5602</v>
      </c>
      <c r="AP24" s="3618"/>
      <c r="AQ24" s="3618"/>
      <c r="AR24" s="3618"/>
      <c r="AS24" s="3618"/>
      <c r="AT24" s="3618"/>
      <c r="AU24" s="3618"/>
      <c r="AV24" s="3618"/>
      <c r="AW24" s="3618"/>
      <c r="AX24" s="3618"/>
    </row>
    <row r="25" spans="4:50" ht="22.05" customHeight="1">
      <c r="D25" s="3633" t="s">
        <v>5603</v>
      </c>
      <c r="E25" s="3634"/>
      <c r="F25" s="3634"/>
      <c r="G25" s="3634"/>
      <c r="H25" s="3634"/>
      <c r="I25" s="3634"/>
      <c r="J25" s="3634"/>
      <c r="K25" s="3634"/>
      <c r="L25" s="3634"/>
      <c r="M25" s="3634"/>
      <c r="N25" s="3634"/>
      <c r="O25" s="3"/>
      <c r="P25" s="3660" t="s">
        <v>5604</v>
      </c>
      <c r="Q25" s="3660"/>
      <c r="R25" s="3660"/>
      <c r="S25" s="3660"/>
      <c r="T25" s="3660"/>
      <c r="U25" s="3660"/>
      <c r="V25" s="3660"/>
      <c r="W25" s="3660"/>
      <c r="X25" s="3660"/>
      <c r="Y25" s="3660"/>
      <c r="Z25" s="3660"/>
      <c r="AA25" s="3"/>
      <c r="AB25" s="3660" t="s">
        <v>5605</v>
      </c>
      <c r="AC25" s="3660"/>
      <c r="AD25" s="3660"/>
      <c r="AE25" s="3660"/>
      <c r="AF25" s="3660"/>
      <c r="AG25" s="3660"/>
      <c r="AH25" s="3660"/>
      <c r="AI25" s="3660"/>
      <c r="AJ25" s="3660"/>
      <c r="AK25" s="3660"/>
      <c r="AL25" s="3660"/>
      <c r="AM25" s="3"/>
      <c r="AN25" s="3626"/>
      <c r="AO25" s="3618"/>
      <c r="AP25" s="3618"/>
      <c r="AQ25" s="3618"/>
      <c r="AR25" s="3618"/>
      <c r="AS25" s="3618"/>
      <c r="AT25" s="3618"/>
      <c r="AU25" s="3618"/>
      <c r="AV25" s="3618"/>
      <c r="AW25" s="3618"/>
      <c r="AX25" s="3618"/>
    </row>
    <row r="26" spans="4:50" ht="22.05" customHeight="1">
      <c r="D26" s="3634"/>
      <c r="E26" s="3634"/>
      <c r="F26" s="3634"/>
      <c r="G26" s="3634"/>
      <c r="H26" s="3634"/>
      <c r="I26" s="3634"/>
      <c r="J26" s="3634"/>
      <c r="K26" s="3634"/>
      <c r="L26" s="3634"/>
      <c r="M26" s="3634"/>
      <c r="N26" s="3634"/>
      <c r="O26" s="3"/>
      <c r="P26" s="3627" t="s">
        <v>5606</v>
      </c>
      <c r="Q26" s="3623" t="s">
        <v>5607</v>
      </c>
      <c r="R26" s="3638"/>
      <c r="S26" s="3638"/>
      <c r="T26" s="3638"/>
      <c r="U26" s="3638"/>
      <c r="V26" s="3638"/>
      <c r="W26" s="3638"/>
      <c r="X26" s="3638"/>
      <c r="Y26" s="3638"/>
      <c r="Z26" s="3638"/>
      <c r="AA26" s="3"/>
      <c r="AB26" s="3627" t="s">
        <v>5552</v>
      </c>
      <c r="AC26" s="3618" t="s">
        <v>5608</v>
      </c>
      <c r="AD26" s="3619"/>
      <c r="AE26" s="3619"/>
      <c r="AF26" s="3619"/>
      <c r="AG26" s="3619"/>
      <c r="AH26" s="3619"/>
      <c r="AI26" s="3619"/>
      <c r="AJ26" s="3619"/>
      <c r="AK26" s="3619"/>
      <c r="AL26" s="3619"/>
      <c r="AM26" s="3"/>
      <c r="AN26" s="3626"/>
      <c r="AO26" s="3618"/>
      <c r="AP26" s="3618"/>
      <c r="AQ26" s="3618"/>
      <c r="AR26" s="3618"/>
      <c r="AS26" s="3618"/>
      <c r="AT26" s="3618"/>
      <c r="AU26" s="3618"/>
      <c r="AV26" s="3618"/>
      <c r="AW26" s="3618"/>
      <c r="AX26" s="3618"/>
    </row>
    <row r="27" spans="4:50" ht="22.05" customHeight="1">
      <c r="O27" s="3"/>
      <c r="P27" s="3627"/>
      <c r="Q27" s="3638"/>
      <c r="R27" s="3638"/>
      <c r="S27" s="3638"/>
      <c r="T27" s="3638"/>
      <c r="U27" s="3638"/>
      <c r="V27" s="3638"/>
      <c r="W27" s="3638"/>
      <c r="X27" s="3638"/>
      <c r="Y27" s="3638"/>
      <c r="Z27" s="3638"/>
      <c r="AA27" s="3"/>
      <c r="AB27" s="3627"/>
      <c r="AC27" s="3619"/>
      <c r="AD27" s="3619"/>
      <c r="AE27" s="3619"/>
      <c r="AF27" s="3619"/>
      <c r="AG27" s="3619"/>
      <c r="AH27" s="3619"/>
      <c r="AI27" s="3619"/>
      <c r="AJ27" s="3619"/>
      <c r="AK27" s="3619"/>
      <c r="AL27" s="3619"/>
      <c r="AM27" s="3"/>
      <c r="AN27" s="3626"/>
      <c r="AO27" s="3618" t="s">
        <v>5609</v>
      </c>
      <c r="AP27" s="3618"/>
      <c r="AQ27" s="3618"/>
      <c r="AR27" s="3618"/>
      <c r="AS27" s="3618"/>
      <c r="AT27" s="3618"/>
      <c r="AU27" s="3618"/>
      <c r="AV27" s="3618"/>
      <c r="AW27" s="3618"/>
      <c r="AX27" s="3618"/>
    </row>
    <row r="28" spans="4:50" ht="22.05" customHeight="1">
      <c r="D28" s="3677" t="s">
        <v>5610</v>
      </c>
      <c r="E28" s="3677"/>
      <c r="F28" s="3677"/>
      <c r="G28" s="3677"/>
      <c r="H28" s="3677"/>
      <c r="I28" s="3677"/>
      <c r="J28" s="3677"/>
      <c r="K28" s="3677"/>
      <c r="L28" s="3677"/>
      <c r="M28" s="3677"/>
      <c r="N28" s="3677"/>
      <c r="O28" s="3"/>
      <c r="P28" s="3627"/>
      <c r="Q28" s="3638"/>
      <c r="R28" s="3638"/>
      <c r="S28" s="3638"/>
      <c r="T28" s="3638"/>
      <c r="U28" s="3638"/>
      <c r="V28" s="3638"/>
      <c r="W28" s="3638"/>
      <c r="X28" s="3638"/>
      <c r="Y28" s="3638"/>
      <c r="Z28" s="3638"/>
      <c r="AA28" s="3"/>
      <c r="AB28" s="3627"/>
      <c r="AC28" s="3619"/>
      <c r="AD28" s="3619"/>
      <c r="AE28" s="3619"/>
      <c r="AF28" s="3619"/>
      <c r="AG28" s="3619"/>
      <c r="AH28" s="3619"/>
      <c r="AI28" s="3619"/>
      <c r="AJ28" s="3619"/>
      <c r="AK28" s="3619"/>
      <c r="AL28" s="3619"/>
      <c r="AM28" s="3"/>
      <c r="AN28" s="3626"/>
      <c r="AO28" s="3618"/>
      <c r="AP28" s="3618"/>
      <c r="AQ28" s="3618"/>
      <c r="AR28" s="3618"/>
      <c r="AS28" s="3618"/>
      <c r="AT28" s="3618"/>
      <c r="AU28" s="3618"/>
      <c r="AV28" s="3618"/>
      <c r="AW28" s="3618"/>
      <c r="AX28" s="3618"/>
    </row>
    <row r="29" spans="4:50" ht="22.05" customHeight="1">
      <c r="D29" s="3633" t="s">
        <v>5611</v>
      </c>
      <c r="E29" s="3634"/>
      <c r="F29" s="3634"/>
      <c r="G29" s="3634"/>
      <c r="H29" s="3634"/>
      <c r="I29" s="3634"/>
      <c r="J29" s="3634"/>
      <c r="K29" s="3634"/>
      <c r="L29" s="3634"/>
      <c r="M29" s="3634"/>
      <c r="N29" s="3634"/>
      <c r="O29" s="3"/>
      <c r="P29" s="3627"/>
      <c r="Q29" s="3638"/>
      <c r="R29" s="3638"/>
      <c r="S29" s="3638"/>
      <c r="T29" s="3638"/>
      <c r="U29" s="3638"/>
      <c r="V29" s="3638"/>
      <c r="W29" s="3638"/>
      <c r="X29" s="3638"/>
      <c r="Y29" s="3638"/>
      <c r="Z29" s="3638"/>
      <c r="AA29" s="3"/>
      <c r="AB29" s="3627"/>
      <c r="AC29" s="3621" t="s">
        <v>5612</v>
      </c>
      <c r="AD29" s="3621"/>
      <c r="AE29" s="3621"/>
      <c r="AF29" s="3621"/>
      <c r="AG29" s="3621"/>
      <c r="AH29" s="3621"/>
      <c r="AI29" s="3621"/>
      <c r="AJ29" s="3621"/>
      <c r="AK29" s="3621"/>
      <c r="AL29" s="3621"/>
      <c r="AM29" s="3"/>
      <c r="AN29" s="3626"/>
      <c r="AO29" s="3618"/>
      <c r="AP29" s="3618"/>
      <c r="AQ29" s="3618"/>
      <c r="AR29" s="3618"/>
      <c r="AS29" s="3618"/>
      <c r="AT29" s="3618"/>
      <c r="AU29" s="3618"/>
      <c r="AV29" s="3618"/>
      <c r="AW29" s="3618"/>
      <c r="AX29" s="3618"/>
    </row>
    <row r="30" spans="4:50" ht="22.05" customHeight="1">
      <c r="D30" s="3634"/>
      <c r="E30" s="3634"/>
      <c r="F30" s="3634"/>
      <c r="G30" s="3634"/>
      <c r="H30" s="3634"/>
      <c r="I30" s="3634"/>
      <c r="J30" s="3634"/>
      <c r="K30" s="3634"/>
      <c r="L30" s="3634"/>
      <c r="M30" s="3634"/>
      <c r="N30" s="3634"/>
      <c r="O30" s="3"/>
      <c r="P30" s="3627"/>
      <c r="Q30" s="3638"/>
      <c r="R30" s="3638"/>
      <c r="S30" s="3638"/>
      <c r="T30" s="3638"/>
      <c r="U30" s="3638"/>
      <c r="V30" s="3638"/>
      <c r="W30" s="3638"/>
      <c r="X30" s="3638"/>
      <c r="Y30" s="3638"/>
      <c r="Z30" s="3638"/>
      <c r="AA30" s="3"/>
      <c r="AB30" s="3627"/>
      <c r="AC30" s="3621"/>
      <c r="AD30" s="3621"/>
      <c r="AE30" s="3621"/>
      <c r="AF30" s="3621"/>
      <c r="AG30" s="3621"/>
      <c r="AH30" s="3621"/>
      <c r="AI30" s="3621"/>
      <c r="AJ30" s="3621"/>
      <c r="AK30" s="3621"/>
      <c r="AL30" s="3621"/>
      <c r="AM30" s="3"/>
      <c r="AN30" s="3626"/>
      <c r="AO30" s="3618"/>
      <c r="AP30" s="3618"/>
      <c r="AQ30" s="3618"/>
      <c r="AR30" s="3618"/>
      <c r="AS30" s="3618"/>
      <c r="AT30" s="3618"/>
      <c r="AU30" s="3618"/>
      <c r="AV30" s="3618"/>
      <c r="AW30" s="3618"/>
      <c r="AX30" s="3618"/>
    </row>
    <row r="31" spans="4:50" ht="22.05" customHeight="1">
      <c r="D31" s="3633" t="s">
        <v>5613</v>
      </c>
      <c r="E31" s="3634"/>
      <c r="F31" s="3634"/>
      <c r="G31" s="3634"/>
      <c r="H31" s="3634"/>
      <c r="I31" s="3634"/>
      <c r="J31" s="3634"/>
      <c r="K31" s="3634"/>
      <c r="L31" s="3634"/>
      <c r="M31" s="3634"/>
      <c r="N31" s="3634"/>
      <c r="O31" s="3"/>
      <c r="P31" s="3627"/>
      <c r="Q31" s="3638"/>
      <c r="R31" s="3638"/>
      <c r="S31" s="3638"/>
      <c r="T31" s="3638"/>
      <c r="U31" s="3638"/>
      <c r="V31" s="3638"/>
      <c r="W31" s="3638"/>
      <c r="X31" s="3638"/>
      <c r="Y31" s="3638"/>
      <c r="Z31" s="3638"/>
      <c r="AA31" s="3"/>
      <c r="AB31" s="3627"/>
      <c r="AC31" s="3618" t="s">
        <v>5614</v>
      </c>
      <c r="AD31" s="3618"/>
      <c r="AE31" s="3618"/>
      <c r="AF31" s="3618"/>
      <c r="AG31" s="3618"/>
      <c r="AH31" s="3618"/>
      <c r="AI31" s="3618"/>
      <c r="AJ31" s="3618"/>
      <c r="AK31" s="3618"/>
      <c r="AL31" s="3618"/>
      <c r="AM31" s="3"/>
      <c r="AN31" s="3626"/>
      <c r="AO31" s="3618"/>
      <c r="AP31" s="3618"/>
      <c r="AQ31" s="3618"/>
      <c r="AR31" s="3618"/>
      <c r="AS31" s="3618"/>
      <c r="AT31" s="3618"/>
      <c r="AU31" s="3618"/>
      <c r="AV31" s="3618"/>
      <c r="AW31" s="3618"/>
      <c r="AX31" s="3618"/>
    </row>
    <row r="32" spans="4:50" ht="22.05" customHeight="1">
      <c r="D32" s="3634"/>
      <c r="E32" s="3634"/>
      <c r="F32" s="3634"/>
      <c r="G32" s="3634"/>
      <c r="H32" s="3634"/>
      <c r="I32" s="3634"/>
      <c r="J32" s="3634"/>
      <c r="K32" s="3634"/>
      <c r="L32" s="3634"/>
      <c r="M32" s="3634"/>
      <c r="N32" s="3634"/>
      <c r="O32" s="3"/>
      <c r="P32" s="3627"/>
      <c r="Q32" s="3638"/>
      <c r="R32" s="3638"/>
      <c r="S32" s="3638"/>
      <c r="T32" s="3638"/>
      <c r="U32" s="3638"/>
      <c r="V32" s="3638"/>
      <c r="W32" s="3638"/>
      <c r="X32" s="3638"/>
      <c r="Y32" s="3638"/>
      <c r="Z32" s="3638"/>
      <c r="AA32" s="3"/>
      <c r="AB32" s="3627"/>
      <c r="AC32" s="3618"/>
      <c r="AD32" s="3618"/>
      <c r="AE32" s="3618"/>
      <c r="AF32" s="3618"/>
      <c r="AG32" s="3618"/>
      <c r="AH32" s="3618"/>
      <c r="AI32" s="3618"/>
      <c r="AJ32" s="3618"/>
      <c r="AK32" s="3618"/>
      <c r="AL32" s="3618"/>
      <c r="AM32" s="3"/>
      <c r="AN32" s="3626"/>
      <c r="AO32" s="3618"/>
      <c r="AP32" s="3618"/>
      <c r="AQ32" s="3618"/>
      <c r="AR32" s="3618"/>
      <c r="AS32" s="3618"/>
      <c r="AT32" s="3618"/>
      <c r="AU32" s="3618"/>
      <c r="AV32" s="3618"/>
      <c r="AW32" s="3618"/>
      <c r="AX32" s="3618"/>
    </row>
    <row r="33" spans="4:50" ht="22.05" customHeight="1">
      <c r="D33" s="3633" t="s">
        <v>5615</v>
      </c>
      <c r="E33" s="3634"/>
      <c r="F33" s="3634"/>
      <c r="G33" s="3634"/>
      <c r="H33" s="3634"/>
      <c r="I33" s="3634"/>
      <c r="J33" s="3634"/>
      <c r="K33" s="3634"/>
      <c r="L33" s="3634"/>
      <c r="M33" s="3634"/>
      <c r="N33" s="3634"/>
      <c r="O33" s="3"/>
      <c r="P33" s="3627"/>
      <c r="Q33" s="3638"/>
      <c r="R33" s="3638"/>
      <c r="S33" s="3638"/>
      <c r="T33" s="3638"/>
      <c r="U33" s="3638"/>
      <c r="V33" s="3638"/>
      <c r="W33" s="3638"/>
      <c r="X33" s="3638"/>
      <c r="Y33" s="3638"/>
      <c r="Z33" s="3638"/>
      <c r="AA33" s="3"/>
      <c r="AB33" s="3627"/>
      <c r="AC33" s="3618"/>
      <c r="AD33" s="3618"/>
      <c r="AE33" s="3618"/>
      <c r="AF33" s="3618"/>
      <c r="AG33" s="3618"/>
      <c r="AH33" s="3618"/>
      <c r="AI33" s="3618"/>
      <c r="AJ33" s="3618"/>
      <c r="AK33" s="3618"/>
      <c r="AL33" s="3618"/>
      <c r="AM33" s="3"/>
      <c r="AN33" s="3626"/>
      <c r="AO33" s="3618"/>
      <c r="AP33" s="3618"/>
      <c r="AQ33" s="3618"/>
      <c r="AR33" s="3618"/>
      <c r="AS33" s="3618"/>
      <c r="AT33" s="3618"/>
      <c r="AU33" s="3618"/>
      <c r="AV33" s="3618"/>
      <c r="AW33" s="3618"/>
      <c r="AX33" s="3618"/>
    </row>
    <row r="34" spans="4:50" ht="22.05" customHeight="1">
      <c r="D34" s="3634"/>
      <c r="E34" s="3634"/>
      <c r="F34" s="3634"/>
      <c r="G34" s="3634"/>
      <c r="H34" s="3634"/>
      <c r="I34" s="3634"/>
      <c r="J34" s="3634"/>
      <c r="K34" s="3634"/>
      <c r="L34" s="3634"/>
      <c r="M34" s="3634"/>
      <c r="N34" s="3634"/>
      <c r="O34" s="3"/>
      <c r="P34" s="3627"/>
      <c r="Q34" s="3638"/>
      <c r="R34" s="3638"/>
      <c r="S34" s="3638"/>
      <c r="T34" s="3638"/>
      <c r="U34" s="3638"/>
      <c r="V34" s="3638"/>
      <c r="W34" s="3638"/>
      <c r="X34" s="3638"/>
      <c r="Y34" s="3638"/>
      <c r="Z34" s="3638"/>
      <c r="AA34" s="3"/>
      <c r="AB34" s="3627"/>
      <c r="AC34" s="3618"/>
      <c r="AD34" s="3618"/>
      <c r="AE34" s="3618"/>
      <c r="AF34" s="3618"/>
      <c r="AG34" s="3618"/>
      <c r="AH34" s="3618"/>
      <c r="AI34" s="3618"/>
      <c r="AJ34" s="3618"/>
      <c r="AK34" s="3618"/>
      <c r="AL34" s="3618"/>
      <c r="AM34" s="3"/>
      <c r="AN34" s="3626"/>
      <c r="AO34" s="3618"/>
      <c r="AP34" s="3618"/>
      <c r="AQ34" s="3618"/>
      <c r="AR34" s="3618"/>
      <c r="AS34" s="3618"/>
      <c r="AT34" s="3618"/>
      <c r="AU34" s="3618"/>
      <c r="AV34" s="3618"/>
      <c r="AW34" s="3618"/>
      <c r="AX34" s="3618"/>
    </row>
    <row r="35" spans="4:50" ht="22.05" customHeight="1">
      <c r="D35" s="3678" t="s">
        <v>5616</v>
      </c>
      <c r="E35" s="3678"/>
      <c r="F35" s="3678"/>
      <c r="G35" s="3678"/>
      <c r="H35" s="3678"/>
      <c r="I35" s="3678"/>
      <c r="J35" s="3678"/>
      <c r="K35" s="3678"/>
      <c r="L35" s="3678"/>
      <c r="M35" s="3678"/>
      <c r="N35" s="3678"/>
      <c r="O35" s="3"/>
      <c r="P35" s="3627"/>
      <c r="Q35" s="3638"/>
      <c r="R35" s="3638"/>
      <c r="S35" s="3638"/>
      <c r="T35" s="3638"/>
      <c r="U35" s="3638"/>
      <c r="V35" s="3638"/>
      <c r="W35" s="3638"/>
      <c r="X35" s="3638"/>
      <c r="Y35" s="3638"/>
      <c r="Z35" s="3638"/>
      <c r="AA35" s="3"/>
      <c r="AB35" s="3627"/>
      <c r="AC35" s="3618"/>
      <c r="AD35" s="3618"/>
      <c r="AE35" s="3618"/>
      <c r="AF35" s="3618"/>
      <c r="AG35" s="3618"/>
      <c r="AH35" s="3618"/>
      <c r="AI35" s="3618"/>
      <c r="AJ35" s="3618"/>
      <c r="AK35" s="3618"/>
      <c r="AL35" s="3618"/>
      <c r="AM35" s="3"/>
      <c r="AN35" s="3626"/>
      <c r="AO35" s="3618"/>
      <c r="AP35" s="3618"/>
      <c r="AQ35" s="3618"/>
      <c r="AR35" s="3618"/>
      <c r="AS35" s="3618"/>
      <c r="AT35" s="3618"/>
      <c r="AU35" s="3618"/>
      <c r="AV35" s="3618"/>
      <c r="AW35" s="3618"/>
      <c r="AX35" s="3618"/>
    </row>
    <row r="36" spans="4:50" ht="22.05" customHeight="1">
      <c r="D36" s="3679" t="s">
        <v>5617</v>
      </c>
      <c r="E36" s="3679"/>
      <c r="F36" s="3679"/>
      <c r="G36" s="3679" t="s">
        <v>114</v>
      </c>
      <c r="H36" s="3679"/>
      <c r="I36" s="3679"/>
      <c r="J36" s="3679"/>
      <c r="K36" s="3679"/>
      <c r="L36" s="3679"/>
      <c r="M36" s="3679"/>
      <c r="N36" s="3679"/>
      <c r="O36" s="3"/>
      <c r="P36" s="3627"/>
      <c r="Q36" s="3638"/>
      <c r="R36" s="3638"/>
      <c r="S36" s="3638"/>
      <c r="T36" s="3638"/>
      <c r="U36" s="3638"/>
      <c r="V36" s="3638"/>
      <c r="W36" s="3638"/>
      <c r="X36" s="3638"/>
      <c r="Y36" s="3638"/>
      <c r="Z36" s="3638"/>
      <c r="AA36" s="3"/>
      <c r="AB36" s="3627"/>
      <c r="AC36" s="3618"/>
      <c r="AD36" s="3618"/>
      <c r="AE36" s="3618"/>
      <c r="AF36" s="3618"/>
      <c r="AG36" s="3618"/>
      <c r="AH36" s="3618"/>
      <c r="AI36" s="3618"/>
      <c r="AJ36" s="3618"/>
      <c r="AK36" s="3618"/>
      <c r="AL36" s="3618"/>
      <c r="AM36" s="3"/>
      <c r="AN36" s="3626"/>
      <c r="AO36" s="3618"/>
      <c r="AP36" s="3618"/>
      <c r="AQ36" s="3618"/>
      <c r="AR36" s="3618"/>
      <c r="AS36" s="3618"/>
      <c r="AT36" s="3618"/>
      <c r="AU36" s="3618"/>
      <c r="AV36" s="3618"/>
      <c r="AW36" s="3618"/>
      <c r="AX36" s="3618"/>
    </row>
    <row r="37" spans="4:50" ht="22.05" customHeight="1">
      <c r="D37" s="3676" t="s">
        <v>5618</v>
      </c>
      <c r="E37" s="3676"/>
      <c r="F37" s="3676"/>
      <c r="G37" s="3676" t="s">
        <v>5619</v>
      </c>
      <c r="H37" s="3676"/>
      <c r="I37" s="3676"/>
      <c r="J37" s="3676"/>
      <c r="K37" s="3676"/>
      <c r="L37" s="3676"/>
      <c r="M37" s="3676"/>
      <c r="N37" s="3676"/>
      <c r="O37" s="3"/>
      <c r="P37" s="3627"/>
      <c r="Q37" s="3638"/>
      <c r="R37" s="3638"/>
      <c r="S37" s="3638"/>
      <c r="T37" s="3638"/>
      <c r="U37" s="3638"/>
      <c r="V37" s="3638"/>
      <c r="W37" s="3638"/>
      <c r="X37" s="3638"/>
      <c r="Y37" s="3638"/>
      <c r="Z37" s="3638"/>
      <c r="AA37" s="3"/>
      <c r="AB37" s="3627"/>
      <c r="AC37" s="3619" t="s">
        <v>5620</v>
      </c>
      <c r="AD37" s="3619"/>
      <c r="AE37" s="3619"/>
      <c r="AF37" s="3619"/>
      <c r="AG37" s="3619"/>
      <c r="AH37" s="3619"/>
      <c r="AI37" s="3619"/>
      <c r="AJ37" s="3619"/>
      <c r="AK37" s="3619"/>
      <c r="AL37" s="3619"/>
      <c r="AM37" s="3"/>
      <c r="AN37" s="3626" t="s">
        <v>5621</v>
      </c>
      <c r="AO37" s="3619" t="s">
        <v>5622</v>
      </c>
      <c r="AP37" s="3619"/>
      <c r="AQ37" s="3619"/>
      <c r="AR37" s="3619"/>
      <c r="AS37" s="3619"/>
      <c r="AT37" s="3619"/>
      <c r="AU37" s="3619"/>
      <c r="AV37" s="3619"/>
      <c r="AW37" s="3619"/>
      <c r="AX37" s="3619"/>
    </row>
    <row r="38" spans="4:50" ht="22.05" customHeight="1">
      <c r="D38" s="3676" t="s">
        <v>5623</v>
      </c>
      <c r="E38" s="3676"/>
      <c r="F38" s="3676"/>
      <c r="G38" s="3676" t="s">
        <v>5624</v>
      </c>
      <c r="H38" s="3676"/>
      <c r="I38" s="3676"/>
      <c r="J38" s="3676"/>
      <c r="K38" s="3676"/>
      <c r="L38" s="3676"/>
      <c r="M38" s="3676"/>
      <c r="N38" s="3676"/>
      <c r="O38" s="3"/>
      <c r="P38" s="3627"/>
      <c r="Q38" s="3638"/>
      <c r="R38" s="3638"/>
      <c r="S38" s="3638"/>
      <c r="T38" s="3638"/>
      <c r="U38" s="3638"/>
      <c r="V38" s="3638"/>
      <c r="W38" s="3638"/>
      <c r="X38" s="3638"/>
      <c r="Y38" s="3638"/>
      <c r="Z38" s="3638"/>
      <c r="AA38" s="3"/>
      <c r="AB38" s="6" t="s">
        <v>5598</v>
      </c>
      <c r="AC38" s="3618" t="s">
        <v>5625</v>
      </c>
      <c r="AD38" s="3618"/>
      <c r="AE38" s="3618"/>
      <c r="AF38" s="3618"/>
      <c r="AG38" s="3618"/>
      <c r="AH38" s="3618"/>
      <c r="AI38" s="3618"/>
      <c r="AJ38" s="3618"/>
      <c r="AK38" s="3618"/>
      <c r="AL38" s="3618"/>
      <c r="AM38" s="3"/>
      <c r="AN38" s="3626"/>
      <c r="AO38" s="3618" t="s">
        <v>5626</v>
      </c>
      <c r="AP38" s="3618"/>
      <c r="AQ38" s="3618"/>
      <c r="AR38" s="3618"/>
      <c r="AS38" s="3618"/>
      <c r="AT38" s="3618"/>
      <c r="AU38" s="3618"/>
      <c r="AV38" s="3618"/>
      <c r="AW38" s="3618"/>
      <c r="AX38" s="3618"/>
    </row>
    <row r="39" spans="4:50" ht="22.05" customHeight="1">
      <c r="D39" s="3676" t="s">
        <v>5627</v>
      </c>
      <c r="E39" s="3676"/>
      <c r="F39" s="3676"/>
      <c r="G39" s="3676" t="s">
        <v>5628</v>
      </c>
      <c r="H39" s="3676"/>
      <c r="I39" s="3676"/>
      <c r="J39" s="3676"/>
      <c r="K39" s="3676"/>
      <c r="L39" s="3676"/>
      <c r="M39" s="3676"/>
      <c r="N39" s="3676"/>
      <c r="O39" s="3"/>
      <c r="P39" s="3627"/>
      <c r="Q39" s="3638"/>
      <c r="R39" s="3638"/>
      <c r="S39" s="3638"/>
      <c r="T39" s="3638"/>
      <c r="U39" s="3638"/>
      <c r="V39" s="3638"/>
      <c r="W39" s="3638"/>
      <c r="X39" s="3638"/>
      <c r="Y39" s="3638"/>
      <c r="Z39" s="3638"/>
      <c r="AA39" s="3"/>
      <c r="AB39" s="3626" t="s">
        <v>5582</v>
      </c>
      <c r="AC39" s="3618" t="s">
        <v>5629</v>
      </c>
      <c r="AD39" s="3618"/>
      <c r="AE39" s="3618"/>
      <c r="AF39" s="3618"/>
      <c r="AG39" s="3618"/>
      <c r="AH39" s="3618"/>
      <c r="AI39" s="3618"/>
      <c r="AJ39" s="3618"/>
      <c r="AK39" s="3618"/>
      <c r="AL39" s="3618"/>
      <c r="AM39" s="3"/>
      <c r="AN39" s="3626"/>
      <c r="AO39" s="3618"/>
      <c r="AP39" s="3618"/>
      <c r="AQ39" s="3618"/>
      <c r="AR39" s="3618"/>
      <c r="AS39" s="3618"/>
      <c r="AT39" s="3618"/>
      <c r="AU39" s="3618"/>
      <c r="AV39" s="3618"/>
      <c r="AW39" s="3618"/>
      <c r="AX39" s="3618"/>
    </row>
    <row r="40" spans="4:50" ht="22.05" customHeight="1">
      <c r="D40" s="3676" t="s">
        <v>5630</v>
      </c>
      <c r="E40" s="3676"/>
      <c r="F40" s="3676"/>
      <c r="G40" s="3676" t="s">
        <v>5631</v>
      </c>
      <c r="H40" s="3676"/>
      <c r="I40" s="3676"/>
      <c r="J40" s="3676"/>
      <c r="K40" s="3676"/>
      <c r="L40" s="3676"/>
      <c r="M40" s="3676"/>
      <c r="N40" s="3676"/>
      <c r="O40" s="3"/>
      <c r="P40" s="3627"/>
      <c r="Q40" s="3638"/>
      <c r="R40" s="3638"/>
      <c r="S40" s="3638"/>
      <c r="T40" s="3638"/>
      <c r="U40" s="3638"/>
      <c r="V40" s="3638"/>
      <c r="W40" s="3638"/>
      <c r="X40" s="3638"/>
      <c r="Y40" s="3638"/>
      <c r="Z40" s="3638"/>
      <c r="AA40" s="3"/>
      <c r="AB40" s="3626"/>
      <c r="AC40" s="3618" t="s">
        <v>5632</v>
      </c>
      <c r="AD40" s="3618"/>
      <c r="AE40" s="3618"/>
      <c r="AF40" s="3618"/>
      <c r="AG40" s="3618"/>
      <c r="AH40" s="3618"/>
      <c r="AI40" s="3618"/>
      <c r="AJ40" s="3618"/>
      <c r="AK40" s="3618"/>
      <c r="AL40" s="3618"/>
      <c r="AM40" s="3"/>
      <c r="AN40" s="3626"/>
      <c r="AO40" s="3618"/>
      <c r="AP40" s="3618"/>
      <c r="AQ40" s="3618"/>
      <c r="AR40" s="3618"/>
      <c r="AS40" s="3618"/>
      <c r="AT40" s="3618"/>
      <c r="AU40" s="3618"/>
      <c r="AV40" s="3618"/>
      <c r="AW40" s="3618"/>
      <c r="AX40" s="3618"/>
    </row>
    <row r="41" spans="4:50" ht="22.05" customHeight="1">
      <c r="D41" s="3676" t="s">
        <v>5633</v>
      </c>
      <c r="E41" s="3676"/>
      <c r="F41" s="3676"/>
      <c r="G41" s="3676" t="s">
        <v>5634</v>
      </c>
      <c r="H41" s="3676"/>
      <c r="I41" s="3676"/>
      <c r="J41" s="3676"/>
      <c r="K41" s="3676"/>
      <c r="L41" s="3676"/>
      <c r="M41" s="3676"/>
      <c r="N41" s="3676"/>
      <c r="O41" s="3"/>
      <c r="P41" s="3627" t="s">
        <v>114</v>
      </c>
      <c r="Q41" s="3635" t="s">
        <v>5635</v>
      </c>
      <c r="R41" s="3635"/>
      <c r="S41" s="3635"/>
      <c r="T41" s="3635"/>
      <c r="U41" s="3635"/>
      <c r="V41" s="3635"/>
      <c r="W41" s="3635"/>
      <c r="X41" s="3635"/>
      <c r="Y41" s="3635"/>
      <c r="Z41" s="3635"/>
      <c r="AA41" s="3"/>
      <c r="AB41" s="3626"/>
      <c r="AC41" s="3619" t="s">
        <v>5636</v>
      </c>
      <c r="AD41" s="3619"/>
      <c r="AE41" s="3619"/>
      <c r="AF41" s="3619"/>
      <c r="AG41" s="3619"/>
      <c r="AH41" s="3619"/>
      <c r="AI41" s="3619"/>
      <c r="AJ41" s="3619"/>
      <c r="AK41" s="3619"/>
      <c r="AL41" s="3619"/>
      <c r="AM41" s="3"/>
      <c r="AN41" s="3626"/>
      <c r="AO41" s="3618"/>
      <c r="AP41" s="3618"/>
      <c r="AQ41" s="3618"/>
      <c r="AR41" s="3618"/>
      <c r="AS41" s="3618"/>
      <c r="AT41" s="3618"/>
      <c r="AU41" s="3618"/>
      <c r="AV41" s="3618"/>
      <c r="AW41" s="3618"/>
      <c r="AX41" s="3618"/>
    </row>
    <row r="42" spans="4:50" ht="22.05" customHeight="1">
      <c r="D42" s="3676" t="s">
        <v>5637</v>
      </c>
      <c r="E42" s="3676"/>
      <c r="F42" s="3676"/>
      <c r="G42" s="3676" t="s">
        <v>5638</v>
      </c>
      <c r="H42" s="3676"/>
      <c r="I42" s="3676"/>
      <c r="J42" s="3676"/>
      <c r="K42" s="3676"/>
      <c r="L42" s="3676"/>
      <c r="M42" s="3676"/>
      <c r="N42" s="3676"/>
      <c r="O42" s="3"/>
      <c r="P42" s="3627"/>
      <c r="Q42" s="3635"/>
      <c r="R42" s="3635"/>
      <c r="S42" s="3635"/>
      <c r="T42" s="3635"/>
      <c r="U42" s="3635"/>
      <c r="V42" s="3635"/>
      <c r="W42" s="3635"/>
      <c r="X42" s="3635"/>
      <c r="Y42" s="3635"/>
      <c r="Z42" s="3635"/>
      <c r="AA42" s="3"/>
      <c r="AB42" s="4" t="s">
        <v>114</v>
      </c>
      <c r="AC42" s="3620"/>
      <c r="AD42" s="3620"/>
      <c r="AE42" s="3620"/>
      <c r="AF42" s="3620"/>
      <c r="AG42" s="3620"/>
      <c r="AH42" s="3620"/>
      <c r="AI42" s="3620"/>
      <c r="AJ42" s="3620"/>
      <c r="AK42" s="3620"/>
      <c r="AL42" s="3620"/>
      <c r="AM42" s="3"/>
      <c r="AN42" s="3626" t="s">
        <v>5639</v>
      </c>
      <c r="AO42" s="3618" t="s">
        <v>5640</v>
      </c>
      <c r="AP42" s="3618"/>
      <c r="AQ42" s="3618"/>
      <c r="AR42" s="3618"/>
      <c r="AS42" s="3618"/>
      <c r="AT42" s="3618"/>
      <c r="AU42" s="3618"/>
      <c r="AV42" s="3618"/>
      <c r="AW42" s="3618"/>
      <c r="AX42" s="3618"/>
    </row>
    <row r="43" spans="4:50" ht="22.05" customHeight="1">
      <c r="D43" s="3676" t="s">
        <v>5641</v>
      </c>
      <c r="E43" s="3676"/>
      <c r="F43" s="3676"/>
      <c r="G43" s="3676" t="s">
        <v>5642</v>
      </c>
      <c r="H43" s="3676"/>
      <c r="I43" s="3676"/>
      <c r="J43" s="3676"/>
      <c r="K43" s="3676"/>
      <c r="L43" s="3676"/>
      <c r="M43" s="3676"/>
      <c r="N43" s="3676"/>
      <c r="O43" s="3"/>
      <c r="P43" s="3660" t="s">
        <v>5643</v>
      </c>
      <c r="Q43" s="3660"/>
      <c r="R43" s="3660"/>
      <c r="S43" s="3660"/>
      <c r="T43" s="3660"/>
      <c r="U43" s="3660"/>
      <c r="V43" s="3660"/>
      <c r="W43" s="3660"/>
      <c r="X43" s="3660"/>
      <c r="Y43" s="3660"/>
      <c r="Z43" s="3660"/>
      <c r="AA43" s="3"/>
      <c r="AB43" s="3660" t="s">
        <v>5644</v>
      </c>
      <c r="AC43" s="3660"/>
      <c r="AD43" s="3660"/>
      <c r="AE43" s="3660"/>
      <c r="AF43" s="3660"/>
      <c r="AG43" s="3660"/>
      <c r="AH43" s="3660"/>
      <c r="AI43" s="3660"/>
      <c r="AJ43" s="3660"/>
      <c r="AK43" s="3660"/>
      <c r="AL43" s="3660"/>
      <c r="AM43" s="3"/>
      <c r="AN43" s="3626"/>
      <c r="AO43" s="3618"/>
      <c r="AP43" s="3618"/>
      <c r="AQ43" s="3618"/>
      <c r="AR43" s="3618"/>
      <c r="AS43" s="3618"/>
      <c r="AT43" s="3618"/>
      <c r="AU43" s="3618"/>
      <c r="AV43" s="3618"/>
      <c r="AW43" s="3618"/>
      <c r="AX43" s="3618"/>
    </row>
    <row r="44" spans="4:50" ht="22.05" customHeight="1">
      <c r="D44" s="3676" t="s">
        <v>5645</v>
      </c>
      <c r="E44" s="3676"/>
      <c r="F44" s="3676"/>
      <c r="G44" s="3676" t="s">
        <v>5646</v>
      </c>
      <c r="H44" s="3676"/>
      <c r="I44" s="3676"/>
      <c r="J44" s="3676"/>
      <c r="K44" s="3676"/>
      <c r="L44" s="3676"/>
      <c r="M44" s="3676"/>
      <c r="N44" s="3676"/>
      <c r="O44" s="3"/>
      <c r="P44" s="3627" t="s">
        <v>5550</v>
      </c>
      <c r="Q44" s="3638" t="s">
        <v>5647</v>
      </c>
      <c r="R44" s="3638"/>
      <c r="S44" s="3638"/>
      <c r="T44" s="3638"/>
      <c r="U44" s="3638"/>
      <c r="V44" s="3638"/>
      <c r="W44" s="3638"/>
      <c r="X44" s="3638"/>
      <c r="Y44" s="3638"/>
      <c r="Z44" s="3638"/>
      <c r="AA44" s="3"/>
      <c r="AB44" s="3627" t="s">
        <v>5552</v>
      </c>
      <c r="AC44" s="3619" t="s">
        <v>5648</v>
      </c>
      <c r="AD44" s="3619"/>
      <c r="AE44" s="3619"/>
      <c r="AF44" s="3619"/>
      <c r="AG44" s="3619"/>
      <c r="AH44" s="3619"/>
      <c r="AI44" s="3619"/>
      <c r="AJ44" s="3619"/>
      <c r="AK44" s="3619"/>
      <c r="AL44" s="3619"/>
      <c r="AM44" s="3"/>
      <c r="AN44" s="3626"/>
      <c r="AO44" s="3618"/>
      <c r="AP44" s="3618"/>
      <c r="AQ44" s="3618"/>
      <c r="AR44" s="3618"/>
      <c r="AS44" s="3618"/>
      <c r="AT44" s="3618"/>
      <c r="AU44" s="3618"/>
      <c r="AV44" s="3618"/>
      <c r="AW44" s="3618"/>
      <c r="AX44" s="3618"/>
    </row>
    <row r="45" spans="4:50" ht="22.05" customHeight="1">
      <c r="D45" s="3676" t="s">
        <v>5649</v>
      </c>
      <c r="E45" s="3676"/>
      <c r="F45" s="3676"/>
      <c r="G45" s="3676" t="s">
        <v>5650</v>
      </c>
      <c r="H45" s="3676"/>
      <c r="I45" s="3676"/>
      <c r="J45" s="3676"/>
      <c r="K45" s="3676"/>
      <c r="L45" s="3676"/>
      <c r="M45" s="3676"/>
      <c r="N45" s="3676"/>
      <c r="O45" s="3"/>
      <c r="P45" s="3627"/>
      <c r="Q45" s="3638"/>
      <c r="R45" s="3638"/>
      <c r="S45" s="3638"/>
      <c r="T45" s="3638"/>
      <c r="U45" s="3638"/>
      <c r="V45" s="3638"/>
      <c r="W45" s="3638"/>
      <c r="X45" s="3638"/>
      <c r="Y45" s="3638"/>
      <c r="Z45" s="3638"/>
      <c r="AA45" s="3"/>
      <c r="AB45" s="3627"/>
      <c r="AC45" s="3619" t="s">
        <v>5651</v>
      </c>
      <c r="AD45" s="3619"/>
      <c r="AE45" s="3619"/>
      <c r="AF45" s="3619"/>
      <c r="AG45" s="3619"/>
      <c r="AH45" s="3619"/>
      <c r="AI45" s="3619"/>
      <c r="AJ45" s="3619"/>
      <c r="AK45" s="3619"/>
      <c r="AL45" s="3619"/>
      <c r="AM45" s="3"/>
      <c r="AN45" s="3626"/>
      <c r="AO45" s="3618" t="s">
        <v>5652</v>
      </c>
      <c r="AP45" s="3618"/>
      <c r="AQ45" s="3618"/>
      <c r="AR45" s="3618"/>
      <c r="AS45" s="3618"/>
      <c r="AT45" s="3618"/>
      <c r="AU45" s="3618"/>
      <c r="AV45" s="3618"/>
      <c r="AW45" s="3618"/>
      <c r="AX45" s="3618"/>
    </row>
    <row r="46" spans="4:50" ht="22.05" customHeight="1">
      <c r="D46" s="3676" t="s">
        <v>5653</v>
      </c>
      <c r="E46" s="3676"/>
      <c r="F46" s="3676"/>
      <c r="G46" s="3676" t="s">
        <v>5654</v>
      </c>
      <c r="H46" s="3676"/>
      <c r="I46" s="3676"/>
      <c r="J46" s="3676"/>
      <c r="K46" s="3676"/>
      <c r="L46" s="3676"/>
      <c r="M46" s="3676"/>
      <c r="N46" s="3676"/>
      <c r="O46" s="3"/>
      <c r="P46" s="3627"/>
      <c r="Q46" s="3622" t="s">
        <v>5655</v>
      </c>
      <c r="R46" s="3622"/>
      <c r="S46" s="3622"/>
      <c r="T46" s="3622"/>
      <c r="U46" s="3622"/>
      <c r="V46" s="3622"/>
      <c r="W46" s="3622"/>
      <c r="X46" s="3622"/>
      <c r="Y46" s="3622"/>
      <c r="Z46" s="3622"/>
      <c r="AA46" s="3"/>
      <c r="AB46" s="3627"/>
      <c r="AC46" s="3621" t="s">
        <v>5656</v>
      </c>
      <c r="AD46" s="3622"/>
      <c r="AE46" s="3622"/>
      <c r="AF46" s="3622"/>
      <c r="AG46" s="3622"/>
      <c r="AH46" s="3622"/>
      <c r="AI46" s="3622"/>
      <c r="AJ46" s="3622"/>
      <c r="AK46" s="3622"/>
      <c r="AL46" s="3622"/>
      <c r="AM46" s="3"/>
      <c r="AN46" s="3626"/>
      <c r="AO46" s="3618"/>
      <c r="AP46" s="3618"/>
      <c r="AQ46" s="3618"/>
      <c r="AR46" s="3618"/>
      <c r="AS46" s="3618"/>
      <c r="AT46" s="3618"/>
      <c r="AU46" s="3618"/>
      <c r="AV46" s="3618"/>
      <c r="AW46" s="3618"/>
      <c r="AX46" s="3618"/>
    </row>
    <row r="47" spans="4:50" ht="22.05" customHeight="1">
      <c r="D47" s="3676" t="s">
        <v>5657</v>
      </c>
      <c r="E47" s="3676"/>
      <c r="F47" s="3676"/>
      <c r="G47" s="3676" t="s">
        <v>5658</v>
      </c>
      <c r="H47" s="3676"/>
      <c r="I47" s="3676"/>
      <c r="J47" s="3676"/>
      <c r="K47" s="3676"/>
      <c r="L47" s="3676"/>
      <c r="M47" s="3676"/>
      <c r="N47" s="3676"/>
      <c r="O47" s="3"/>
      <c r="P47" s="3627"/>
      <c r="Q47" s="3622"/>
      <c r="R47" s="3622"/>
      <c r="S47" s="3622"/>
      <c r="T47" s="3622"/>
      <c r="U47" s="3622"/>
      <c r="V47" s="3622"/>
      <c r="W47" s="3622"/>
      <c r="X47" s="3622"/>
      <c r="Y47" s="3622"/>
      <c r="Z47" s="3622"/>
      <c r="AA47" s="3"/>
      <c r="AB47" s="3627"/>
      <c r="AC47" s="3622"/>
      <c r="AD47" s="3622"/>
      <c r="AE47" s="3622"/>
      <c r="AF47" s="3622"/>
      <c r="AG47" s="3622"/>
      <c r="AH47" s="3622"/>
      <c r="AI47" s="3622"/>
      <c r="AJ47" s="3622"/>
      <c r="AK47" s="3622"/>
      <c r="AL47" s="3622"/>
      <c r="AM47" s="3"/>
      <c r="AN47" s="3626"/>
      <c r="AO47" s="3618"/>
      <c r="AP47" s="3618"/>
      <c r="AQ47" s="3618"/>
      <c r="AR47" s="3618"/>
      <c r="AS47" s="3618"/>
      <c r="AT47" s="3618"/>
      <c r="AU47" s="3618"/>
      <c r="AV47" s="3618"/>
      <c r="AW47" s="3618"/>
      <c r="AX47" s="3618"/>
    </row>
    <row r="48" spans="4:50" ht="22.05" customHeight="1">
      <c r="D48" s="3676" t="s">
        <v>5659</v>
      </c>
      <c r="E48" s="3676"/>
      <c r="F48" s="3676"/>
      <c r="G48" s="3676" t="s">
        <v>5660</v>
      </c>
      <c r="H48" s="3676"/>
      <c r="I48" s="3676"/>
      <c r="J48" s="3676"/>
      <c r="K48" s="3676"/>
      <c r="L48" s="3676"/>
      <c r="M48" s="3676"/>
      <c r="N48" s="3676"/>
      <c r="O48" s="3"/>
      <c r="P48" s="3627" t="s">
        <v>5570</v>
      </c>
      <c r="Q48" s="3618" t="s">
        <v>5661</v>
      </c>
      <c r="R48" s="3618"/>
      <c r="S48" s="3618"/>
      <c r="T48" s="3618"/>
      <c r="U48" s="3618"/>
      <c r="V48" s="3618"/>
      <c r="W48" s="3618"/>
      <c r="X48" s="3618"/>
      <c r="Y48" s="3618"/>
      <c r="Z48" s="3618"/>
      <c r="AA48" s="3"/>
      <c r="AB48" s="3627"/>
      <c r="AC48" s="3622"/>
      <c r="AD48" s="3622"/>
      <c r="AE48" s="3622"/>
      <c r="AF48" s="3622"/>
      <c r="AG48" s="3622"/>
      <c r="AH48" s="3622"/>
      <c r="AI48" s="3622"/>
      <c r="AJ48" s="3622"/>
      <c r="AK48" s="3622"/>
      <c r="AL48" s="3622"/>
      <c r="AM48" s="3"/>
      <c r="AN48" s="3626"/>
      <c r="AO48" s="3618"/>
      <c r="AP48" s="3618"/>
      <c r="AQ48" s="3618"/>
      <c r="AR48" s="3618"/>
      <c r="AS48" s="3618"/>
      <c r="AT48" s="3618"/>
      <c r="AU48" s="3618"/>
      <c r="AV48" s="3618"/>
      <c r="AW48" s="3618"/>
      <c r="AX48" s="3618"/>
    </row>
    <row r="49" spans="4:50" ht="22.05" customHeight="1">
      <c r="D49" s="3676" t="s">
        <v>5662</v>
      </c>
      <c r="E49" s="3676"/>
      <c r="F49" s="3676"/>
      <c r="G49" s="3676" t="s">
        <v>5663</v>
      </c>
      <c r="H49" s="3676"/>
      <c r="I49" s="3676"/>
      <c r="J49" s="3676"/>
      <c r="K49" s="3676"/>
      <c r="L49" s="3676"/>
      <c r="M49" s="3676"/>
      <c r="N49" s="3676"/>
      <c r="O49" s="3"/>
      <c r="P49" s="3627"/>
      <c r="Q49" s="3618"/>
      <c r="R49" s="3618"/>
      <c r="S49" s="3618"/>
      <c r="T49" s="3618"/>
      <c r="U49" s="3618"/>
      <c r="V49" s="3618"/>
      <c r="W49" s="3618"/>
      <c r="X49" s="3618"/>
      <c r="Y49" s="3618"/>
      <c r="Z49" s="3618"/>
      <c r="AA49" s="3"/>
      <c r="AB49" s="3627"/>
      <c r="AC49" s="3621" t="s">
        <v>5664</v>
      </c>
      <c r="AD49" s="3622"/>
      <c r="AE49" s="3622"/>
      <c r="AF49" s="3622"/>
      <c r="AG49" s="3622"/>
      <c r="AH49" s="3622"/>
      <c r="AI49" s="3622"/>
      <c r="AJ49" s="3622"/>
      <c r="AK49" s="3622"/>
      <c r="AL49" s="3622"/>
      <c r="AM49" s="3"/>
      <c r="AN49" s="3626"/>
      <c r="AO49" s="3618"/>
      <c r="AP49" s="3618"/>
      <c r="AQ49" s="3618"/>
      <c r="AR49" s="3618"/>
      <c r="AS49" s="3618"/>
      <c r="AT49" s="3618"/>
      <c r="AU49" s="3618"/>
      <c r="AV49" s="3618"/>
      <c r="AW49" s="3618"/>
      <c r="AX49" s="3618"/>
    </row>
    <row r="50" spans="4:50" ht="22.05" customHeight="1">
      <c r="D50" s="3676" t="s">
        <v>5665</v>
      </c>
      <c r="E50" s="3676"/>
      <c r="F50" s="3676"/>
      <c r="G50" s="3676" t="s">
        <v>5666</v>
      </c>
      <c r="H50" s="3676"/>
      <c r="I50" s="3676"/>
      <c r="J50" s="3676"/>
      <c r="K50" s="3676"/>
      <c r="L50" s="3676"/>
      <c r="M50" s="3676"/>
      <c r="N50" s="3676"/>
      <c r="O50" s="3"/>
      <c r="P50" s="3627"/>
      <c r="Q50" s="3618" t="s">
        <v>5667</v>
      </c>
      <c r="R50" s="3618"/>
      <c r="S50" s="3618"/>
      <c r="T50" s="3618"/>
      <c r="U50" s="3618"/>
      <c r="V50" s="3618"/>
      <c r="W50" s="3618"/>
      <c r="X50" s="3618"/>
      <c r="Y50" s="3618"/>
      <c r="Z50" s="3618"/>
      <c r="AA50" s="3"/>
      <c r="AB50" s="3627"/>
      <c r="AC50" s="3622"/>
      <c r="AD50" s="3622"/>
      <c r="AE50" s="3622"/>
      <c r="AF50" s="3622"/>
      <c r="AG50" s="3622"/>
      <c r="AH50" s="3622"/>
      <c r="AI50" s="3622"/>
      <c r="AJ50" s="3622"/>
      <c r="AK50" s="3622"/>
      <c r="AL50" s="3622"/>
      <c r="AM50" s="3"/>
      <c r="AN50" s="3626" t="s">
        <v>5668</v>
      </c>
      <c r="AO50" s="3619" t="s">
        <v>5669</v>
      </c>
      <c r="AP50" s="3619"/>
      <c r="AQ50" s="3619"/>
      <c r="AR50" s="3619"/>
      <c r="AS50" s="3619"/>
      <c r="AT50" s="3619"/>
      <c r="AU50" s="3619"/>
      <c r="AV50" s="3619"/>
      <c r="AW50" s="3619"/>
      <c r="AX50" s="3619"/>
    </row>
    <row r="51" spans="4:50" ht="22.05" customHeight="1">
      <c r="D51" s="3676" t="s">
        <v>5670</v>
      </c>
      <c r="E51" s="3676"/>
      <c r="F51" s="3676"/>
      <c r="G51" s="3676" t="s">
        <v>5671</v>
      </c>
      <c r="H51" s="3676"/>
      <c r="I51" s="3676"/>
      <c r="J51" s="3676"/>
      <c r="K51" s="3676"/>
      <c r="L51" s="3676"/>
      <c r="M51" s="3676"/>
      <c r="N51" s="3676"/>
      <c r="O51" s="3"/>
      <c r="P51" s="3627"/>
      <c r="Q51" s="3618"/>
      <c r="R51" s="3618"/>
      <c r="S51" s="3618"/>
      <c r="T51" s="3618"/>
      <c r="U51" s="3618"/>
      <c r="V51" s="3618"/>
      <c r="W51" s="3618"/>
      <c r="X51" s="3618"/>
      <c r="Y51" s="3618"/>
      <c r="Z51" s="3618"/>
      <c r="AA51" s="3"/>
      <c r="AB51" s="3627"/>
      <c r="AC51" s="3622"/>
      <c r="AD51" s="3622"/>
      <c r="AE51" s="3622"/>
      <c r="AF51" s="3622"/>
      <c r="AG51" s="3622"/>
      <c r="AH51" s="3622"/>
      <c r="AI51" s="3622"/>
      <c r="AJ51" s="3622"/>
      <c r="AK51" s="3622"/>
      <c r="AL51" s="3622"/>
      <c r="AM51" s="3"/>
      <c r="AN51" s="3626"/>
      <c r="AO51" s="3618" t="s">
        <v>5672</v>
      </c>
      <c r="AP51" s="3618"/>
      <c r="AQ51" s="3618"/>
      <c r="AR51" s="3618"/>
      <c r="AS51" s="3618"/>
      <c r="AT51" s="3618"/>
      <c r="AU51" s="3618"/>
      <c r="AV51" s="3618"/>
      <c r="AW51" s="3618"/>
      <c r="AX51" s="3618"/>
    </row>
    <row r="52" spans="4:50" ht="22.05" customHeight="1">
      <c r="D52" s="3676" t="s">
        <v>5673</v>
      </c>
      <c r="E52" s="3676"/>
      <c r="F52" s="3676"/>
      <c r="G52" s="3676" t="s">
        <v>5674</v>
      </c>
      <c r="H52" s="3676"/>
      <c r="I52" s="3676"/>
      <c r="J52" s="3676"/>
      <c r="K52" s="3676"/>
      <c r="L52" s="3676"/>
      <c r="M52" s="3676"/>
      <c r="N52" s="3676"/>
      <c r="O52" s="3"/>
      <c r="P52" s="3627" t="s">
        <v>5675</v>
      </c>
      <c r="Q52" s="3638" t="s">
        <v>5676</v>
      </c>
      <c r="R52" s="3638"/>
      <c r="S52" s="3638"/>
      <c r="T52" s="3638"/>
      <c r="U52" s="3638"/>
      <c r="V52" s="3638"/>
      <c r="W52" s="3638"/>
      <c r="X52" s="3638"/>
      <c r="Y52" s="3638"/>
      <c r="Z52" s="3638"/>
      <c r="AA52" s="3"/>
      <c r="AB52" s="3627"/>
      <c r="AC52" s="3619" t="s">
        <v>5677</v>
      </c>
      <c r="AD52" s="3619"/>
      <c r="AE52" s="3619"/>
      <c r="AF52" s="3619"/>
      <c r="AG52" s="3619"/>
      <c r="AH52" s="3619"/>
      <c r="AI52" s="3619"/>
      <c r="AJ52" s="3619"/>
      <c r="AK52" s="3619"/>
      <c r="AL52" s="3619"/>
      <c r="AM52" s="3"/>
      <c r="AN52" s="3626"/>
      <c r="AO52" s="3618"/>
      <c r="AP52" s="3618"/>
      <c r="AQ52" s="3618"/>
      <c r="AR52" s="3618"/>
      <c r="AS52" s="3618"/>
      <c r="AT52" s="3618"/>
      <c r="AU52" s="3618"/>
      <c r="AV52" s="3618"/>
      <c r="AW52" s="3618"/>
      <c r="AX52" s="3618"/>
    </row>
    <row r="53" spans="4:50" ht="22.05" customHeight="1">
      <c r="D53" s="3676" t="s">
        <v>5678</v>
      </c>
      <c r="E53" s="3676"/>
      <c r="F53" s="3676"/>
      <c r="G53" s="3676" t="s">
        <v>5679</v>
      </c>
      <c r="H53" s="3676"/>
      <c r="I53" s="3676"/>
      <c r="J53" s="3676"/>
      <c r="K53" s="3676"/>
      <c r="L53" s="3676"/>
      <c r="M53" s="3676"/>
      <c r="N53" s="3676"/>
      <c r="O53" s="3"/>
      <c r="P53" s="3627"/>
      <c r="Q53" s="3638"/>
      <c r="R53" s="3638"/>
      <c r="S53" s="3638"/>
      <c r="T53" s="3638"/>
      <c r="U53" s="3638"/>
      <c r="V53" s="3638"/>
      <c r="W53" s="3638"/>
      <c r="X53" s="3638"/>
      <c r="Y53" s="3638"/>
      <c r="Z53" s="3638"/>
      <c r="AA53" s="3"/>
      <c r="AB53" s="3627"/>
      <c r="AC53" s="3621" t="s">
        <v>5680</v>
      </c>
      <c r="AD53" s="3622"/>
      <c r="AE53" s="3622"/>
      <c r="AF53" s="3622"/>
      <c r="AG53" s="3622"/>
      <c r="AH53" s="3622"/>
      <c r="AI53" s="3622"/>
      <c r="AJ53" s="3622"/>
      <c r="AK53" s="3622"/>
      <c r="AL53" s="3622"/>
      <c r="AM53" s="3"/>
      <c r="AN53" s="3626"/>
      <c r="AO53" s="3618"/>
      <c r="AP53" s="3618"/>
      <c r="AQ53" s="3618"/>
      <c r="AR53" s="3618"/>
      <c r="AS53" s="3618"/>
      <c r="AT53" s="3618"/>
      <c r="AU53" s="3618"/>
      <c r="AV53" s="3618"/>
      <c r="AW53" s="3618"/>
      <c r="AX53" s="3618"/>
    </row>
    <row r="54" spans="4:50" ht="22.05" customHeight="1">
      <c r="D54" s="3676" t="s">
        <v>5681</v>
      </c>
      <c r="E54" s="3676"/>
      <c r="F54" s="3676"/>
      <c r="G54" s="3676" t="s">
        <v>5682</v>
      </c>
      <c r="H54" s="3676"/>
      <c r="I54" s="3676"/>
      <c r="J54" s="3676"/>
      <c r="K54" s="3676"/>
      <c r="L54" s="3676"/>
      <c r="M54" s="3676"/>
      <c r="N54" s="3676"/>
      <c r="O54" s="3"/>
      <c r="P54" s="3627"/>
      <c r="Q54" s="3638"/>
      <c r="R54" s="3638"/>
      <c r="S54" s="3638"/>
      <c r="T54" s="3638"/>
      <c r="U54" s="3638"/>
      <c r="V54" s="3638"/>
      <c r="W54" s="3638"/>
      <c r="X54" s="3638"/>
      <c r="Y54" s="3638"/>
      <c r="Z54" s="3638"/>
      <c r="AA54" s="3"/>
      <c r="AB54" s="3627"/>
      <c r="AC54" s="3651"/>
      <c r="AD54" s="3622"/>
      <c r="AE54" s="3622"/>
      <c r="AF54" s="3622"/>
      <c r="AG54" s="3622"/>
      <c r="AH54" s="3622"/>
      <c r="AI54" s="3622"/>
      <c r="AJ54" s="3622"/>
      <c r="AK54" s="3622"/>
      <c r="AL54" s="3622"/>
      <c r="AM54" s="3"/>
      <c r="AN54" s="3626"/>
      <c r="AO54" s="3618"/>
      <c r="AP54" s="3618"/>
      <c r="AQ54" s="3618"/>
      <c r="AR54" s="3618"/>
      <c r="AS54" s="3618"/>
      <c r="AT54" s="3618"/>
      <c r="AU54" s="3618"/>
      <c r="AV54" s="3618"/>
      <c r="AW54" s="3618"/>
      <c r="AX54" s="3618"/>
    </row>
    <row r="55" spans="4:50" ht="22.05" customHeight="1">
      <c r="D55" s="3676" t="s">
        <v>5683</v>
      </c>
      <c r="E55" s="3676"/>
      <c r="F55" s="3676"/>
      <c r="G55" s="3676" t="s">
        <v>5684</v>
      </c>
      <c r="H55" s="3676"/>
      <c r="I55" s="3676"/>
      <c r="J55" s="3676"/>
      <c r="K55" s="3676"/>
      <c r="L55" s="3676"/>
      <c r="M55" s="3676"/>
      <c r="N55" s="3676"/>
      <c r="O55" s="3"/>
      <c r="P55" s="3627" t="s">
        <v>5582</v>
      </c>
      <c r="Q55" s="3638" t="s">
        <v>5685</v>
      </c>
      <c r="R55" s="3638"/>
      <c r="S55" s="3638"/>
      <c r="T55" s="3638"/>
      <c r="U55" s="3638"/>
      <c r="V55" s="3638"/>
      <c r="W55" s="3638"/>
      <c r="X55" s="3638"/>
      <c r="Y55" s="3638"/>
      <c r="Z55" s="3638"/>
      <c r="AA55" s="3"/>
      <c r="AB55" s="3627"/>
      <c r="AC55" s="3651"/>
      <c r="AD55" s="3622"/>
      <c r="AE55" s="3622"/>
      <c r="AF55" s="3622"/>
      <c r="AG55" s="3622"/>
      <c r="AH55" s="3622"/>
      <c r="AI55" s="3622"/>
      <c r="AJ55" s="3622"/>
      <c r="AK55" s="3622"/>
      <c r="AL55" s="3622"/>
      <c r="AM55" s="3"/>
      <c r="AN55" s="3626"/>
      <c r="AO55" s="3618"/>
      <c r="AP55" s="3618"/>
      <c r="AQ55" s="3618"/>
      <c r="AR55" s="3618"/>
      <c r="AS55" s="3618"/>
      <c r="AT55" s="3618"/>
      <c r="AU55" s="3618"/>
      <c r="AV55" s="3618"/>
      <c r="AW55" s="3618"/>
      <c r="AX55" s="3618"/>
    </row>
    <row r="56" spans="4:50" ht="22.05" customHeight="1">
      <c r="D56" s="3676" t="s">
        <v>5686</v>
      </c>
      <c r="E56" s="3676"/>
      <c r="F56" s="3676"/>
      <c r="G56" s="3676" t="s">
        <v>5687</v>
      </c>
      <c r="H56" s="3676"/>
      <c r="I56" s="3676"/>
      <c r="J56" s="3676"/>
      <c r="K56" s="3676"/>
      <c r="L56" s="3676"/>
      <c r="M56" s="3676"/>
      <c r="N56" s="3676"/>
      <c r="O56" s="3"/>
      <c r="P56" s="3627"/>
      <c r="Q56" s="3638"/>
      <c r="R56" s="3638"/>
      <c r="S56" s="3638"/>
      <c r="T56" s="3638"/>
      <c r="U56" s="3638"/>
      <c r="V56" s="3638"/>
      <c r="W56" s="3638"/>
      <c r="X56" s="3638"/>
      <c r="Y56" s="3638"/>
      <c r="Z56" s="3638"/>
      <c r="AA56" s="3"/>
      <c r="AB56" s="3627"/>
      <c r="AC56" s="3651"/>
      <c r="AD56" s="3622"/>
      <c r="AE56" s="3622"/>
      <c r="AF56" s="3622"/>
      <c r="AG56" s="3622"/>
      <c r="AH56" s="3622"/>
      <c r="AI56" s="3622"/>
      <c r="AJ56" s="3622"/>
      <c r="AK56" s="3622"/>
      <c r="AL56" s="3622"/>
      <c r="AM56" s="3"/>
      <c r="AN56" s="3626"/>
      <c r="AO56" s="3618"/>
      <c r="AP56" s="3618"/>
      <c r="AQ56" s="3618"/>
      <c r="AR56" s="3618"/>
      <c r="AS56" s="3618"/>
      <c r="AT56" s="3618"/>
      <c r="AU56" s="3618"/>
      <c r="AV56" s="3618"/>
      <c r="AW56" s="3618"/>
      <c r="AX56" s="3618"/>
    </row>
    <row r="57" spans="4:50" ht="22.05" customHeight="1">
      <c r="D57" s="3676"/>
      <c r="E57" s="3676"/>
      <c r="F57" s="3676"/>
      <c r="G57" s="3676"/>
      <c r="H57" s="3676"/>
      <c r="I57" s="3676"/>
      <c r="J57" s="3676"/>
      <c r="K57" s="3676"/>
      <c r="L57" s="3676"/>
      <c r="M57" s="3676"/>
      <c r="N57" s="3676"/>
      <c r="O57" s="3"/>
      <c r="P57" s="3627" t="s">
        <v>5688</v>
      </c>
      <c r="Q57" s="3638" t="s">
        <v>5689</v>
      </c>
      <c r="R57" s="3638"/>
      <c r="S57" s="3638"/>
      <c r="T57" s="3638"/>
      <c r="U57" s="3638"/>
      <c r="V57" s="3638"/>
      <c r="W57" s="3638"/>
      <c r="X57" s="3638"/>
      <c r="Y57" s="3638"/>
      <c r="Z57" s="3638"/>
      <c r="AA57" s="3"/>
      <c r="AB57" s="3627"/>
      <c r="AC57" s="3651"/>
      <c r="AD57" s="3622"/>
      <c r="AE57" s="3622"/>
      <c r="AF57" s="3622"/>
      <c r="AG57" s="3622"/>
      <c r="AH57" s="3622"/>
      <c r="AI57" s="3622"/>
      <c r="AJ57" s="3622"/>
      <c r="AK57" s="3622"/>
      <c r="AL57" s="3622"/>
      <c r="AM57" s="3"/>
      <c r="AN57" s="3626"/>
      <c r="AO57" s="3618"/>
      <c r="AP57" s="3618"/>
      <c r="AQ57" s="3618"/>
      <c r="AR57" s="3618"/>
      <c r="AS57" s="3618"/>
      <c r="AT57" s="3618"/>
      <c r="AU57" s="3618"/>
      <c r="AV57" s="3618"/>
      <c r="AW57" s="3618"/>
      <c r="AX57" s="3618"/>
    </row>
    <row r="58" spans="4:50" ht="22.05" customHeight="1">
      <c r="D58" s="3676"/>
      <c r="E58" s="3676"/>
      <c r="F58" s="3676"/>
      <c r="G58" s="3676"/>
      <c r="H58" s="3676"/>
      <c r="I58" s="3676"/>
      <c r="J58" s="3676"/>
      <c r="K58" s="3676"/>
      <c r="L58" s="3676"/>
      <c r="M58" s="3676"/>
      <c r="N58" s="3676"/>
      <c r="O58" s="3"/>
      <c r="P58" s="3627"/>
      <c r="Q58" s="3638"/>
      <c r="R58" s="3638"/>
      <c r="S58" s="3638"/>
      <c r="T58" s="3638"/>
      <c r="U58" s="3638"/>
      <c r="V58" s="3638"/>
      <c r="W58" s="3638"/>
      <c r="X58" s="3638"/>
      <c r="Y58" s="3638"/>
      <c r="Z58" s="3638"/>
      <c r="AA58" s="3"/>
      <c r="AB58" s="3627"/>
      <c r="AC58" s="3619" t="s">
        <v>5690</v>
      </c>
      <c r="AD58" s="3619"/>
      <c r="AE58" s="3619"/>
      <c r="AF58" s="3619"/>
      <c r="AG58" s="3619"/>
      <c r="AH58" s="3619"/>
      <c r="AI58" s="3619"/>
      <c r="AJ58" s="3619"/>
      <c r="AK58" s="3619"/>
      <c r="AL58" s="3619"/>
      <c r="AM58" s="3"/>
      <c r="AN58" s="3626"/>
      <c r="AO58" s="3618"/>
      <c r="AP58" s="3618"/>
      <c r="AQ58" s="3618"/>
      <c r="AR58" s="3618"/>
      <c r="AS58" s="3618"/>
      <c r="AT58" s="3618"/>
      <c r="AU58" s="3618"/>
      <c r="AV58" s="3618"/>
      <c r="AW58" s="3618"/>
      <c r="AX58" s="3618"/>
    </row>
    <row r="59" spans="4:50" ht="22.05" customHeight="1">
      <c r="D59" s="3676"/>
      <c r="E59" s="3676"/>
      <c r="F59" s="3676"/>
      <c r="G59" s="3676"/>
      <c r="H59" s="3676"/>
      <c r="I59" s="3676"/>
      <c r="J59" s="3676"/>
      <c r="K59" s="3676"/>
      <c r="L59" s="3676"/>
      <c r="M59" s="3676"/>
      <c r="N59" s="3676"/>
      <c r="O59" s="3"/>
      <c r="P59" s="3627" t="s">
        <v>114</v>
      </c>
      <c r="Q59" s="3635" t="s">
        <v>5691</v>
      </c>
      <c r="R59" s="3635"/>
      <c r="S59" s="3635"/>
      <c r="T59" s="3635"/>
      <c r="U59" s="3635"/>
      <c r="V59" s="3635"/>
      <c r="W59" s="3635"/>
      <c r="X59" s="3635"/>
      <c r="Y59" s="3635"/>
      <c r="Z59" s="3635"/>
      <c r="AA59" s="3"/>
      <c r="AB59" s="3627"/>
      <c r="AC59" s="3619" t="s">
        <v>5692</v>
      </c>
      <c r="AD59" s="3619"/>
      <c r="AE59" s="3619"/>
      <c r="AF59" s="3619"/>
      <c r="AG59" s="3619"/>
      <c r="AH59" s="3619"/>
      <c r="AI59" s="3619"/>
      <c r="AJ59" s="3619"/>
      <c r="AK59" s="3619"/>
      <c r="AL59" s="3619"/>
      <c r="AM59" s="3"/>
      <c r="AN59" s="3626"/>
      <c r="AO59" s="3618"/>
      <c r="AP59" s="3618"/>
      <c r="AQ59" s="3618"/>
      <c r="AR59" s="3618"/>
      <c r="AS59" s="3618"/>
      <c r="AT59" s="3618"/>
      <c r="AU59" s="3618"/>
      <c r="AV59" s="3618"/>
      <c r="AW59" s="3618"/>
      <c r="AX59" s="3618"/>
    </row>
    <row r="60" spans="4:50" ht="22.05" customHeight="1">
      <c r="D60" s="3676"/>
      <c r="E60" s="3676"/>
      <c r="F60" s="3676"/>
      <c r="G60" s="3676"/>
      <c r="H60" s="3676"/>
      <c r="I60" s="3676"/>
      <c r="J60" s="3676"/>
      <c r="K60" s="3676"/>
      <c r="L60" s="3676"/>
      <c r="M60" s="3676"/>
      <c r="N60" s="3676"/>
      <c r="O60" s="3"/>
      <c r="P60" s="3627"/>
      <c r="Q60" s="3635"/>
      <c r="R60" s="3635"/>
      <c r="S60" s="3635"/>
      <c r="T60" s="3635"/>
      <c r="U60" s="3635"/>
      <c r="V60" s="3635"/>
      <c r="W60" s="3635"/>
      <c r="X60" s="3635"/>
      <c r="Y60" s="3635"/>
      <c r="Z60" s="3635"/>
      <c r="AA60" s="3"/>
      <c r="AB60" s="3627"/>
      <c r="AC60" s="3618" t="s">
        <v>5693</v>
      </c>
      <c r="AD60" s="3618"/>
      <c r="AE60" s="3618"/>
      <c r="AF60" s="3618"/>
      <c r="AG60" s="3618"/>
      <c r="AH60" s="3618"/>
      <c r="AI60" s="3618"/>
      <c r="AJ60" s="3618"/>
      <c r="AK60" s="3618"/>
      <c r="AL60" s="3618"/>
      <c r="AM60" s="3"/>
      <c r="AN60" s="3626"/>
      <c r="AO60" s="3618"/>
      <c r="AP60" s="3618"/>
      <c r="AQ60" s="3618"/>
      <c r="AR60" s="3618"/>
      <c r="AS60" s="3618"/>
      <c r="AT60" s="3618"/>
      <c r="AU60" s="3618"/>
      <c r="AV60" s="3618"/>
      <c r="AW60" s="3618"/>
      <c r="AX60" s="3618"/>
    </row>
    <row r="61" spans="4:50" ht="22.05" customHeight="1">
      <c r="D61" s="3676"/>
      <c r="E61" s="3676"/>
      <c r="F61" s="3676"/>
      <c r="G61" s="3676"/>
      <c r="H61" s="3676"/>
      <c r="I61" s="3676"/>
      <c r="J61" s="3676"/>
      <c r="K61" s="3676"/>
      <c r="L61" s="3676"/>
      <c r="M61" s="3676"/>
      <c r="N61" s="3676"/>
      <c r="O61" s="3"/>
      <c r="P61" s="3675" t="s">
        <v>5694</v>
      </c>
      <c r="Q61" s="3675"/>
      <c r="R61" s="3675"/>
      <c r="S61" s="3675"/>
      <c r="T61" s="3675"/>
      <c r="U61" s="3675"/>
      <c r="V61" s="3675"/>
      <c r="W61" s="3675"/>
      <c r="X61" s="3675"/>
      <c r="Y61" s="3675"/>
      <c r="Z61" s="3675"/>
      <c r="AA61" s="3"/>
      <c r="AB61" s="3627"/>
      <c r="AC61" s="3618"/>
      <c r="AD61" s="3618"/>
      <c r="AE61" s="3618"/>
      <c r="AF61" s="3618"/>
      <c r="AG61" s="3618"/>
      <c r="AH61" s="3618"/>
      <c r="AI61" s="3618"/>
      <c r="AJ61" s="3618"/>
      <c r="AK61" s="3618"/>
      <c r="AL61" s="3618"/>
      <c r="AM61" s="3"/>
      <c r="AN61" s="3626" t="s">
        <v>5695</v>
      </c>
      <c r="AO61" s="3618" t="s">
        <v>5696</v>
      </c>
      <c r="AP61" s="3618"/>
      <c r="AQ61" s="3618"/>
      <c r="AR61" s="3618"/>
      <c r="AS61" s="3618"/>
      <c r="AT61" s="3618"/>
      <c r="AU61" s="3618"/>
      <c r="AV61" s="3618"/>
      <c r="AW61" s="3618"/>
      <c r="AX61" s="3618"/>
    </row>
    <row r="62" spans="4:50" ht="22.05" customHeight="1">
      <c r="D62" s="3676"/>
      <c r="E62" s="3676"/>
      <c r="F62" s="3676"/>
      <c r="G62" s="3676"/>
      <c r="H62" s="3676"/>
      <c r="I62" s="3676"/>
      <c r="J62" s="3676"/>
      <c r="K62" s="3676"/>
      <c r="L62" s="3676"/>
      <c r="M62" s="3676"/>
      <c r="N62" s="3676"/>
      <c r="O62" s="3"/>
      <c r="P62" s="3627" t="s">
        <v>5552</v>
      </c>
      <c r="Q62" s="3618" t="s">
        <v>5697</v>
      </c>
      <c r="R62" s="3618"/>
      <c r="S62" s="3618"/>
      <c r="T62" s="3618"/>
      <c r="U62" s="3618"/>
      <c r="V62" s="3618"/>
      <c r="W62" s="3618"/>
      <c r="X62" s="3618"/>
      <c r="Y62" s="3618"/>
      <c r="Z62" s="3618"/>
      <c r="AA62" s="3"/>
      <c r="AB62" s="3627"/>
      <c r="AC62" s="3618"/>
      <c r="AD62" s="3618"/>
      <c r="AE62" s="3618"/>
      <c r="AF62" s="3618"/>
      <c r="AG62" s="3618"/>
      <c r="AH62" s="3618"/>
      <c r="AI62" s="3618"/>
      <c r="AJ62" s="3618"/>
      <c r="AK62" s="3618"/>
      <c r="AL62" s="3618"/>
      <c r="AM62" s="3"/>
      <c r="AN62" s="3626"/>
      <c r="AO62" s="3618" t="s">
        <v>5698</v>
      </c>
      <c r="AP62" s="3618"/>
      <c r="AQ62" s="3618"/>
      <c r="AR62" s="3618"/>
      <c r="AS62" s="3618"/>
      <c r="AT62" s="3618"/>
      <c r="AU62" s="3618"/>
      <c r="AV62" s="3618"/>
      <c r="AW62" s="3618"/>
      <c r="AX62" s="3618"/>
    </row>
    <row r="63" spans="4:50" ht="22.05" customHeight="1">
      <c r="D63" s="3676"/>
      <c r="E63" s="3676"/>
      <c r="F63" s="3676"/>
      <c r="G63" s="3676"/>
      <c r="H63" s="3676"/>
      <c r="I63" s="3676"/>
      <c r="J63" s="3676"/>
      <c r="K63" s="3676"/>
      <c r="L63" s="3676"/>
      <c r="M63" s="3676"/>
      <c r="N63" s="3676"/>
      <c r="O63" s="3"/>
      <c r="P63" s="3627"/>
      <c r="Q63" s="3618"/>
      <c r="R63" s="3618"/>
      <c r="S63" s="3618"/>
      <c r="T63" s="3618"/>
      <c r="U63" s="3618"/>
      <c r="V63" s="3618"/>
      <c r="W63" s="3618"/>
      <c r="X63" s="3618"/>
      <c r="Y63" s="3618"/>
      <c r="Z63" s="3618"/>
      <c r="AA63" s="3"/>
      <c r="AB63" s="3628" t="s">
        <v>5582</v>
      </c>
      <c r="AC63" s="3618" t="s">
        <v>5699</v>
      </c>
      <c r="AD63" s="3618"/>
      <c r="AE63" s="3618"/>
      <c r="AF63" s="3618"/>
      <c r="AG63" s="3618"/>
      <c r="AH63" s="3618"/>
      <c r="AI63" s="3618"/>
      <c r="AJ63" s="3618"/>
      <c r="AK63" s="3618"/>
      <c r="AL63" s="3618"/>
      <c r="AM63" s="3"/>
      <c r="AN63" s="3626"/>
      <c r="AO63" s="3618"/>
      <c r="AP63" s="3618"/>
      <c r="AQ63" s="3618"/>
      <c r="AR63" s="3618"/>
      <c r="AS63" s="3618"/>
      <c r="AT63" s="3618"/>
      <c r="AU63" s="3618"/>
      <c r="AV63" s="3618"/>
      <c r="AW63" s="3618"/>
      <c r="AX63" s="3618"/>
    </row>
    <row r="64" spans="4:50" ht="22.05" customHeight="1">
      <c r="O64" s="3"/>
      <c r="P64" s="3627" t="s">
        <v>5566</v>
      </c>
      <c r="Q64" s="3618" t="s">
        <v>5700</v>
      </c>
      <c r="R64" s="3618"/>
      <c r="S64" s="3618"/>
      <c r="T64" s="3618"/>
      <c r="U64" s="3618"/>
      <c r="V64" s="3618"/>
      <c r="W64" s="3618"/>
      <c r="X64" s="3618"/>
      <c r="Y64" s="3618"/>
      <c r="Z64" s="3618"/>
      <c r="AA64" s="3"/>
      <c r="AB64" s="3628"/>
      <c r="AC64" s="3618"/>
      <c r="AD64" s="3618"/>
      <c r="AE64" s="3618"/>
      <c r="AF64" s="3618"/>
      <c r="AG64" s="3618"/>
      <c r="AH64" s="3618"/>
      <c r="AI64" s="3618"/>
      <c r="AJ64" s="3618"/>
      <c r="AK64" s="3618"/>
      <c r="AL64" s="3618"/>
      <c r="AM64" s="3"/>
      <c r="AN64" s="3626"/>
      <c r="AO64" s="3618" t="s">
        <v>5701</v>
      </c>
      <c r="AP64" s="3618"/>
      <c r="AQ64" s="3618"/>
      <c r="AR64" s="3618"/>
      <c r="AS64" s="3618"/>
      <c r="AT64" s="3618"/>
      <c r="AU64" s="3618"/>
      <c r="AV64" s="3618"/>
      <c r="AW64" s="3618"/>
      <c r="AX64" s="3618"/>
    </row>
    <row r="65" spans="15:50" ht="22.05" customHeight="1">
      <c r="O65" s="3"/>
      <c r="P65" s="3627"/>
      <c r="Q65" s="3618"/>
      <c r="R65" s="3618"/>
      <c r="S65" s="3618"/>
      <c r="T65" s="3618"/>
      <c r="U65" s="3618"/>
      <c r="V65" s="3618"/>
      <c r="W65" s="3618"/>
      <c r="X65" s="3618"/>
      <c r="Y65" s="3618"/>
      <c r="Z65" s="3618"/>
      <c r="AA65" s="3"/>
      <c r="AB65" s="3628"/>
      <c r="AC65" s="3618"/>
      <c r="AD65" s="3618"/>
      <c r="AE65" s="3618"/>
      <c r="AF65" s="3618"/>
      <c r="AG65" s="3618"/>
      <c r="AH65" s="3618"/>
      <c r="AI65" s="3618"/>
      <c r="AJ65" s="3618"/>
      <c r="AK65" s="3618"/>
      <c r="AL65" s="3618"/>
      <c r="AM65" s="3"/>
      <c r="AN65" s="3626"/>
      <c r="AO65" s="3618"/>
      <c r="AP65" s="3618"/>
      <c r="AQ65" s="3618"/>
      <c r="AR65" s="3618"/>
      <c r="AS65" s="3618"/>
      <c r="AT65" s="3618"/>
      <c r="AU65" s="3618"/>
      <c r="AV65" s="3618"/>
      <c r="AW65" s="3618"/>
      <c r="AX65" s="3618"/>
    </row>
    <row r="66" spans="15:50" ht="22.05" customHeight="1">
      <c r="O66" s="3"/>
      <c r="P66" s="3627" t="s">
        <v>5570</v>
      </c>
      <c r="Q66" s="3618" t="s">
        <v>5702</v>
      </c>
      <c r="R66" s="3618"/>
      <c r="S66" s="3618"/>
      <c r="T66" s="3618"/>
      <c r="U66" s="3618"/>
      <c r="V66" s="3618"/>
      <c r="W66" s="3618"/>
      <c r="X66" s="3618"/>
      <c r="Y66" s="3618"/>
      <c r="Z66" s="3618"/>
      <c r="AA66" s="3"/>
      <c r="AB66" s="7" t="s">
        <v>5688</v>
      </c>
      <c r="AC66" s="3618" t="s">
        <v>5703</v>
      </c>
      <c r="AD66" s="3618"/>
      <c r="AE66" s="3618"/>
      <c r="AF66" s="3618"/>
      <c r="AG66" s="3618"/>
      <c r="AH66" s="3618"/>
      <c r="AI66" s="3618"/>
      <c r="AJ66" s="3618"/>
      <c r="AK66" s="3618"/>
      <c r="AL66" s="3618"/>
      <c r="AM66" s="3"/>
      <c r="AN66" s="3626"/>
      <c r="AO66" s="3618"/>
      <c r="AP66" s="3618"/>
      <c r="AQ66" s="3618"/>
      <c r="AR66" s="3618"/>
      <c r="AS66" s="3618"/>
      <c r="AT66" s="3618"/>
      <c r="AU66" s="3618"/>
      <c r="AV66" s="3618"/>
      <c r="AW66" s="3618"/>
      <c r="AX66" s="3618"/>
    </row>
    <row r="67" spans="15:50" ht="22.05" customHeight="1">
      <c r="O67" s="3"/>
      <c r="P67" s="3627"/>
      <c r="Q67" s="3618"/>
      <c r="R67" s="3618"/>
      <c r="S67" s="3618"/>
      <c r="T67" s="3618"/>
      <c r="U67" s="3618"/>
      <c r="V67" s="3618"/>
      <c r="W67" s="3618"/>
      <c r="X67" s="3618"/>
      <c r="Y67" s="3618"/>
      <c r="Z67" s="3618"/>
      <c r="AA67" s="3"/>
      <c r="AB67" s="3660" t="s">
        <v>5704</v>
      </c>
      <c r="AC67" s="3660"/>
      <c r="AD67" s="3660"/>
      <c r="AE67" s="3660"/>
      <c r="AF67" s="3660"/>
      <c r="AG67" s="3660"/>
      <c r="AH67" s="3660"/>
      <c r="AI67" s="3660"/>
      <c r="AJ67" s="3660"/>
      <c r="AK67" s="3660"/>
      <c r="AL67" s="3660"/>
      <c r="AM67" s="3"/>
      <c r="AN67" s="3626"/>
      <c r="AO67" s="3618" t="s">
        <v>5705</v>
      </c>
      <c r="AP67" s="3618"/>
      <c r="AQ67" s="3618"/>
      <c r="AR67" s="3618"/>
      <c r="AS67" s="3618"/>
      <c r="AT67" s="3618"/>
      <c r="AU67" s="3618"/>
      <c r="AV67" s="3618"/>
      <c r="AW67" s="3618"/>
      <c r="AX67" s="3618"/>
    </row>
    <row r="68" spans="15:50" ht="22.05" customHeight="1">
      <c r="O68" s="3"/>
      <c r="P68" s="3627" t="s">
        <v>5582</v>
      </c>
      <c r="Q68" s="3617" t="s">
        <v>5706</v>
      </c>
      <c r="R68" s="3617"/>
      <c r="S68" s="3617"/>
      <c r="T68" s="3617"/>
      <c r="U68" s="3617"/>
      <c r="V68" s="3617"/>
      <c r="W68" s="3617"/>
      <c r="X68" s="3617"/>
      <c r="Y68" s="3617"/>
      <c r="Z68" s="3617"/>
      <c r="AA68" s="3"/>
      <c r="AB68" s="3629" t="s">
        <v>5552</v>
      </c>
      <c r="AC68" s="3619" t="s">
        <v>5707</v>
      </c>
      <c r="AD68" s="3619"/>
      <c r="AE68" s="3619"/>
      <c r="AF68" s="3619"/>
      <c r="AG68" s="3619"/>
      <c r="AH68" s="3619"/>
      <c r="AI68" s="3619"/>
      <c r="AJ68" s="3619"/>
      <c r="AK68" s="3619"/>
      <c r="AL68" s="3619"/>
      <c r="AM68" s="3"/>
      <c r="AN68" s="3626"/>
      <c r="AO68" s="3618"/>
      <c r="AP68" s="3618"/>
      <c r="AQ68" s="3618"/>
      <c r="AR68" s="3618"/>
      <c r="AS68" s="3618"/>
      <c r="AT68" s="3618"/>
      <c r="AU68" s="3618"/>
      <c r="AV68" s="3618"/>
      <c r="AW68" s="3618"/>
      <c r="AX68" s="3618"/>
    </row>
    <row r="69" spans="15:50" ht="22.05" customHeight="1">
      <c r="O69" s="3"/>
      <c r="P69" s="3627"/>
      <c r="Q69" s="3617"/>
      <c r="R69" s="3617"/>
      <c r="S69" s="3617"/>
      <c r="T69" s="3617"/>
      <c r="U69" s="3617"/>
      <c r="V69" s="3617"/>
      <c r="W69" s="3617"/>
      <c r="X69" s="3617"/>
      <c r="Y69" s="3617"/>
      <c r="Z69" s="3617"/>
      <c r="AA69" s="3"/>
      <c r="AB69" s="3629"/>
      <c r="AC69" s="3619" t="s">
        <v>5708</v>
      </c>
      <c r="AD69" s="3619"/>
      <c r="AE69" s="3619"/>
      <c r="AF69" s="3619"/>
      <c r="AG69" s="3619"/>
      <c r="AH69" s="3619"/>
      <c r="AI69" s="3619"/>
      <c r="AJ69" s="3619"/>
      <c r="AK69" s="3619"/>
      <c r="AL69" s="3619"/>
      <c r="AM69" s="3"/>
      <c r="AN69" s="3626"/>
      <c r="AO69" s="3618"/>
      <c r="AP69" s="3618"/>
      <c r="AQ69" s="3618"/>
      <c r="AR69" s="3618"/>
      <c r="AS69" s="3618"/>
      <c r="AT69" s="3618"/>
      <c r="AU69" s="3618"/>
      <c r="AV69" s="3618"/>
      <c r="AW69" s="3618"/>
      <c r="AX69" s="3618"/>
    </row>
    <row r="70" spans="15:50" ht="22.05" customHeight="1">
      <c r="O70" s="3"/>
      <c r="P70" s="3627" t="s">
        <v>5688</v>
      </c>
      <c r="Q70" s="3638" t="s">
        <v>5709</v>
      </c>
      <c r="R70" s="3638"/>
      <c r="S70" s="3638"/>
      <c r="T70" s="3638"/>
      <c r="U70" s="3638"/>
      <c r="V70" s="3638"/>
      <c r="W70" s="3638"/>
      <c r="X70" s="3638"/>
      <c r="Y70" s="3638"/>
      <c r="Z70" s="3638"/>
      <c r="AA70" s="3"/>
      <c r="AB70" s="3629"/>
      <c r="AC70" s="3619" t="s">
        <v>5710</v>
      </c>
      <c r="AD70" s="3619"/>
      <c r="AE70" s="3619"/>
      <c r="AF70" s="3619"/>
      <c r="AG70" s="3619"/>
      <c r="AH70" s="3619"/>
      <c r="AI70" s="3619"/>
      <c r="AJ70" s="3619"/>
      <c r="AK70" s="3619"/>
      <c r="AL70" s="3619"/>
      <c r="AM70" s="3"/>
      <c r="AN70" s="3626"/>
      <c r="AO70" s="3618"/>
      <c r="AP70" s="3618"/>
      <c r="AQ70" s="3618"/>
      <c r="AR70" s="3618"/>
      <c r="AS70" s="3618"/>
      <c r="AT70" s="3618"/>
      <c r="AU70" s="3618"/>
      <c r="AV70" s="3618"/>
      <c r="AW70" s="3618"/>
      <c r="AX70" s="3618"/>
    </row>
    <row r="71" spans="15:50" ht="22.05" customHeight="1">
      <c r="O71" s="3"/>
      <c r="P71" s="3627"/>
      <c r="Q71" s="3638"/>
      <c r="R71" s="3638"/>
      <c r="S71" s="3638"/>
      <c r="T71" s="3638"/>
      <c r="U71" s="3638"/>
      <c r="V71" s="3638"/>
      <c r="W71" s="3638"/>
      <c r="X71" s="3638"/>
      <c r="Y71" s="3638"/>
      <c r="Z71" s="3638"/>
      <c r="AA71" s="3"/>
      <c r="AB71" s="8" t="s">
        <v>5688</v>
      </c>
      <c r="AC71" s="3619" t="s">
        <v>5711</v>
      </c>
      <c r="AD71" s="3619"/>
      <c r="AE71" s="3619"/>
      <c r="AF71" s="3619"/>
      <c r="AG71" s="3619"/>
      <c r="AH71" s="3619"/>
      <c r="AI71" s="3619"/>
      <c r="AJ71" s="3619"/>
      <c r="AK71" s="3619"/>
      <c r="AL71" s="3619"/>
      <c r="AM71" s="3"/>
      <c r="AN71" s="3626"/>
      <c r="AO71" s="3618"/>
      <c r="AP71" s="3618"/>
      <c r="AQ71" s="3618"/>
      <c r="AR71" s="3618"/>
      <c r="AS71" s="3618"/>
      <c r="AT71" s="3618"/>
      <c r="AU71" s="3618"/>
      <c r="AV71" s="3618"/>
      <c r="AW71" s="3618"/>
      <c r="AX71" s="3618"/>
    </row>
    <row r="72" spans="15:50" ht="22.05" customHeight="1">
      <c r="O72" s="3"/>
      <c r="P72" s="3627" t="s">
        <v>114</v>
      </c>
      <c r="Q72" s="3635" t="s">
        <v>5712</v>
      </c>
      <c r="R72" s="3635"/>
      <c r="S72" s="3635"/>
      <c r="T72" s="3635"/>
      <c r="U72" s="3635"/>
      <c r="V72" s="3635"/>
      <c r="W72" s="3635"/>
      <c r="X72" s="3635"/>
      <c r="Y72" s="3635"/>
      <c r="Z72" s="3635"/>
      <c r="AA72" s="3"/>
      <c r="AB72" s="3626" t="s">
        <v>114</v>
      </c>
      <c r="AC72" s="3620"/>
      <c r="AD72" s="3620"/>
      <c r="AE72" s="3620"/>
      <c r="AF72" s="3620"/>
      <c r="AG72" s="3620"/>
      <c r="AH72" s="3620"/>
      <c r="AI72" s="3620"/>
      <c r="AJ72" s="3620"/>
      <c r="AK72" s="3620"/>
      <c r="AL72" s="3620"/>
      <c r="AM72" s="3"/>
      <c r="AN72" s="3626"/>
      <c r="AO72" s="3618"/>
      <c r="AP72" s="3618"/>
      <c r="AQ72" s="3618"/>
      <c r="AR72" s="3618"/>
      <c r="AS72" s="3618"/>
      <c r="AT72" s="3618"/>
      <c r="AU72" s="3618"/>
      <c r="AV72" s="3618"/>
      <c r="AW72" s="3618"/>
      <c r="AX72" s="3618"/>
    </row>
    <row r="73" spans="15:50" ht="22.05" customHeight="1">
      <c r="O73" s="3"/>
      <c r="P73" s="3627"/>
      <c r="Q73" s="3635"/>
      <c r="R73" s="3635"/>
      <c r="S73" s="3635"/>
      <c r="T73" s="3635"/>
      <c r="U73" s="3635"/>
      <c r="V73" s="3635"/>
      <c r="W73" s="3635"/>
      <c r="X73" s="3635"/>
      <c r="Y73" s="3635"/>
      <c r="Z73" s="3635"/>
      <c r="AA73" s="3"/>
      <c r="AB73" s="3626"/>
      <c r="AC73" s="3620"/>
      <c r="AD73" s="3620"/>
      <c r="AE73" s="3620"/>
      <c r="AF73" s="3620"/>
      <c r="AG73" s="3620"/>
      <c r="AH73" s="3620"/>
      <c r="AI73" s="3620"/>
      <c r="AJ73" s="3620"/>
      <c r="AK73" s="3620"/>
      <c r="AL73" s="3620"/>
      <c r="AM73" s="3"/>
      <c r="AN73" s="3626"/>
      <c r="AO73" s="3618"/>
      <c r="AP73" s="3618"/>
      <c r="AQ73" s="3618"/>
      <c r="AR73" s="3618"/>
      <c r="AS73" s="3618"/>
      <c r="AT73" s="3618"/>
      <c r="AU73" s="3618"/>
      <c r="AV73" s="3618"/>
      <c r="AW73" s="3618"/>
      <c r="AX73" s="3618"/>
    </row>
    <row r="74" spans="15:50" ht="22.05" customHeight="1">
      <c r="O74" s="3"/>
      <c r="P74" s="3627"/>
      <c r="Q74" s="3635"/>
      <c r="R74" s="3635"/>
      <c r="S74" s="3635"/>
      <c r="T74" s="3635"/>
      <c r="U74" s="3635"/>
      <c r="V74" s="3635"/>
      <c r="W74" s="3635"/>
      <c r="X74" s="3635"/>
      <c r="Y74" s="3635"/>
      <c r="Z74" s="3635"/>
      <c r="AA74" s="3"/>
      <c r="AB74" s="3660" t="s">
        <v>5713</v>
      </c>
      <c r="AC74" s="3660"/>
      <c r="AD74" s="3660"/>
      <c r="AE74" s="3660"/>
      <c r="AF74" s="3660"/>
      <c r="AG74" s="3660"/>
      <c r="AH74" s="3660"/>
      <c r="AI74" s="3660"/>
      <c r="AJ74" s="3660"/>
      <c r="AK74" s="3660"/>
      <c r="AL74" s="3660"/>
      <c r="AM74" s="3"/>
      <c r="AN74" s="3626"/>
      <c r="AO74" s="3618"/>
      <c r="AP74" s="3618"/>
      <c r="AQ74" s="3618"/>
      <c r="AR74" s="3618"/>
      <c r="AS74" s="3618"/>
      <c r="AT74" s="3618"/>
      <c r="AU74" s="3618"/>
      <c r="AV74" s="3618"/>
      <c r="AW74" s="3618"/>
      <c r="AX74" s="3618"/>
    </row>
    <row r="75" spans="15:50" ht="22.05" customHeight="1">
      <c r="O75" s="3"/>
      <c r="P75" s="3660" t="s">
        <v>5714</v>
      </c>
      <c r="Q75" s="3660"/>
      <c r="R75" s="3660"/>
      <c r="S75" s="3660"/>
      <c r="T75" s="3660"/>
      <c r="U75" s="3660"/>
      <c r="V75" s="3660"/>
      <c r="W75" s="3660"/>
      <c r="X75" s="3660"/>
      <c r="Y75" s="3660"/>
      <c r="Z75" s="3660"/>
      <c r="AA75" s="3"/>
      <c r="AB75" s="3630" t="s">
        <v>5552</v>
      </c>
      <c r="AC75" s="3621" t="s">
        <v>5715</v>
      </c>
      <c r="AD75" s="3622"/>
      <c r="AE75" s="3622"/>
      <c r="AF75" s="3622"/>
      <c r="AG75" s="3622"/>
      <c r="AH75" s="3622"/>
      <c r="AI75" s="3622"/>
      <c r="AJ75" s="3622"/>
      <c r="AK75" s="3622"/>
      <c r="AL75" s="3622"/>
      <c r="AM75" s="3"/>
      <c r="AN75" s="3626"/>
      <c r="AO75" s="3618"/>
      <c r="AP75" s="3618"/>
      <c r="AQ75" s="3618"/>
      <c r="AR75" s="3618"/>
      <c r="AS75" s="3618"/>
      <c r="AT75" s="3618"/>
      <c r="AU75" s="3618"/>
      <c r="AV75" s="3618"/>
      <c r="AW75" s="3618"/>
      <c r="AX75" s="3618"/>
    </row>
    <row r="76" spans="15:50" ht="22.05" customHeight="1">
      <c r="O76" s="3"/>
      <c r="P76" s="3627" t="s">
        <v>5552</v>
      </c>
      <c r="Q76" s="3618" t="s">
        <v>5716</v>
      </c>
      <c r="R76" s="3618"/>
      <c r="S76" s="3618"/>
      <c r="T76" s="3618"/>
      <c r="U76" s="3618"/>
      <c r="V76" s="3618"/>
      <c r="W76" s="3618"/>
      <c r="X76" s="3618"/>
      <c r="Y76" s="3618"/>
      <c r="Z76" s="3618"/>
      <c r="AA76" s="3"/>
      <c r="AB76" s="3630"/>
      <c r="AC76" s="3622"/>
      <c r="AD76" s="3622"/>
      <c r="AE76" s="3622"/>
      <c r="AF76" s="3622"/>
      <c r="AG76" s="3622"/>
      <c r="AH76" s="3622"/>
      <c r="AI76" s="3622"/>
      <c r="AJ76" s="3622"/>
      <c r="AK76" s="3622"/>
      <c r="AL76" s="3622"/>
      <c r="AM76" s="3"/>
      <c r="AN76" s="3626"/>
      <c r="AO76" s="3618"/>
      <c r="AP76" s="3618"/>
      <c r="AQ76" s="3618"/>
      <c r="AR76" s="3618"/>
      <c r="AS76" s="3618"/>
      <c r="AT76" s="3618"/>
      <c r="AU76" s="3618"/>
      <c r="AV76" s="3618"/>
      <c r="AW76" s="3618"/>
      <c r="AX76" s="3618"/>
    </row>
    <row r="77" spans="15:50" ht="22.05" customHeight="1">
      <c r="O77" s="3"/>
      <c r="P77" s="3627"/>
      <c r="Q77" s="3618"/>
      <c r="R77" s="3618"/>
      <c r="S77" s="3618"/>
      <c r="T77" s="3618"/>
      <c r="U77" s="3618"/>
      <c r="V77" s="3618"/>
      <c r="W77" s="3618"/>
      <c r="X77" s="3618"/>
      <c r="Y77" s="3618"/>
      <c r="Z77" s="3618"/>
      <c r="AA77" s="3"/>
      <c r="AB77" s="3630"/>
      <c r="AC77" s="3622"/>
      <c r="AD77" s="3622"/>
      <c r="AE77" s="3622"/>
      <c r="AF77" s="3622"/>
      <c r="AG77" s="3622"/>
      <c r="AH77" s="3622"/>
      <c r="AI77" s="3622"/>
      <c r="AJ77" s="3622"/>
      <c r="AK77" s="3622"/>
      <c r="AL77" s="3622"/>
      <c r="AM77" s="3"/>
      <c r="AN77" s="3626"/>
      <c r="AO77" s="3618"/>
      <c r="AP77" s="3618"/>
      <c r="AQ77" s="3618"/>
      <c r="AR77" s="3618"/>
      <c r="AS77" s="3618"/>
      <c r="AT77" s="3618"/>
      <c r="AU77" s="3618"/>
      <c r="AV77" s="3618"/>
      <c r="AW77" s="3618"/>
      <c r="AX77" s="3618"/>
    </row>
    <row r="78" spans="15:50" ht="22.05" customHeight="1">
      <c r="O78" s="3"/>
      <c r="P78" s="3627"/>
      <c r="Q78" s="3618" t="s">
        <v>5717</v>
      </c>
      <c r="R78" s="3618"/>
      <c r="S78" s="3618"/>
      <c r="T78" s="3618"/>
      <c r="U78" s="3618"/>
      <c r="V78" s="3618"/>
      <c r="W78" s="3618"/>
      <c r="X78" s="3618"/>
      <c r="Y78" s="3618"/>
      <c r="Z78" s="3618"/>
      <c r="AA78" s="3"/>
      <c r="AB78" s="3630"/>
      <c r="AC78" s="3622"/>
      <c r="AD78" s="3622"/>
      <c r="AE78" s="3622"/>
      <c r="AF78" s="3622"/>
      <c r="AG78" s="3622"/>
      <c r="AH78" s="3622"/>
      <c r="AI78" s="3622"/>
      <c r="AJ78" s="3622"/>
      <c r="AK78" s="3622"/>
      <c r="AL78" s="3622"/>
      <c r="AM78" s="3"/>
      <c r="AN78" s="3626"/>
      <c r="AO78" s="3618"/>
      <c r="AP78" s="3618"/>
      <c r="AQ78" s="3618"/>
      <c r="AR78" s="3618"/>
      <c r="AS78" s="3618"/>
      <c r="AT78" s="3618"/>
      <c r="AU78" s="3618"/>
      <c r="AV78" s="3618"/>
      <c r="AW78" s="3618"/>
      <c r="AX78" s="3618"/>
    </row>
    <row r="79" spans="15:50" ht="22.05" customHeight="1">
      <c r="O79" s="3"/>
      <c r="P79" s="3627"/>
      <c r="Q79" s="3618"/>
      <c r="R79" s="3618"/>
      <c r="S79" s="3618"/>
      <c r="T79" s="3618"/>
      <c r="U79" s="3618"/>
      <c r="V79" s="3618"/>
      <c r="W79" s="3618"/>
      <c r="X79" s="3618"/>
      <c r="Y79" s="3618"/>
      <c r="Z79" s="3618"/>
      <c r="AA79" s="3"/>
      <c r="AB79" s="3630"/>
      <c r="AC79" s="3622"/>
      <c r="AD79" s="3622"/>
      <c r="AE79" s="3622"/>
      <c r="AF79" s="3622"/>
      <c r="AG79" s="3622"/>
      <c r="AH79" s="3622"/>
      <c r="AI79" s="3622"/>
      <c r="AJ79" s="3622"/>
      <c r="AK79" s="3622"/>
      <c r="AL79" s="3622"/>
      <c r="AM79" s="3"/>
      <c r="AN79" s="3626"/>
      <c r="AO79" s="3618" t="s">
        <v>5718</v>
      </c>
      <c r="AP79" s="3618"/>
      <c r="AQ79" s="3618"/>
      <c r="AR79" s="3618"/>
      <c r="AS79" s="3618"/>
      <c r="AT79" s="3618"/>
      <c r="AU79" s="3618"/>
      <c r="AV79" s="3618"/>
      <c r="AW79" s="3618"/>
      <c r="AX79" s="3618"/>
    </row>
    <row r="80" spans="15:50" ht="22.05" customHeight="1">
      <c r="O80" s="3"/>
      <c r="P80" s="3627"/>
      <c r="Q80" s="3618"/>
      <c r="R80" s="3618"/>
      <c r="S80" s="3618"/>
      <c r="T80" s="3618"/>
      <c r="U80" s="3618"/>
      <c r="V80" s="3618"/>
      <c r="W80" s="3618"/>
      <c r="X80" s="3618"/>
      <c r="Y80" s="3618"/>
      <c r="Z80" s="3618"/>
      <c r="AA80" s="3"/>
      <c r="AB80" s="3630"/>
      <c r="AC80" s="3621" t="s">
        <v>5719</v>
      </c>
      <c r="AD80" s="3622"/>
      <c r="AE80" s="3622"/>
      <c r="AF80" s="3622"/>
      <c r="AG80" s="3622"/>
      <c r="AH80" s="3622"/>
      <c r="AI80" s="3622"/>
      <c r="AJ80" s="3622"/>
      <c r="AK80" s="3622"/>
      <c r="AL80" s="3622"/>
      <c r="AM80" s="3"/>
      <c r="AN80" s="3626"/>
      <c r="AO80" s="3618"/>
      <c r="AP80" s="3618"/>
      <c r="AQ80" s="3618"/>
      <c r="AR80" s="3618"/>
      <c r="AS80" s="3618"/>
      <c r="AT80" s="3618"/>
      <c r="AU80" s="3618"/>
      <c r="AV80" s="3618"/>
      <c r="AW80" s="3618"/>
      <c r="AX80" s="3618"/>
    </row>
    <row r="81" spans="15:50" ht="22.05" customHeight="1">
      <c r="O81" s="3"/>
      <c r="P81" s="3627" t="s">
        <v>5688</v>
      </c>
      <c r="Q81" s="3617" t="s">
        <v>5720</v>
      </c>
      <c r="R81" s="3617"/>
      <c r="S81" s="3617"/>
      <c r="T81" s="3617"/>
      <c r="U81" s="3617"/>
      <c r="V81" s="3617"/>
      <c r="W81" s="3617"/>
      <c r="X81" s="3617"/>
      <c r="Y81" s="3617"/>
      <c r="Z81" s="3617"/>
      <c r="AA81" s="3"/>
      <c r="AB81" s="3630"/>
      <c r="AC81" s="3622"/>
      <c r="AD81" s="3622"/>
      <c r="AE81" s="3622"/>
      <c r="AF81" s="3622"/>
      <c r="AG81" s="3622"/>
      <c r="AH81" s="3622"/>
      <c r="AI81" s="3622"/>
      <c r="AJ81" s="3622"/>
      <c r="AK81" s="3622"/>
      <c r="AL81" s="3622"/>
      <c r="AM81" s="3"/>
      <c r="AN81" s="3626"/>
      <c r="AO81" s="3618"/>
      <c r="AP81" s="3618"/>
      <c r="AQ81" s="3618"/>
      <c r="AR81" s="3618"/>
      <c r="AS81" s="3618"/>
      <c r="AT81" s="3618"/>
      <c r="AU81" s="3618"/>
      <c r="AV81" s="3618"/>
      <c r="AW81" s="3618"/>
      <c r="AX81" s="3618"/>
    </row>
    <row r="82" spans="15:50" ht="22.05" customHeight="1">
      <c r="O82" s="3"/>
      <c r="P82" s="3627"/>
      <c r="Q82" s="3617"/>
      <c r="R82" s="3617"/>
      <c r="S82" s="3617"/>
      <c r="T82" s="3617"/>
      <c r="U82" s="3617"/>
      <c r="V82" s="3617"/>
      <c r="W82" s="3617"/>
      <c r="X82" s="3617"/>
      <c r="Y82" s="3617"/>
      <c r="Z82" s="3617"/>
      <c r="AA82" s="3"/>
      <c r="AB82" s="3630"/>
      <c r="AC82" s="3619" t="s">
        <v>5721</v>
      </c>
      <c r="AD82" s="3619"/>
      <c r="AE82" s="3619"/>
      <c r="AF82" s="3619"/>
      <c r="AG82" s="3619"/>
      <c r="AH82" s="3619"/>
      <c r="AI82" s="3619"/>
      <c r="AJ82" s="3619"/>
      <c r="AK82" s="3619"/>
      <c r="AL82" s="3619"/>
      <c r="AM82" s="3"/>
      <c r="AN82" s="3626"/>
      <c r="AO82" s="3618"/>
      <c r="AP82" s="3618"/>
      <c r="AQ82" s="3618"/>
      <c r="AR82" s="3618"/>
      <c r="AS82" s="3618"/>
      <c r="AT82" s="3618"/>
      <c r="AU82" s="3618"/>
      <c r="AV82" s="3618"/>
      <c r="AW82" s="3618"/>
      <c r="AX82" s="3618"/>
    </row>
    <row r="83" spans="15:50" ht="22.05" customHeight="1">
      <c r="O83" s="3"/>
      <c r="P83" s="3627"/>
      <c r="Q83" s="3635" t="s">
        <v>5722</v>
      </c>
      <c r="R83" s="3635"/>
      <c r="S83" s="3635"/>
      <c r="T83" s="3635"/>
      <c r="U83" s="3635"/>
      <c r="V83" s="3635"/>
      <c r="W83" s="3635"/>
      <c r="X83" s="3635"/>
      <c r="Y83" s="3635"/>
      <c r="Z83" s="3635"/>
      <c r="AA83" s="3"/>
      <c r="AB83" s="3630"/>
      <c r="AC83" s="3619" t="s">
        <v>5677</v>
      </c>
      <c r="AD83" s="3619"/>
      <c r="AE83" s="3619"/>
      <c r="AF83" s="3619"/>
      <c r="AG83" s="3619"/>
      <c r="AH83" s="3619"/>
      <c r="AI83" s="3619"/>
      <c r="AJ83" s="3619"/>
      <c r="AK83" s="3619"/>
      <c r="AL83" s="3619"/>
      <c r="AM83" s="3"/>
      <c r="AN83" s="3626"/>
      <c r="AO83" s="3618"/>
      <c r="AP83" s="3618"/>
      <c r="AQ83" s="3618"/>
      <c r="AR83" s="3618"/>
      <c r="AS83" s="3618"/>
      <c r="AT83" s="3618"/>
      <c r="AU83" s="3618"/>
      <c r="AV83" s="3618"/>
      <c r="AW83" s="3618"/>
      <c r="AX83" s="3618"/>
    </row>
    <row r="84" spans="15:50" ht="22.05" customHeight="1">
      <c r="O84" s="3"/>
      <c r="P84" s="3627"/>
      <c r="Q84" s="3635"/>
      <c r="R84" s="3635"/>
      <c r="S84" s="3635"/>
      <c r="T84" s="3635"/>
      <c r="U84" s="3635"/>
      <c r="V84" s="3635"/>
      <c r="W84" s="3635"/>
      <c r="X84" s="3635"/>
      <c r="Y84" s="3635"/>
      <c r="Z84" s="3635"/>
      <c r="AA84" s="3"/>
      <c r="AB84" s="3630"/>
      <c r="AC84" s="3619" t="s">
        <v>5723</v>
      </c>
      <c r="AD84" s="3619"/>
      <c r="AE84" s="3619"/>
      <c r="AF84" s="3619"/>
      <c r="AG84" s="3619"/>
      <c r="AH84" s="3619"/>
      <c r="AI84" s="3619"/>
      <c r="AJ84" s="3619"/>
      <c r="AK84" s="3619"/>
      <c r="AL84" s="3619"/>
      <c r="AM84" s="3"/>
    </row>
    <row r="85" spans="15:50" ht="22.05" customHeight="1">
      <c r="O85" s="3"/>
      <c r="P85" s="3626" t="s">
        <v>114</v>
      </c>
      <c r="Q85" s="3620" t="s">
        <v>5724</v>
      </c>
      <c r="R85" s="3620"/>
      <c r="S85" s="3620"/>
      <c r="T85" s="3620"/>
      <c r="U85" s="3620"/>
      <c r="V85" s="3620"/>
      <c r="W85" s="3620"/>
      <c r="X85" s="3620"/>
      <c r="Y85" s="3620"/>
      <c r="Z85" s="3620"/>
      <c r="AA85" s="3"/>
      <c r="AB85" s="3630"/>
      <c r="AC85" s="3619" t="s">
        <v>5725</v>
      </c>
      <c r="AD85" s="3619"/>
      <c r="AE85" s="3619"/>
      <c r="AF85" s="3619"/>
      <c r="AG85" s="3619"/>
      <c r="AH85" s="3619"/>
      <c r="AI85" s="3619"/>
      <c r="AJ85" s="3619"/>
      <c r="AK85" s="3619"/>
      <c r="AL85" s="3619"/>
      <c r="AM85" s="3"/>
    </row>
    <row r="86" spans="15:50" ht="22.05" customHeight="1">
      <c r="O86" s="3"/>
      <c r="P86" s="3626"/>
      <c r="Q86" s="3620"/>
      <c r="R86" s="3620"/>
      <c r="S86" s="3620"/>
      <c r="T86" s="3620"/>
      <c r="U86" s="3620"/>
      <c r="V86" s="3620"/>
      <c r="W86" s="3620"/>
      <c r="X86" s="3620"/>
      <c r="Y86" s="3620"/>
      <c r="Z86" s="3620"/>
      <c r="AA86" s="3"/>
      <c r="AB86" s="3630"/>
      <c r="AC86" s="3619" t="s">
        <v>5726</v>
      </c>
      <c r="AD86" s="3619"/>
      <c r="AE86" s="3619"/>
      <c r="AF86" s="3619"/>
      <c r="AG86" s="3619"/>
      <c r="AH86" s="3619"/>
      <c r="AI86" s="3619"/>
      <c r="AJ86" s="3619"/>
      <c r="AK86" s="3619"/>
      <c r="AL86" s="3619"/>
      <c r="AM86" s="3"/>
    </row>
    <row r="87" spans="15:50" ht="22.05" customHeight="1">
      <c r="O87" s="3"/>
      <c r="P87" s="3626"/>
      <c r="Q87" s="3620"/>
      <c r="R87" s="3620"/>
      <c r="S87" s="3620"/>
      <c r="T87" s="3620"/>
      <c r="U87" s="3620"/>
      <c r="V87" s="3620"/>
      <c r="W87" s="3620"/>
      <c r="X87" s="3620"/>
      <c r="Y87" s="3620"/>
      <c r="Z87" s="3620"/>
      <c r="AA87" s="3"/>
      <c r="AB87" s="3630"/>
      <c r="AC87" s="3619" t="s">
        <v>5723</v>
      </c>
      <c r="AD87" s="3619"/>
      <c r="AE87" s="3619"/>
      <c r="AF87" s="3619"/>
      <c r="AG87" s="3619"/>
      <c r="AH87" s="3619"/>
      <c r="AI87" s="3619"/>
      <c r="AJ87" s="3619"/>
      <c r="AK87" s="3619"/>
      <c r="AL87" s="3619"/>
      <c r="AM87" s="3"/>
    </row>
    <row r="88" spans="15:50" ht="22.05" customHeight="1">
      <c r="O88" s="3"/>
      <c r="P88" s="3626"/>
      <c r="Q88" s="3620"/>
      <c r="R88" s="3620"/>
      <c r="S88" s="3620"/>
      <c r="T88" s="3620"/>
      <c r="U88" s="3620"/>
      <c r="V88" s="3620"/>
      <c r="W88" s="3620"/>
      <c r="X88" s="3620"/>
      <c r="Y88" s="3620"/>
      <c r="Z88" s="3620"/>
      <c r="AA88" s="3"/>
      <c r="AB88" s="3630"/>
      <c r="AC88" s="3619" t="s">
        <v>5727</v>
      </c>
      <c r="AD88" s="3619"/>
      <c r="AE88" s="3619"/>
      <c r="AF88" s="3619"/>
      <c r="AG88" s="3619"/>
      <c r="AH88" s="3619"/>
      <c r="AI88" s="3619"/>
      <c r="AJ88" s="3619"/>
      <c r="AK88" s="3619"/>
      <c r="AL88" s="3619"/>
      <c r="AM88" s="3"/>
    </row>
    <row r="89" spans="15:50" ht="22.05" customHeight="1">
      <c r="O89" s="3"/>
      <c r="P89" s="3626"/>
      <c r="Q89" s="3620"/>
      <c r="R89" s="3620"/>
      <c r="S89" s="3620"/>
      <c r="T89" s="3620"/>
      <c r="U89" s="3620"/>
      <c r="V89" s="3620"/>
      <c r="W89" s="3620"/>
      <c r="X89" s="3620"/>
      <c r="Y89" s="3620"/>
      <c r="Z89" s="3620"/>
      <c r="AA89" s="3"/>
      <c r="AB89" s="3630"/>
      <c r="AC89" s="3619" t="s">
        <v>5728</v>
      </c>
      <c r="AD89" s="3619"/>
      <c r="AE89" s="3619"/>
      <c r="AF89" s="3619"/>
      <c r="AG89" s="3619"/>
      <c r="AH89" s="3619"/>
      <c r="AI89" s="3619"/>
      <c r="AJ89" s="3619"/>
      <c r="AK89" s="3619"/>
      <c r="AL89" s="3619"/>
      <c r="AM89" s="3"/>
    </row>
    <row r="90" spans="15:50" ht="22.05" customHeight="1">
      <c r="O90" s="3"/>
      <c r="P90" s="3675" t="s">
        <v>5729</v>
      </c>
      <c r="Q90" s="3675"/>
      <c r="R90" s="3675"/>
      <c r="S90" s="3675"/>
      <c r="T90" s="3675"/>
      <c r="U90" s="3675"/>
      <c r="V90" s="3675"/>
      <c r="W90" s="3675"/>
      <c r="X90" s="3675"/>
      <c r="Y90" s="3675"/>
      <c r="Z90" s="3675"/>
      <c r="AA90" s="3"/>
      <c r="AB90" s="3630"/>
      <c r="AC90" s="3619" t="s">
        <v>5730</v>
      </c>
      <c r="AD90" s="3619"/>
      <c r="AE90" s="3619"/>
      <c r="AF90" s="3619"/>
      <c r="AG90" s="3619"/>
      <c r="AH90" s="3619"/>
      <c r="AI90" s="3619"/>
      <c r="AJ90" s="3619"/>
      <c r="AK90" s="3619"/>
      <c r="AL90" s="3619"/>
      <c r="AM90" s="3"/>
    </row>
    <row r="91" spans="15:50" ht="22.05" customHeight="1">
      <c r="O91" s="3"/>
      <c r="P91" s="3627" t="s">
        <v>5552</v>
      </c>
      <c r="Q91" s="3619" t="s">
        <v>5731</v>
      </c>
      <c r="R91" s="3619"/>
      <c r="S91" s="3619"/>
      <c r="T91" s="3619"/>
      <c r="U91" s="3619"/>
      <c r="V91" s="3619"/>
      <c r="W91" s="3619"/>
      <c r="X91" s="3619"/>
      <c r="Y91" s="3619"/>
      <c r="Z91" s="3619"/>
      <c r="AA91" s="3"/>
      <c r="AB91" s="3630"/>
      <c r="AC91" s="3619" t="s">
        <v>5732</v>
      </c>
      <c r="AD91" s="3619"/>
      <c r="AE91" s="3619"/>
      <c r="AF91" s="3619"/>
      <c r="AG91" s="3619"/>
      <c r="AH91" s="3619"/>
      <c r="AI91" s="3619"/>
      <c r="AJ91" s="3619"/>
      <c r="AK91" s="3619"/>
      <c r="AL91" s="3619"/>
      <c r="AM91" s="3"/>
    </row>
    <row r="92" spans="15:50" ht="22.05" customHeight="1">
      <c r="O92" s="3"/>
      <c r="P92" s="3627"/>
      <c r="Q92" s="3619"/>
      <c r="R92" s="3619"/>
      <c r="S92" s="3619"/>
      <c r="T92" s="3619"/>
      <c r="U92" s="3619"/>
      <c r="V92" s="3619"/>
      <c r="W92" s="3619"/>
      <c r="X92" s="3619"/>
      <c r="Y92" s="3619"/>
      <c r="Z92" s="3619"/>
      <c r="AA92" s="3"/>
      <c r="AB92" s="3630"/>
      <c r="AC92" s="3619" t="s">
        <v>5733</v>
      </c>
      <c r="AD92" s="3619"/>
      <c r="AE92" s="3619"/>
      <c r="AF92" s="3619"/>
      <c r="AG92" s="3619"/>
      <c r="AH92" s="3619"/>
      <c r="AI92" s="3619"/>
      <c r="AJ92" s="3619"/>
      <c r="AK92" s="3619"/>
      <c r="AL92" s="3619"/>
      <c r="AM92" s="3"/>
    </row>
    <row r="93" spans="15:50" ht="22.05" customHeight="1">
      <c r="O93" s="3"/>
      <c r="P93" s="3627"/>
      <c r="Q93" s="3624" t="s">
        <v>5734</v>
      </c>
      <c r="R93" s="3624"/>
      <c r="S93" s="3624"/>
      <c r="T93" s="3624"/>
      <c r="U93" s="3624"/>
      <c r="V93" s="3624"/>
      <c r="W93" s="3624"/>
      <c r="X93" s="3624"/>
      <c r="Y93" s="3624"/>
      <c r="Z93" s="3624"/>
      <c r="AA93" s="3"/>
      <c r="AB93" s="3626" t="s">
        <v>5735</v>
      </c>
      <c r="AC93" s="3618" t="s">
        <v>5736</v>
      </c>
      <c r="AD93" s="3618"/>
      <c r="AE93" s="3618"/>
      <c r="AF93" s="3618"/>
      <c r="AG93" s="3618"/>
      <c r="AH93" s="3618"/>
      <c r="AI93" s="3618"/>
      <c r="AJ93" s="3618"/>
      <c r="AK93" s="3618"/>
      <c r="AL93" s="3618"/>
      <c r="AM93" s="3"/>
    </row>
    <row r="94" spans="15:50" ht="22.05" customHeight="1">
      <c r="O94" s="3"/>
      <c r="P94" s="3627"/>
      <c r="Q94" s="3624"/>
      <c r="R94" s="3624"/>
      <c r="S94" s="3624"/>
      <c r="T94" s="3624"/>
      <c r="U94" s="3624"/>
      <c r="V94" s="3624"/>
      <c r="W94" s="3624"/>
      <c r="X94" s="3624"/>
      <c r="Y94" s="3624"/>
      <c r="Z94" s="3624"/>
      <c r="AA94" s="3"/>
      <c r="AB94" s="3626"/>
      <c r="AC94" s="3618" t="s">
        <v>5737</v>
      </c>
      <c r="AD94" s="3618"/>
      <c r="AE94" s="3618"/>
      <c r="AF94" s="3618"/>
      <c r="AG94" s="3618"/>
      <c r="AH94" s="3618"/>
      <c r="AI94" s="3618"/>
      <c r="AJ94" s="3618"/>
      <c r="AK94" s="3618"/>
      <c r="AL94" s="3618"/>
      <c r="AM94" s="3"/>
    </row>
    <row r="95" spans="15:50" ht="22.05" customHeight="1">
      <c r="O95" s="3"/>
      <c r="P95" s="3627"/>
      <c r="Q95" s="3624" t="s">
        <v>5738</v>
      </c>
      <c r="R95" s="3624"/>
      <c r="S95" s="3624"/>
      <c r="T95" s="3624"/>
      <c r="U95" s="3624"/>
      <c r="V95" s="3624"/>
      <c r="W95" s="3624"/>
      <c r="X95" s="3624"/>
      <c r="Y95" s="3624"/>
      <c r="Z95" s="3624"/>
      <c r="AA95" s="3"/>
      <c r="AB95" s="3626"/>
      <c r="AC95" s="3619" t="s">
        <v>5739</v>
      </c>
      <c r="AD95" s="3619"/>
      <c r="AE95" s="3619"/>
      <c r="AF95" s="3619"/>
      <c r="AG95" s="3619"/>
      <c r="AH95" s="3619"/>
      <c r="AI95" s="3619"/>
      <c r="AJ95" s="3619"/>
      <c r="AK95" s="3619"/>
      <c r="AL95" s="3619"/>
      <c r="AM95" s="3"/>
    </row>
    <row r="96" spans="15:50" ht="22.05" customHeight="1">
      <c r="O96" s="3"/>
      <c r="P96" s="3627"/>
      <c r="Q96" s="3624"/>
      <c r="R96" s="3624"/>
      <c r="S96" s="3624"/>
      <c r="T96" s="3624"/>
      <c r="U96" s="3624"/>
      <c r="V96" s="3624"/>
      <c r="W96" s="3624"/>
      <c r="X96" s="3624"/>
      <c r="Y96" s="3624"/>
      <c r="Z96" s="3624"/>
      <c r="AA96" s="3"/>
      <c r="AB96" s="3626" t="s">
        <v>5570</v>
      </c>
      <c r="AC96" s="3674" t="s">
        <v>5740</v>
      </c>
      <c r="AD96" s="3674"/>
      <c r="AE96" s="3674"/>
      <c r="AF96" s="3674"/>
      <c r="AG96" s="3674"/>
      <c r="AH96" s="3674"/>
      <c r="AI96" s="3674"/>
      <c r="AJ96" s="3674"/>
      <c r="AK96" s="3674"/>
      <c r="AL96" s="3674"/>
      <c r="AM96" s="3"/>
    </row>
    <row r="97" spans="15:39" ht="22.05" customHeight="1">
      <c r="O97" s="3"/>
      <c r="P97" s="3627" t="s">
        <v>5566</v>
      </c>
      <c r="Q97" s="3624" t="s">
        <v>5741</v>
      </c>
      <c r="R97" s="3624"/>
      <c r="S97" s="3624"/>
      <c r="T97" s="3624"/>
      <c r="U97" s="3624"/>
      <c r="V97" s="3624"/>
      <c r="W97" s="3624"/>
      <c r="X97" s="3624"/>
      <c r="Y97" s="3624"/>
      <c r="Z97" s="3624"/>
      <c r="AA97" s="3"/>
      <c r="AB97" s="3626"/>
      <c r="AC97" s="3619" t="s">
        <v>5742</v>
      </c>
      <c r="AD97" s="3619"/>
      <c r="AE97" s="3619"/>
      <c r="AF97" s="3619"/>
      <c r="AG97" s="3619"/>
      <c r="AH97" s="3619"/>
      <c r="AI97" s="3619"/>
      <c r="AJ97" s="3619"/>
      <c r="AK97" s="3619"/>
      <c r="AL97" s="3619"/>
      <c r="AM97" s="3"/>
    </row>
    <row r="98" spans="15:39" ht="22.05" customHeight="1">
      <c r="O98" s="3"/>
      <c r="P98" s="3627"/>
      <c r="Q98" s="3624"/>
      <c r="R98" s="3624"/>
      <c r="S98" s="3624"/>
      <c r="T98" s="3624"/>
      <c r="U98" s="3624"/>
      <c r="V98" s="3624"/>
      <c r="W98" s="3624"/>
      <c r="X98" s="3624"/>
      <c r="Y98" s="3624"/>
      <c r="Z98" s="3624"/>
      <c r="AA98" s="3"/>
      <c r="AB98" s="3626" t="s">
        <v>5576</v>
      </c>
      <c r="AC98" s="3619" t="s">
        <v>5743</v>
      </c>
      <c r="AD98" s="3619"/>
      <c r="AE98" s="3619"/>
      <c r="AF98" s="3619"/>
      <c r="AG98" s="3619"/>
      <c r="AH98" s="3619"/>
      <c r="AI98" s="3619"/>
      <c r="AJ98" s="3619"/>
      <c r="AK98" s="3619"/>
      <c r="AL98" s="3619"/>
      <c r="AM98" s="3"/>
    </row>
    <row r="99" spans="15:39" ht="22.05" customHeight="1">
      <c r="O99" s="3"/>
      <c r="P99" s="3627"/>
      <c r="Q99" s="3649" t="s">
        <v>5744</v>
      </c>
      <c r="R99" s="3649"/>
      <c r="S99" s="3649"/>
      <c r="T99" s="3649"/>
      <c r="U99" s="3649"/>
      <c r="V99" s="3649"/>
      <c r="W99" s="3649"/>
      <c r="X99" s="3649"/>
      <c r="Y99" s="3649"/>
      <c r="Z99" s="3649"/>
      <c r="AA99" s="3"/>
      <c r="AB99" s="3626"/>
      <c r="AC99" s="3619" t="s">
        <v>5745</v>
      </c>
      <c r="AD99" s="3619"/>
      <c r="AE99" s="3619"/>
      <c r="AF99" s="3619"/>
      <c r="AG99" s="3619"/>
      <c r="AH99" s="3619"/>
      <c r="AI99" s="3619"/>
      <c r="AJ99" s="3619"/>
      <c r="AK99" s="3619"/>
      <c r="AL99" s="3619"/>
      <c r="AM99" s="3"/>
    </row>
    <row r="100" spans="15:39" ht="22.05" customHeight="1">
      <c r="O100" s="3"/>
      <c r="P100" s="3627"/>
      <c r="Q100" s="3649"/>
      <c r="R100" s="3649"/>
      <c r="S100" s="3649"/>
      <c r="T100" s="3649"/>
      <c r="U100" s="3649"/>
      <c r="V100" s="3649"/>
      <c r="W100" s="3649"/>
      <c r="X100" s="3649"/>
      <c r="Y100" s="3649"/>
      <c r="Z100" s="3649"/>
      <c r="AA100" s="3"/>
      <c r="AB100" s="3626"/>
      <c r="AC100" s="3619" t="s">
        <v>5746</v>
      </c>
      <c r="AD100" s="3619"/>
      <c r="AE100" s="3619"/>
      <c r="AF100" s="3619"/>
      <c r="AG100" s="3619"/>
      <c r="AH100" s="3619"/>
      <c r="AI100" s="3619"/>
      <c r="AJ100" s="3619"/>
      <c r="AK100" s="3619"/>
      <c r="AL100" s="3619"/>
      <c r="AM100" s="3"/>
    </row>
    <row r="101" spans="15:39" ht="22.05" customHeight="1">
      <c r="O101" s="3"/>
      <c r="P101" s="3626" t="s">
        <v>114</v>
      </c>
      <c r="Q101" s="3620" t="s">
        <v>5747</v>
      </c>
      <c r="R101" s="3620"/>
      <c r="S101" s="3620"/>
      <c r="T101" s="3620"/>
      <c r="U101" s="3620"/>
      <c r="V101" s="3620"/>
      <c r="W101" s="3620"/>
      <c r="X101" s="3620"/>
      <c r="Y101" s="3620"/>
      <c r="Z101" s="3620"/>
      <c r="AA101" s="3"/>
      <c r="AB101" s="3626" t="s">
        <v>5579</v>
      </c>
      <c r="AC101" s="3619" t="s">
        <v>5748</v>
      </c>
      <c r="AD101" s="3619"/>
      <c r="AE101" s="3619"/>
      <c r="AF101" s="3619"/>
      <c r="AG101" s="3619"/>
      <c r="AH101" s="3619"/>
      <c r="AI101" s="3619"/>
      <c r="AJ101" s="3619"/>
      <c r="AK101" s="3619"/>
      <c r="AL101" s="3619"/>
      <c r="AM101" s="3"/>
    </row>
    <row r="102" spans="15:39" ht="22.05" customHeight="1">
      <c r="O102" s="3"/>
      <c r="P102" s="3626"/>
      <c r="Q102" s="3620"/>
      <c r="R102" s="3620"/>
      <c r="S102" s="3620"/>
      <c r="T102" s="3620"/>
      <c r="U102" s="3620"/>
      <c r="V102" s="3620"/>
      <c r="W102" s="3620"/>
      <c r="X102" s="3620"/>
      <c r="Y102" s="3620"/>
      <c r="Z102" s="3620"/>
      <c r="AA102" s="3"/>
      <c r="AB102" s="3626"/>
      <c r="AC102" s="3618" t="s">
        <v>5749</v>
      </c>
      <c r="AD102" s="3618"/>
      <c r="AE102" s="3618"/>
      <c r="AF102" s="3618"/>
      <c r="AG102" s="3618"/>
      <c r="AH102" s="3618"/>
      <c r="AI102" s="3618"/>
      <c r="AJ102" s="3618"/>
      <c r="AK102" s="3618"/>
      <c r="AL102" s="3618"/>
      <c r="AM102" s="3"/>
    </row>
    <row r="103" spans="15:39" ht="22.05" customHeight="1">
      <c r="O103" s="3"/>
      <c r="P103" s="3626"/>
      <c r="Q103" s="3620"/>
      <c r="R103" s="3620"/>
      <c r="S103" s="3620"/>
      <c r="T103" s="3620"/>
      <c r="U103" s="3620"/>
      <c r="V103" s="3620"/>
      <c r="W103" s="3620"/>
      <c r="X103" s="3620"/>
      <c r="Y103" s="3620"/>
      <c r="Z103" s="3620"/>
      <c r="AA103" s="3"/>
      <c r="AB103" s="3626"/>
      <c r="AC103" s="3618"/>
      <c r="AD103" s="3618"/>
      <c r="AE103" s="3618"/>
      <c r="AF103" s="3618"/>
      <c r="AG103" s="3618"/>
      <c r="AH103" s="3618"/>
      <c r="AI103" s="3618"/>
      <c r="AJ103" s="3618"/>
      <c r="AK103" s="3618"/>
      <c r="AL103" s="3618"/>
      <c r="AM103" s="3"/>
    </row>
    <row r="104" spans="15:39" ht="22.05" customHeight="1">
      <c r="O104" s="3"/>
      <c r="P104" s="3660" t="s">
        <v>5750</v>
      </c>
      <c r="Q104" s="3660"/>
      <c r="R104" s="3660"/>
      <c r="S104" s="3660"/>
      <c r="T104" s="3660"/>
      <c r="U104" s="3660"/>
      <c r="V104" s="3660"/>
      <c r="W104" s="3660"/>
      <c r="X104" s="3660"/>
      <c r="Y104" s="3660"/>
      <c r="Z104" s="3660"/>
      <c r="AA104" s="3"/>
      <c r="AB104" s="3626"/>
      <c r="AC104" s="3619" t="s">
        <v>5751</v>
      </c>
      <c r="AD104" s="3619"/>
      <c r="AE104" s="3619"/>
      <c r="AF104" s="3619"/>
      <c r="AG104" s="3619"/>
      <c r="AH104" s="3619"/>
      <c r="AI104" s="3619"/>
      <c r="AJ104" s="3619"/>
      <c r="AK104" s="3619"/>
      <c r="AL104" s="3619"/>
      <c r="AM104" s="3"/>
    </row>
    <row r="105" spans="15:39" ht="22.05" customHeight="1">
      <c r="O105" s="3"/>
      <c r="P105" s="3627" t="s">
        <v>5552</v>
      </c>
      <c r="Q105" s="3618" t="s">
        <v>5752</v>
      </c>
      <c r="R105" s="3619"/>
      <c r="S105" s="3619"/>
      <c r="T105" s="3619"/>
      <c r="U105" s="3619"/>
      <c r="V105" s="3619"/>
      <c r="W105" s="3619"/>
      <c r="X105" s="3619"/>
      <c r="Y105" s="3619"/>
      <c r="Z105" s="3619"/>
      <c r="AA105" s="3"/>
      <c r="AB105" s="3626" t="s">
        <v>5753</v>
      </c>
      <c r="AC105" s="3619" t="s">
        <v>5754</v>
      </c>
      <c r="AD105" s="3619"/>
      <c r="AE105" s="3619"/>
      <c r="AF105" s="3619"/>
      <c r="AG105" s="3619"/>
      <c r="AH105" s="3619"/>
      <c r="AI105" s="3619"/>
      <c r="AJ105" s="3619"/>
      <c r="AK105" s="3619"/>
      <c r="AL105" s="3619"/>
      <c r="AM105" s="3"/>
    </row>
    <row r="106" spans="15:39" ht="22.05" customHeight="1">
      <c r="O106" s="3"/>
      <c r="P106" s="3627"/>
      <c r="Q106" s="3619"/>
      <c r="R106" s="3619"/>
      <c r="S106" s="3619"/>
      <c r="T106" s="3619"/>
      <c r="U106" s="3619"/>
      <c r="V106" s="3619"/>
      <c r="W106" s="3619"/>
      <c r="X106" s="3619"/>
      <c r="Y106" s="3619"/>
      <c r="Z106" s="3619"/>
      <c r="AA106" s="3"/>
      <c r="AB106" s="3626"/>
      <c r="AC106" s="3619" t="s">
        <v>5755</v>
      </c>
      <c r="AD106" s="3619"/>
      <c r="AE106" s="3619"/>
      <c r="AF106" s="3619"/>
      <c r="AG106" s="3619"/>
      <c r="AH106" s="3619"/>
      <c r="AI106" s="3619"/>
      <c r="AJ106" s="3619"/>
      <c r="AK106" s="3619"/>
      <c r="AL106" s="3619"/>
      <c r="AM106" s="3"/>
    </row>
    <row r="107" spans="15:39" ht="22.05" customHeight="1">
      <c r="O107" s="3"/>
      <c r="P107" s="3627"/>
      <c r="Q107" s="3619"/>
      <c r="R107" s="3619"/>
      <c r="S107" s="3619"/>
      <c r="T107" s="3619"/>
      <c r="U107" s="3619"/>
      <c r="V107" s="3619"/>
      <c r="W107" s="3619"/>
      <c r="X107" s="3619"/>
      <c r="Y107" s="3619"/>
      <c r="Z107" s="3619"/>
      <c r="AA107" s="3"/>
      <c r="AB107" s="3626"/>
      <c r="AC107" s="3619" t="s">
        <v>5756</v>
      </c>
      <c r="AD107" s="3619"/>
      <c r="AE107" s="3619"/>
      <c r="AF107" s="3619"/>
      <c r="AG107" s="3619"/>
      <c r="AH107" s="3619"/>
      <c r="AI107" s="3619"/>
      <c r="AJ107" s="3619"/>
      <c r="AK107" s="3619"/>
      <c r="AL107" s="3619"/>
      <c r="AM107" s="3"/>
    </row>
    <row r="108" spans="15:39" ht="22.05" customHeight="1">
      <c r="O108" s="3"/>
      <c r="P108" s="3655" t="s">
        <v>5566</v>
      </c>
      <c r="Q108" s="3649" t="s">
        <v>5757</v>
      </c>
      <c r="R108" s="3616"/>
      <c r="S108" s="3616"/>
      <c r="T108" s="3616"/>
      <c r="U108" s="3616"/>
      <c r="V108" s="3616"/>
      <c r="W108" s="3616"/>
      <c r="X108" s="3616"/>
      <c r="Y108" s="3616"/>
      <c r="Z108" s="3616"/>
      <c r="AA108" s="3"/>
      <c r="AB108" s="3626"/>
      <c r="AC108" s="3619" t="s">
        <v>5758</v>
      </c>
      <c r="AD108" s="3619"/>
      <c r="AE108" s="3619"/>
      <c r="AF108" s="3619"/>
      <c r="AG108" s="3619"/>
      <c r="AH108" s="3619"/>
      <c r="AI108" s="3619"/>
      <c r="AJ108" s="3619"/>
      <c r="AK108" s="3619"/>
      <c r="AL108" s="3619"/>
      <c r="AM108" s="3"/>
    </row>
    <row r="109" spans="15:39" ht="22.05" customHeight="1">
      <c r="O109" s="3"/>
      <c r="P109" s="3655"/>
      <c r="Q109" s="3616"/>
      <c r="R109" s="3616"/>
      <c r="S109" s="3616"/>
      <c r="T109" s="3616"/>
      <c r="U109" s="3616"/>
      <c r="V109" s="3616"/>
      <c r="W109" s="3616"/>
      <c r="X109" s="3616"/>
      <c r="Y109" s="3616"/>
      <c r="Z109" s="3616"/>
      <c r="AA109" s="3"/>
      <c r="AB109" s="3657" t="s">
        <v>5688</v>
      </c>
      <c r="AC109" s="3673" t="s">
        <v>5759</v>
      </c>
      <c r="AD109" s="3668"/>
      <c r="AE109" s="3668"/>
      <c r="AF109" s="3668"/>
      <c r="AG109" s="3668"/>
      <c r="AH109" s="3668"/>
      <c r="AI109" s="3668"/>
      <c r="AJ109" s="3668"/>
      <c r="AK109" s="3668"/>
      <c r="AL109" s="3668"/>
      <c r="AM109" s="3"/>
    </row>
    <row r="110" spans="15:39" ht="22.05" customHeight="1">
      <c r="O110" s="3"/>
      <c r="P110" s="3626" t="s">
        <v>114</v>
      </c>
      <c r="Q110" s="3620" t="s">
        <v>5760</v>
      </c>
      <c r="R110" s="3620"/>
      <c r="S110" s="3620"/>
      <c r="T110" s="3620"/>
      <c r="U110" s="3620"/>
      <c r="V110" s="3620"/>
      <c r="W110" s="3620"/>
      <c r="X110" s="3620"/>
      <c r="Y110" s="3620"/>
      <c r="Z110" s="3620"/>
      <c r="AA110" s="3"/>
      <c r="AB110" s="3657"/>
      <c r="AC110" s="3619" t="s">
        <v>5761</v>
      </c>
      <c r="AD110" s="3619"/>
      <c r="AE110" s="3619"/>
      <c r="AF110" s="3619"/>
      <c r="AG110" s="3619"/>
      <c r="AH110" s="3619"/>
      <c r="AI110" s="3619"/>
      <c r="AJ110" s="3619"/>
      <c r="AK110" s="3619"/>
      <c r="AL110" s="3619"/>
      <c r="AM110" s="3"/>
    </row>
    <row r="111" spans="15:39" ht="22.05" customHeight="1">
      <c r="O111" s="3"/>
      <c r="P111" s="3626"/>
      <c r="Q111" s="3620"/>
      <c r="R111" s="3620"/>
      <c r="S111" s="3620"/>
      <c r="T111" s="3620"/>
      <c r="U111" s="3620"/>
      <c r="V111" s="3620"/>
      <c r="W111" s="3620"/>
      <c r="X111" s="3620"/>
      <c r="Y111" s="3620"/>
      <c r="Z111" s="3620"/>
      <c r="AA111" s="3"/>
      <c r="AB111" s="3657"/>
      <c r="AC111" s="3619" t="s">
        <v>5762</v>
      </c>
      <c r="AD111" s="3619"/>
      <c r="AE111" s="3619"/>
      <c r="AF111" s="3619"/>
      <c r="AG111" s="3619"/>
      <c r="AH111" s="3619"/>
      <c r="AI111" s="3619"/>
      <c r="AJ111" s="3619"/>
      <c r="AK111" s="3619"/>
      <c r="AL111" s="3619"/>
      <c r="AM111" s="3"/>
    </row>
    <row r="112" spans="15:39" ht="22.05" customHeight="1">
      <c r="O112" s="3"/>
      <c r="P112" s="3626"/>
      <c r="Q112" s="3620"/>
      <c r="R112" s="3620"/>
      <c r="S112" s="3620"/>
      <c r="T112" s="3620"/>
      <c r="U112" s="3620"/>
      <c r="V112" s="3620"/>
      <c r="W112" s="3620"/>
      <c r="X112" s="3620"/>
      <c r="Y112" s="3620"/>
      <c r="Z112" s="3620"/>
      <c r="AA112" s="3"/>
      <c r="AB112" s="3657"/>
      <c r="AC112" s="3619" t="s">
        <v>5763</v>
      </c>
      <c r="AD112" s="3619"/>
      <c r="AE112" s="3619"/>
      <c r="AF112" s="3619"/>
      <c r="AG112" s="3619"/>
      <c r="AH112" s="3619"/>
      <c r="AI112" s="3619"/>
      <c r="AJ112" s="3619"/>
      <c r="AK112" s="3619"/>
      <c r="AL112" s="3619"/>
      <c r="AM112" s="3"/>
    </row>
    <row r="113" spans="15:39" ht="22.05" customHeight="1">
      <c r="O113" s="3"/>
      <c r="P113" s="3626"/>
      <c r="Q113" s="3620"/>
      <c r="R113" s="3620"/>
      <c r="S113" s="3620"/>
      <c r="T113" s="3620"/>
      <c r="U113" s="3620"/>
      <c r="V113" s="3620"/>
      <c r="W113" s="3620"/>
      <c r="X113" s="3620"/>
      <c r="Y113" s="3620"/>
      <c r="Z113" s="3620"/>
      <c r="AA113" s="3"/>
      <c r="AB113" s="3660" t="s">
        <v>5764</v>
      </c>
      <c r="AC113" s="3660"/>
      <c r="AD113" s="3660"/>
      <c r="AE113" s="3660"/>
      <c r="AF113" s="3660"/>
      <c r="AG113" s="3660"/>
      <c r="AH113" s="3660"/>
      <c r="AI113" s="3660"/>
      <c r="AJ113" s="3660"/>
      <c r="AK113" s="3660"/>
      <c r="AL113" s="3660"/>
      <c r="AM113" s="3"/>
    </row>
    <row r="114" spans="15:39" ht="22.05" customHeight="1">
      <c r="O114" s="3"/>
      <c r="P114" s="3626"/>
      <c r="Q114" s="3620"/>
      <c r="R114" s="3620"/>
      <c r="S114" s="3620"/>
      <c r="T114" s="3620"/>
      <c r="U114" s="3620"/>
      <c r="V114" s="3620"/>
      <c r="W114" s="3620"/>
      <c r="X114" s="3620"/>
      <c r="Y114" s="3620"/>
      <c r="Z114" s="3620"/>
      <c r="AA114" s="3"/>
      <c r="AB114" s="3629" t="s">
        <v>5552</v>
      </c>
      <c r="AC114" s="3618" t="s">
        <v>5765</v>
      </c>
      <c r="AD114" s="3618"/>
      <c r="AE114" s="3618"/>
      <c r="AF114" s="3618"/>
      <c r="AG114" s="3618"/>
      <c r="AH114" s="3618"/>
      <c r="AI114" s="3618"/>
      <c r="AJ114" s="3618"/>
      <c r="AK114" s="3618"/>
      <c r="AL114" s="3618"/>
      <c r="AM114" s="3"/>
    </row>
    <row r="115" spans="15:39" ht="22.05" customHeight="1">
      <c r="O115" s="3"/>
      <c r="P115" s="3660" t="s">
        <v>5766</v>
      </c>
      <c r="Q115" s="3660"/>
      <c r="R115" s="3660"/>
      <c r="S115" s="3660"/>
      <c r="T115" s="3660"/>
      <c r="U115" s="3660"/>
      <c r="V115" s="3660"/>
      <c r="W115" s="3660"/>
      <c r="X115" s="3660"/>
      <c r="Y115" s="3660"/>
      <c r="Z115" s="3660"/>
      <c r="AA115" s="3"/>
      <c r="AB115" s="3629"/>
      <c r="AC115" s="3618" t="s">
        <v>5767</v>
      </c>
      <c r="AD115" s="3618"/>
      <c r="AE115" s="3618"/>
      <c r="AF115" s="3618"/>
      <c r="AG115" s="3618"/>
      <c r="AH115" s="3618"/>
      <c r="AI115" s="3618"/>
      <c r="AJ115" s="3618"/>
      <c r="AK115" s="3618"/>
      <c r="AL115" s="3618"/>
      <c r="AM115" s="3"/>
    </row>
    <row r="116" spans="15:39" ht="22.05" customHeight="1">
      <c r="O116" s="3"/>
      <c r="P116" s="3627" t="s">
        <v>5552</v>
      </c>
      <c r="Q116" s="3619" t="s">
        <v>5768</v>
      </c>
      <c r="R116" s="3619"/>
      <c r="S116" s="3619"/>
      <c r="T116" s="3619"/>
      <c r="U116" s="3619"/>
      <c r="V116" s="3619"/>
      <c r="W116" s="3619"/>
      <c r="X116" s="3619"/>
      <c r="Y116" s="3619"/>
      <c r="Z116" s="3619"/>
      <c r="AA116" s="3"/>
      <c r="AB116" s="9" t="s">
        <v>5566</v>
      </c>
      <c r="AC116" s="3619" t="s">
        <v>418</v>
      </c>
      <c r="AD116" s="3619"/>
      <c r="AE116" s="3619"/>
      <c r="AF116" s="3619"/>
      <c r="AG116" s="3619"/>
      <c r="AH116" s="3619"/>
      <c r="AI116" s="3619"/>
      <c r="AJ116" s="3619"/>
      <c r="AK116" s="3619"/>
      <c r="AL116" s="3619"/>
      <c r="AM116" s="3"/>
    </row>
    <row r="117" spans="15:39" ht="22.05" customHeight="1">
      <c r="O117" s="3"/>
      <c r="P117" s="3627"/>
      <c r="Q117" s="3619"/>
      <c r="R117" s="3619"/>
      <c r="S117" s="3619"/>
      <c r="T117" s="3619"/>
      <c r="U117" s="3619"/>
      <c r="V117" s="3619"/>
      <c r="W117" s="3619"/>
      <c r="X117" s="3619"/>
      <c r="Y117" s="3619"/>
      <c r="Z117" s="3619"/>
      <c r="AA117" s="3"/>
      <c r="AB117" s="3658" t="s">
        <v>5769</v>
      </c>
      <c r="AC117" s="3618" t="s">
        <v>5770</v>
      </c>
      <c r="AD117" s="3619"/>
      <c r="AE117" s="3619"/>
      <c r="AF117" s="3619"/>
      <c r="AG117" s="3619"/>
      <c r="AH117" s="3619"/>
      <c r="AI117" s="3619"/>
      <c r="AJ117" s="3619"/>
      <c r="AK117" s="3619"/>
      <c r="AL117" s="3619"/>
      <c r="AM117" s="3"/>
    </row>
    <row r="118" spans="15:39" ht="22.05" customHeight="1">
      <c r="O118" s="3"/>
      <c r="P118" s="3627"/>
      <c r="Q118" s="3624" t="s">
        <v>5771</v>
      </c>
      <c r="R118" s="3624"/>
      <c r="S118" s="3624"/>
      <c r="T118" s="3624"/>
      <c r="U118" s="3624"/>
      <c r="V118" s="3624"/>
      <c r="W118" s="3624"/>
      <c r="X118" s="3624"/>
      <c r="Y118" s="3624"/>
      <c r="Z118" s="3624"/>
      <c r="AA118" s="3"/>
      <c r="AB118" s="3658"/>
      <c r="AC118" s="3619"/>
      <c r="AD118" s="3619"/>
      <c r="AE118" s="3619"/>
      <c r="AF118" s="3619"/>
      <c r="AG118" s="3619"/>
      <c r="AH118" s="3619"/>
      <c r="AI118" s="3619"/>
      <c r="AJ118" s="3619"/>
      <c r="AK118" s="3619"/>
      <c r="AL118" s="3619"/>
      <c r="AM118" s="3"/>
    </row>
    <row r="119" spans="15:39" ht="22.05" customHeight="1">
      <c r="O119" s="3"/>
      <c r="P119" s="3627"/>
      <c r="Q119" s="3624"/>
      <c r="R119" s="3624"/>
      <c r="S119" s="3624"/>
      <c r="T119" s="3624"/>
      <c r="U119" s="3624"/>
      <c r="V119" s="3624"/>
      <c r="W119" s="3624"/>
      <c r="X119" s="3624"/>
      <c r="Y119" s="3624"/>
      <c r="Z119" s="3624"/>
      <c r="AA119" s="3"/>
      <c r="AB119" s="3658"/>
      <c r="AC119" s="3619"/>
      <c r="AD119" s="3619"/>
      <c r="AE119" s="3619"/>
      <c r="AF119" s="3619"/>
      <c r="AG119" s="3619"/>
      <c r="AH119" s="3619"/>
      <c r="AI119" s="3619"/>
      <c r="AJ119" s="3619"/>
      <c r="AK119" s="3619"/>
      <c r="AL119" s="3619"/>
      <c r="AM119" s="3"/>
    </row>
    <row r="120" spans="15:39" ht="22.05" customHeight="1">
      <c r="O120" s="3"/>
      <c r="P120" s="3627"/>
      <c r="Q120" s="3624"/>
      <c r="R120" s="3624"/>
      <c r="S120" s="3624"/>
      <c r="T120" s="3624"/>
      <c r="U120" s="3624"/>
      <c r="V120" s="3624"/>
      <c r="W120" s="3624"/>
      <c r="X120" s="3624"/>
      <c r="Y120" s="3624"/>
      <c r="Z120" s="3624"/>
      <c r="AA120" s="3"/>
      <c r="AB120" s="3658"/>
      <c r="AC120" s="3619"/>
      <c r="AD120" s="3619"/>
      <c r="AE120" s="3619"/>
      <c r="AF120" s="3619"/>
      <c r="AG120" s="3619"/>
      <c r="AH120" s="3619"/>
      <c r="AI120" s="3619"/>
      <c r="AJ120" s="3619"/>
      <c r="AK120" s="3619"/>
      <c r="AL120" s="3619"/>
      <c r="AM120" s="3"/>
    </row>
    <row r="121" spans="15:39" ht="22.05" customHeight="1">
      <c r="O121" s="3"/>
      <c r="P121" s="3627"/>
      <c r="Q121" s="3624" t="s">
        <v>5772</v>
      </c>
      <c r="R121" s="3624"/>
      <c r="S121" s="3624"/>
      <c r="T121" s="3624"/>
      <c r="U121" s="3624"/>
      <c r="V121" s="3624"/>
      <c r="W121" s="3624"/>
      <c r="X121" s="3624"/>
      <c r="Y121" s="3624"/>
      <c r="Z121" s="3624"/>
      <c r="AA121" s="3"/>
      <c r="AB121" s="3658"/>
      <c r="AC121" s="3619" t="s">
        <v>5773</v>
      </c>
      <c r="AD121" s="3619"/>
      <c r="AE121" s="3619"/>
      <c r="AF121" s="3619"/>
      <c r="AG121" s="3619"/>
      <c r="AH121" s="3619"/>
      <c r="AI121" s="3619"/>
      <c r="AJ121" s="3619"/>
      <c r="AK121" s="3619"/>
      <c r="AL121" s="3619"/>
      <c r="AM121" s="3"/>
    </row>
    <row r="122" spans="15:39" ht="22.05" customHeight="1">
      <c r="O122" s="3"/>
      <c r="P122" s="3627"/>
      <c r="Q122" s="3624"/>
      <c r="R122" s="3624"/>
      <c r="S122" s="3624"/>
      <c r="T122" s="3624"/>
      <c r="U122" s="3624"/>
      <c r="V122" s="3624"/>
      <c r="W122" s="3624"/>
      <c r="X122" s="3624"/>
      <c r="Y122" s="3624"/>
      <c r="Z122" s="3624"/>
      <c r="AA122" s="3"/>
      <c r="AB122" s="3658"/>
      <c r="AC122" s="3618" t="s">
        <v>5774</v>
      </c>
      <c r="AD122" s="3618"/>
      <c r="AE122" s="3618"/>
      <c r="AF122" s="3618"/>
      <c r="AG122" s="3618"/>
      <c r="AH122" s="3618"/>
      <c r="AI122" s="3618"/>
      <c r="AJ122" s="3618"/>
      <c r="AK122" s="3618"/>
      <c r="AL122" s="3618"/>
      <c r="AM122" s="3"/>
    </row>
    <row r="123" spans="15:39" ht="22.05" customHeight="1">
      <c r="O123" s="3"/>
      <c r="P123" s="3627"/>
      <c r="Q123" s="3622" t="s">
        <v>5775</v>
      </c>
      <c r="R123" s="3622"/>
      <c r="S123" s="3622"/>
      <c r="T123" s="3622"/>
      <c r="U123" s="3622"/>
      <c r="V123" s="3622"/>
      <c r="W123" s="3622"/>
      <c r="X123" s="3622"/>
      <c r="Y123" s="3622"/>
      <c r="Z123" s="3622"/>
      <c r="AA123" s="3"/>
      <c r="AB123" s="3658"/>
      <c r="AC123" s="3618"/>
      <c r="AD123" s="3618"/>
      <c r="AE123" s="3618"/>
      <c r="AF123" s="3618"/>
      <c r="AG123" s="3618"/>
      <c r="AH123" s="3618"/>
      <c r="AI123" s="3618"/>
      <c r="AJ123" s="3618"/>
      <c r="AK123" s="3618"/>
      <c r="AL123" s="3618"/>
      <c r="AM123" s="3"/>
    </row>
    <row r="124" spans="15:39" ht="22.05" customHeight="1">
      <c r="O124" s="3"/>
      <c r="P124" s="3626" t="s">
        <v>114</v>
      </c>
      <c r="Q124" s="3620" t="s">
        <v>5776</v>
      </c>
      <c r="R124" s="3620"/>
      <c r="S124" s="3620"/>
      <c r="T124" s="3620"/>
      <c r="U124" s="3620"/>
      <c r="V124" s="3620"/>
      <c r="W124" s="3620"/>
      <c r="X124" s="3620"/>
      <c r="Y124" s="3620"/>
      <c r="Z124" s="3620"/>
      <c r="AA124" s="3"/>
      <c r="AB124" s="3658"/>
      <c r="AC124" s="3618"/>
      <c r="AD124" s="3618"/>
      <c r="AE124" s="3618"/>
      <c r="AF124" s="3618"/>
      <c r="AG124" s="3618"/>
      <c r="AH124" s="3618"/>
      <c r="AI124" s="3618"/>
      <c r="AJ124" s="3618"/>
      <c r="AK124" s="3618"/>
      <c r="AL124" s="3618"/>
      <c r="AM124" s="3"/>
    </row>
    <row r="125" spans="15:39" ht="22.05" customHeight="1">
      <c r="O125" s="3"/>
      <c r="P125" s="3626"/>
      <c r="Q125" s="3620"/>
      <c r="R125" s="3620"/>
      <c r="S125" s="3620"/>
      <c r="T125" s="3620"/>
      <c r="U125" s="3620"/>
      <c r="V125" s="3620"/>
      <c r="W125" s="3620"/>
      <c r="X125" s="3620"/>
      <c r="Y125" s="3620"/>
      <c r="Z125" s="3620"/>
      <c r="AA125" s="3"/>
      <c r="AB125" s="3626" t="s">
        <v>5675</v>
      </c>
      <c r="AC125" s="3619" t="s">
        <v>5777</v>
      </c>
      <c r="AD125" s="3619"/>
      <c r="AE125" s="3619"/>
      <c r="AF125" s="3619"/>
      <c r="AG125" s="3619"/>
      <c r="AH125" s="3619"/>
      <c r="AI125" s="3619"/>
      <c r="AJ125" s="3619"/>
      <c r="AK125" s="3619"/>
      <c r="AL125" s="3619"/>
      <c r="AM125" s="3"/>
    </row>
    <row r="126" spans="15:39" ht="22.05" customHeight="1">
      <c r="O126" s="3"/>
      <c r="P126" s="3626"/>
      <c r="Q126" s="3620"/>
      <c r="R126" s="3620"/>
      <c r="S126" s="3620"/>
      <c r="T126" s="3620"/>
      <c r="U126" s="3620"/>
      <c r="V126" s="3620"/>
      <c r="W126" s="3620"/>
      <c r="X126" s="3620"/>
      <c r="Y126" s="3620"/>
      <c r="Z126" s="3620"/>
      <c r="AA126" s="3"/>
      <c r="AB126" s="3626"/>
      <c r="AC126" s="3619" t="s">
        <v>5778</v>
      </c>
      <c r="AD126" s="3619"/>
      <c r="AE126" s="3619"/>
      <c r="AF126" s="3619"/>
      <c r="AG126" s="3619"/>
      <c r="AH126" s="3619"/>
      <c r="AI126" s="3619"/>
      <c r="AJ126" s="3619"/>
      <c r="AK126" s="3619"/>
      <c r="AL126" s="3619"/>
      <c r="AM126" s="3"/>
    </row>
    <row r="127" spans="15:39" ht="22.05" customHeight="1">
      <c r="O127" s="3"/>
      <c r="P127" s="3626"/>
      <c r="Q127" s="3620"/>
      <c r="R127" s="3620"/>
      <c r="S127" s="3620"/>
      <c r="T127" s="3620"/>
      <c r="U127" s="3620"/>
      <c r="V127" s="3620"/>
      <c r="W127" s="3620"/>
      <c r="X127" s="3620"/>
      <c r="Y127" s="3620"/>
      <c r="Z127" s="3620"/>
      <c r="AA127" s="3"/>
      <c r="AB127" s="3626"/>
      <c r="AC127" s="3619" t="s">
        <v>5779</v>
      </c>
      <c r="AD127" s="3619"/>
      <c r="AE127" s="3619"/>
      <c r="AF127" s="3619"/>
      <c r="AG127" s="3619"/>
      <c r="AH127" s="3619"/>
      <c r="AI127" s="3619"/>
      <c r="AJ127" s="3619"/>
      <c r="AK127" s="3619"/>
      <c r="AL127" s="3619"/>
      <c r="AM127" s="3"/>
    </row>
    <row r="128" spans="15:39" ht="22.05" customHeight="1">
      <c r="O128" s="3"/>
      <c r="P128" s="3626"/>
      <c r="Q128" s="3620"/>
      <c r="R128" s="3620"/>
      <c r="S128" s="3620"/>
      <c r="T128" s="3620"/>
      <c r="U128" s="3620"/>
      <c r="V128" s="3620"/>
      <c r="W128" s="3620"/>
      <c r="X128" s="3620"/>
      <c r="Y128" s="3620"/>
      <c r="Z128" s="3620"/>
      <c r="AA128" s="3"/>
      <c r="AB128" s="3626"/>
      <c r="AC128" s="3619" t="s">
        <v>5780</v>
      </c>
      <c r="AD128" s="3619"/>
      <c r="AE128" s="3619"/>
      <c r="AF128" s="3619"/>
      <c r="AG128" s="3619"/>
      <c r="AH128" s="3619"/>
      <c r="AI128" s="3619"/>
      <c r="AJ128" s="3619"/>
      <c r="AK128" s="3619"/>
      <c r="AL128" s="3619"/>
      <c r="AM128" s="3"/>
    </row>
    <row r="129" spans="15:39" ht="22.05" customHeight="1">
      <c r="O129" s="3"/>
      <c r="P129" s="3670" t="s">
        <v>5781</v>
      </c>
      <c r="Q129" s="3670"/>
      <c r="R129" s="3670"/>
      <c r="S129" s="3670"/>
      <c r="T129" s="3670"/>
      <c r="U129" s="3670"/>
      <c r="V129" s="3670"/>
      <c r="W129" s="3670"/>
      <c r="X129" s="3670"/>
      <c r="Y129" s="3670"/>
      <c r="Z129" s="3670"/>
      <c r="AA129" s="3"/>
      <c r="AB129" s="3667" t="s">
        <v>5579</v>
      </c>
      <c r="AC129" s="3618" t="s">
        <v>5782</v>
      </c>
      <c r="AD129" s="3619"/>
      <c r="AE129" s="3619"/>
      <c r="AF129" s="3619"/>
      <c r="AG129" s="3619"/>
      <c r="AH129" s="3619"/>
      <c r="AI129" s="3619"/>
      <c r="AJ129" s="3619"/>
      <c r="AK129" s="3619"/>
      <c r="AL129" s="3619"/>
      <c r="AM129" s="3"/>
    </row>
    <row r="130" spans="15:39" ht="22.05" customHeight="1">
      <c r="O130" s="3"/>
      <c r="P130" s="3627" t="s">
        <v>5552</v>
      </c>
      <c r="Q130" s="3619" t="s">
        <v>5783</v>
      </c>
      <c r="R130" s="3619"/>
      <c r="S130" s="3619"/>
      <c r="T130" s="3619"/>
      <c r="U130" s="3619"/>
      <c r="V130" s="3619"/>
      <c r="W130" s="3619"/>
      <c r="X130" s="3619"/>
      <c r="Y130" s="3619"/>
      <c r="Z130" s="3619"/>
      <c r="AA130" s="3"/>
      <c r="AB130" s="3667"/>
      <c r="AC130" s="3619"/>
      <c r="AD130" s="3619"/>
      <c r="AE130" s="3619"/>
      <c r="AF130" s="3619"/>
      <c r="AG130" s="3619"/>
      <c r="AH130" s="3619"/>
      <c r="AI130" s="3619"/>
      <c r="AJ130" s="3619"/>
      <c r="AK130" s="3619"/>
      <c r="AL130" s="3619"/>
      <c r="AM130" s="3"/>
    </row>
    <row r="131" spans="15:39" ht="22.05" customHeight="1">
      <c r="O131" s="3"/>
      <c r="P131" s="3627"/>
      <c r="Q131" s="3619"/>
      <c r="R131" s="3619"/>
      <c r="S131" s="3619"/>
      <c r="T131" s="3619"/>
      <c r="U131" s="3619"/>
      <c r="V131" s="3619"/>
      <c r="W131" s="3619"/>
      <c r="X131" s="3619"/>
      <c r="Y131" s="3619"/>
      <c r="Z131" s="3619"/>
      <c r="AA131" s="3"/>
      <c r="AB131" s="3667"/>
      <c r="AC131" s="3619"/>
      <c r="AD131" s="3619"/>
      <c r="AE131" s="3619"/>
      <c r="AF131" s="3619"/>
      <c r="AG131" s="3619"/>
      <c r="AH131" s="3619"/>
      <c r="AI131" s="3619"/>
      <c r="AJ131" s="3619"/>
      <c r="AK131" s="3619"/>
      <c r="AL131" s="3619"/>
      <c r="AM131" s="3"/>
    </row>
    <row r="132" spans="15:39" ht="22.05" customHeight="1">
      <c r="O132" s="3"/>
      <c r="P132" s="3627"/>
      <c r="Q132" s="3619"/>
      <c r="R132" s="3619"/>
      <c r="S132" s="3619"/>
      <c r="T132" s="3619"/>
      <c r="U132" s="3619"/>
      <c r="V132" s="3619"/>
      <c r="W132" s="3619"/>
      <c r="X132" s="3619"/>
      <c r="Y132" s="3619"/>
      <c r="Z132" s="3619"/>
      <c r="AA132" s="3"/>
      <c r="AB132" s="3667"/>
      <c r="AC132" s="3619"/>
      <c r="AD132" s="3619"/>
      <c r="AE132" s="3619"/>
      <c r="AF132" s="3619"/>
      <c r="AG132" s="3619"/>
      <c r="AH132" s="3619"/>
      <c r="AI132" s="3619"/>
      <c r="AJ132" s="3619"/>
      <c r="AK132" s="3619"/>
      <c r="AL132" s="3619"/>
      <c r="AM132" s="3"/>
    </row>
    <row r="133" spans="15:39" ht="22.05" customHeight="1">
      <c r="O133" s="3"/>
      <c r="P133" s="3670" t="s">
        <v>5784</v>
      </c>
      <c r="Q133" s="3660"/>
      <c r="R133" s="3660"/>
      <c r="S133" s="3660"/>
      <c r="T133" s="3660"/>
      <c r="U133" s="3660"/>
      <c r="V133" s="3660"/>
      <c r="W133" s="3660"/>
      <c r="X133" s="3660"/>
      <c r="Y133" s="3660"/>
      <c r="Z133" s="3660"/>
      <c r="AA133" s="3"/>
      <c r="AB133" s="3667"/>
      <c r="AC133" s="3618" t="s">
        <v>5785</v>
      </c>
      <c r="AD133" s="3618"/>
      <c r="AE133" s="3618"/>
      <c r="AF133" s="3618"/>
      <c r="AG133" s="3618"/>
      <c r="AH133" s="3618"/>
      <c r="AI133" s="3618"/>
      <c r="AJ133" s="3618"/>
      <c r="AK133" s="3618"/>
      <c r="AL133" s="3618"/>
      <c r="AM133" s="3"/>
    </row>
    <row r="134" spans="15:39" ht="22.05" customHeight="1">
      <c r="O134" s="3"/>
      <c r="P134" s="3627" t="s">
        <v>5552</v>
      </c>
      <c r="Q134" s="3648" t="s">
        <v>5786</v>
      </c>
      <c r="R134" s="3619"/>
      <c r="S134" s="3619"/>
      <c r="T134" s="3619"/>
      <c r="U134" s="3619"/>
      <c r="V134" s="3619"/>
      <c r="W134" s="3619"/>
      <c r="X134" s="3619"/>
      <c r="Y134" s="3619"/>
      <c r="Z134" s="3619"/>
      <c r="AA134" s="3"/>
      <c r="AB134" s="3667"/>
      <c r="AC134" s="3618"/>
      <c r="AD134" s="3618"/>
      <c r="AE134" s="3618"/>
      <c r="AF134" s="3618"/>
      <c r="AG134" s="3618"/>
      <c r="AH134" s="3618"/>
      <c r="AI134" s="3618"/>
      <c r="AJ134" s="3618"/>
      <c r="AK134" s="3618"/>
      <c r="AL134" s="3618"/>
      <c r="AM134" s="3"/>
    </row>
    <row r="135" spans="15:39" ht="22.05" customHeight="1">
      <c r="O135" s="3"/>
      <c r="P135" s="3627"/>
      <c r="Q135" s="3640" t="s">
        <v>5787</v>
      </c>
      <c r="R135" s="3619"/>
      <c r="S135" s="3619"/>
      <c r="T135" s="3619"/>
      <c r="U135" s="3619"/>
      <c r="V135" s="3619"/>
      <c r="W135" s="3619"/>
      <c r="X135" s="3619"/>
      <c r="Y135" s="3619"/>
      <c r="Z135" s="3619"/>
      <c r="AA135" s="3"/>
      <c r="AB135" s="3667"/>
      <c r="AC135" s="3618"/>
      <c r="AD135" s="3618"/>
      <c r="AE135" s="3618"/>
      <c r="AF135" s="3618"/>
      <c r="AG135" s="3618"/>
      <c r="AH135" s="3618"/>
      <c r="AI135" s="3618"/>
      <c r="AJ135" s="3618"/>
      <c r="AK135" s="3618"/>
      <c r="AL135" s="3618"/>
      <c r="AM135" s="3"/>
    </row>
    <row r="136" spans="15:39" ht="22.05" customHeight="1">
      <c r="O136" s="3"/>
      <c r="P136" s="3627"/>
      <c r="Q136" s="3648"/>
      <c r="R136" s="3619"/>
      <c r="S136" s="3619"/>
      <c r="T136" s="3619"/>
      <c r="U136" s="3619"/>
      <c r="V136" s="3619"/>
      <c r="W136" s="3619"/>
      <c r="X136" s="3619"/>
      <c r="Y136" s="3619"/>
      <c r="Z136" s="3619"/>
      <c r="AA136" s="3"/>
      <c r="AB136" s="3667"/>
      <c r="AC136" s="3618" t="s">
        <v>5788</v>
      </c>
      <c r="AD136" s="3618"/>
      <c r="AE136" s="3618"/>
      <c r="AF136" s="3618"/>
      <c r="AG136" s="3618"/>
      <c r="AH136" s="3618"/>
      <c r="AI136" s="3618"/>
      <c r="AJ136" s="3618"/>
      <c r="AK136" s="3618"/>
      <c r="AL136" s="3618"/>
      <c r="AM136" s="3"/>
    </row>
    <row r="137" spans="15:39" ht="22.05" customHeight="1">
      <c r="O137" s="3"/>
      <c r="P137" s="3627"/>
      <c r="Q137" s="3672" t="s">
        <v>5789</v>
      </c>
      <c r="R137" s="3672"/>
      <c r="S137" s="3672"/>
      <c r="T137" s="3672"/>
      <c r="U137" s="3672"/>
      <c r="V137" s="3672"/>
      <c r="W137" s="3672"/>
      <c r="X137" s="3672"/>
      <c r="Y137" s="3672"/>
      <c r="Z137" s="3672"/>
      <c r="AA137" s="3"/>
      <c r="AB137" s="3667"/>
      <c r="AC137" s="3618" t="s">
        <v>5790</v>
      </c>
      <c r="AD137" s="3618"/>
      <c r="AE137" s="3618"/>
      <c r="AF137" s="3618"/>
      <c r="AG137" s="3618"/>
      <c r="AH137" s="3618"/>
      <c r="AI137" s="3618"/>
      <c r="AJ137" s="3618"/>
      <c r="AK137" s="3618"/>
      <c r="AL137" s="3618"/>
      <c r="AM137" s="3"/>
    </row>
    <row r="138" spans="15:39" ht="22.05" customHeight="1">
      <c r="O138" s="3"/>
      <c r="P138" s="3627"/>
      <c r="Q138" s="3672"/>
      <c r="R138" s="3672"/>
      <c r="S138" s="3672"/>
      <c r="T138" s="3672"/>
      <c r="U138" s="3672"/>
      <c r="V138" s="3672"/>
      <c r="W138" s="3672"/>
      <c r="X138" s="3672"/>
      <c r="Y138" s="3672"/>
      <c r="Z138" s="3672"/>
      <c r="AA138" s="3"/>
      <c r="AB138" s="3667" t="s">
        <v>5753</v>
      </c>
      <c r="AC138" s="3618" t="s">
        <v>5791</v>
      </c>
      <c r="AD138" s="3618"/>
      <c r="AE138" s="3618"/>
      <c r="AF138" s="3618"/>
      <c r="AG138" s="3618"/>
      <c r="AH138" s="3618"/>
      <c r="AI138" s="3618"/>
      <c r="AJ138" s="3618"/>
      <c r="AK138" s="3618"/>
      <c r="AL138" s="3618"/>
      <c r="AM138" s="3"/>
    </row>
    <row r="139" spans="15:39" ht="22.05" customHeight="1">
      <c r="O139" s="3"/>
      <c r="P139" s="3671"/>
      <c r="Q139" s="3618" t="s">
        <v>5792</v>
      </c>
      <c r="R139" s="3618"/>
      <c r="S139" s="3618"/>
      <c r="T139" s="3618"/>
      <c r="U139" s="3618"/>
      <c r="V139" s="3618"/>
      <c r="W139" s="3618"/>
      <c r="X139" s="3618"/>
      <c r="Y139" s="3618"/>
      <c r="Z139" s="3618"/>
      <c r="AA139" s="3"/>
      <c r="AB139" s="3667"/>
      <c r="AC139" s="3618"/>
      <c r="AD139" s="3618"/>
      <c r="AE139" s="3618"/>
      <c r="AF139" s="3618"/>
      <c r="AG139" s="3618"/>
      <c r="AH139" s="3618"/>
      <c r="AI139" s="3618"/>
      <c r="AJ139" s="3618"/>
      <c r="AK139" s="3618"/>
      <c r="AL139" s="3618"/>
      <c r="AM139" s="3"/>
    </row>
    <row r="140" spans="15:39" ht="22.05" customHeight="1">
      <c r="O140" s="3"/>
      <c r="P140" s="3671"/>
      <c r="Q140" s="3618"/>
      <c r="R140" s="3618"/>
      <c r="S140" s="3618"/>
      <c r="T140" s="3618"/>
      <c r="U140" s="3618"/>
      <c r="V140" s="3618"/>
      <c r="W140" s="3618"/>
      <c r="X140" s="3618"/>
      <c r="Y140" s="3618"/>
      <c r="Z140" s="3618"/>
      <c r="AA140" s="3"/>
      <c r="AB140" s="3667"/>
      <c r="AC140" s="3618"/>
      <c r="AD140" s="3618"/>
      <c r="AE140" s="3618"/>
      <c r="AF140" s="3618"/>
      <c r="AG140" s="3618"/>
      <c r="AH140" s="3618"/>
      <c r="AI140" s="3618"/>
      <c r="AJ140" s="3618"/>
      <c r="AK140" s="3618"/>
      <c r="AL140" s="3618"/>
      <c r="AM140" s="3"/>
    </row>
    <row r="141" spans="15:39" ht="22.05" customHeight="1">
      <c r="O141" s="3"/>
      <c r="P141" s="3671"/>
      <c r="Q141" s="3618"/>
      <c r="R141" s="3618"/>
      <c r="S141" s="3618"/>
      <c r="T141" s="3618"/>
      <c r="U141" s="3618"/>
      <c r="V141" s="3618"/>
      <c r="W141" s="3618"/>
      <c r="X141" s="3618"/>
      <c r="Y141" s="3618"/>
      <c r="Z141" s="3618"/>
      <c r="AA141" s="3"/>
      <c r="AB141" s="3667"/>
      <c r="AC141" s="3618"/>
      <c r="AD141" s="3618"/>
      <c r="AE141" s="3618"/>
      <c r="AF141" s="3618"/>
      <c r="AG141" s="3618"/>
      <c r="AH141" s="3618"/>
      <c r="AI141" s="3618"/>
      <c r="AJ141" s="3618"/>
      <c r="AK141" s="3618"/>
      <c r="AL141" s="3618"/>
      <c r="AM141" s="3"/>
    </row>
    <row r="142" spans="15:39" ht="22.05" customHeight="1">
      <c r="O142" s="3"/>
      <c r="P142" s="3653" t="s">
        <v>5570</v>
      </c>
      <c r="Q142" s="3639" t="s">
        <v>5793</v>
      </c>
      <c r="R142" s="3639"/>
      <c r="S142" s="3639"/>
      <c r="T142" s="3639"/>
      <c r="U142" s="3639"/>
      <c r="V142" s="3639"/>
      <c r="W142" s="3639"/>
      <c r="X142" s="3639"/>
      <c r="Y142" s="3639"/>
      <c r="Z142" s="3639"/>
      <c r="AA142" s="3"/>
      <c r="AB142" s="3667"/>
      <c r="AC142" s="3618"/>
      <c r="AD142" s="3618"/>
      <c r="AE142" s="3618"/>
      <c r="AF142" s="3618"/>
      <c r="AG142" s="3618"/>
      <c r="AH142" s="3618"/>
      <c r="AI142" s="3618"/>
      <c r="AJ142" s="3618"/>
      <c r="AK142" s="3618"/>
      <c r="AL142" s="3618"/>
      <c r="AM142" s="3"/>
    </row>
    <row r="143" spans="15:39" ht="22.05" customHeight="1">
      <c r="O143" s="3"/>
      <c r="P143" s="3654"/>
      <c r="Q143" s="3618"/>
      <c r="R143" s="3618"/>
      <c r="S143" s="3618"/>
      <c r="T143" s="3618"/>
      <c r="U143" s="3618"/>
      <c r="V143" s="3618"/>
      <c r="W143" s="3618"/>
      <c r="X143" s="3618"/>
      <c r="Y143" s="3618"/>
      <c r="Z143" s="3618"/>
      <c r="AA143" s="3"/>
      <c r="AB143" s="3667"/>
      <c r="AC143" s="3618"/>
      <c r="AD143" s="3618"/>
      <c r="AE143" s="3618"/>
      <c r="AF143" s="3618"/>
      <c r="AG143" s="3618"/>
      <c r="AH143" s="3618"/>
      <c r="AI143" s="3618"/>
      <c r="AJ143" s="3618"/>
      <c r="AK143" s="3618"/>
      <c r="AL143" s="3618"/>
      <c r="AM143" s="3"/>
    </row>
    <row r="144" spans="15:39" ht="22.05" customHeight="1">
      <c r="O144" s="3"/>
      <c r="P144" s="3654"/>
      <c r="Q144" s="3618"/>
      <c r="R144" s="3618"/>
      <c r="S144" s="3618"/>
      <c r="T144" s="3618"/>
      <c r="U144" s="3618"/>
      <c r="V144" s="3618"/>
      <c r="W144" s="3618"/>
      <c r="X144" s="3618"/>
      <c r="Y144" s="3618"/>
      <c r="Z144" s="3618"/>
      <c r="AA144" s="3"/>
      <c r="AB144" s="3667"/>
      <c r="AC144" s="3618"/>
      <c r="AD144" s="3618"/>
      <c r="AE144" s="3618"/>
      <c r="AF144" s="3618"/>
      <c r="AG144" s="3618"/>
      <c r="AH144" s="3618"/>
      <c r="AI144" s="3618"/>
      <c r="AJ144" s="3618"/>
      <c r="AK144" s="3618"/>
      <c r="AL144" s="3618"/>
      <c r="AM144" s="3"/>
    </row>
    <row r="145" spans="15:39" ht="22.05" customHeight="1">
      <c r="O145" s="3"/>
      <c r="P145" s="3655" t="s">
        <v>5566</v>
      </c>
      <c r="Q145" s="3616" t="s">
        <v>5794</v>
      </c>
      <c r="R145" s="3616"/>
      <c r="S145" s="3616"/>
      <c r="T145" s="3616"/>
      <c r="U145" s="3616"/>
      <c r="V145" s="3616"/>
      <c r="W145" s="3616"/>
      <c r="X145" s="3616"/>
      <c r="Y145" s="3616"/>
      <c r="Z145" s="3616"/>
      <c r="AA145" s="3"/>
      <c r="AB145" s="3667"/>
      <c r="AC145" s="3618"/>
      <c r="AD145" s="3618"/>
      <c r="AE145" s="3618"/>
      <c r="AF145" s="3618"/>
      <c r="AG145" s="3618"/>
      <c r="AH145" s="3618"/>
      <c r="AI145" s="3618"/>
      <c r="AJ145" s="3618"/>
      <c r="AK145" s="3618"/>
      <c r="AL145" s="3618"/>
      <c r="AM145" s="3"/>
    </row>
    <row r="146" spans="15:39" ht="22.05" customHeight="1">
      <c r="O146" s="3"/>
      <c r="P146" s="3655"/>
      <c r="Q146" s="3616"/>
      <c r="R146" s="3616"/>
      <c r="S146" s="3616"/>
      <c r="T146" s="3616"/>
      <c r="U146" s="3616"/>
      <c r="V146" s="3616"/>
      <c r="W146" s="3616"/>
      <c r="X146" s="3616"/>
      <c r="Y146" s="3616"/>
      <c r="Z146" s="3616"/>
      <c r="AA146" s="3"/>
      <c r="AB146" s="3667"/>
      <c r="AC146" s="3618"/>
      <c r="AD146" s="3618"/>
      <c r="AE146" s="3618"/>
      <c r="AF146" s="3618"/>
      <c r="AG146" s="3618"/>
      <c r="AH146" s="3618"/>
      <c r="AI146" s="3618"/>
      <c r="AJ146" s="3618"/>
      <c r="AK146" s="3618"/>
      <c r="AL146" s="3618"/>
      <c r="AM146" s="3"/>
    </row>
    <row r="147" spans="15:39" ht="22.05" customHeight="1">
      <c r="O147" s="3"/>
      <c r="P147" s="3655" t="s">
        <v>5582</v>
      </c>
      <c r="Q147" s="3618" t="s">
        <v>5795</v>
      </c>
      <c r="R147" s="3618"/>
      <c r="S147" s="3618"/>
      <c r="T147" s="3618"/>
      <c r="U147" s="3618"/>
      <c r="V147" s="3618"/>
      <c r="W147" s="3618"/>
      <c r="X147" s="3618"/>
      <c r="Y147" s="3618"/>
      <c r="Z147" s="3618"/>
      <c r="AA147" s="3"/>
      <c r="AB147" s="3667"/>
      <c r="AC147" s="3618"/>
      <c r="AD147" s="3618"/>
      <c r="AE147" s="3618"/>
      <c r="AF147" s="3618"/>
      <c r="AG147" s="3618"/>
      <c r="AH147" s="3618"/>
      <c r="AI147" s="3618"/>
      <c r="AJ147" s="3618"/>
      <c r="AK147" s="3618"/>
      <c r="AL147" s="3618"/>
      <c r="AM147" s="3"/>
    </row>
    <row r="148" spans="15:39" ht="22.05" customHeight="1">
      <c r="O148" s="3"/>
      <c r="P148" s="3655"/>
      <c r="Q148" s="3618"/>
      <c r="R148" s="3618"/>
      <c r="S148" s="3618"/>
      <c r="T148" s="3618"/>
      <c r="U148" s="3618"/>
      <c r="V148" s="3618"/>
      <c r="W148" s="3618"/>
      <c r="X148" s="3618"/>
      <c r="Y148" s="3618"/>
      <c r="Z148" s="3618"/>
      <c r="AA148" s="3"/>
      <c r="AB148" s="3667"/>
      <c r="AC148" s="3618" t="s">
        <v>5796</v>
      </c>
      <c r="AD148" s="3618"/>
      <c r="AE148" s="3618"/>
      <c r="AF148" s="3618"/>
      <c r="AG148" s="3618"/>
      <c r="AH148" s="3618"/>
      <c r="AI148" s="3618"/>
      <c r="AJ148" s="3618"/>
      <c r="AK148" s="3618"/>
      <c r="AL148" s="3618"/>
      <c r="AM148" s="3"/>
    </row>
    <row r="149" spans="15:39" ht="22.05" customHeight="1">
      <c r="O149" s="3"/>
      <c r="P149" s="3626" t="s">
        <v>114</v>
      </c>
      <c r="Q149" s="3620" t="s">
        <v>5797</v>
      </c>
      <c r="R149" s="3620"/>
      <c r="S149" s="3620"/>
      <c r="T149" s="3620"/>
      <c r="U149" s="3620"/>
      <c r="V149" s="3620"/>
      <c r="W149" s="3620"/>
      <c r="X149" s="3620"/>
      <c r="Y149" s="3620"/>
      <c r="Z149" s="3620"/>
      <c r="AA149" s="3"/>
      <c r="AB149" s="3667"/>
      <c r="AC149" s="3618"/>
      <c r="AD149" s="3618"/>
      <c r="AE149" s="3618"/>
      <c r="AF149" s="3618"/>
      <c r="AG149" s="3618"/>
      <c r="AH149" s="3618"/>
      <c r="AI149" s="3618"/>
      <c r="AJ149" s="3618"/>
      <c r="AK149" s="3618"/>
      <c r="AL149" s="3618"/>
      <c r="AM149" s="3"/>
    </row>
    <row r="150" spans="15:39" ht="22.05" customHeight="1">
      <c r="O150" s="3"/>
      <c r="P150" s="3626"/>
      <c r="Q150" s="3620"/>
      <c r="R150" s="3620"/>
      <c r="S150" s="3620"/>
      <c r="T150" s="3620"/>
      <c r="U150" s="3620"/>
      <c r="V150" s="3620"/>
      <c r="W150" s="3620"/>
      <c r="X150" s="3620"/>
      <c r="Y150" s="3620"/>
      <c r="Z150" s="3620"/>
      <c r="AA150" s="3"/>
      <c r="AB150" s="3667"/>
      <c r="AC150" s="3618"/>
      <c r="AD150" s="3618"/>
      <c r="AE150" s="3618"/>
      <c r="AF150" s="3618"/>
      <c r="AG150" s="3618"/>
      <c r="AH150" s="3618"/>
      <c r="AI150" s="3618"/>
      <c r="AJ150" s="3618"/>
      <c r="AK150" s="3618"/>
      <c r="AL150" s="3618"/>
      <c r="AM150" s="3"/>
    </row>
    <row r="151" spans="15:39" ht="22.05" customHeight="1">
      <c r="O151" s="3"/>
      <c r="P151" s="3626"/>
      <c r="Q151" s="3620"/>
      <c r="R151" s="3620"/>
      <c r="S151" s="3620"/>
      <c r="T151" s="3620"/>
      <c r="U151" s="3620"/>
      <c r="V151" s="3620"/>
      <c r="W151" s="3620"/>
      <c r="X151" s="3620"/>
      <c r="Y151" s="3620"/>
      <c r="Z151" s="3620"/>
      <c r="AA151" s="3"/>
      <c r="AB151" s="3667"/>
      <c r="AC151" s="3618"/>
      <c r="AD151" s="3618"/>
      <c r="AE151" s="3618"/>
      <c r="AF151" s="3618"/>
      <c r="AG151" s="3618"/>
      <c r="AH151" s="3618"/>
      <c r="AI151" s="3618"/>
      <c r="AJ151" s="3618"/>
      <c r="AK151" s="3618"/>
      <c r="AL151" s="3618"/>
      <c r="AM151" s="3"/>
    </row>
    <row r="152" spans="15:39" ht="22.05" customHeight="1">
      <c r="O152" s="3"/>
      <c r="P152" s="3626"/>
      <c r="Q152" s="3620"/>
      <c r="R152" s="3620"/>
      <c r="S152" s="3620"/>
      <c r="T152" s="3620"/>
      <c r="U152" s="3620"/>
      <c r="V152" s="3620"/>
      <c r="W152" s="3620"/>
      <c r="X152" s="3620"/>
      <c r="Y152" s="3620"/>
      <c r="Z152" s="3620"/>
      <c r="AA152" s="3"/>
      <c r="AB152" s="3667"/>
      <c r="AC152" s="3618"/>
      <c r="AD152" s="3618"/>
      <c r="AE152" s="3618"/>
      <c r="AF152" s="3618"/>
      <c r="AG152" s="3618"/>
      <c r="AH152" s="3618"/>
      <c r="AI152" s="3618"/>
      <c r="AJ152" s="3618"/>
      <c r="AK152" s="3618"/>
      <c r="AL152" s="3618"/>
      <c r="AM152" s="3"/>
    </row>
    <row r="153" spans="15:39" ht="22.05" customHeight="1">
      <c r="O153" s="3"/>
      <c r="P153" s="3626"/>
      <c r="Q153" s="3620"/>
      <c r="R153" s="3620"/>
      <c r="S153" s="3620"/>
      <c r="T153" s="3620"/>
      <c r="U153" s="3620"/>
      <c r="V153" s="3620"/>
      <c r="W153" s="3620"/>
      <c r="X153" s="3620"/>
      <c r="Y153" s="3620"/>
      <c r="Z153" s="3620"/>
      <c r="AA153" s="3"/>
      <c r="AB153" s="3667"/>
      <c r="AC153" s="3619" t="s">
        <v>5798</v>
      </c>
      <c r="AD153" s="3619"/>
      <c r="AE153" s="3619"/>
      <c r="AF153" s="3619"/>
      <c r="AG153" s="3619"/>
      <c r="AH153" s="3619"/>
      <c r="AI153" s="3619"/>
      <c r="AJ153" s="3619"/>
      <c r="AK153" s="3619"/>
      <c r="AL153" s="3619"/>
      <c r="AM153" s="3"/>
    </row>
    <row r="154" spans="15:39" ht="22.05" customHeight="1">
      <c r="O154" s="3"/>
      <c r="AA154" s="3"/>
      <c r="AB154" s="3667"/>
      <c r="AC154" s="3619" t="s">
        <v>5799</v>
      </c>
      <c r="AD154" s="3619"/>
      <c r="AE154" s="3619"/>
      <c r="AF154" s="3619"/>
      <c r="AG154" s="3619"/>
      <c r="AH154" s="3619"/>
      <c r="AI154" s="3619"/>
      <c r="AJ154" s="3619"/>
      <c r="AK154" s="3619"/>
      <c r="AL154" s="3619"/>
      <c r="AM154" s="3"/>
    </row>
    <row r="155" spans="15:39" ht="22.05" customHeight="1">
      <c r="O155" s="3"/>
      <c r="AA155" s="3"/>
      <c r="AB155" s="3662" t="s">
        <v>5582</v>
      </c>
      <c r="AC155" s="3619" t="s">
        <v>5800</v>
      </c>
      <c r="AD155" s="3619"/>
      <c r="AE155" s="3619"/>
      <c r="AF155" s="3619"/>
      <c r="AG155" s="3619"/>
      <c r="AH155" s="3619"/>
      <c r="AI155" s="3619"/>
      <c r="AJ155" s="3619"/>
      <c r="AK155" s="3619"/>
      <c r="AL155" s="3619"/>
      <c r="AM155" s="3"/>
    </row>
    <row r="156" spans="15:39" ht="22.05" customHeight="1">
      <c r="O156" s="3"/>
      <c r="AA156" s="3"/>
      <c r="AB156" s="3662"/>
      <c r="AC156" s="3669" t="s">
        <v>5801</v>
      </c>
      <c r="AD156" s="3669"/>
      <c r="AE156" s="3669"/>
      <c r="AF156" s="3669"/>
      <c r="AG156" s="3669"/>
      <c r="AH156" s="3669"/>
      <c r="AI156" s="3669"/>
      <c r="AJ156" s="3669"/>
      <c r="AK156" s="3669"/>
      <c r="AL156" s="3669"/>
      <c r="AM156" s="3"/>
    </row>
    <row r="157" spans="15:39" ht="22.05" customHeight="1">
      <c r="O157" s="3"/>
      <c r="AA157" s="3"/>
      <c r="AB157" s="3660" t="s">
        <v>5802</v>
      </c>
      <c r="AC157" s="3660"/>
      <c r="AD157" s="3660"/>
      <c r="AE157" s="3660"/>
      <c r="AF157" s="3660"/>
      <c r="AG157" s="3660"/>
      <c r="AH157" s="3660"/>
      <c r="AI157" s="3660"/>
      <c r="AJ157" s="3660"/>
      <c r="AK157" s="3660"/>
      <c r="AL157" s="3660"/>
      <c r="AM157" s="3"/>
    </row>
    <row r="158" spans="15:39" ht="22.05" customHeight="1">
      <c r="O158" s="3"/>
      <c r="AA158" s="3"/>
      <c r="AB158" s="10" t="s">
        <v>5552</v>
      </c>
      <c r="AC158" s="3619" t="s">
        <v>5803</v>
      </c>
      <c r="AD158" s="3619"/>
      <c r="AE158" s="3619"/>
      <c r="AF158" s="3619"/>
      <c r="AG158" s="3619"/>
      <c r="AH158" s="3619"/>
      <c r="AI158" s="3619"/>
      <c r="AJ158" s="3619"/>
      <c r="AK158" s="3619"/>
      <c r="AL158" s="3619"/>
      <c r="AM158" s="3"/>
    </row>
    <row r="159" spans="15:39" ht="22.05" customHeight="1">
      <c r="O159" s="3"/>
      <c r="AA159" s="3"/>
      <c r="AB159" s="5" t="s">
        <v>5579</v>
      </c>
      <c r="AC159" s="3619" t="s">
        <v>5804</v>
      </c>
      <c r="AD159" s="3619"/>
      <c r="AE159" s="3619"/>
      <c r="AF159" s="3619"/>
      <c r="AG159" s="3619"/>
      <c r="AH159" s="3619"/>
      <c r="AI159" s="3619"/>
      <c r="AJ159" s="3619"/>
      <c r="AK159" s="3619"/>
      <c r="AL159" s="3619"/>
      <c r="AM159" s="3"/>
    </row>
    <row r="160" spans="15:39" ht="22.05" customHeight="1">
      <c r="O160" s="3"/>
      <c r="AA160" s="3"/>
      <c r="AB160" s="3660" t="s">
        <v>5805</v>
      </c>
      <c r="AC160" s="3660"/>
      <c r="AD160" s="3660"/>
      <c r="AE160" s="3660"/>
      <c r="AF160" s="3660"/>
      <c r="AG160" s="3660"/>
      <c r="AH160" s="3660"/>
      <c r="AI160" s="3660"/>
      <c r="AJ160" s="3660"/>
      <c r="AK160" s="3660"/>
      <c r="AL160" s="3660"/>
      <c r="AM160" s="3"/>
    </row>
    <row r="161" spans="15:39" ht="22.05" customHeight="1">
      <c r="O161" s="3"/>
      <c r="AA161" s="3"/>
      <c r="AB161" s="7" t="s">
        <v>5688</v>
      </c>
      <c r="AC161" s="3668" t="s">
        <v>5806</v>
      </c>
      <c r="AD161" s="3668"/>
      <c r="AE161" s="3668"/>
      <c r="AF161" s="3668"/>
      <c r="AG161" s="3668"/>
      <c r="AH161" s="3668"/>
      <c r="AI161" s="3668"/>
      <c r="AJ161" s="3668"/>
      <c r="AK161" s="3668"/>
      <c r="AL161" s="3668"/>
      <c r="AM161" s="3"/>
    </row>
    <row r="162" spans="15:39" ht="22.05" customHeight="1">
      <c r="O162" s="3"/>
      <c r="AA162" s="3"/>
      <c r="AB162" s="3660" t="s">
        <v>5807</v>
      </c>
      <c r="AC162" s="3660"/>
      <c r="AD162" s="3660"/>
      <c r="AE162" s="3660"/>
      <c r="AF162" s="3660"/>
      <c r="AG162" s="3660"/>
      <c r="AH162" s="3660"/>
      <c r="AI162" s="3660"/>
      <c r="AJ162" s="3660"/>
      <c r="AK162" s="3660"/>
      <c r="AL162" s="3660"/>
      <c r="AM162" s="3"/>
    </row>
    <row r="163" spans="15:39" ht="22.05" customHeight="1">
      <c r="O163" s="3"/>
      <c r="AA163" s="3"/>
      <c r="AB163" s="3667" t="s">
        <v>5552</v>
      </c>
      <c r="AC163" s="3618" t="s">
        <v>5808</v>
      </c>
      <c r="AD163" s="3619"/>
      <c r="AE163" s="3619"/>
      <c r="AF163" s="3619"/>
      <c r="AG163" s="3619"/>
      <c r="AH163" s="3619"/>
      <c r="AI163" s="3619"/>
      <c r="AJ163" s="3619"/>
      <c r="AK163" s="3619"/>
      <c r="AL163" s="3619"/>
      <c r="AM163" s="3"/>
    </row>
    <row r="164" spans="15:39" ht="22.05" customHeight="1">
      <c r="O164" s="3"/>
      <c r="AA164" s="3"/>
      <c r="AB164" s="3667"/>
      <c r="AC164" s="3619"/>
      <c r="AD164" s="3619"/>
      <c r="AE164" s="3619"/>
      <c r="AF164" s="3619"/>
      <c r="AG164" s="3619"/>
      <c r="AH164" s="3619"/>
      <c r="AI164" s="3619"/>
      <c r="AJ164" s="3619"/>
      <c r="AK164" s="3619"/>
      <c r="AL164" s="3619"/>
      <c r="AM164" s="3"/>
    </row>
    <row r="165" spans="15:39" ht="22.05" customHeight="1">
      <c r="O165" s="3"/>
      <c r="AA165" s="3"/>
      <c r="AB165" s="3667"/>
      <c r="AC165" s="3619"/>
      <c r="AD165" s="3619"/>
      <c r="AE165" s="3619"/>
      <c r="AF165" s="3619"/>
      <c r="AG165" s="3619"/>
      <c r="AH165" s="3619"/>
      <c r="AI165" s="3619"/>
      <c r="AJ165" s="3619"/>
      <c r="AK165" s="3619"/>
      <c r="AL165" s="3619"/>
      <c r="AM165" s="3"/>
    </row>
    <row r="166" spans="15:39" ht="22.05" customHeight="1">
      <c r="O166" s="3"/>
      <c r="AA166" s="3"/>
      <c r="AB166" s="3667"/>
      <c r="AC166" s="3618" t="s">
        <v>5809</v>
      </c>
      <c r="AD166" s="3619"/>
      <c r="AE166" s="3619"/>
      <c r="AF166" s="3619"/>
      <c r="AG166" s="3619"/>
      <c r="AH166" s="3619"/>
      <c r="AI166" s="3619"/>
      <c r="AJ166" s="3619"/>
      <c r="AK166" s="3619"/>
      <c r="AL166" s="3619"/>
      <c r="AM166" s="3"/>
    </row>
    <row r="167" spans="15:39" ht="22.05" customHeight="1">
      <c r="O167" s="3"/>
      <c r="AA167" s="3"/>
      <c r="AB167" s="3667"/>
      <c r="AC167" s="3619"/>
      <c r="AD167" s="3619"/>
      <c r="AE167" s="3619"/>
      <c r="AF167" s="3619"/>
      <c r="AG167" s="3619"/>
      <c r="AH167" s="3619"/>
      <c r="AI167" s="3619"/>
      <c r="AJ167" s="3619"/>
      <c r="AK167" s="3619"/>
      <c r="AL167" s="3619"/>
      <c r="AM167" s="3"/>
    </row>
    <row r="168" spans="15:39" ht="22.05" customHeight="1">
      <c r="O168" s="3"/>
      <c r="AA168" s="3"/>
      <c r="AB168" s="3667"/>
      <c r="AC168" s="3618" t="s">
        <v>5810</v>
      </c>
      <c r="AD168" s="3619"/>
      <c r="AE168" s="3619"/>
      <c r="AF168" s="3619"/>
      <c r="AG168" s="3619"/>
      <c r="AH168" s="3619"/>
      <c r="AI168" s="3619"/>
      <c r="AJ168" s="3619"/>
      <c r="AK168" s="3619"/>
      <c r="AL168" s="3619"/>
      <c r="AM168" s="3"/>
    </row>
    <row r="169" spans="15:39" ht="22.05" customHeight="1">
      <c r="O169" s="3"/>
      <c r="AA169" s="3"/>
      <c r="AB169" s="3667"/>
      <c r="AC169" s="3619"/>
      <c r="AD169" s="3619"/>
      <c r="AE169" s="3619"/>
      <c r="AF169" s="3619"/>
      <c r="AG169" s="3619"/>
      <c r="AH169" s="3619"/>
      <c r="AI169" s="3619"/>
      <c r="AJ169" s="3619"/>
      <c r="AK169" s="3619"/>
      <c r="AL169" s="3619"/>
      <c r="AM169" s="3"/>
    </row>
    <row r="170" spans="15:39" ht="22.05" customHeight="1">
      <c r="O170" s="3"/>
      <c r="AA170" s="3"/>
      <c r="AB170" s="3667"/>
      <c r="AC170" s="3618" t="s">
        <v>5811</v>
      </c>
      <c r="AD170" s="3618"/>
      <c r="AE170" s="3618"/>
      <c r="AF170" s="3618"/>
      <c r="AG170" s="3618"/>
      <c r="AH170" s="3618"/>
      <c r="AI170" s="3618"/>
      <c r="AJ170" s="3618"/>
      <c r="AK170" s="3618"/>
      <c r="AL170" s="3618"/>
      <c r="AM170" s="3"/>
    </row>
    <row r="171" spans="15:39" ht="22.05" customHeight="1">
      <c r="O171" s="3"/>
      <c r="AA171" s="3"/>
      <c r="AB171" s="3667"/>
      <c r="AC171" s="3618"/>
      <c r="AD171" s="3618"/>
      <c r="AE171" s="3618"/>
      <c r="AF171" s="3618"/>
      <c r="AG171" s="3618"/>
      <c r="AH171" s="3618"/>
      <c r="AI171" s="3618"/>
      <c r="AJ171" s="3618"/>
      <c r="AK171" s="3618"/>
      <c r="AL171" s="3618"/>
      <c r="AM171" s="3"/>
    </row>
    <row r="172" spans="15:39" ht="22.05" customHeight="1">
      <c r="O172" s="3"/>
      <c r="AA172" s="3"/>
      <c r="AB172" s="3667"/>
      <c r="AC172" s="3619" t="s">
        <v>5812</v>
      </c>
      <c r="AD172" s="3619"/>
      <c r="AE172" s="3619"/>
      <c r="AF172" s="3619"/>
      <c r="AG172" s="3619"/>
      <c r="AH172" s="3619"/>
      <c r="AI172" s="3619"/>
      <c r="AJ172" s="3619"/>
      <c r="AK172" s="3619"/>
      <c r="AL172" s="3619"/>
      <c r="AM172" s="3"/>
    </row>
    <row r="173" spans="15:39" ht="22.05" customHeight="1">
      <c r="O173" s="3"/>
      <c r="AA173" s="3"/>
      <c r="AB173" s="3667"/>
      <c r="AC173" s="3619" t="s">
        <v>5813</v>
      </c>
      <c r="AD173" s="3619"/>
      <c r="AE173" s="3619"/>
      <c r="AF173" s="3619"/>
      <c r="AG173" s="3619"/>
      <c r="AH173" s="3619"/>
      <c r="AI173" s="3619"/>
      <c r="AJ173" s="3619"/>
      <c r="AK173" s="3619"/>
      <c r="AL173" s="3619"/>
      <c r="AM173" s="3"/>
    </row>
    <row r="174" spans="15:39" ht="22.05" customHeight="1">
      <c r="O174" s="3"/>
      <c r="AA174" s="3"/>
      <c r="AB174" s="3667"/>
      <c r="AC174" s="3619" t="s">
        <v>5814</v>
      </c>
      <c r="AD174" s="3619"/>
      <c r="AE174" s="3619"/>
      <c r="AF174" s="3619"/>
      <c r="AG174" s="3619"/>
      <c r="AH174" s="3619"/>
      <c r="AI174" s="3619"/>
      <c r="AJ174" s="3619"/>
      <c r="AK174" s="3619"/>
      <c r="AL174" s="3619"/>
      <c r="AM174" s="3"/>
    </row>
    <row r="175" spans="15:39" ht="22.05" customHeight="1">
      <c r="O175" s="3"/>
      <c r="AA175" s="3"/>
      <c r="AB175" s="3667"/>
      <c r="AC175" s="3619" t="s">
        <v>5815</v>
      </c>
      <c r="AD175" s="3619"/>
      <c r="AE175" s="3619"/>
      <c r="AF175" s="3619"/>
      <c r="AG175" s="3619"/>
      <c r="AH175" s="3619"/>
      <c r="AI175" s="3619"/>
      <c r="AJ175" s="3619"/>
      <c r="AK175" s="3619"/>
      <c r="AL175" s="3619"/>
      <c r="AM175" s="3"/>
    </row>
    <row r="176" spans="15:39" ht="22.05" customHeight="1">
      <c r="O176" s="3"/>
      <c r="AA176" s="3"/>
      <c r="AB176" s="3667"/>
      <c r="AC176" s="3618" t="s">
        <v>5816</v>
      </c>
      <c r="AD176" s="3618"/>
      <c r="AE176" s="3618"/>
      <c r="AF176" s="3618"/>
      <c r="AG176" s="3618"/>
      <c r="AH176" s="3618"/>
      <c r="AI176" s="3618"/>
      <c r="AJ176" s="3618"/>
      <c r="AK176" s="3618"/>
      <c r="AL176" s="3618"/>
      <c r="AM176" s="3"/>
    </row>
    <row r="177" spans="15:39" ht="22.05" customHeight="1">
      <c r="O177" s="3"/>
      <c r="AA177" s="3"/>
      <c r="AB177" s="3667"/>
      <c r="AC177" s="3618"/>
      <c r="AD177" s="3618"/>
      <c r="AE177" s="3618"/>
      <c r="AF177" s="3618"/>
      <c r="AG177" s="3618"/>
      <c r="AH177" s="3618"/>
      <c r="AI177" s="3618"/>
      <c r="AJ177" s="3618"/>
      <c r="AK177" s="3618"/>
      <c r="AL177" s="3618"/>
      <c r="AM177" s="3"/>
    </row>
    <row r="178" spans="15:39" ht="22.05" customHeight="1">
      <c r="O178" s="3"/>
      <c r="AA178" s="3"/>
      <c r="AB178" s="3667"/>
      <c r="AC178" s="3618"/>
      <c r="AD178" s="3618"/>
      <c r="AE178" s="3618"/>
      <c r="AF178" s="3618"/>
      <c r="AG178" s="3618"/>
      <c r="AH178" s="3618"/>
      <c r="AI178" s="3618"/>
      <c r="AJ178" s="3618"/>
      <c r="AK178" s="3618"/>
      <c r="AL178" s="3618"/>
      <c r="AM178" s="3"/>
    </row>
    <row r="179" spans="15:39" ht="22.05" customHeight="1">
      <c r="O179" s="3"/>
      <c r="AA179" s="3"/>
      <c r="AB179" s="7" t="s">
        <v>5598</v>
      </c>
      <c r="AC179" s="3619" t="s">
        <v>5817</v>
      </c>
      <c r="AD179" s="3619"/>
      <c r="AE179" s="3619"/>
      <c r="AF179" s="3619"/>
      <c r="AG179" s="3619"/>
      <c r="AH179" s="3619"/>
      <c r="AI179" s="3619"/>
      <c r="AJ179" s="3619"/>
      <c r="AK179" s="3619"/>
      <c r="AL179" s="3619"/>
      <c r="AM179" s="3"/>
    </row>
    <row r="180" spans="15:39" ht="22.05" customHeight="1">
      <c r="O180" s="3"/>
      <c r="AA180" s="3"/>
      <c r="AB180" s="3654" t="s">
        <v>5818</v>
      </c>
      <c r="AC180" s="3619" t="s">
        <v>5819</v>
      </c>
      <c r="AD180" s="3619"/>
      <c r="AE180" s="3619"/>
      <c r="AF180" s="3619"/>
      <c r="AG180" s="3619"/>
      <c r="AH180" s="3619"/>
      <c r="AI180" s="3619"/>
      <c r="AJ180" s="3619"/>
      <c r="AK180" s="3619"/>
      <c r="AL180" s="3619"/>
      <c r="AM180" s="3"/>
    </row>
    <row r="181" spans="15:39" ht="22.05" customHeight="1">
      <c r="O181" s="3"/>
      <c r="AA181" s="3"/>
      <c r="AB181" s="3654"/>
      <c r="AC181" s="3619" t="s">
        <v>5820</v>
      </c>
      <c r="AD181" s="3619"/>
      <c r="AE181" s="3619"/>
      <c r="AF181" s="3619"/>
      <c r="AG181" s="3619"/>
      <c r="AH181" s="3619"/>
      <c r="AI181" s="3619"/>
      <c r="AJ181" s="3619"/>
      <c r="AK181" s="3619"/>
      <c r="AL181" s="3619"/>
      <c r="AM181" s="3"/>
    </row>
    <row r="182" spans="15:39" ht="22.05" customHeight="1">
      <c r="O182" s="3"/>
      <c r="AA182" s="3"/>
      <c r="AB182" s="3654"/>
      <c r="AC182" s="3619" t="s">
        <v>5821</v>
      </c>
      <c r="AD182" s="3619"/>
      <c r="AE182" s="3619"/>
      <c r="AF182" s="3619"/>
      <c r="AG182" s="3619"/>
      <c r="AH182" s="3619"/>
      <c r="AI182" s="3619"/>
      <c r="AJ182" s="3619"/>
      <c r="AK182" s="3619"/>
      <c r="AL182" s="3619"/>
      <c r="AM182" s="3"/>
    </row>
    <row r="183" spans="15:39" ht="22.05" customHeight="1">
      <c r="O183" s="3"/>
      <c r="AA183" s="3"/>
      <c r="AB183" s="3654"/>
      <c r="AC183" s="3619" t="s">
        <v>5822</v>
      </c>
      <c r="AD183" s="3619"/>
      <c r="AE183" s="3619"/>
      <c r="AF183" s="3619"/>
      <c r="AG183" s="3619"/>
      <c r="AH183" s="3619"/>
      <c r="AI183" s="3619"/>
      <c r="AJ183" s="3619"/>
      <c r="AK183" s="3619"/>
      <c r="AL183" s="3619"/>
      <c r="AM183" s="3"/>
    </row>
    <row r="184" spans="15:39" ht="22.05" customHeight="1">
      <c r="O184" s="3"/>
      <c r="AA184" s="3"/>
      <c r="AB184" s="3654"/>
      <c r="AC184" s="3666" t="s">
        <v>5823</v>
      </c>
      <c r="AD184" s="3666"/>
      <c r="AE184" s="3666"/>
      <c r="AF184" s="3666"/>
      <c r="AG184" s="3666"/>
      <c r="AH184" s="3666"/>
      <c r="AI184" s="3666"/>
      <c r="AJ184" s="3666"/>
      <c r="AK184" s="3666"/>
      <c r="AL184" s="3666"/>
      <c r="AM184" s="3"/>
    </row>
    <row r="185" spans="15:39" ht="22.05" customHeight="1">
      <c r="O185" s="3"/>
      <c r="AA185" s="3"/>
      <c r="AB185" s="3660" t="s">
        <v>5824</v>
      </c>
      <c r="AC185" s="3660"/>
      <c r="AD185" s="3660"/>
      <c r="AE185" s="3660"/>
      <c r="AF185" s="3660"/>
      <c r="AG185" s="3660"/>
      <c r="AH185" s="3660"/>
      <c r="AI185" s="3660"/>
      <c r="AJ185" s="3660"/>
      <c r="AK185" s="3660"/>
      <c r="AL185" s="3660"/>
      <c r="AM185" s="3"/>
    </row>
    <row r="186" spans="15:39" ht="22.05" customHeight="1">
      <c r="O186" s="3"/>
      <c r="AA186" s="3"/>
      <c r="AB186" s="3667" t="s">
        <v>5552</v>
      </c>
      <c r="AC186" s="3619" t="s">
        <v>5825</v>
      </c>
      <c r="AD186" s="3619"/>
      <c r="AE186" s="3619"/>
      <c r="AF186" s="3619"/>
      <c r="AG186" s="3619"/>
      <c r="AH186" s="3619"/>
      <c r="AI186" s="3619"/>
      <c r="AJ186" s="3619"/>
      <c r="AK186" s="3619"/>
      <c r="AL186" s="3619"/>
      <c r="AM186" s="3"/>
    </row>
    <row r="187" spans="15:39" ht="22.05" customHeight="1">
      <c r="O187" s="3"/>
      <c r="AA187" s="3"/>
      <c r="AB187" s="3667"/>
      <c r="AC187" s="3621" t="s">
        <v>5826</v>
      </c>
      <c r="AD187" s="3622"/>
      <c r="AE187" s="3622"/>
      <c r="AF187" s="3622"/>
      <c r="AG187" s="3622"/>
      <c r="AH187" s="3622"/>
      <c r="AI187" s="3622"/>
      <c r="AJ187" s="3622"/>
      <c r="AK187" s="3622"/>
      <c r="AL187" s="3622"/>
      <c r="AM187" s="3"/>
    </row>
    <row r="188" spans="15:39" ht="22.05" customHeight="1">
      <c r="O188" s="3"/>
      <c r="AA188" s="3"/>
      <c r="AB188" s="3667"/>
      <c r="AC188" s="3622"/>
      <c r="AD188" s="3622"/>
      <c r="AE188" s="3622"/>
      <c r="AF188" s="3622"/>
      <c r="AG188" s="3622"/>
      <c r="AH188" s="3622"/>
      <c r="AI188" s="3622"/>
      <c r="AJ188" s="3622"/>
      <c r="AK188" s="3622"/>
      <c r="AL188" s="3622"/>
      <c r="AM188" s="3"/>
    </row>
    <row r="189" spans="15:39" ht="22.05" customHeight="1">
      <c r="O189" s="3"/>
      <c r="AA189" s="3"/>
      <c r="AB189" s="3667"/>
      <c r="AC189" s="3619" t="s">
        <v>5827</v>
      </c>
      <c r="AD189" s="3619"/>
      <c r="AE189" s="3619"/>
      <c r="AF189" s="3619"/>
      <c r="AG189" s="3619"/>
      <c r="AH189" s="3619"/>
      <c r="AI189" s="3619"/>
      <c r="AJ189" s="3619"/>
      <c r="AK189" s="3619"/>
      <c r="AL189" s="3619"/>
      <c r="AM189" s="3"/>
    </row>
    <row r="190" spans="15:39" ht="22.05" customHeight="1">
      <c r="O190" s="3"/>
      <c r="AA190" s="3"/>
      <c r="AB190" s="3667"/>
      <c r="AC190" s="3619" t="s">
        <v>5828</v>
      </c>
      <c r="AD190" s="3619"/>
      <c r="AE190" s="3619"/>
      <c r="AF190" s="3619"/>
      <c r="AG190" s="3619"/>
      <c r="AH190" s="3619"/>
      <c r="AI190" s="3619"/>
      <c r="AJ190" s="3619"/>
      <c r="AK190" s="3619"/>
      <c r="AL190" s="3619"/>
      <c r="AM190" s="3"/>
    </row>
    <row r="191" spans="15:39" ht="22.05" customHeight="1">
      <c r="O191" s="3"/>
      <c r="AA191" s="3"/>
      <c r="AB191" s="3667"/>
      <c r="AC191" s="3619" t="s">
        <v>5677</v>
      </c>
      <c r="AD191" s="3619"/>
      <c r="AE191" s="3619"/>
      <c r="AF191" s="3619"/>
      <c r="AG191" s="3619"/>
      <c r="AH191" s="3619"/>
      <c r="AI191" s="3619"/>
      <c r="AJ191" s="3619"/>
      <c r="AK191" s="3619"/>
      <c r="AL191" s="3619"/>
      <c r="AM191" s="3"/>
    </row>
    <row r="192" spans="15:39" ht="22.05" customHeight="1">
      <c r="O192" s="3"/>
      <c r="AA192" s="3"/>
      <c r="AB192" s="5" t="s">
        <v>5570</v>
      </c>
      <c r="AC192" s="3619" t="s">
        <v>5829</v>
      </c>
      <c r="AD192" s="3619"/>
      <c r="AE192" s="3619"/>
      <c r="AF192" s="3619"/>
      <c r="AG192" s="3619"/>
      <c r="AH192" s="3619"/>
      <c r="AI192" s="3619"/>
      <c r="AJ192" s="3619"/>
      <c r="AK192" s="3619"/>
      <c r="AL192" s="3619"/>
      <c r="AM192" s="3"/>
    </row>
    <row r="193" spans="15:39" ht="22.05" customHeight="1">
      <c r="O193" s="3"/>
      <c r="AA193" s="3"/>
      <c r="AB193" s="10" t="s">
        <v>5566</v>
      </c>
      <c r="AC193" s="3619" t="s">
        <v>5830</v>
      </c>
      <c r="AD193" s="3619"/>
      <c r="AE193" s="3619"/>
      <c r="AF193" s="3619"/>
      <c r="AG193" s="3619"/>
      <c r="AH193" s="3619"/>
      <c r="AI193" s="3619"/>
      <c r="AJ193" s="3619"/>
      <c r="AK193" s="3619"/>
      <c r="AL193" s="3619"/>
      <c r="AM193" s="3"/>
    </row>
    <row r="194" spans="15:39" ht="22.05" customHeight="1">
      <c r="O194" s="3"/>
      <c r="AA194" s="3"/>
      <c r="AB194" s="12" t="s">
        <v>5831</v>
      </c>
      <c r="AC194" s="3619" t="s">
        <v>5832</v>
      </c>
      <c r="AD194" s="3619"/>
      <c r="AE194" s="3619"/>
      <c r="AF194" s="3619"/>
      <c r="AG194" s="3619"/>
      <c r="AH194" s="3619"/>
      <c r="AI194" s="3619"/>
      <c r="AJ194" s="3619"/>
      <c r="AK194" s="3619"/>
      <c r="AL194" s="3619"/>
      <c r="AM194" s="3"/>
    </row>
    <row r="195" spans="15:39" ht="22.05" customHeight="1">
      <c r="O195" s="3"/>
      <c r="AA195" s="3"/>
      <c r="AB195" s="3663" t="s">
        <v>5579</v>
      </c>
      <c r="AC195" s="3619" t="s">
        <v>5832</v>
      </c>
      <c r="AD195" s="3619"/>
      <c r="AE195" s="3619"/>
      <c r="AF195" s="3619"/>
      <c r="AG195" s="3619"/>
      <c r="AH195" s="3619"/>
      <c r="AI195" s="3619"/>
      <c r="AJ195" s="3619"/>
      <c r="AK195" s="3619"/>
      <c r="AL195" s="3619"/>
      <c r="AM195" s="3"/>
    </row>
    <row r="196" spans="15:39" ht="22.05" customHeight="1">
      <c r="O196" s="3"/>
      <c r="AA196" s="3"/>
      <c r="AB196" s="3663"/>
      <c r="AC196" s="3619" t="s">
        <v>5833</v>
      </c>
      <c r="AD196" s="3619"/>
      <c r="AE196" s="3619"/>
      <c r="AF196" s="3619"/>
      <c r="AG196" s="3619"/>
      <c r="AH196" s="3619"/>
      <c r="AI196" s="3619"/>
      <c r="AJ196" s="3619"/>
      <c r="AK196" s="3619"/>
      <c r="AL196" s="3619"/>
      <c r="AM196" s="3"/>
    </row>
    <row r="197" spans="15:39" ht="22.05" customHeight="1">
      <c r="O197" s="3"/>
      <c r="AA197" s="3"/>
      <c r="AB197" s="3660" t="s">
        <v>5834</v>
      </c>
      <c r="AC197" s="3660"/>
      <c r="AD197" s="3660"/>
      <c r="AE197" s="3660"/>
      <c r="AF197" s="3660"/>
      <c r="AG197" s="3660"/>
      <c r="AH197" s="3660"/>
      <c r="AI197" s="3660"/>
      <c r="AJ197" s="3660"/>
      <c r="AK197" s="3660"/>
      <c r="AL197" s="3660"/>
      <c r="AM197" s="3"/>
    </row>
    <row r="198" spans="15:39" ht="22.05" customHeight="1">
      <c r="O198" s="3"/>
      <c r="AA198" s="3"/>
      <c r="AB198" s="3664" t="s">
        <v>5552</v>
      </c>
      <c r="AC198" s="3619" t="s">
        <v>5835</v>
      </c>
      <c r="AD198" s="3619"/>
      <c r="AE198" s="3619"/>
      <c r="AF198" s="3619"/>
      <c r="AG198" s="3619"/>
      <c r="AH198" s="3619"/>
      <c r="AI198" s="3619"/>
      <c r="AJ198" s="3619"/>
      <c r="AK198" s="3619"/>
      <c r="AL198" s="3619"/>
      <c r="AM198" s="3"/>
    </row>
    <row r="199" spans="15:39" ht="22.05" customHeight="1">
      <c r="O199" s="3"/>
      <c r="AA199" s="3"/>
      <c r="AB199" s="3664"/>
      <c r="AC199" s="3619" t="s">
        <v>5836</v>
      </c>
      <c r="AD199" s="3619"/>
      <c r="AE199" s="3619"/>
      <c r="AF199" s="3619"/>
      <c r="AG199" s="3619"/>
      <c r="AH199" s="3619"/>
      <c r="AI199" s="3619"/>
      <c r="AJ199" s="3619"/>
      <c r="AK199" s="3619"/>
      <c r="AL199" s="3619"/>
      <c r="AM199" s="3"/>
    </row>
    <row r="200" spans="15:39" ht="22.05" customHeight="1">
      <c r="O200" s="3"/>
      <c r="AA200" s="3"/>
      <c r="AB200" s="3664"/>
      <c r="AC200" s="3619" t="s">
        <v>5837</v>
      </c>
      <c r="AD200" s="3619"/>
      <c r="AE200" s="3619"/>
      <c r="AF200" s="3619"/>
      <c r="AG200" s="3619"/>
      <c r="AH200" s="3619"/>
      <c r="AI200" s="3619"/>
      <c r="AJ200" s="3619"/>
      <c r="AK200" s="3619"/>
      <c r="AL200" s="3619"/>
      <c r="AM200" s="3"/>
    </row>
    <row r="201" spans="15:39" ht="22.05" customHeight="1">
      <c r="O201" s="3"/>
      <c r="AA201" s="3"/>
      <c r="AB201" s="3664"/>
      <c r="AC201" s="3618" t="s">
        <v>5838</v>
      </c>
      <c r="AD201" s="3619"/>
      <c r="AE201" s="3619"/>
      <c r="AF201" s="3619"/>
      <c r="AG201" s="3619"/>
      <c r="AH201" s="3619"/>
      <c r="AI201" s="3619"/>
      <c r="AJ201" s="3619"/>
      <c r="AK201" s="3619"/>
      <c r="AL201" s="3619"/>
      <c r="AM201" s="3"/>
    </row>
    <row r="202" spans="15:39" ht="22.05" customHeight="1">
      <c r="O202" s="3"/>
      <c r="AA202" s="3"/>
      <c r="AB202" s="3664"/>
      <c r="AC202" s="3619"/>
      <c r="AD202" s="3619"/>
      <c r="AE202" s="3619"/>
      <c r="AF202" s="3619"/>
      <c r="AG202" s="3619"/>
      <c r="AH202" s="3619"/>
      <c r="AI202" s="3619"/>
      <c r="AJ202" s="3619"/>
      <c r="AK202" s="3619"/>
      <c r="AL202" s="3619"/>
      <c r="AM202" s="3"/>
    </row>
    <row r="203" spans="15:39" ht="22.05" customHeight="1">
      <c r="O203" s="3"/>
      <c r="AA203" s="3"/>
      <c r="AB203" s="3664"/>
      <c r="AC203" s="3619" t="s">
        <v>5839</v>
      </c>
      <c r="AD203" s="3619"/>
      <c r="AE203" s="3619"/>
      <c r="AF203" s="3619"/>
      <c r="AG203" s="3619"/>
      <c r="AH203" s="3619"/>
      <c r="AI203" s="3619"/>
      <c r="AJ203" s="3619"/>
      <c r="AK203" s="3619"/>
      <c r="AL203" s="3619"/>
      <c r="AM203" s="3"/>
    </row>
    <row r="204" spans="15:39" ht="22.05" customHeight="1">
      <c r="O204" s="3"/>
      <c r="AA204" s="3"/>
      <c r="AB204" s="3627" t="s">
        <v>5598</v>
      </c>
      <c r="AC204" s="3619" t="s">
        <v>5840</v>
      </c>
      <c r="AD204" s="3619"/>
      <c r="AE204" s="3619"/>
      <c r="AF204" s="3619"/>
      <c r="AG204" s="3619"/>
      <c r="AH204" s="3619"/>
      <c r="AI204" s="3619"/>
      <c r="AJ204" s="3619"/>
      <c r="AK204" s="3619"/>
      <c r="AL204" s="3619"/>
      <c r="AM204" s="3"/>
    </row>
    <row r="205" spans="15:39" ht="22.05" customHeight="1">
      <c r="O205" s="3"/>
      <c r="AA205" s="3"/>
      <c r="AB205" s="3627"/>
      <c r="AC205" s="3621" t="s">
        <v>5841</v>
      </c>
      <c r="AD205" s="3622"/>
      <c r="AE205" s="3622"/>
      <c r="AF205" s="3622"/>
      <c r="AG205" s="3622"/>
      <c r="AH205" s="3622"/>
      <c r="AI205" s="3622"/>
      <c r="AJ205" s="3622"/>
      <c r="AK205" s="3622"/>
      <c r="AL205" s="3622"/>
      <c r="AM205" s="3"/>
    </row>
    <row r="206" spans="15:39" ht="22.05" customHeight="1">
      <c r="O206" s="3"/>
      <c r="AA206" s="3"/>
      <c r="AB206" s="3627"/>
      <c r="AC206" s="3622"/>
      <c r="AD206" s="3622"/>
      <c r="AE206" s="3622"/>
      <c r="AF206" s="3622"/>
      <c r="AG206" s="3622"/>
      <c r="AH206" s="3622"/>
      <c r="AI206" s="3622"/>
      <c r="AJ206" s="3622"/>
      <c r="AK206" s="3622"/>
      <c r="AL206" s="3622"/>
      <c r="AM206" s="3"/>
    </row>
    <row r="207" spans="15:39" ht="22.05" customHeight="1">
      <c r="O207" s="3"/>
      <c r="AA207" s="3"/>
      <c r="AB207" s="3627"/>
      <c r="AC207" s="3622"/>
      <c r="AD207" s="3622"/>
      <c r="AE207" s="3622"/>
      <c r="AF207" s="3622"/>
      <c r="AG207" s="3622"/>
      <c r="AH207" s="3622"/>
      <c r="AI207" s="3622"/>
      <c r="AJ207" s="3622"/>
      <c r="AK207" s="3622"/>
      <c r="AL207" s="3622"/>
      <c r="AM207" s="3"/>
    </row>
    <row r="208" spans="15:39" ht="22.05" customHeight="1">
      <c r="O208" s="3"/>
      <c r="AA208" s="3"/>
      <c r="AB208" s="3627"/>
      <c r="AC208" s="3619" t="s">
        <v>5842</v>
      </c>
      <c r="AD208" s="3619"/>
      <c r="AE208" s="3619"/>
      <c r="AF208" s="3619"/>
      <c r="AG208" s="3619"/>
      <c r="AH208" s="3619"/>
      <c r="AI208" s="3619"/>
      <c r="AJ208" s="3619"/>
      <c r="AK208" s="3619"/>
      <c r="AL208" s="3619"/>
      <c r="AM208" s="3"/>
    </row>
    <row r="209" spans="15:39" ht="22.05" customHeight="1">
      <c r="O209" s="3"/>
      <c r="AA209" s="3"/>
      <c r="AB209" s="3627"/>
      <c r="AC209" s="3618" t="s">
        <v>5843</v>
      </c>
      <c r="AD209" s="3618"/>
      <c r="AE209" s="3618"/>
      <c r="AF209" s="3618"/>
      <c r="AG209" s="3618"/>
      <c r="AH209" s="3618"/>
      <c r="AI209" s="3618"/>
      <c r="AJ209" s="3618"/>
      <c r="AK209" s="3618"/>
      <c r="AL209" s="3618"/>
      <c r="AM209" s="3"/>
    </row>
    <row r="210" spans="15:39" ht="22.05" customHeight="1">
      <c r="O210" s="3"/>
      <c r="AA210" s="3"/>
      <c r="AB210" s="3627"/>
      <c r="AC210" s="3618"/>
      <c r="AD210" s="3618"/>
      <c r="AE210" s="3618"/>
      <c r="AF210" s="3618"/>
      <c r="AG210" s="3618"/>
      <c r="AH210" s="3618"/>
      <c r="AI210" s="3618"/>
      <c r="AJ210" s="3618"/>
      <c r="AK210" s="3618"/>
      <c r="AL210" s="3618"/>
      <c r="AM210" s="3"/>
    </row>
    <row r="211" spans="15:39" ht="22.05" customHeight="1">
      <c r="O211" s="3"/>
      <c r="AA211" s="3"/>
      <c r="AB211" s="3627"/>
      <c r="AC211" s="3618"/>
      <c r="AD211" s="3618"/>
      <c r="AE211" s="3618"/>
      <c r="AF211" s="3618"/>
      <c r="AG211" s="3618"/>
      <c r="AH211" s="3618"/>
      <c r="AI211" s="3618"/>
      <c r="AJ211" s="3618"/>
      <c r="AK211" s="3618"/>
      <c r="AL211" s="3618"/>
      <c r="AM211" s="3"/>
    </row>
    <row r="212" spans="15:39" ht="22.05" customHeight="1">
      <c r="O212" s="3"/>
      <c r="AA212" s="3"/>
      <c r="AB212" s="3627"/>
      <c r="AC212" s="3618"/>
      <c r="AD212" s="3618"/>
      <c r="AE212" s="3618"/>
      <c r="AF212" s="3618"/>
      <c r="AG212" s="3618"/>
      <c r="AH212" s="3618"/>
      <c r="AI212" s="3618"/>
      <c r="AJ212" s="3618"/>
      <c r="AK212" s="3618"/>
      <c r="AL212" s="3618"/>
      <c r="AM212" s="3"/>
    </row>
    <row r="213" spans="15:39" ht="22.05" customHeight="1">
      <c r="O213" s="3"/>
      <c r="AA213" s="3"/>
      <c r="AB213" s="3627"/>
      <c r="AC213" s="3618"/>
      <c r="AD213" s="3618"/>
      <c r="AE213" s="3618"/>
      <c r="AF213" s="3618"/>
      <c r="AG213" s="3618"/>
      <c r="AH213" s="3618"/>
      <c r="AI213" s="3618"/>
      <c r="AJ213" s="3618"/>
      <c r="AK213" s="3618"/>
      <c r="AL213" s="3618"/>
      <c r="AM213" s="3"/>
    </row>
    <row r="214" spans="15:39" ht="22.05" customHeight="1">
      <c r="O214" s="3"/>
      <c r="AA214" s="3"/>
      <c r="AB214" s="3627"/>
      <c r="AC214" s="3619" t="s">
        <v>5844</v>
      </c>
      <c r="AD214" s="3619"/>
      <c r="AE214" s="3619"/>
      <c r="AF214" s="3619"/>
      <c r="AG214" s="3619"/>
      <c r="AH214" s="3619"/>
      <c r="AI214" s="3619"/>
      <c r="AJ214" s="3619"/>
      <c r="AK214" s="3619"/>
      <c r="AL214" s="3619"/>
      <c r="AM214" s="3"/>
    </row>
    <row r="215" spans="15:39" ht="22.05" customHeight="1">
      <c r="O215" s="3"/>
      <c r="AA215" s="3"/>
      <c r="AB215" s="3627"/>
      <c r="AC215" s="3619" t="s">
        <v>5845</v>
      </c>
      <c r="AD215" s="3619"/>
      <c r="AE215" s="3619"/>
      <c r="AF215" s="3619"/>
      <c r="AG215" s="3619"/>
      <c r="AH215" s="3619"/>
      <c r="AI215" s="3619"/>
      <c r="AJ215" s="3619"/>
      <c r="AK215" s="3619"/>
      <c r="AL215" s="3619"/>
      <c r="AM215" s="3"/>
    </row>
    <row r="216" spans="15:39" ht="22.05" customHeight="1">
      <c r="O216" s="3"/>
      <c r="AA216" s="3"/>
      <c r="AB216" s="3657" t="s">
        <v>5570</v>
      </c>
      <c r="AC216" s="3619" t="s">
        <v>5846</v>
      </c>
      <c r="AD216" s="3619"/>
      <c r="AE216" s="3619"/>
      <c r="AF216" s="3619"/>
      <c r="AG216" s="3619"/>
      <c r="AH216" s="3619"/>
      <c r="AI216" s="3619"/>
      <c r="AJ216" s="3619"/>
      <c r="AK216" s="3619"/>
      <c r="AL216" s="3619"/>
      <c r="AM216" s="3"/>
    </row>
    <row r="217" spans="15:39" ht="22.05" customHeight="1">
      <c r="O217" s="3"/>
      <c r="AA217" s="3"/>
      <c r="AB217" s="3657"/>
      <c r="AC217" s="3618" t="s">
        <v>5847</v>
      </c>
      <c r="AD217" s="3619"/>
      <c r="AE217" s="3619"/>
      <c r="AF217" s="3619"/>
      <c r="AG217" s="3619"/>
      <c r="AH217" s="3619"/>
      <c r="AI217" s="3619"/>
      <c r="AJ217" s="3619"/>
      <c r="AK217" s="3619"/>
      <c r="AL217" s="3619"/>
      <c r="AM217" s="3"/>
    </row>
    <row r="218" spans="15:39" ht="22.05" customHeight="1">
      <c r="O218" s="3"/>
      <c r="AA218" s="3"/>
      <c r="AB218" s="3657"/>
      <c r="AC218" s="3619"/>
      <c r="AD218" s="3619"/>
      <c r="AE218" s="3619"/>
      <c r="AF218" s="3619"/>
      <c r="AG218" s="3619"/>
      <c r="AH218" s="3619"/>
      <c r="AI218" s="3619"/>
      <c r="AJ218" s="3619"/>
      <c r="AK218" s="3619"/>
      <c r="AL218" s="3619"/>
      <c r="AM218" s="3"/>
    </row>
    <row r="219" spans="15:39" ht="22.05" customHeight="1">
      <c r="O219" s="3"/>
      <c r="AA219" s="3"/>
      <c r="AB219" s="5" t="s">
        <v>5579</v>
      </c>
      <c r="AC219" s="3618" t="s">
        <v>5848</v>
      </c>
      <c r="AD219" s="3618"/>
      <c r="AE219" s="3618"/>
      <c r="AF219" s="3618"/>
      <c r="AG219" s="3618"/>
      <c r="AH219" s="3618"/>
      <c r="AI219" s="3618"/>
      <c r="AJ219" s="3618"/>
      <c r="AK219" s="3618"/>
      <c r="AL219" s="3618"/>
      <c r="AM219" s="3"/>
    </row>
    <row r="220" spans="15:39" ht="22.05" customHeight="1">
      <c r="O220" s="3"/>
      <c r="AA220" s="3"/>
      <c r="AB220" s="3626" t="s">
        <v>5753</v>
      </c>
      <c r="AC220" s="3618" t="s">
        <v>5849</v>
      </c>
      <c r="AD220" s="3619"/>
      <c r="AE220" s="3619"/>
      <c r="AF220" s="3619"/>
      <c r="AG220" s="3619"/>
      <c r="AH220" s="3619"/>
      <c r="AI220" s="3619"/>
      <c r="AJ220" s="3619"/>
      <c r="AK220" s="3619"/>
      <c r="AL220" s="3619"/>
      <c r="AM220" s="3"/>
    </row>
    <row r="221" spans="15:39" ht="22.05" customHeight="1">
      <c r="O221" s="3"/>
      <c r="AA221" s="3"/>
      <c r="AB221" s="3626"/>
      <c r="AC221" s="3618" t="s">
        <v>5850</v>
      </c>
      <c r="AD221" s="3618"/>
      <c r="AE221" s="3618"/>
      <c r="AF221" s="3618"/>
      <c r="AG221" s="3618"/>
      <c r="AH221" s="3618"/>
      <c r="AI221" s="3618"/>
      <c r="AJ221" s="3618"/>
      <c r="AK221" s="3618"/>
      <c r="AL221" s="3618"/>
      <c r="AM221" s="3"/>
    </row>
    <row r="222" spans="15:39" ht="22.05" customHeight="1">
      <c r="O222" s="3"/>
      <c r="AA222" s="3"/>
      <c r="AB222" s="3626"/>
      <c r="AC222" s="3618"/>
      <c r="AD222" s="3618"/>
      <c r="AE222" s="3618"/>
      <c r="AF222" s="3618"/>
      <c r="AG222" s="3618"/>
      <c r="AH222" s="3618"/>
      <c r="AI222" s="3618"/>
      <c r="AJ222" s="3618"/>
      <c r="AK222" s="3618"/>
      <c r="AL222" s="3618"/>
      <c r="AM222" s="3"/>
    </row>
    <row r="223" spans="15:39" ht="22.05" customHeight="1">
      <c r="O223" s="3"/>
      <c r="AA223" s="3"/>
      <c r="AB223" s="3626"/>
      <c r="AC223" s="3618"/>
      <c r="AD223" s="3618"/>
      <c r="AE223" s="3618"/>
      <c r="AF223" s="3618"/>
      <c r="AG223" s="3618"/>
      <c r="AH223" s="3618"/>
      <c r="AI223" s="3618"/>
      <c r="AJ223" s="3618"/>
      <c r="AK223" s="3618"/>
      <c r="AL223" s="3618"/>
      <c r="AM223" s="3"/>
    </row>
    <row r="224" spans="15:39" ht="22.05" customHeight="1">
      <c r="O224" s="3"/>
      <c r="AA224" s="3"/>
      <c r="AB224" s="3626"/>
      <c r="AC224" s="3618" t="s">
        <v>5851</v>
      </c>
      <c r="AD224" s="3618"/>
      <c r="AE224" s="3618"/>
      <c r="AF224" s="3618"/>
      <c r="AG224" s="3618"/>
      <c r="AH224" s="3618"/>
      <c r="AI224" s="3618"/>
      <c r="AJ224" s="3618"/>
      <c r="AK224" s="3618"/>
      <c r="AL224" s="3618"/>
      <c r="AM224" s="3"/>
    </row>
    <row r="225" spans="15:39" ht="22.05" customHeight="1">
      <c r="O225" s="3"/>
      <c r="AA225" s="3"/>
      <c r="AB225" s="3660" t="s">
        <v>5852</v>
      </c>
      <c r="AC225" s="3660"/>
      <c r="AD225" s="3660"/>
      <c r="AE225" s="3660"/>
      <c r="AF225" s="3660"/>
      <c r="AG225" s="3660"/>
      <c r="AH225" s="3660"/>
      <c r="AI225" s="3660"/>
      <c r="AJ225" s="3660"/>
      <c r="AK225" s="3660"/>
      <c r="AL225" s="3660"/>
      <c r="AM225" s="3"/>
    </row>
    <row r="226" spans="15:39" ht="22.05" customHeight="1">
      <c r="O226" s="3"/>
      <c r="AA226" s="3"/>
      <c r="AB226" s="3664" t="s">
        <v>5552</v>
      </c>
      <c r="AC226" s="3619" t="s">
        <v>5853</v>
      </c>
      <c r="AD226" s="3619"/>
      <c r="AE226" s="3619"/>
      <c r="AF226" s="3619"/>
      <c r="AG226" s="3619"/>
      <c r="AH226" s="3619"/>
      <c r="AI226" s="3619"/>
      <c r="AJ226" s="3619"/>
      <c r="AK226" s="3619"/>
      <c r="AL226" s="3619"/>
      <c r="AM226" s="3"/>
    </row>
    <row r="227" spans="15:39" ht="22.05" customHeight="1">
      <c r="O227" s="3"/>
      <c r="AA227" s="3"/>
      <c r="AB227" s="3664"/>
      <c r="AC227" s="3618" t="s">
        <v>5854</v>
      </c>
      <c r="AD227" s="3619"/>
      <c r="AE227" s="3619"/>
      <c r="AF227" s="3619"/>
      <c r="AG227" s="3619"/>
      <c r="AH227" s="3619"/>
      <c r="AI227" s="3619"/>
      <c r="AJ227" s="3619"/>
      <c r="AK227" s="3619"/>
      <c r="AL227" s="3619"/>
      <c r="AM227" s="3"/>
    </row>
    <row r="228" spans="15:39" ht="22.05" customHeight="1">
      <c r="O228" s="3"/>
      <c r="AA228" s="3"/>
      <c r="AB228" s="3664"/>
      <c r="AC228" s="3619"/>
      <c r="AD228" s="3619"/>
      <c r="AE228" s="3619"/>
      <c r="AF228" s="3619"/>
      <c r="AG228" s="3619"/>
      <c r="AH228" s="3619"/>
      <c r="AI228" s="3619"/>
      <c r="AJ228" s="3619"/>
      <c r="AK228" s="3619"/>
      <c r="AL228" s="3619"/>
      <c r="AM228" s="3"/>
    </row>
    <row r="229" spans="15:39" ht="22.05" customHeight="1">
      <c r="O229" s="3"/>
      <c r="AA229" s="3"/>
      <c r="AB229" s="3664"/>
      <c r="AC229" s="3619" t="s">
        <v>5855</v>
      </c>
      <c r="AD229" s="3619"/>
      <c r="AE229" s="3619"/>
      <c r="AF229" s="3619"/>
      <c r="AG229" s="3619"/>
      <c r="AH229" s="3619"/>
      <c r="AI229" s="3619"/>
      <c r="AJ229" s="3619"/>
      <c r="AK229" s="3619"/>
      <c r="AL229" s="3619"/>
      <c r="AM229" s="3"/>
    </row>
    <row r="230" spans="15:39" ht="22.05" customHeight="1">
      <c r="O230" s="3"/>
      <c r="AA230" s="3"/>
      <c r="AB230" s="3664"/>
      <c r="AC230" s="3618" t="s">
        <v>5856</v>
      </c>
      <c r="AD230" s="3619"/>
      <c r="AE230" s="3619"/>
      <c r="AF230" s="3619"/>
      <c r="AG230" s="3619"/>
      <c r="AH230" s="3619"/>
      <c r="AI230" s="3619"/>
      <c r="AJ230" s="3619"/>
      <c r="AK230" s="3619"/>
      <c r="AL230" s="3619"/>
      <c r="AM230" s="3"/>
    </row>
    <row r="231" spans="15:39" ht="22.05" customHeight="1">
      <c r="O231" s="3"/>
      <c r="AA231" s="3"/>
      <c r="AB231" s="3664"/>
      <c r="AC231" s="3619"/>
      <c r="AD231" s="3619"/>
      <c r="AE231" s="3619"/>
      <c r="AF231" s="3619"/>
      <c r="AG231" s="3619"/>
      <c r="AH231" s="3619"/>
      <c r="AI231" s="3619"/>
      <c r="AJ231" s="3619"/>
      <c r="AK231" s="3619"/>
      <c r="AL231" s="3619"/>
      <c r="AM231" s="3"/>
    </row>
    <row r="232" spans="15:39" ht="22.05" customHeight="1">
      <c r="O232" s="11"/>
      <c r="AA232" s="11"/>
      <c r="AB232" s="3664"/>
      <c r="AC232" s="3619"/>
      <c r="AD232" s="3619"/>
      <c r="AE232" s="3619"/>
      <c r="AF232" s="3619"/>
      <c r="AG232" s="3619"/>
      <c r="AH232" s="3619"/>
      <c r="AI232" s="3619"/>
      <c r="AJ232" s="3619"/>
      <c r="AK232" s="3619"/>
      <c r="AL232" s="3619"/>
      <c r="AM232" s="11"/>
    </row>
    <row r="233" spans="15:39" ht="22.05" customHeight="1">
      <c r="O233" s="11"/>
      <c r="AA233" s="11"/>
      <c r="AB233" s="3664"/>
      <c r="AC233" s="3619"/>
      <c r="AD233" s="3619"/>
      <c r="AE233" s="3619"/>
      <c r="AF233" s="3619"/>
      <c r="AG233" s="3619"/>
      <c r="AH233" s="3619"/>
      <c r="AI233" s="3619"/>
      <c r="AJ233" s="3619"/>
      <c r="AK233" s="3619"/>
      <c r="AL233" s="3619"/>
      <c r="AM233" s="11"/>
    </row>
    <row r="234" spans="15:39" ht="22.05" customHeight="1">
      <c r="O234" s="11"/>
      <c r="AA234" s="11"/>
      <c r="AB234" s="3664"/>
      <c r="AC234" s="3619"/>
      <c r="AD234" s="3619"/>
      <c r="AE234" s="3619"/>
      <c r="AF234" s="3619"/>
      <c r="AG234" s="3619"/>
      <c r="AH234" s="3619"/>
      <c r="AI234" s="3619"/>
      <c r="AJ234" s="3619"/>
      <c r="AK234" s="3619"/>
      <c r="AL234" s="3619"/>
      <c r="AM234" s="11"/>
    </row>
    <row r="235" spans="15:39" ht="22.05" customHeight="1">
      <c r="O235" s="11"/>
      <c r="AA235" s="11"/>
      <c r="AB235" s="3664"/>
      <c r="AC235" s="3619"/>
      <c r="AD235" s="3619"/>
      <c r="AE235" s="3619"/>
      <c r="AF235" s="3619"/>
      <c r="AG235" s="3619"/>
      <c r="AH235" s="3619"/>
      <c r="AI235" s="3619"/>
      <c r="AJ235" s="3619"/>
      <c r="AK235" s="3619"/>
      <c r="AL235" s="3619"/>
      <c r="AM235" s="11"/>
    </row>
    <row r="236" spans="15:39" ht="22.05" customHeight="1">
      <c r="O236" s="11"/>
      <c r="AA236" s="11"/>
      <c r="AB236" s="3664" t="s">
        <v>5566</v>
      </c>
      <c r="AC236" s="3619" t="s">
        <v>5857</v>
      </c>
      <c r="AD236" s="3619"/>
      <c r="AE236" s="3619"/>
      <c r="AF236" s="3619"/>
      <c r="AG236" s="3619"/>
      <c r="AH236" s="3619"/>
      <c r="AI236" s="3619"/>
      <c r="AJ236" s="3619"/>
      <c r="AK236" s="3619"/>
      <c r="AL236" s="3619"/>
      <c r="AM236" s="11"/>
    </row>
    <row r="237" spans="15:39" ht="22.05" customHeight="1">
      <c r="O237" s="11"/>
      <c r="AA237" s="11"/>
      <c r="AB237" s="3664"/>
      <c r="AC237" s="3618" t="s">
        <v>5858</v>
      </c>
      <c r="AD237" s="3618"/>
      <c r="AE237" s="3618"/>
      <c r="AF237" s="3618"/>
      <c r="AG237" s="3618"/>
      <c r="AH237" s="3618"/>
      <c r="AI237" s="3618"/>
      <c r="AJ237" s="3618"/>
      <c r="AK237" s="3618"/>
      <c r="AL237" s="3618"/>
      <c r="AM237" s="11"/>
    </row>
    <row r="238" spans="15:39" ht="22.05" customHeight="1">
      <c r="O238" s="11"/>
      <c r="AA238" s="11"/>
      <c r="AB238" s="3664"/>
      <c r="AC238" s="3618"/>
      <c r="AD238" s="3618"/>
      <c r="AE238" s="3618"/>
      <c r="AF238" s="3618"/>
      <c r="AG238" s="3618"/>
      <c r="AH238" s="3618"/>
      <c r="AI238" s="3618"/>
      <c r="AJ238" s="3618"/>
      <c r="AK238" s="3618"/>
      <c r="AL238" s="3618"/>
      <c r="AM238" s="11"/>
    </row>
    <row r="239" spans="15:39" ht="22.05" customHeight="1">
      <c r="AB239" s="3664"/>
      <c r="AC239" s="3618"/>
      <c r="AD239" s="3618"/>
      <c r="AE239" s="3618"/>
      <c r="AF239" s="3618"/>
      <c r="AG239" s="3618"/>
      <c r="AH239" s="3618"/>
      <c r="AI239" s="3618"/>
      <c r="AJ239" s="3618"/>
      <c r="AK239" s="3618"/>
      <c r="AL239" s="3618"/>
    </row>
    <row r="240" spans="15:39" ht="22.05" customHeight="1">
      <c r="AB240" s="3664"/>
      <c r="AC240" s="3618"/>
      <c r="AD240" s="3618"/>
      <c r="AE240" s="3618"/>
      <c r="AF240" s="3618"/>
      <c r="AG240" s="3618"/>
      <c r="AH240" s="3618"/>
      <c r="AI240" s="3618"/>
      <c r="AJ240" s="3618"/>
      <c r="AK240" s="3618"/>
      <c r="AL240" s="3618"/>
    </row>
    <row r="241" spans="28:38" ht="22.05" customHeight="1">
      <c r="AB241" s="3664"/>
      <c r="AC241" s="3618"/>
      <c r="AD241" s="3618"/>
      <c r="AE241" s="3618"/>
      <c r="AF241" s="3618"/>
      <c r="AG241" s="3618"/>
      <c r="AH241" s="3618"/>
      <c r="AI241" s="3618"/>
      <c r="AJ241" s="3618"/>
      <c r="AK241" s="3618"/>
      <c r="AL241" s="3618"/>
    </row>
    <row r="242" spans="28:38" ht="22.05" customHeight="1">
      <c r="AB242" s="3665" t="s">
        <v>5831</v>
      </c>
      <c r="AC242" s="3619" t="s">
        <v>5859</v>
      </c>
      <c r="AD242" s="3619"/>
      <c r="AE242" s="3619"/>
      <c r="AF242" s="3619"/>
      <c r="AG242" s="3619"/>
      <c r="AH242" s="3619"/>
      <c r="AI242" s="3619"/>
      <c r="AJ242" s="3619"/>
      <c r="AK242" s="3619"/>
      <c r="AL242" s="3619"/>
    </row>
    <row r="243" spans="28:38" ht="22.05" customHeight="1">
      <c r="AB243" s="3665"/>
      <c r="AC243" s="3618" t="s">
        <v>5860</v>
      </c>
      <c r="AD243" s="3618"/>
      <c r="AE243" s="3618"/>
      <c r="AF243" s="3618"/>
      <c r="AG243" s="3618"/>
      <c r="AH243" s="3618"/>
      <c r="AI243" s="3618"/>
      <c r="AJ243" s="3618"/>
      <c r="AK243" s="3618"/>
      <c r="AL243" s="3618"/>
    </row>
    <row r="244" spans="28:38" ht="22.05" customHeight="1">
      <c r="AB244" s="3665"/>
      <c r="AC244" s="3618"/>
      <c r="AD244" s="3618"/>
      <c r="AE244" s="3618"/>
      <c r="AF244" s="3618"/>
      <c r="AG244" s="3618"/>
      <c r="AH244" s="3618"/>
      <c r="AI244" s="3618"/>
      <c r="AJ244" s="3618"/>
      <c r="AK244" s="3618"/>
      <c r="AL244" s="3618"/>
    </row>
    <row r="245" spans="28:38" ht="22.05" customHeight="1">
      <c r="AB245" s="3665"/>
      <c r="AC245" s="3618"/>
      <c r="AD245" s="3618"/>
      <c r="AE245" s="3618"/>
      <c r="AF245" s="3618"/>
      <c r="AG245" s="3618"/>
      <c r="AH245" s="3618"/>
      <c r="AI245" s="3618"/>
      <c r="AJ245" s="3618"/>
      <c r="AK245" s="3618"/>
      <c r="AL245" s="3618"/>
    </row>
    <row r="246" spans="28:38" ht="22.05" customHeight="1">
      <c r="AB246" s="3665"/>
      <c r="AC246" s="3619" t="s">
        <v>5855</v>
      </c>
      <c r="AD246" s="3619"/>
      <c r="AE246" s="3619"/>
      <c r="AF246" s="3619"/>
      <c r="AG246" s="3619"/>
      <c r="AH246" s="3619"/>
      <c r="AI246" s="3619"/>
      <c r="AJ246" s="3619"/>
      <c r="AK246" s="3619"/>
      <c r="AL246" s="3619"/>
    </row>
    <row r="247" spans="28:38" ht="22.05" customHeight="1">
      <c r="AB247" s="3665"/>
      <c r="AC247" s="3618" t="s">
        <v>5861</v>
      </c>
      <c r="AD247" s="3619"/>
      <c r="AE247" s="3619"/>
      <c r="AF247" s="3619"/>
      <c r="AG247" s="3619"/>
      <c r="AH247" s="3619"/>
      <c r="AI247" s="3619"/>
      <c r="AJ247" s="3619"/>
      <c r="AK247" s="3619"/>
      <c r="AL247" s="3619"/>
    </row>
    <row r="248" spans="28:38" ht="22.05" customHeight="1">
      <c r="AB248" s="3665"/>
      <c r="AC248" s="3619"/>
      <c r="AD248" s="3619"/>
      <c r="AE248" s="3619"/>
      <c r="AF248" s="3619"/>
      <c r="AG248" s="3619"/>
      <c r="AH248" s="3619"/>
      <c r="AI248" s="3619"/>
      <c r="AJ248" s="3619"/>
      <c r="AK248" s="3619"/>
      <c r="AL248" s="3619"/>
    </row>
    <row r="249" spans="28:38" ht="22.05" customHeight="1">
      <c r="AB249" s="3665"/>
      <c r="AC249" s="3618" t="s">
        <v>5862</v>
      </c>
      <c r="AD249" s="3619"/>
      <c r="AE249" s="3619"/>
      <c r="AF249" s="3619"/>
      <c r="AG249" s="3619"/>
      <c r="AH249" s="3619"/>
      <c r="AI249" s="3619"/>
      <c r="AJ249" s="3619"/>
      <c r="AK249" s="3619"/>
      <c r="AL249" s="3619"/>
    </row>
    <row r="250" spans="28:38" ht="22.05" customHeight="1">
      <c r="AB250" s="3665"/>
      <c r="AC250" s="3619"/>
      <c r="AD250" s="3619"/>
      <c r="AE250" s="3619"/>
      <c r="AF250" s="3619"/>
      <c r="AG250" s="3619"/>
      <c r="AH250" s="3619"/>
      <c r="AI250" s="3619"/>
      <c r="AJ250" s="3619"/>
      <c r="AK250" s="3619"/>
      <c r="AL250" s="3619"/>
    </row>
    <row r="251" spans="28:38" ht="22.05" customHeight="1">
      <c r="AB251" s="3665"/>
      <c r="AC251" s="3619"/>
      <c r="AD251" s="3619"/>
      <c r="AE251" s="3619"/>
      <c r="AF251" s="3619"/>
      <c r="AG251" s="3619"/>
      <c r="AH251" s="3619"/>
      <c r="AI251" s="3619"/>
      <c r="AJ251" s="3619"/>
      <c r="AK251" s="3619"/>
      <c r="AL251" s="3619"/>
    </row>
    <row r="252" spans="28:38" ht="22.05" customHeight="1">
      <c r="AB252" s="3665"/>
      <c r="AC252" s="3619"/>
      <c r="AD252" s="3619"/>
      <c r="AE252" s="3619"/>
      <c r="AF252" s="3619"/>
      <c r="AG252" s="3619"/>
      <c r="AH252" s="3619"/>
      <c r="AI252" s="3619"/>
      <c r="AJ252" s="3619"/>
      <c r="AK252" s="3619"/>
      <c r="AL252" s="3619"/>
    </row>
    <row r="253" spans="28:38" ht="22.05" customHeight="1">
      <c r="AB253" s="3665"/>
      <c r="AC253" s="3619"/>
      <c r="AD253" s="3619"/>
      <c r="AE253" s="3619"/>
      <c r="AF253" s="3619"/>
      <c r="AG253" s="3619"/>
      <c r="AH253" s="3619"/>
      <c r="AI253" s="3619"/>
      <c r="AJ253" s="3619"/>
      <c r="AK253" s="3619"/>
      <c r="AL253" s="3619"/>
    </row>
    <row r="254" spans="28:38" ht="22.05" customHeight="1">
      <c r="AB254" s="3662" t="s">
        <v>5863</v>
      </c>
      <c r="AC254" s="3619" t="s">
        <v>5864</v>
      </c>
      <c r="AD254" s="3619"/>
      <c r="AE254" s="3619"/>
      <c r="AF254" s="3619"/>
      <c r="AG254" s="3619"/>
      <c r="AH254" s="3619"/>
      <c r="AI254" s="3619"/>
      <c r="AJ254" s="3619"/>
      <c r="AK254" s="3619"/>
      <c r="AL254" s="3619"/>
    </row>
    <row r="255" spans="28:38" ht="22.05" customHeight="1">
      <c r="AB255" s="3662"/>
      <c r="AC255" s="3619" t="s">
        <v>5865</v>
      </c>
      <c r="AD255" s="3619"/>
      <c r="AE255" s="3619"/>
      <c r="AF255" s="3619"/>
      <c r="AG255" s="3619"/>
      <c r="AH255" s="3619"/>
      <c r="AI255" s="3619"/>
      <c r="AJ255" s="3619"/>
      <c r="AK255" s="3619"/>
      <c r="AL255" s="3619"/>
    </row>
    <row r="256" spans="28:38" ht="22.05" customHeight="1">
      <c r="AB256" s="3660" t="s">
        <v>5866</v>
      </c>
      <c r="AC256" s="3660"/>
      <c r="AD256" s="3660"/>
      <c r="AE256" s="3660"/>
      <c r="AF256" s="3660"/>
      <c r="AG256" s="3660"/>
      <c r="AH256" s="3660"/>
      <c r="AI256" s="3660"/>
      <c r="AJ256" s="3660"/>
      <c r="AK256" s="3660"/>
      <c r="AL256" s="3660"/>
    </row>
    <row r="257" spans="28:38" ht="22.05" customHeight="1">
      <c r="AB257" s="3663" t="s">
        <v>5552</v>
      </c>
      <c r="AC257" s="3619" t="s">
        <v>5867</v>
      </c>
      <c r="AD257" s="3619"/>
      <c r="AE257" s="3619"/>
      <c r="AF257" s="3619"/>
      <c r="AG257" s="3619"/>
      <c r="AH257" s="3619"/>
      <c r="AI257" s="3619"/>
      <c r="AJ257" s="3619"/>
      <c r="AK257" s="3619"/>
      <c r="AL257" s="3619"/>
    </row>
    <row r="258" spans="28:38" ht="22.05" customHeight="1">
      <c r="AB258" s="3663"/>
      <c r="AC258" s="3619" t="s">
        <v>5868</v>
      </c>
      <c r="AD258" s="3619"/>
      <c r="AE258" s="3619"/>
      <c r="AF258" s="3619"/>
      <c r="AG258" s="3619"/>
      <c r="AH258" s="3619"/>
      <c r="AI258" s="3619"/>
      <c r="AJ258" s="3619"/>
      <c r="AK258" s="3619"/>
      <c r="AL258" s="3619"/>
    </row>
    <row r="259" spans="28:38" ht="22.05" customHeight="1">
      <c r="AB259" s="3663"/>
      <c r="AC259" s="3619" t="s">
        <v>5869</v>
      </c>
      <c r="AD259" s="3619"/>
      <c r="AE259" s="3619"/>
      <c r="AF259" s="3619"/>
      <c r="AG259" s="3619"/>
      <c r="AH259" s="3619"/>
      <c r="AI259" s="3619"/>
      <c r="AJ259" s="3619"/>
      <c r="AK259" s="3619"/>
      <c r="AL259" s="3619"/>
    </row>
    <row r="260" spans="28:38" ht="22.05" customHeight="1">
      <c r="AB260" s="12" t="s">
        <v>5831</v>
      </c>
      <c r="AC260" s="3619" t="s">
        <v>5870</v>
      </c>
      <c r="AD260" s="3619"/>
      <c r="AE260" s="3619"/>
      <c r="AF260" s="3619"/>
      <c r="AG260" s="3619"/>
      <c r="AH260" s="3619"/>
      <c r="AI260" s="3619"/>
      <c r="AJ260" s="3619"/>
      <c r="AK260" s="3619"/>
      <c r="AL260" s="3619"/>
    </row>
    <row r="261" spans="28:38" ht="22.05" customHeight="1">
      <c r="AB261" s="3663" t="s">
        <v>5871</v>
      </c>
      <c r="AC261" s="3618" t="s">
        <v>5872</v>
      </c>
      <c r="AD261" s="3619"/>
      <c r="AE261" s="3619"/>
      <c r="AF261" s="3619"/>
      <c r="AG261" s="3619"/>
      <c r="AH261" s="3619"/>
      <c r="AI261" s="3619"/>
      <c r="AJ261" s="3619"/>
      <c r="AK261" s="3619"/>
      <c r="AL261" s="3619"/>
    </row>
    <row r="262" spans="28:38" ht="22.05" customHeight="1">
      <c r="AB262" s="3663"/>
      <c r="AC262" s="3619"/>
      <c r="AD262" s="3619"/>
      <c r="AE262" s="3619"/>
      <c r="AF262" s="3619"/>
      <c r="AG262" s="3619"/>
      <c r="AH262" s="3619"/>
      <c r="AI262" s="3619"/>
      <c r="AJ262" s="3619"/>
      <c r="AK262" s="3619"/>
      <c r="AL262" s="3619"/>
    </row>
    <row r="263" spans="28:38" ht="22.05" customHeight="1">
      <c r="AB263" s="3660" t="s">
        <v>5873</v>
      </c>
      <c r="AC263" s="3660"/>
      <c r="AD263" s="3660"/>
      <c r="AE263" s="3660"/>
      <c r="AF263" s="3660"/>
      <c r="AG263" s="3660"/>
      <c r="AH263" s="3660"/>
      <c r="AI263" s="3660"/>
      <c r="AJ263" s="3660"/>
      <c r="AK263" s="3660"/>
      <c r="AL263" s="3660"/>
    </row>
    <row r="264" spans="28:38" ht="22.05" customHeight="1">
      <c r="AB264" s="3663" t="s">
        <v>5552</v>
      </c>
      <c r="AC264" s="3618" t="s">
        <v>5874</v>
      </c>
      <c r="AD264" s="3618"/>
      <c r="AE264" s="3618"/>
      <c r="AF264" s="3618"/>
      <c r="AG264" s="3618"/>
      <c r="AH264" s="3618"/>
      <c r="AI264" s="3618"/>
      <c r="AJ264" s="3618"/>
      <c r="AK264" s="3618"/>
      <c r="AL264" s="3618"/>
    </row>
    <row r="265" spans="28:38" ht="22.05" customHeight="1">
      <c r="AB265" s="3663"/>
      <c r="AC265" s="3618" t="s">
        <v>5875</v>
      </c>
      <c r="AD265" s="3619"/>
      <c r="AE265" s="3619"/>
      <c r="AF265" s="3619"/>
      <c r="AG265" s="3619"/>
      <c r="AH265" s="3619"/>
      <c r="AI265" s="3619"/>
      <c r="AJ265" s="3619"/>
      <c r="AK265" s="3619"/>
      <c r="AL265" s="3619"/>
    </row>
    <row r="266" spans="28:38" ht="22.05" customHeight="1">
      <c r="AB266" s="3663"/>
      <c r="AC266" s="3619"/>
      <c r="AD266" s="3619"/>
      <c r="AE266" s="3619"/>
      <c r="AF266" s="3619"/>
      <c r="AG266" s="3619"/>
      <c r="AH266" s="3619"/>
      <c r="AI266" s="3619"/>
      <c r="AJ266" s="3619"/>
      <c r="AK266" s="3619"/>
      <c r="AL266" s="3619"/>
    </row>
    <row r="267" spans="28:38" ht="22.05" customHeight="1">
      <c r="AB267" s="3663"/>
      <c r="AC267" s="3619" t="s">
        <v>5876</v>
      </c>
      <c r="AD267" s="3619"/>
      <c r="AE267" s="3619"/>
      <c r="AF267" s="3619"/>
      <c r="AG267" s="3619"/>
      <c r="AH267" s="3619"/>
      <c r="AI267" s="3619"/>
      <c r="AJ267" s="3619"/>
      <c r="AK267" s="3619"/>
      <c r="AL267" s="3619"/>
    </row>
    <row r="268" spans="28:38" ht="22.05" customHeight="1">
      <c r="AB268" s="3663"/>
      <c r="AC268" s="3618" t="s">
        <v>5877</v>
      </c>
      <c r="AD268" s="3619"/>
      <c r="AE268" s="3619"/>
      <c r="AF268" s="3619"/>
      <c r="AG268" s="3619"/>
      <c r="AH268" s="3619"/>
      <c r="AI268" s="3619"/>
      <c r="AJ268" s="3619"/>
      <c r="AK268" s="3619"/>
      <c r="AL268" s="3619"/>
    </row>
    <row r="269" spans="28:38" ht="22.05" customHeight="1">
      <c r="AB269" s="3663"/>
      <c r="AC269" s="3619"/>
      <c r="AD269" s="3619"/>
      <c r="AE269" s="3619"/>
      <c r="AF269" s="3619"/>
      <c r="AG269" s="3619"/>
      <c r="AH269" s="3619"/>
      <c r="AI269" s="3619"/>
      <c r="AJ269" s="3619"/>
      <c r="AK269" s="3619"/>
      <c r="AL269" s="3619"/>
    </row>
    <row r="270" spans="28:38" ht="22.05" customHeight="1">
      <c r="AB270" s="3663"/>
      <c r="AC270" s="3621" t="s">
        <v>5878</v>
      </c>
      <c r="AD270" s="3622"/>
      <c r="AE270" s="3622"/>
      <c r="AF270" s="3622"/>
      <c r="AG270" s="3622"/>
      <c r="AH270" s="3622"/>
      <c r="AI270" s="3622"/>
      <c r="AJ270" s="3622"/>
      <c r="AK270" s="3622"/>
      <c r="AL270" s="3622"/>
    </row>
    <row r="271" spans="28:38" ht="22.05" customHeight="1">
      <c r="AB271" s="3663"/>
      <c r="AC271" s="3622"/>
      <c r="AD271" s="3622"/>
      <c r="AE271" s="3622"/>
      <c r="AF271" s="3622"/>
      <c r="AG271" s="3622"/>
      <c r="AH271" s="3622"/>
      <c r="AI271" s="3622"/>
      <c r="AJ271" s="3622"/>
      <c r="AK271" s="3622"/>
      <c r="AL271" s="3622"/>
    </row>
    <row r="272" spans="28:38" ht="22.05" customHeight="1">
      <c r="AB272" s="3663"/>
      <c r="AC272" s="3622"/>
      <c r="AD272" s="3622"/>
      <c r="AE272" s="3622"/>
      <c r="AF272" s="3622"/>
      <c r="AG272" s="3622"/>
      <c r="AH272" s="3622"/>
      <c r="AI272" s="3622"/>
      <c r="AJ272" s="3622"/>
      <c r="AK272" s="3622"/>
      <c r="AL272" s="3622"/>
    </row>
    <row r="273" spans="28:38" ht="22.05" customHeight="1">
      <c r="AB273" s="3663"/>
      <c r="AC273" s="3622"/>
      <c r="AD273" s="3622"/>
      <c r="AE273" s="3622"/>
      <c r="AF273" s="3622"/>
      <c r="AG273" s="3622"/>
      <c r="AH273" s="3622"/>
      <c r="AI273" s="3622"/>
      <c r="AJ273" s="3622"/>
      <c r="AK273" s="3622"/>
      <c r="AL273" s="3622"/>
    </row>
    <row r="274" spans="28:38" ht="22.05" customHeight="1">
      <c r="AB274" s="5" t="s">
        <v>5598</v>
      </c>
      <c r="AC274" s="3618" t="s">
        <v>5879</v>
      </c>
      <c r="AD274" s="3618"/>
      <c r="AE274" s="3618"/>
      <c r="AF274" s="3618"/>
      <c r="AG274" s="3618"/>
      <c r="AH274" s="3618"/>
      <c r="AI274" s="3618"/>
      <c r="AJ274" s="3618"/>
      <c r="AK274" s="3618"/>
      <c r="AL274" s="3618"/>
    </row>
    <row r="275" spans="28:38" ht="22.05" customHeight="1">
      <c r="AB275" s="13" t="s">
        <v>5863</v>
      </c>
      <c r="AC275" s="3619" t="s">
        <v>5880</v>
      </c>
      <c r="AD275" s="3619"/>
      <c r="AE275" s="3619"/>
      <c r="AF275" s="3619"/>
      <c r="AG275" s="3619"/>
      <c r="AH275" s="3619"/>
      <c r="AI275" s="3619"/>
      <c r="AJ275" s="3619"/>
      <c r="AK275" s="3619"/>
      <c r="AL275" s="3619"/>
    </row>
    <row r="276" spans="28:38" ht="22.05" customHeight="1">
      <c r="AB276" s="12" t="s">
        <v>5831</v>
      </c>
      <c r="AC276" s="3619" t="s">
        <v>5881</v>
      </c>
      <c r="AD276" s="3619"/>
      <c r="AE276" s="3619"/>
      <c r="AF276" s="3619"/>
      <c r="AG276" s="3619"/>
      <c r="AH276" s="3619"/>
      <c r="AI276" s="3619"/>
      <c r="AJ276" s="3619"/>
      <c r="AK276" s="3619"/>
      <c r="AL276" s="3619"/>
    </row>
    <row r="277" spans="28:38" ht="22.05" customHeight="1">
      <c r="AB277" s="3660" t="s">
        <v>5882</v>
      </c>
      <c r="AC277" s="3660"/>
      <c r="AD277" s="3660"/>
      <c r="AE277" s="3660"/>
      <c r="AF277" s="3660"/>
      <c r="AG277" s="3660"/>
      <c r="AH277" s="3660"/>
      <c r="AI277" s="3660"/>
      <c r="AJ277" s="3660"/>
      <c r="AK277" s="3660"/>
      <c r="AL277" s="3660"/>
    </row>
    <row r="278" spans="28:38" ht="22.05" customHeight="1">
      <c r="AB278" s="14" t="s">
        <v>5688</v>
      </c>
      <c r="AC278" s="3619" t="s">
        <v>5883</v>
      </c>
      <c r="AD278" s="3619"/>
      <c r="AE278" s="3619"/>
      <c r="AF278" s="3619"/>
      <c r="AG278" s="3619"/>
      <c r="AH278" s="3619"/>
      <c r="AI278" s="3619"/>
      <c r="AJ278" s="3619"/>
      <c r="AK278" s="3619"/>
      <c r="AL278" s="3619"/>
    </row>
    <row r="279" spans="28:38" ht="22.05" customHeight="1">
      <c r="AB279" s="3663" t="s">
        <v>5552</v>
      </c>
      <c r="AC279" s="3618" t="s">
        <v>5884</v>
      </c>
      <c r="AD279" s="3618"/>
      <c r="AE279" s="3618"/>
      <c r="AF279" s="3618"/>
      <c r="AG279" s="3618"/>
      <c r="AH279" s="3618"/>
      <c r="AI279" s="3618"/>
      <c r="AJ279" s="3618"/>
      <c r="AK279" s="3618"/>
      <c r="AL279" s="3618"/>
    </row>
    <row r="280" spans="28:38" ht="22.05" customHeight="1">
      <c r="AB280" s="3663"/>
      <c r="AC280" s="3619" t="s">
        <v>5885</v>
      </c>
      <c r="AD280" s="3619"/>
      <c r="AE280" s="3619"/>
      <c r="AF280" s="3619"/>
      <c r="AG280" s="3619"/>
      <c r="AH280" s="3619"/>
      <c r="AI280" s="3619"/>
      <c r="AJ280" s="3619"/>
      <c r="AK280" s="3619"/>
      <c r="AL280" s="3619"/>
    </row>
    <row r="281" spans="28:38" ht="22.05" customHeight="1">
      <c r="AB281" s="3663"/>
      <c r="AC281" s="3619" t="s">
        <v>5886</v>
      </c>
      <c r="AD281" s="3619"/>
      <c r="AE281" s="3619"/>
      <c r="AF281" s="3619"/>
      <c r="AG281" s="3619"/>
      <c r="AH281" s="3619"/>
      <c r="AI281" s="3619"/>
      <c r="AJ281" s="3619"/>
      <c r="AK281" s="3619"/>
      <c r="AL281" s="3619"/>
    </row>
    <row r="282" spans="28:38" ht="22.05" customHeight="1">
      <c r="AB282" s="3663"/>
      <c r="AC282" s="3619" t="s">
        <v>5887</v>
      </c>
      <c r="AD282" s="3619"/>
      <c r="AE282" s="3619"/>
      <c r="AF282" s="3619"/>
      <c r="AG282" s="3619"/>
      <c r="AH282" s="3619"/>
      <c r="AI282" s="3619"/>
      <c r="AJ282" s="3619"/>
      <c r="AK282" s="3619"/>
      <c r="AL282" s="3619"/>
    </row>
    <row r="283" spans="28:38" ht="22.05" customHeight="1">
      <c r="AB283" s="3626" t="s">
        <v>5579</v>
      </c>
      <c r="AC283" s="3618" t="s">
        <v>5888</v>
      </c>
      <c r="AD283" s="3618"/>
      <c r="AE283" s="3618"/>
      <c r="AF283" s="3618"/>
      <c r="AG283" s="3618"/>
      <c r="AH283" s="3618"/>
      <c r="AI283" s="3618"/>
      <c r="AJ283" s="3618"/>
      <c r="AK283" s="3618"/>
      <c r="AL283" s="3618"/>
    </row>
    <row r="284" spans="28:38" ht="22.05" customHeight="1">
      <c r="AB284" s="3626"/>
      <c r="AC284" s="3618"/>
      <c r="AD284" s="3618"/>
      <c r="AE284" s="3618"/>
      <c r="AF284" s="3618"/>
      <c r="AG284" s="3618"/>
      <c r="AH284" s="3618"/>
      <c r="AI284" s="3618"/>
      <c r="AJ284" s="3618"/>
      <c r="AK284" s="3618"/>
      <c r="AL284" s="3618"/>
    </row>
    <row r="285" spans="28:38" ht="22.05" customHeight="1">
      <c r="AB285" s="3626"/>
      <c r="AC285" s="3618"/>
      <c r="AD285" s="3618"/>
      <c r="AE285" s="3618"/>
      <c r="AF285" s="3618"/>
      <c r="AG285" s="3618"/>
      <c r="AH285" s="3618"/>
      <c r="AI285" s="3618"/>
      <c r="AJ285" s="3618"/>
      <c r="AK285" s="3618"/>
      <c r="AL285" s="3618"/>
    </row>
    <row r="286" spans="28:38" ht="22.05" customHeight="1">
      <c r="AB286" s="3626"/>
      <c r="AC286" s="3618"/>
      <c r="AD286" s="3618"/>
      <c r="AE286" s="3618"/>
      <c r="AF286" s="3618"/>
      <c r="AG286" s="3618"/>
      <c r="AH286" s="3618"/>
      <c r="AI286" s="3618"/>
      <c r="AJ286" s="3618"/>
      <c r="AK286" s="3618"/>
      <c r="AL286" s="3618"/>
    </row>
    <row r="287" spans="28:38" ht="22.05" customHeight="1">
      <c r="AB287" s="3626"/>
      <c r="AC287" s="3618"/>
      <c r="AD287" s="3618"/>
      <c r="AE287" s="3618"/>
      <c r="AF287" s="3618"/>
      <c r="AG287" s="3618"/>
      <c r="AH287" s="3618"/>
      <c r="AI287" s="3618"/>
      <c r="AJ287" s="3618"/>
      <c r="AK287" s="3618"/>
      <c r="AL287" s="3618"/>
    </row>
    <row r="288" spans="28:38" ht="22.05" customHeight="1">
      <c r="AB288" s="3626"/>
      <c r="AC288" s="3618"/>
      <c r="AD288" s="3618"/>
      <c r="AE288" s="3618"/>
      <c r="AF288" s="3618"/>
      <c r="AG288" s="3618"/>
      <c r="AH288" s="3618"/>
      <c r="AI288" s="3618"/>
      <c r="AJ288" s="3618"/>
      <c r="AK288" s="3618"/>
      <c r="AL288" s="3618"/>
    </row>
    <row r="289" spans="28:38" ht="22.05" customHeight="1">
      <c r="AB289" s="3626"/>
      <c r="AC289" s="3618"/>
      <c r="AD289" s="3618"/>
      <c r="AE289" s="3618"/>
      <c r="AF289" s="3618"/>
      <c r="AG289" s="3618"/>
      <c r="AH289" s="3618"/>
      <c r="AI289" s="3618"/>
      <c r="AJ289" s="3618"/>
      <c r="AK289" s="3618"/>
      <c r="AL289" s="3618"/>
    </row>
    <row r="290" spans="28:38" ht="22.05" customHeight="1">
      <c r="AB290" s="5" t="s">
        <v>5769</v>
      </c>
      <c r="AC290" s="3619" t="s">
        <v>5889</v>
      </c>
      <c r="AD290" s="3619"/>
      <c r="AE290" s="3619"/>
      <c r="AF290" s="3619"/>
      <c r="AG290" s="3619"/>
      <c r="AH290" s="3619"/>
      <c r="AI290" s="3619"/>
      <c r="AJ290" s="3619"/>
      <c r="AK290" s="3619"/>
      <c r="AL290" s="3619"/>
    </row>
    <row r="291" spans="28:38" ht="22.05" customHeight="1">
      <c r="AB291" s="3660" t="s">
        <v>5890</v>
      </c>
      <c r="AC291" s="3660"/>
      <c r="AD291" s="3660"/>
      <c r="AE291" s="3660"/>
      <c r="AF291" s="3660"/>
      <c r="AG291" s="3660"/>
      <c r="AH291" s="3660"/>
      <c r="AI291" s="3660"/>
      <c r="AJ291" s="3660"/>
      <c r="AK291" s="3660"/>
      <c r="AL291" s="3660"/>
    </row>
    <row r="292" spans="28:38" ht="22.05" customHeight="1">
      <c r="AB292" s="3626" t="s">
        <v>5891</v>
      </c>
      <c r="AC292" s="3618" t="s">
        <v>5892</v>
      </c>
      <c r="AD292" s="3618"/>
      <c r="AE292" s="3618"/>
      <c r="AF292" s="3618"/>
      <c r="AG292" s="3618"/>
      <c r="AH292" s="3618"/>
      <c r="AI292" s="3618"/>
      <c r="AJ292" s="3618"/>
      <c r="AK292" s="3618"/>
      <c r="AL292" s="3618"/>
    </row>
    <row r="293" spans="28:38" ht="22.05" customHeight="1">
      <c r="AB293" s="3626"/>
      <c r="AC293" s="3618" t="s">
        <v>5893</v>
      </c>
      <c r="AD293" s="3618"/>
      <c r="AE293" s="3618"/>
      <c r="AF293" s="3618"/>
      <c r="AG293" s="3618"/>
      <c r="AH293" s="3618"/>
      <c r="AI293" s="3618"/>
      <c r="AJ293" s="3618"/>
      <c r="AK293" s="3618"/>
      <c r="AL293" s="3618"/>
    </row>
    <row r="294" spans="28:38" ht="22.05" customHeight="1">
      <c r="AB294" s="3626"/>
      <c r="AC294" s="3618"/>
      <c r="AD294" s="3618"/>
      <c r="AE294" s="3618"/>
      <c r="AF294" s="3618"/>
      <c r="AG294" s="3618"/>
      <c r="AH294" s="3618"/>
      <c r="AI294" s="3618"/>
      <c r="AJ294" s="3618"/>
      <c r="AK294" s="3618"/>
      <c r="AL294" s="3618"/>
    </row>
    <row r="295" spans="28:38" ht="22.05" customHeight="1">
      <c r="AB295" s="3626"/>
      <c r="AC295" s="3618"/>
      <c r="AD295" s="3618"/>
      <c r="AE295" s="3618"/>
      <c r="AF295" s="3618"/>
      <c r="AG295" s="3618"/>
      <c r="AH295" s="3618"/>
      <c r="AI295" s="3618"/>
      <c r="AJ295" s="3618"/>
      <c r="AK295" s="3618"/>
      <c r="AL295" s="3618"/>
    </row>
    <row r="296" spans="28:38" ht="22.05" customHeight="1">
      <c r="AB296" s="3626"/>
      <c r="AC296" s="3618"/>
      <c r="AD296" s="3618"/>
      <c r="AE296" s="3618"/>
      <c r="AF296" s="3618"/>
      <c r="AG296" s="3618"/>
      <c r="AH296" s="3618"/>
      <c r="AI296" s="3618"/>
      <c r="AJ296" s="3618"/>
      <c r="AK296" s="3618"/>
      <c r="AL296" s="3618"/>
    </row>
    <row r="297" spans="28:38" ht="22.05" customHeight="1">
      <c r="AB297" s="3626"/>
      <c r="AC297" s="3618" t="s">
        <v>5894</v>
      </c>
      <c r="AD297" s="3618"/>
      <c r="AE297" s="3618"/>
      <c r="AF297" s="3618"/>
      <c r="AG297" s="3618"/>
      <c r="AH297" s="3618"/>
      <c r="AI297" s="3618"/>
      <c r="AJ297" s="3618"/>
      <c r="AK297" s="3618"/>
      <c r="AL297" s="3618"/>
    </row>
    <row r="298" spans="28:38" ht="22.05" customHeight="1">
      <c r="AB298" s="3626"/>
      <c r="AC298" s="3619" t="s">
        <v>5895</v>
      </c>
      <c r="AD298" s="3619"/>
      <c r="AE298" s="3619"/>
      <c r="AF298" s="3619"/>
      <c r="AG298" s="3619"/>
      <c r="AH298" s="3619"/>
      <c r="AI298" s="3619"/>
      <c r="AJ298" s="3619"/>
      <c r="AK298" s="3619"/>
      <c r="AL298" s="3619"/>
    </row>
    <row r="299" spans="28:38" ht="22.05" customHeight="1">
      <c r="AB299" s="3626"/>
      <c r="AC299" s="3619" t="s">
        <v>5896</v>
      </c>
      <c r="AD299" s="3619"/>
      <c r="AE299" s="3619"/>
      <c r="AF299" s="3619"/>
      <c r="AG299" s="3619"/>
      <c r="AH299" s="3619"/>
      <c r="AI299" s="3619"/>
      <c r="AJ299" s="3619"/>
      <c r="AK299" s="3619"/>
      <c r="AL299" s="3619"/>
    </row>
    <row r="300" spans="28:38" ht="22.05" customHeight="1">
      <c r="AB300" s="3626"/>
      <c r="AC300" s="3619" t="s">
        <v>5897</v>
      </c>
      <c r="AD300" s="3619"/>
      <c r="AE300" s="3619"/>
      <c r="AF300" s="3619"/>
      <c r="AG300" s="3619"/>
      <c r="AH300" s="3619"/>
      <c r="AI300" s="3619"/>
      <c r="AJ300" s="3619"/>
      <c r="AK300" s="3619"/>
      <c r="AL300" s="3619"/>
    </row>
    <row r="301" spans="28:38" ht="22.05" customHeight="1">
      <c r="AB301" s="3626"/>
      <c r="AC301" s="3618" t="s">
        <v>5898</v>
      </c>
      <c r="AD301" s="3618"/>
      <c r="AE301" s="3618"/>
      <c r="AF301" s="3618"/>
      <c r="AG301" s="3618"/>
      <c r="AH301" s="3618"/>
      <c r="AI301" s="3618"/>
      <c r="AJ301" s="3618"/>
      <c r="AK301" s="3618"/>
      <c r="AL301" s="3618"/>
    </row>
    <row r="302" spans="28:38" ht="22.05" customHeight="1">
      <c r="AB302" s="3626"/>
      <c r="AC302" s="3618"/>
      <c r="AD302" s="3618"/>
      <c r="AE302" s="3618"/>
      <c r="AF302" s="3618"/>
      <c r="AG302" s="3618"/>
      <c r="AH302" s="3618"/>
      <c r="AI302" s="3618"/>
      <c r="AJ302" s="3618"/>
      <c r="AK302" s="3618"/>
      <c r="AL302" s="3618"/>
    </row>
    <row r="303" spans="28:38" ht="22.05" customHeight="1">
      <c r="AB303" s="3626"/>
      <c r="AC303" s="3618" t="s">
        <v>5899</v>
      </c>
      <c r="AD303" s="3618"/>
      <c r="AE303" s="3618"/>
      <c r="AF303" s="3618"/>
      <c r="AG303" s="3618"/>
      <c r="AH303" s="3618"/>
      <c r="AI303" s="3618"/>
      <c r="AJ303" s="3618"/>
      <c r="AK303" s="3618"/>
      <c r="AL303" s="3618"/>
    </row>
    <row r="304" spans="28:38" ht="22.05" customHeight="1">
      <c r="AB304" s="3626"/>
      <c r="AC304" s="3618" t="s">
        <v>5900</v>
      </c>
      <c r="AD304" s="3618"/>
      <c r="AE304" s="3618"/>
      <c r="AF304" s="3618"/>
      <c r="AG304" s="3618"/>
      <c r="AH304" s="3618"/>
      <c r="AI304" s="3618"/>
      <c r="AJ304" s="3618"/>
      <c r="AK304" s="3618"/>
      <c r="AL304" s="3618"/>
    </row>
    <row r="305" spans="28:38" ht="22.05" customHeight="1">
      <c r="AB305" s="3626"/>
      <c r="AC305" s="3619" t="s">
        <v>5901</v>
      </c>
      <c r="AD305" s="3619"/>
      <c r="AE305" s="3619"/>
      <c r="AF305" s="3619"/>
      <c r="AG305" s="3619"/>
      <c r="AH305" s="3619"/>
      <c r="AI305" s="3619"/>
      <c r="AJ305" s="3619"/>
      <c r="AK305" s="3619"/>
      <c r="AL305" s="3619"/>
    </row>
    <row r="306" spans="28:38" ht="22.05" customHeight="1">
      <c r="AB306" s="3626"/>
      <c r="AC306" s="3618" t="s">
        <v>5902</v>
      </c>
      <c r="AD306" s="3619"/>
      <c r="AE306" s="3619"/>
      <c r="AF306" s="3619"/>
      <c r="AG306" s="3619"/>
      <c r="AH306" s="3619"/>
      <c r="AI306" s="3619"/>
      <c r="AJ306" s="3619"/>
      <c r="AK306" s="3619"/>
      <c r="AL306" s="3619"/>
    </row>
    <row r="307" spans="28:38" ht="22.05" customHeight="1">
      <c r="AB307" s="3626"/>
      <c r="AC307" s="3619"/>
      <c r="AD307" s="3619"/>
      <c r="AE307" s="3619"/>
      <c r="AF307" s="3619"/>
      <c r="AG307" s="3619"/>
      <c r="AH307" s="3619"/>
      <c r="AI307" s="3619"/>
      <c r="AJ307" s="3619"/>
      <c r="AK307" s="3619"/>
      <c r="AL307" s="3619"/>
    </row>
    <row r="308" spans="28:38" ht="22.05" customHeight="1">
      <c r="AB308" s="3626" t="s">
        <v>5579</v>
      </c>
      <c r="AC308" s="3619" t="s">
        <v>5903</v>
      </c>
      <c r="AD308" s="3619"/>
      <c r="AE308" s="3619"/>
      <c r="AF308" s="3619"/>
      <c r="AG308" s="3619"/>
      <c r="AH308" s="3619"/>
      <c r="AI308" s="3619"/>
      <c r="AJ308" s="3619"/>
      <c r="AK308" s="3619"/>
      <c r="AL308" s="3619"/>
    </row>
    <row r="309" spans="28:38" ht="22.05" customHeight="1">
      <c r="AB309" s="3626"/>
      <c r="AC309" s="3618" t="s">
        <v>5904</v>
      </c>
      <c r="AD309" s="3619"/>
      <c r="AE309" s="3619"/>
      <c r="AF309" s="3619"/>
      <c r="AG309" s="3619"/>
      <c r="AH309" s="3619"/>
      <c r="AI309" s="3619"/>
      <c r="AJ309" s="3619"/>
      <c r="AK309" s="3619"/>
      <c r="AL309" s="3619"/>
    </row>
    <row r="310" spans="28:38" ht="22.05" customHeight="1">
      <c r="AB310" s="3626"/>
      <c r="AC310" s="3619"/>
      <c r="AD310" s="3619"/>
      <c r="AE310" s="3619"/>
      <c r="AF310" s="3619"/>
      <c r="AG310" s="3619"/>
      <c r="AH310" s="3619"/>
      <c r="AI310" s="3619"/>
      <c r="AJ310" s="3619"/>
      <c r="AK310" s="3619"/>
      <c r="AL310" s="3619"/>
    </row>
    <row r="311" spans="28:38" ht="22.05" customHeight="1">
      <c r="AB311" s="3626"/>
      <c r="AC311" s="3619" t="s">
        <v>5905</v>
      </c>
      <c r="AD311" s="3619"/>
      <c r="AE311" s="3619"/>
      <c r="AF311" s="3619"/>
      <c r="AG311" s="3619"/>
      <c r="AH311" s="3619"/>
      <c r="AI311" s="3619"/>
      <c r="AJ311" s="3619"/>
      <c r="AK311" s="3619"/>
      <c r="AL311" s="3619"/>
    </row>
    <row r="312" spans="28:38" ht="22.05" customHeight="1">
      <c r="AB312" s="3662" t="s">
        <v>5753</v>
      </c>
      <c r="AC312" s="3619" t="s">
        <v>5906</v>
      </c>
      <c r="AD312" s="3619"/>
      <c r="AE312" s="3619"/>
      <c r="AF312" s="3619"/>
      <c r="AG312" s="3619"/>
      <c r="AH312" s="3619"/>
      <c r="AI312" s="3619"/>
      <c r="AJ312" s="3619"/>
      <c r="AK312" s="3619"/>
      <c r="AL312" s="3619"/>
    </row>
    <row r="313" spans="28:38" ht="22.05" customHeight="1">
      <c r="AB313" s="3662"/>
      <c r="AC313" s="3619" t="s">
        <v>5907</v>
      </c>
      <c r="AD313" s="3619"/>
      <c r="AE313" s="3619"/>
      <c r="AF313" s="3619"/>
      <c r="AG313" s="3619"/>
      <c r="AH313" s="3619"/>
      <c r="AI313" s="3619"/>
      <c r="AJ313" s="3619"/>
      <c r="AK313" s="3619"/>
      <c r="AL313" s="3619"/>
    </row>
    <row r="314" spans="28:38" ht="22.05" customHeight="1">
      <c r="AB314" s="13" t="s">
        <v>5863</v>
      </c>
      <c r="AC314" s="3619" t="s">
        <v>5908</v>
      </c>
      <c r="AD314" s="3619"/>
      <c r="AE314" s="3619"/>
      <c r="AF314" s="3619"/>
      <c r="AG314" s="3619"/>
      <c r="AH314" s="3619"/>
      <c r="AI314" s="3619"/>
      <c r="AJ314" s="3619"/>
      <c r="AK314" s="3619"/>
      <c r="AL314" s="3619"/>
    </row>
    <row r="315" spans="28:38" ht="22.05" customHeight="1">
      <c r="AB315" s="3626" t="s">
        <v>5909</v>
      </c>
      <c r="AC315" s="3618" t="s">
        <v>5910</v>
      </c>
      <c r="AD315" s="3619"/>
      <c r="AE315" s="3619"/>
      <c r="AF315" s="3619"/>
      <c r="AG315" s="3619"/>
      <c r="AH315" s="3619"/>
      <c r="AI315" s="3619"/>
      <c r="AJ315" s="3619"/>
      <c r="AK315" s="3619"/>
      <c r="AL315" s="3619"/>
    </row>
    <row r="316" spans="28:38" ht="22.05" customHeight="1">
      <c r="AB316" s="3626"/>
      <c r="AC316" s="3619"/>
      <c r="AD316" s="3619"/>
      <c r="AE316" s="3619"/>
      <c r="AF316" s="3619"/>
      <c r="AG316" s="3619"/>
      <c r="AH316" s="3619"/>
      <c r="AI316" s="3619"/>
      <c r="AJ316" s="3619"/>
      <c r="AK316" s="3619"/>
      <c r="AL316" s="3619"/>
    </row>
    <row r="317" spans="28:38" ht="22.05" customHeight="1">
      <c r="AB317" s="3626"/>
      <c r="AC317" s="3619"/>
      <c r="AD317" s="3619"/>
      <c r="AE317" s="3619"/>
      <c r="AF317" s="3619"/>
      <c r="AG317" s="3619"/>
      <c r="AH317" s="3619"/>
      <c r="AI317" s="3619"/>
      <c r="AJ317" s="3619"/>
      <c r="AK317" s="3619"/>
      <c r="AL317" s="3619"/>
    </row>
    <row r="318" spans="28:38" ht="22.05" customHeight="1">
      <c r="AB318" s="3626"/>
      <c r="AC318" s="3619"/>
      <c r="AD318" s="3619"/>
      <c r="AE318" s="3619"/>
      <c r="AF318" s="3619"/>
      <c r="AG318" s="3619"/>
      <c r="AH318" s="3619"/>
      <c r="AI318" s="3619"/>
      <c r="AJ318" s="3619"/>
      <c r="AK318" s="3619"/>
      <c r="AL318" s="3619"/>
    </row>
    <row r="319" spans="28:38" ht="22.05" customHeight="1">
      <c r="AB319" s="3626"/>
      <c r="AC319" s="3619"/>
      <c r="AD319" s="3619"/>
      <c r="AE319" s="3619"/>
      <c r="AF319" s="3619"/>
      <c r="AG319" s="3619"/>
      <c r="AH319" s="3619"/>
      <c r="AI319" s="3619"/>
      <c r="AJ319" s="3619"/>
      <c r="AK319" s="3619"/>
      <c r="AL319" s="3619"/>
    </row>
    <row r="320" spans="28:38" ht="22.05" customHeight="1">
      <c r="AB320" s="3626" t="s">
        <v>5911</v>
      </c>
      <c r="AC320" s="3618" t="s">
        <v>5912</v>
      </c>
      <c r="AD320" s="3618"/>
      <c r="AE320" s="3618"/>
      <c r="AF320" s="3618"/>
      <c r="AG320" s="3618"/>
      <c r="AH320" s="3618"/>
      <c r="AI320" s="3618"/>
      <c r="AJ320" s="3618"/>
      <c r="AK320" s="3618"/>
      <c r="AL320" s="3618"/>
    </row>
    <row r="321" spans="28:38" ht="22.05" customHeight="1">
      <c r="AB321" s="3626"/>
      <c r="AC321" s="3618"/>
      <c r="AD321" s="3618"/>
      <c r="AE321" s="3618"/>
      <c r="AF321" s="3618"/>
      <c r="AG321" s="3618"/>
      <c r="AH321" s="3618"/>
      <c r="AI321" s="3618"/>
      <c r="AJ321" s="3618"/>
      <c r="AK321" s="3618"/>
      <c r="AL321" s="3618"/>
    </row>
    <row r="322" spans="28:38" ht="22.05" customHeight="1">
      <c r="AB322" s="3626"/>
      <c r="AC322" s="3618"/>
      <c r="AD322" s="3618"/>
      <c r="AE322" s="3618"/>
      <c r="AF322" s="3618"/>
      <c r="AG322" s="3618"/>
      <c r="AH322" s="3618"/>
      <c r="AI322" s="3618"/>
      <c r="AJ322" s="3618"/>
      <c r="AK322" s="3618"/>
      <c r="AL322" s="3618"/>
    </row>
    <row r="323" spans="28:38" ht="22.05" customHeight="1">
      <c r="AB323" s="3626"/>
      <c r="AC323" s="3618"/>
      <c r="AD323" s="3618"/>
      <c r="AE323" s="3618"/>
      <c r="AF323" s="3618"/>
      <c r="AG323" s="3618"/>
      <c r="AH323" s="3618"/>
      <c r="AI323" s="3618"/>
      <c r="AJ323" s="3618"/>
      <c r="AK323" s="3618"/>
      <c r="AL323" s="3618"/>
    </row>
    <row r="324" spans="28:38" ht="22.05" customHeight="1">
      <c r="AB324" s="3626"/>
      <c r="AC324" s="3618"/>
      <c r="AD324" s="3618"/>
      <c r="AE324" s="3618"/>
      <c r="AF324" s="3618"/>
      <c r="AG324" s="3618"/>
      <c r="AH324" s="3618"/>
      <c r="AI324" s="3618"/>
      <c r="AJ324" s="3618"/>
      <c r="AK324" s="3618"/>
      <c r="AL324" s="3618"/>
    </row>
    <row r="325" spans="28:38" ht="22.05" customHeight="1">
      <c r="AB325" s="3626"/>
      <c r="AC325" s="3618"/>
      <c r="AD325" s="3618"/>
      <c r="AE325" s="3618"/>
      <c r="AF325" s="3618"/>
      <c r="AG325" s="3618"/>
      <c r="AH325" s="3618"/>
      <c r="AI325" s="3618"/>
      <c r="AJ325" s="3618"/>
      <c r="AK325" s="3618"/>
      <c r="AL325" s="3618"/>
    </row>
    <row r="326" spans="28:38" ht="22.05" customHeight="1">
      <c r="AB326" s="3660" t="s">
        <v>5913</v>
      </c>
      <c r="AC326" s="3660"/>
      <c r="AD326" s="3660"/>
      <c r="AE326" s="3660"/>
      <c r="AF326" s="3660"/>
      <c r="AG326" s="3660"/>
      <c r="AH326" s="3660"/>
      <c r="AI326" s="3660"/>
      <c r="AJ326" s="3660"/>
      <c r="AK326" s="3660"/>
      <c r="AL326" s="3660"/>
    </row>
    <row r="327" spans="28:38" ht="22.05" customHeight="1">
      <c r="AB327" s="15" t="s">
        <v>5688</v>
      </c>
      <c r="AC327" s="3619" t="s">
        <v>5914</v>
      </c>
      <c r="AD327" s="3619"/>
      <c r="AE327" s="3619"/>
      <c r="AF327" s="3619"/>
      <c r="AG327" s="3619"/>
      <c r="AH327" s="3619"/>
      <c r="AI327" s="3619"/>
      <c r="AJ327" s="3619"/>
      <c r="AK327" s="3619"/>
      <c r="AL327" s="3619"/>
    </row>
    <row r="328" spans="28:38" ht="22.05" customHeight="1">
      <c r="AB328" s="3626" t="s">
        <v>5915</v>
      </c>
      <c r="AC328" s="3619" t="s">
        <v>5916</v>
      </c>
      <c r="AD328" s="3619"/>
      <c r="AE328" s="3619"/>
      <c r="AF328" s="3619"/>
      <c r="AG328" s="3619"/>
      <c r="AH328" s="3619"/>
      <c r="AI328" s="3619"/>
      <c r="AJ328" s="3619"/>
      <c r="AK328" s="3619"/>
      <c r="AL328" s="3619"/>
    </row>
    <row r="329" spans="28:38" ht="22.05" customHeight="1">
      <c r="AB329" s="3626"/>
      <c r="AC329" s="3619" t="s">
        <v>5917</v>
      </c>
      <c r="AD329" s="3619"/>
      <c r="AE329" s="3619"/>
      <c r="AF329" s="3619"/>
      <c r="AG329" s="3619"/>
      <c r="AH329" s="3619"/>
      <c r="AI329" s="3619"/>
      <c r="AJ329" s="3619"/>
      <c r="AK329" s="3619"/>
      <c r="AL329" s="3619"/>
    </row>
    <row r="330" spans="28:38" ht="22.05" customHeight="1">
      <c r="AB330" s="3626"/>
      <c r="AC330" s="3619" t="s">
        <v>5918</v>
      </c>
      <c r="AD330" s="3619"/>
      <c r="AE330" s="3619"/>
      <c r="AF330" s="3619"/>
      <c r="AG330" s="3619"/>
      <c r="AH330" s="3619"/>
      <c r="AI330" s="3619"/>
      <c r="AJ330" s="3619"/>
      <c r="AK330" s="3619"/>
      <c r="AL330" s="3619"/>
    </row>
    <row r="331" spans="28:38" ht="22.05" customHeight="1">
      <c r="AB331" s="3626"/>
      <c r="AC331" s="3618" t="s">
        <v>5919</v>
      </c>
      <c r="AD331" s="3618"/>
      <c r="AE331" s="3618"/>
      <c r="AF331" s="3618"/>
      <c r="AG331" s="3618"/>
      <c r="AH331" s="3618"/>
      <c r="AI331" s="3618"/>
      <c r="AJ331" s="3618"/>
      <c r="AK331" s="3618"/>
      <c r="AL331" s="3618"/>
    </row>
    <row r="332" spans="28:38" ht="22.05" customHeight="1">
      <c r="AB332" s="3626"/>
      <c r="AC332" s="3618"/>
      <c r="AD332" s="3618"/>
      <c r="AE332" s="3618"/>
      <c r="AF332" s="3618"/>
      <c r="AG332" s="3618"/>
      <c r="AH332" s="3618"/>
      <c r="AI332" s="3618"/>
      <c r="AJ332" s="3618"/>
      <c r="AK332" s="3618"/>
      <c r="AL332" s="3618"/>
    </row>
    <row r="333" spans="28:38" ht="22.05" customHeight="1">
      <c r="AB333" s="3626"/>
      <c r="AC333" s="3618"/>
      <c r="AD333" s="3618"/>
      <c r="AE333" s="3618"/>
      <c r="AF333" s="3618"/>
      <c r="AG333" s="3618"/>
      <c r="AH333" s="3618"/>
      <c r="AI333" s="3618"/>
      <c r="AJ333" s="3618"/>
      <c r="AK333" s="3618"/>
      <c r="AL333" s="3618"/>
    </row>
    <row r="334" spans="28:38" ht="22.05" customHeight="1">
      <c r="AB334" s="3626"/>
      <c r="AC334" s="3619" t="s">
        <v>5920</v>
      </c>
      <c r="AD334" s="3619"/>
      <c r="AE334" s="3619"/>
      <c r="AF334" s="3619"/>
      <c r="AG334" s="3619"/>
      <c r="AH334" s="3619"/>
      <c r="AI334" s="3619"/>
      <c r="AJ334" s="3619"/>
      <c r="AK334" s="3619"/>
      <c r="AL334" s="3619"/>
    </row>
    <row r="335" spans="28:38" ht="22.05" customHeight="1">
      <c r="AB335" s="3626"/>
      <c r="AC335" s="3619" t="s">
        <v>5921</v>
      </c>
      <c r="AD335" s="3619"/>
      <c r="AE335" s="3619"/>
      <c r="AF335" s="3619"/>
      <c r="AG335" s="3619"/>
      <c r="AH335" s="3619"/>
      <c r="AI335" s="3619"/>
      <c r="AJ335" s="3619"/>
      <c r="AK335" s="3619"/>
      <c r="AL335" s="3619"/>
    </row>
    <row r="336" spans="28:38" ht="22.05" customHeight="1">
      <c r="AB336" s="3626"/>
      <c r="AC336" s="3619" t="s">
        <v>5922</v>
      </c>
      <c r="AD336" s="3619"/>
      <c r="AE336" s="3619"/>
      <c r="AF336" s="3619"/>
      <c r="AG336" s="3619"/>
      <c r="AH336" s="3619"/>
      <c r="AI336" s="3619"/>
      <c r="AJ336" s="3619"/>
      <c r="AK336" s="3619"/>
      <c r="AL336" s="3619"/>
    </row>
    <row r="337" spans="28:38" ht="22.05" customHeight="1">
      <c r="AB337" s="3626"/>
      <c r="AC337" s="3618" t="s">
        <v>5923</v>
      </c>
      <c r="AD337" s="3619"/>
      <c r="AE337" s="3619"/>
      <c r="AF337" s="3619"/>
      <c r="AG337" s="3619"/>
      <c r="AH337" s="3619"/>
      <c r="AI337" s="3619"/>
      <c r="AJ337" s="3619"/>
      <c r="AK337" s="3619"/>
      <c r="AL337" s="3619"/>
    </row>
    <row r="338" spans="28:38" ht="22.05" customHeight="1">
      <c r="AB338" s="3626"/>
      <c r="AC338" s="3619"/>
      <c r="AD338" s="3619"/>
      <c r="AE338" s="3619"/>
      <c r="AF338" s="3619"/>
      <c r="AG338" s="3619"/>
      <c r="AH338" s="3619"/>
      <c r="AI338" s="3619"/>
      <c r="AJ338" s="3619"/>
      <c r="AK338" s="3619"/>
      <c r="AL338" s="3619"/>
    </row>
    <row r="339" spans="28:38" ht="22.05" customHeight="1">
      <c r="AB339" s="3626"/>
      <c r="AC339" s="3619" t="s">
        <v>5924</v>
      </c>
      <c r="AD339" s="3619"/>
      <c r="AE339" s="3619"/>
      <c r="AF339" s="3619"/>
      <c r="AG339" s="3619"/>
      <c r="AH339" s="3619"/>
      <c r="AI339" s="3619"/>
      <c r="AJ339" s="3619"/>
      <c r="AK339" s="3619"/>
      <c r="AL339" s="3619"/>
    </row>
    <row r="340" spans="28:38" ht="22.05" customHeight="1">
      <c r="AB340" s="3626"/>
      <c r="AC340" s="3618" t="s">
        <v>5925</v>
      </c>
      <c r="AD340" s="3619"/>
      <c r="AE340" s="3619"/>
      <c r="AF340" s="3619"/>
      <c r="AG340" s="3619"/>
      <c r="AH340" s="3619"/>
      <c r="AI340" s="3619"/>
      <c r="AJ340" s="3619"/>
      <c r="AK340" s="3619"/>
      <c r="AL340" s="3619"/>
    </row>
    <row r="341" spans="28:38" ht="22.05" customHeight="1">
      <c r="AB341" s="3626"/>
      <c r="AC341" s="3619"/>
      <c r="AD341" s="3619"/>
      <c r="AE341" s="3619"/>
      <c r="AF341" s="3619"/>
      <c r="AG341" s="3619"/>
      <c r="AH341" s="3619"/>
      <c r="AI341" s="3619"/>
      <c r="AJ341" s="3619"/>
      <c r="AK341" s="3619"/>
      <c r="AL341" s="3619"/>
    </row>
    <row r="342" spans="28:38" ht="22.05" customHeight="1">
      <c r="AB342" s="3626"/>
      <c r="AC342" s="3619" t="s">
        <v>5926</v>
      </c>
      <c r="AD342" s="3619"/>
      <c r="AE342" s="3619"/>
      <c r="AF342" s="3619"/>
      <c r="AG342" s="3619"/>
      <c r="AH342" s="3619"/>
      <c r="AI342" s="3619"/>
      <c r="AJ342" s="3619"/>
      <c r="AK342" s="3619"/>
      <c r="AL342" s="3619"/>
    </row>
    <row r="343" spans="28:38" ht="22.05" customHeight="1">
      <c r="AB343" s="3626"/>
      <c r="AC343" s="3619" t="s">
        <v>5927</v>
      </c>
      <c r="AD343" s="3619"/>
      <c r="AE343" s="3619"/>
      <c r="AF343" s="3619"/>
      <c r="AG343" s="3619"/>
      <c r="AH343" s="3619"/>
      <c r="AI343" s="3619"/>
      <c r="AJ343" s="3619"/>
      <c r="AK343" s="3619"/>
      <c r="AL343" s="3619"/>
    </row>
    <row r="344" spans="28:38" ht="22.05" customHeight="1">
      <c r="AB344" s="3626"/>
      <c r="AC344" s="3618" t="s">
        <v>5928</v>
      </c>
      <c r="AD344" s="3619"/>
      <c r="AE344" s="3619"/>
      <c r="AF344" s="3619"/>
      <c r="AG344" s="3619"/>
      <c r="AH344" s="3619"/>
      <c r="AI344" s="3619"/>
      <c r="AJ344" s="3619"/>
      <c r="AK344" s="3619"/>
      <c r="AL344" s="3619"/>
    </row>
    <row r="345" spans="28:38" ht="22.05" customHeight="1">
      <c r="AB345" s="3626"/>
      <c r="AC345" s="3619"/>
      <c r="AD345" s="3619"/>
      <c r="AE345" s="3619"/>
      <c r="AF345" s="3619"/>
      <c r="AG345" s="3619"/>
      <c r="AH345" s="3619"/>
      <c r="AI345" s="3619"/>
      <c r="AJ345" s="3619"/>
      <c r="AK345" s="3619"/>
      <c r="AL345" s="3619"/>
    </row>
    <row r="346" spans="28:38" ht="22.05" customHeight="1">
      <c r="AB346" s="3626"/>
      <c r="AC346" s="3619" t="s">
        <v>5929</v>
      </c>
      <c r="AD346" s="3619"/>
      <c r="AE346" s="3619"/>
      <c r="AF346" s="3619"/>
      <c r="AG346" s="3619"/>
      <c r="AH346" s="3619"/>
      <c r="AI346" s="3619"/>
      <c r="AJ346" s="3619"/>
      <c r="AK346" s="3619"/>
      <c r="AL346" s="3619"/>
    </row>
    <row r="347" spans="28:38" ht="22.05" customHeight="1">
      <c r="AB347" s="3662" t="s">
        <v>5863</v>
      </c>
      <c r="AC347" s="3618" t="s">
        <v>5930</v>
      </c>
      <c r="AD347" s="3619"/>
      <c r="AE347" s="3619"/>
      <c r="AF347" s="3619"/>
      <c r="AG347" s="3619"/>
      <c r="AH347" s="3619"/>
      <c r="AI347" s="3619"/>
      <c r="AJ347" s="3619"/>
      <c r="AK347" s="3619"/>
      <c r="AL347" s="3619"/>
    </row>
    <row r="348" spans="28:38" ht="22.05" customHeight="1">
      <c r="AB348" s="3662"/>
      <c r="AC348" s="3619"/>
      <c r="AD348" s="3619"/>
      <c r="AE348" s="3619"/>
      <c r="AF348" s="3619"/>
      <c r="AG348" s="3619"/>
      <c r="AH348" s="3619"/>
      <c r="AI348" s="3619"/>
      <c r="AJ348" s="3619"/>
      <c r="AK348" s="3619"/>
      <c r="AL348" s="3619"/>
    </row>
    <row r="349" spans="28:38" ht="22.05" customHeight="1">
      <c r="AB349" s="3628" t="s">
        <v>5931</v>
      </c>
      <c r="AC349" s="3618" t="s">
        <v>5932</v>
      </c>
      <c r="AD349" s="3619"/>
      <c r="AE349" s="3619"/>
      <c r="AF349" s="3619"/>
      <c r="AG349" s="3619"/>
      <c r="AH349" s="3619"/>
      <c r="AI349" s="3619"/>
      <c r="AJ349" s="3619"/>
      <c r="AK349" s="3619"/>
      <c r="AL349" s="3619"/>
    </row>
    <row r="350" spans="28:38" ht="22.05" customHeight="1">
      <c r="AB350" s="3628"/>
      <c r="AC350" s="3619"/>
      <c r="AD350" s="3619"/>
      <c r="AE350" s="3619"/>
      <c r="AF350" s="3619"/>
      <c r="AG350" s="3619"/>
      <c r="AH350" s="3619"/>
      <c r="AI350" s="3619"/>
      <c r="AJ350" s="3619"/>
      <c r="AK350" s="3619"/>
      <c r="AL350" s="3619"/>
    </row>
    <row r="351" spans="28:38" ht="22.05" customHeight="1">
      <c r="AB351" s="3660" t="s">
        <v>5933</v>
      </c>
      <c r="AC351" s="3660"/>
      <c r="AD351" s="3660"/>
      <c r="AE351" s="3660"/>
      <c r="AF351" s="3660"/>
      <c r="AG351" s="3660"/>
      <c r="AH351" s="3660"/>
      <c r="AI351" s="3660"/>
      <c r="AJ351" s="3660"/>
      <c r="AK351" s="3660"/>
      <c r="AL351" s="3660"/>
    </row>
    <row r="352" spans="28:38" ht="22.05" customHeight="1">
      <c r="AB352" s="3626" t="s">
        <v>5915</v>
      </c>
      <c r="AC352" s="3618" t="s">
        <v>5934</v>
      </c>
      <c r="AD352" s="3619"/>
      <c r="AE352" s="3619"/>
      <c r="AF352" s="3619"/>
      <c r="AG352" s="3619"/>
      <c r="AH352" s="3619"/>
      <c r="AI352" s="3619"/>
      <c r="AJ352" s="3619"/>
      <c r="AK352" s="3619"/>
      <c r="AL352" s="3619"/>
    </row>
    <row r="353" spans="28:38" ht="22.05" customHeight="1">
      <c r="AB353" s="3626"/>
      <c r="AC353" s="3619"/>
      <c r="AD353" s="3619"/>
      <c r="AE353" s="3619"/>
      <c r="AF353" s="3619"/>
      <c r="AG353" s="3619"/>
      <c r="AH353" s="3619"/>
      <c r="AI353" s="3619"/>
      <c r="AJ353" s="3619"/>
      <c r="AK353" s="3619"/>
      <c r="AL353" s="3619"/>
    </row>
    <row r="354" spans="28:38" ht="22.05" customHeight="1">
      <c r="AB354" s="3626"/>
      <c r="AC354" s="3619" t="s">
        <v>5935</v>
      </c>
      <c r="AD354" s="3619"/>
      <c r="AE354" s="3619"/>
      <c r="AF354" s="3619"/>
      <c r="AG354" s="3619"/>
      <c r="AH354" s="3619"/>
      <c r="AI354" s="3619"/>
      <c r="AJ354" s="3619"/>
      <c r="AK354" s="3619"/>
      <c r="AL354" s="3619"/>
    </row>
    <row r="355" spans="28:38" ht="22.05" customHeight="1">
      <c r="AB355" s="3626"/>
      <c r="AC355" s="3619" t="s">
        <v>5936</v>
      </c>
      <c r="AD355" s="3619"/>
      <c r="AE355" s="3619"/>
      <c r="AF355" s="3619"/>
      <c r="AG355" s="3619"/>
      <c r="AH355" s="3619"/>
      <c r="AI355" s="3619"/>
      <c r="AJ355" s="3619"/>
      <c r="AK355" s="3619"/>
      <c r="AL355" s="3619"/>
    </row>
    <row r="356" spans="28:38" ht="22.05" customHeight="1">
      <c r="AB356" s="3626"/>
      <c r="AC356" s="3618" t="s">
        <v>5937</v>
      </c>
      <c r="AD356" s="3618"/>
      <c r="AE356" s="3618"/>
      <c r="AF356" s="3618"/>
      <c r="AG356" s="3618"/>
      <c r="AH356" s="3618"/>
      <c r="AI356" s="3618"/>
      <c r="AJ356" s="3618"/>
      <c r="AK356" s="3618"/>
      <c r="AL356" s="3618"/>
    </row>
    <row r="357" spans="28:38" ht="22.05" customHeight="1">
      <c r="AB357" s="3626"/>
      <c r="AC357" s="3618"/>
      <c r="AD357" s="3618"/>
      <c r="AE357" s="3618"/>
      <c r="AF357" s="3618"/>
      <c r="AG357" s="3618"/>
      <c r="AH357" s="3618"/>
      <c r="AI357" s="3618"/>
      <c r="AJ357" s="3618"/>
      <c r="AK357" s="3618"/>
      <c r="AL357" s="3618"/>
    </row>
    <row r="358" spans="28:38" ht="22.05" customHeight="1">
      <c r="AB358" s="3626"/>
      <c r="AC358" s="3618"/>
      <c r="AD358" s="3618"/>
      <c r="AE358" s="3618"/>
      <c r="AF358" s="3618"/>
      <c r="AG358" s="3618"/>
      <c r="AH358" s="3618"/>
      <c r="AI358" s="3618"/>
      <c r="AJ358" s="3618"/>
      <c r="AK358" s="3618"/>
      <c r="AL358" s="3618"/>
    </row>
    <row r="359" spans="28:38" ht="22.05" customHeight="1">
      <c r="AB359" s="3626"/>
      <c r="AC359" s="3619" t="s">
        <v>5938</v>
      </c>
      <c r="AD359" s="3619"/>
      <c r="AE359" s="3619"/>
      <c r="AF359" s="3619"/>
      <c r="AG359" s="3619"/>
      <c r="AH359" s="3619"/>
      <c r="AI359" s="3619"/>
      <c r="AJ359" s="3619"/>
      <c r="AK359" s="3619"/>
      <c r="AL359" s="3619"/>
    </row>
    <row r="360" spans="28:38" ht="22.05" customHeight="1">
      <c r="AB360" s="3626"/>
      <c r="AC360" s="3619" t="s">
        <v>5939</v>
      </c>
      <c r="AD360" s="3619"/>
      <c r="AE360" s="3619"/>
      <c r="AF360" s="3619"/>
      <c r="AG360" s="3619"/>
      <c r="AH360" s="3619"/>
      <c r="AI360" s="3619"/>
      <c r="AJ360" s="3619"/>
      <c r="AK360" s="3619"/>
      <c r="AL360" s="3619"/>
    </row>
    <row r="361" spans="28:38" ht="22.05" customHeight="1">
      <c r="AB361" s="3626" t="s">
        <v>5579</v>
      </c>
      <c r="AC361" s="3619" t="s">
        <v>5940</v>
      </c>
      <c r="AD361" s="3619"/>
      <c r="AE361" s="3619"/>
      <c r="AF361" s="3619"/>
      <c r="AG361" s="3619"/>
      <c r="AH361" s="3619"/>
      <c r="AI361" s="3619"/>
      <c r="AJ361" s="3619"/>
      <c r="AK361" s="3619"/>
      <c r="AL361" s="3619"/>
    </row>
    <row r="362" spans="28:38" ht="22.05" customHeight="1">
      <c r="AB362" s="3626"/>
      <c r="AC362" s="3619" t="s">
        <v>5941</v>
      </c>
      <c r="AD362" s="3619"/>
      <c r="AE362" s="3619"/>
      <c r="AF362" s="3619"/>
      <c r="AG362" s="3619"/>
      <c r="AH362" s="3619"/>
      <c r="AI362" s="3619"/>
      <c r="AJ362" s="3619"/>
      <c r="AK362" s="3619"/>
      <c r="AL362" s="3619"/>
    </row>
    <row r="363" spans="28:38" ht="22.05" customHeight="1">
      <c r="AB363" s="3626"/>
      <c r="AC363" s="3619" t="s">
        <v>5942</v>
      </c>
      <c r="AD363" s="3619"/>
      <c r="AE363" s="3619"/>
      <c r="AF363" s="3619"/>
      <c r="AG363" s="3619"/>
      <c r="AH363" s="3619"/>
      <c r="AI363" s="3619"/>
      <c r="AJ363" s="3619"/>
      <c r="AK363" s="3619"/>
      <c r="AL363" s="3619"/>
    </row>
    <row r="364" spans="28:38" ht="22.05" customHeight="1">
      <c r="AB364" s="5" t="s">
        <v>5871</v>
      </c>
      <c r="AC364" s="3619" t="s">
        <v>5943</v>
      </c>
      <c r="AD364" s="3619"/>
      <c r="AE364" s="3619"/>
      <c r="AF364" s="3619"/>
      <c r="AG364" s="3619"/>
      <c r="AH364" s="3619"/>
      <c r="AI364" s="3619"/>
      <c r="AJ364" s="3619"/>
      <c r="AK364" s="3619"/>
      <c r="AL364" s="3619"/>
    </row>
    <row r="365" spans="28:38" ht="22.05" customHeight="1">
      <c r="AB365" s="3626" t="s">
        <v>5944</v>
      </c>
      <c r="AC365" s="3619" t="s">
        <v>5945</v>
      </c>
      <c r="AD365" s="3619"/>
      <c r="AE365" s="3619"/>
      <c r="AF365" s="3619"/>
      <c r="AG365" s="3619"/>
      <c r="AH365" s="3619"/>
      <c r="AI365" s="3619"/>
      <c r="AJ365" s="3619"/>
      <c r="AK365" s="3619"/>
      <c r="AL365" s="3619"/>
    </row>
    <row r="366" spans="28:38" ht="22.05" customHeight="1">
      <c r="AB366" s="3626"/>
      <c r="AC366" s="3618" t="s">
        <v>5946</v>
      </c>
      <c r="AD366" s="3619"/>
      <c r="AE366" s="3619"/>
      <c r="AF366" s="3619"/>
      <c r="AG366" s="3619"/>
      <c r="AH366" s="3619"/>
      <c r="AI366" s="3619"/>
      <c r="AJ366" s="3619"/>
      <c r="AK366" s="3619"/>
      <c r="AL366" s="3619"/>
    </row>
    <row r="367" spans="28:38" ht="22.05" customHeight="1">
      <c r="AB367" s="3626"/>
      <c r="AC367" s="3619"/>
      <c r="AD367" s="3619"/>
      <c r="AE367" s="3619"/>
      <c r="AF367" s="3619"/>
      <c r="AG367" s="3619"/>
      <c r="AH367" s="3619"/>
      <c r="AI367" s="3619"/>
      <c r="AJ367" s="3619"/>
      <c r="AK367" s="3619"/>
      <c r="AL367" s="3619"/>
    </row>
    <row r="368" spans="28:38" ht="22.05" customHeight="1">
      <c r="AB368" s="3626"/>
      <c r="AC368" s="3619"/>
      <c r="AD368" s="3619"/>
      <c r="AE368" s="3619"/>
      <c r="AF368" s="3619"/>
      <c r="AG368" s="3619"/>
      <c r="AH368" s="3619"/>
      <c r="AI368" s="3619"/>
      <c r="AJ368" s="3619"/>
      <c r="AK368" s="3619"/>
      <c r="AL368" s="3619"/>
    </row>
    <row r="369" spans="28:38" ht="22.05" customHeight="1">
      <c r="AB369" s="3626"/>
      <c r="AC369" s="3619"/>
      <c r="AD369" s="3619"/>
      <c r="AE369" s="3619"/>
      <c r="AF369" s="3619"/>
      <c r="AG369" s="3619"/>
      <c r="AH369" s="3619"/>
      <c r="AI369" s="3619"/>
      <c r="AJ369" s="3619"/>
      <c r="AK369" s="3619"/>
      <c r="AL369" s="3619"/>
    </row>
    <row r="370" spans="28:38" ht="22.05" customHeight="1">
      <c r="AB370" s="3626"/>
      <c r="AC370" s="3659" t="s">
        <v>5947</v>
      </c>
      <c r="AD370" s="3659"/>
      <c r="AE370" s="3659"/>
      <c r="AF370" s="3659"/>
      <c r="AG370" s="3659"/>
      <c r="AH370" s="3659"/>
      <c r="AI370" s="3659"/>
      <c r="AJ370" s="3659"/>
      <c r="AK370" s="3659"/>
      <c r="AL370" s="3659"/>
    </row>
    <row r="371" spans="28:38" ht="22.05" customHeight="1">
      <c r="AB371" s="3660" t="s">
        <v>5948</v>
      </c>
      <c r="AC371" s="3660"/>
      <c r="AD371" s="3660"/>
      <c r="AE371" s="3660"/>
      <c r="AF371" s="3660"/>
      <c r="AG371" s="3660"/>
      <c r="AH371" s="3660"/>
      <c r="AI371" s="3660"/>
      <c r="AJ371" s="3660"/>
      <c r="AK371" s="3660"/>
      <c r="AL371" s="3660"/>
    </row>
    <row r="372" spans="28:38" ht="22.05" customHeight="1">
      <c r="AB372" s="3626" t="s">
        <v>5915</v>
      </c>
      <c r="AC372" s="3644" t="s">
        <v>5949</v>
      </c>
      <c r="AD372" s="3645"/>
      <c r="AE372" s="3645"/>
      <c r="AF372" s="3645"/>
      <c r="AG372" s="3645"/>
      <c r="AH372" s="3645"/>
      <c r="AI372" s="3645"/>
      <c r="AJ372" s="3645"/>
      <c r="AK372" s="3645"/>
      <c r="AL372" s="3645"/>
    </row>
    <row r="373" spans="28:38" ht="22.05" customHeight="1">
      <c r="AB373" s="3626"/>
      <c r="AC373" s="3645"/>
      <c r="AD373" s="3645"/>
      <c r="AE373" s="3645"/>
      <c r="AF373" s="3645"/>
      <c r="AG373" s="3645"/>
      <c r="AH373" s="3645"/>
      <c r="AI373" s="3645"/>
      <c r="AJ373" s="3645"/>
      <c r="AK373" s="3645"/>
      <c r="AL373" s="3645"/>
    </row>
    <row r="374" spans="28:38" ht="22.05" customHeight="1">
      <c r="AB374" s="3626"/>
      <c r="AC374" s="3643" t="s">
        <v>5950</v>
      </c>
      <c r="AD374" s="3656"/>
      <c r="AE374" s="3656"/>
      <c r="AF374" s="3656"/>
      <c r="AG374" s="3656"/>
      <c r="AH374" s="3656"/>
      <c r="AI374" s="3656"/>
      <c r="AJ374" s="3656"/>
      <c r="AK374" s="3656"/>
      <c r="AL374" s="3656"/>
    </row>
    <row r="375" spans="28:38" ht="22.05" customHeight="1">
      <c r="AB375" s="3626"/>
      <c r="AC375" s="3656"/>
      <c r="AD375" s="3656"/>
      <c r="AE375" s="3656"/>
      <c r="AF375" s="3656"/>
      <c r="AG375" s="3656"/>
      <c r="AH375" s="3656"/>
      <c r="AI375" s="3656"/>
      <c r="AJ375" s="3656"/>
      <c r="AK375" s="3656"/>
      <c r="AL375" s="3656"/>
    </row>
    <row r="376" spans="28:38" ht="22.05" customHeight="1">
      <c r="AB376" s="3626"/>
      <c r="AC376" s="3656"/>
      <c r="AD376" s="3656"/>
      <c r="AE376" s="3656"/>
      <c r="AF376" s="3656"/>
      <c r="AG376" s="3656"/>
      <c r="AH376" s="3656"/>
      <c r="AI376" s="3656"/>
      <c r="AJ376" s="3656"/>
      <c r="AK376" s="3656"/>
      <c r="AL376" s="3656"/>
    </row>
    <row r="377" spans="28:38" ht="22.05" customHeight="1">
      <c r="AB377" s="3626"/>
      <c r="AC377" s="3618" t="s">
        <v>5951</v>
      </c>
      <c r="AD377" s="3619"/>
      <c r="AE377" s="3619"/>
      <c r="AF377" s="3619"/>
      <c r="AG377" s="3619"/>
      <c r="AH377" s="3619"/>
      <c r="AI377" s="3619"/>
      <c r="AJ377" s="3619"/>
      <c r="AK377" s="3619"/>
      <c r="AL377" s="3619"/>
    </row>
    <row r="378" spans="28:38" ht="22.05" customHeight="1">
      <c r="AB378" s="3626"/>
      <c r="AC378" s="3619"/>
      <c r="AD378" s="3619"/>
      <c r="AE378" s="3619"/>
      <c r="AF378" s="3619"/>
      <c r="AG378" s="3619"/>
      <c r="AH378" s="3619"/>
      <c r="AI378" s="3619"/>
      <c r="AJ378" s="3619"/>
      <c r="AK378" s="3619"/>
      <c r="AL378" s="3619"/>
    </row>
    <row r="379" spans="28:38" ht="22.05" customHeight="1">
      <c r="AB379" s="3626"/>
      <c r="AC379" s="3619" t="s">
        <v>5952</v>
      </c>
      <c r="AD379" s="3619"/>
      <c r="AE379" s="3619"/>
      <c r="AF379" s="3619"/>
      <c r="AG379" s="3619"/>
      <c r="AH379" s="3619"/>
      <c r="AI379" s="3619"/>
      <c r="AJ379" s="3619"/>
      <c r="AK379" s="3619"/>
      <c r="AL379" s="3619"/>
    </row>
    <row r="380" spans="28:38" ht="22.05" customHeight="1">
      <c r="AB380" s="3626"/>
      <c r="AC380" s="3643" t="s">
        <v>5953</v>
      </c>
      <c r="AD380" s="3643"/>
      <c r="AE380" s="3643"/>
      <c r="AF380" s="3643"/>
      <c r="AG380" s="3643"/>
      <c r="AH380" s="3643"/>
      <c r="AI380" s="3643"/>
      <c r="AJ380" s="3643"/>
      <c r="AK380" s="3643"/>
      <c r="AL380" s="3643"/>
    </row>
    <row r="381" spans="28:38" ht="22.05" customHeight="1">
      <c r="AB381" s="3626"/>
      <c r="AC381" s="3643"/>
      <c r="AD381" s="3643"/>
      <c r="AE381" s="3643"/>
      <c r="AF381" s="3643"/>
      <c r="AG381" s="3643"/>
      <c r="AH381" s="3643"/>
      <c r="AI381" s="3643"/>
      <c r="AJ381" s="3643"/>
      <c r="AK381" s="3643"/>
      <c r="AL381" s="3643"/>
    </row>
    <row r="382" spans="28:38" ht="22.05" customHeight="1">
      <c r="AB382" s="3626"/>
      <c r="AC382" s="3643"/>
      <c r="AD382" s="3643"/>
      <c r="AE382" s="3643"/>
      <c r="AF382" s="3643"/>
      <c r="AG382" s="3643"/>
      <c r="AH382" s="3643"/>
      <c r="AI382" s="3643"/>
      <c r="AJ382" s="3643"/>
      <c r="AK382" s="3643"/>
      <c r="AL382" s="3643"/>
    </row>
    <row r="383" spans="28:38" ht="22.05" customHeight="1">
      <c r="AB383" s="3626"/>
      <c r="AC383" s="3643" t="s">
        <v>5954</v>
      </c>
      <c r="AD383" s="3643"/>
      <c r="AE383" s="3643"/>
      <c r="AF383" s="3643"/>
      <c r="AG383" s="3643"/>
      <c r="AH383" s="3643"/>
      <c r="AI383" s="3643"/>
      <c r="AJ383" s="3643"/>
      <c r="AK383" s="3643"/>
      <c r="AL383" s="3643"/>
    </row>
    <row r="384" spans="28:38" ht="22.05" customHeight="1">
      <c r="AB384" s="3626"/>
      <c r="AC384" s="3643"/>
      <c r="AD384" s="3643"/>
      <c r="AE384" s="3643"/>
      <c r="AF384" s="3643"/>
      <c r="AG384" s="3643"/>
      <c r="AH384" s="3643"/>
      <c r="AI384" s="3643"/>
      <c r="AJ384" s="3643"/>
      <c r="AK384" s="3643"/>
      <c r="AL384" s="3643"/>
    </row>
    <row r="385" spans="28:38" ht="22.05" customHeight="1">
      <c r="AB385" s="3626"/>
      <c r="AC385" s="3643"/>
      <c r="AD385" s="3643"/>
      <c r="AE385" s="3643"/>
      <c r="AF385" s="3643"/>
      <c r="AG385" s="3643"/>
      <c r="AH385" s="3643"/>
      <c r="AI385" s="3643"/>
      <c r="AJ385" s="3643"/>
      <c r="AK385" s="3643"/>
      <c r="AL385" s="3643"/>
    </row>
    <row r="386" spans="28:38" ht="22.05" customHeight="1">
      <c r="AB386" s="3628" t="s">
        <v>5863</v>
      </c>
      <c r="AC386" s="3618" t="s">
        <v>5955</v>
      </c>
      <c r="AD386" s="3619"/>
      <c r="AE386" s="3619"/>
      <c r="AF386" s="3619"/>
      <c r="AG386" s="3619"/>
      <c r="AH386" s="3619"/>
      <c r="AI386" s="3619"/>
      <c r="AJ386" s="3619"/>
      <c r="AK386" s="3619"/>
      <c r="AL386" s="3619"/>
    </row>
    <row r="387" spans="28:38" ht="22.05" customHeight="1">
      <c r="AB387" s="3628"/>
      <c r="AC387" s="3619"/>
      <c r="AD387" s="3619"/>
      <c r="AE387" s="3619"/>
      <c r="AF387" s="3619"/>
      <c r="AG387" s="3619"/>
      <c r="AH387" s="3619"/>
      <c r="AI387" s="3619"/>
      <c r="AJ387" s="3619"/>
      <c r="AK387" s="3619"/>
      <c r="AL387" s="3619"/>
    </row>
    <row r="388" spans="28:38" ht="22.05" customHeight="1">
      <c r="AB388" s="10" t="s">
        <v>5579</v>
      </c>
      <c r="AC388" s="3619" t="s">
        <v>5956</v>
      </c>
      <c r="AD388" s="3619"/>
      <c r="AE388" s="3619"/>
      <c r="AF388" s="3619"/>
      <c r="AG388" s="3619"/>
      <c r="AH388" s="3619"/>
      <c r="AI388" s="3619"/>
      <c r="AJ388" s="3619"/>
      <c r="AK388" s="3619"/>
      <c r="AL388" s="3619"/>
    </row>
    <row r="389" spans="28:38" ht="22.05" customHeight="1">
      <c r="AB389" s="3626" t="s">
        <v>5957</v>
      </c>
      <c r="AC389" s="3619" t="s">
        <v>5958</v>
      </c>
      <c r="AD389" s="3619"/>
      <c r="AE389" s="3619"/>
      <c r="AF389" s="3619"/>
      <c r="AG389" s="3619"/>
      <c r="AH389" s="3619"/>
      <c r="AI389" s="3619"/>
      <c r="AJ389" s="3619"/>
      <c r="AK389" s="3619"/>
      <c r="AL389" s="3619"/>
    </row>
    <row r="390" spans="28:38" ht="22.05" customHeight="1">
      <c r="AB390" s="3626"/>
      <c r="AC390" s="3619" t="s">
        <v>5959</v>
      </c>
      <c r="AD390" s="3619"/>
      <c r="AE390" s="3619"/>
      <c r="AF390" s="3619"/>
      <c r="AG390" s="3619"/>
      <c r="AH390" s="3619"/>
      <c r="AI390" s="3619"/>
      <c r="AJ390" s="3619"/>
      <c r="AK390" s="3619"/>
      <c r="AL390" s="3619"/>
    </row>
    <row r="459" ht="15.6"/>
    <row r="460" ht="15.6"/>
    <row r="461" ht="15.6"/>
    <row r="462" ht="15.6"/>
    <row r="463" ht="15.6"/>
    <row r="464" ht="15.6"/>
    <row r="465" ht="15.6"/>
    <row r="466" ht="15.6"/>
    <row r="467" ht="15.6"/>
    <row r="468" ht="15.6"/>
    <row r="469" ht="15.6"/>
    <row r="470" ht="15.6"/>
    <row r="471" ht="15.6"/>
    <row r="472" ht="15.6"/>
    <row r="473" ht="15.6"/>
    <row r="474" ht="15.6"/>
    <row r="475" ht="15.6"/>
    <row r="476" ht="15.6"/>
    <row r="477" ht="15.6"/>
    <row r="478" ht="15.6"/>
    <row r="479" ht="15.6"/>
    <row r="480" ht="15.6"/>
    <row r="481" ht="15.6"/>
    <row r="482" ht="15.6"/>
    <row r="483" ht="15.6"/>
    <row r="484" ht="15.6"/>
    <row r="485" ht="15.6"/>
    <row r="486" ht="15.6"/>
    <row r="487" ht="15.6"/>
    <row r="488" ht="15.6"/>
    <row r="489" ht="15.6"/>
    <row r="490" ht="15.6"/>
    <row r="491" ht="15.6"/>
    <row r="492" ht="15.6"/>
    <row r="493" ht="15.6"/>
    <row r="494" ht="15.6"/>
    <row r="495" ht="15.6"/>
    <row r="496" ht="15.6"/>
    <row r="497" ht="15.6"/>
    <row r="498" ht="15.6"/>
    <row r="499" ht="15.6"/>
    <row r="500" ht="15.6"/>
    <row r="501" ht="15.6"/>
    <row r="502" ht="15.6"/>
    <row r="503" ht="15.6"/>
    <row r="504" ht="15.6"/>
    <row r="505" ht="15.6"/>
    <row r="506" ht="15.6"/>
    <row r="507" ht="15.6"/>
    <row r="508" ht="15.6"/>
    <row r="509" ht="15.6"/>
    <row r="510" ht="15.6"/>
    <row r="511" ht="15.6"/>
    <row r="512" ht="15.6"/>
    <row r="513" ht="15.6"/>
    <row r="514" ht="15.6"/>
    <row r="515" ht="15.6"/>
    <row r="516" ht="15.6"/>
    <row r="517" ht="15.6"/>
    <row r="518" ht="15.6"/>
    <row r="519" ht="15.6"/>
    <row r="520" ht="15.6"/>
    <row r="521" ht="15.6"/>
    <row r="522" ht="15.6"/>
    <row r="523" ht="15.6"/>
    <row r="524" ht="15.6"/>
    <row r="525" ht="15.6"/>
    <row r="526" ht="15.6"/>
    <row r="527" ht="15.6"/>
    <row r="528" ht="15.6"/>
    <row r="529" ht="15.6"/>
    <row r="530" ht="15.6"/>
    <row r="531" ht="15.6"/>
    <row r="532" ht="15.6"/>
    <row r="533" ht="15.6"/>
    <row r="534" ht="15.6"/>
    <row r="535" ht="15.6"/>
    <row r="536" ht="15.6"/>
    <row r="537" ht="15.6"/>
    <row r="538" ht="15.6"/>
    <row r="539" ht="15.6"/>
    <row r="540" ht="15.6"/>
    <row r="541" ht="15.6"/>
    <row r="542" ht="15.6"/>
    <row r="543" ht="15.6"/>
    <row r="544" ht="15.6"/>
    <row r="545" ht="15.6"/>
    <row r="546" ht="15.6"/>
    <row r="547" ht="15.6"/>
    <row r="548" ht="15.6"/>
    <row r="549" ht="15.6"/>
    <row r="550" ht="15.6"/>
    <row r="551" ht="15.6"/>
  </sheetData>
  <sheetProtection password="D857" sheet="1" objects="1" scenarios="1"/>
  <mergeCells count="511">
    <mergeCell ref="P3:Z3"/>
    <mergeCell ref="AB3:AL3"/>
    <mergeCell ref="AN3:AX3"/>
    <mergeCell ref="AC4:AL4"/>
    <mergeCell ref="P14:Z14"/>
    <mergeCell ref="AC14:AL14"/>
    <mergeCell ref="AC15:AL15"/>
    <mergeCell ref="D16:N16"/>
    <mergeCell ref="AC16:AL16"/>
    <mergeCell ref="AN16:AX16"/>
    <mergeCell ref="D3:E4"/>
    <mergeCell ref="D5:E6"/>
    <mergeCell ref="D13:E14"/>
    <mergeCell ref="AC5:AL6"/>
    <mergeCell ref="AB17:AL17"/>
    <mergeCell ref="AC18:AL18"/>
    <mergeCell ref="AC19:AL19"/>
    <mergeCell ref="AC20:AL20"/>
    <mergeCell ref="AC21:AL21"/>
    <mergeCell ref="AC22:AL22"/>
    <mergeCell ref="AO22:AX22"/>
    <mergeCell ref="AC23:AL23"/>
    <mergeCell ref="AO23:AX23"/>
    <mergeCell ref="D24:N24"/>
    <mergeCell ref="AC24:AL24"/>
    <mergeCell ref="P25:Z25"/>
    <mergeCell ref="AB25:AL25"/>
    <mergeCell ref="D28:N28"/>
    <mergeCell ref="D35:N35"/>
    <mergeCell ref="D36:F36"/>
    <mergeCell ref="G36:N36"/>
    <mergeCell ref="D37:F37"/>
    <mergeCell ref="G37:N37"/>
    <mergeCell ref="AC37:AL37"/>
    <mergeCell ref="AO37:AX37"/>
    <mergeCell ref="D38:F38"/>
    <mergeCell ref="G38:N38"/>
    <mergeCell ref="AC38:AL38"/>
    <mergeCell ref="D39:F39"/>
    <mergeCell ref="G39:N39"/>
    <mergeCell ref="AC39:AL39"/>
    <mergeCell ref="D40:F40"/>
    <mergeCell ref="G40:N40"/>
    <mergeCell ref="AC40:AL40"/>
    <mergeCell ref="D41:F41"/>
    <mergeCell ref="G41:N41"/>
    <mergeCell ref="AC41:AL41"/>
    <mergeCell ref="D42:F42"/>
    <mergeCell ref="G42:N42"/>
    <mergeCell ref="AC42:AL42"/>
    <mergeCell ref="D43:F43"/>
    <mergeCell ref="G43:N43"/>
    <mergeCell ref="P43:Z43"/>
    <mergeCell ref="AB43:AL43"/>
    <mergeCell ref="D44:F44"/>
    <mergeCell ref="G44:N44"/>
    <mergeCell ref="AC44:AL44"/>
    <mergeCell ref="D45:F45"/>
    <mergeCell ref="G45:N45"/>
    <mergeCell ref="AC45:AL45"/>
    <mergeCell ref="D46:F46"/>
    <mergeCell ref="G46:N46"/>
    <mergeCell ref="D47:F47"/>
    <mergeCell ref="G47:N47"/>
    <mergeCell ref="D48:F48"/>
    <mergeCell ref="G48:N48"/>
    <mergeCell ref="D49:F49"/>
    <mergeCell ref="G49:N49"/>
    <mergeCell ref="D50:F50"/>
    <mergeCell ref="G50:N50"/>
    <mergeCell ref="AO50:AX50"/>
    <mergeCell ref="D51:F51"/>
    <mergeCell ref="G51:N51"/>
    <mergeCell ref="D52:F52"/>
    <mergeCell ref="G52:N52"/>
    <mergeCell ref="AC52:AL52"/>
    <mergeCell ref="D53:F53"/>
    <mergeCell ref="G53:N53"/>
    <mergeCell ref="D54:F54"/>
    <mergeCell ref="G54:N54"/>
    <mergeCell ref="D55:F55"/>
    <mergeCell ref="G55:N55"/>
    <mergeCell ref="D56:F56"/>
    <mergeCell ref="G56:N56"/>
    <mergeCell ref="D57:F57"/>
    <mergeCell ref="G57:N57"/>
    <mergeCell ref="D58:F58"/>
    <mergeCell ref="G58:N58"/>
    <mergeCell ref="AC58:AL58"/>
    <mergeCell ref="D59:F59"/>
    <mergeCell ref="G59:N59"/>
    <mergeCell ref="AC59:AL59"/>
    <mergeCell ref="D60:F60"/>
    <mergeCell ref="G60:N60"/>
    <mergeCell ref="D61:F61"/>
    <mergeCell ref="G61:N61"/>
    <mergeCell ref="P61:Z61"/>
    <mergeCell ref="AO61:AX61"/>
    <mergeCell ref="D62:F62"/>
    <mergeCell ref="G62:N62"/>
    <mergeCell ref="D63:F63"/>
    <mergeCell ref="G63:N63"/>
    <mergeCell ref="AC66:AL66"/>
    <mergeCell ref="AB67:AL67"/>
    <mergeCell ref="AC68:AL68"/>
    <mergeCell ref="AC69:AL69"/>
    <mergeCell ref="AC70:AL70"/>
    <mergeCell ref="AC71:AL71"/>
    <mergeCell ref="AB74:AL74"/>
    <mergeCell ref="P75:Z75"/>
    <mergeCell ref="AC82:AL82"/>
    <mergeCell ref="P70:P71"/>
    <mergeCell ref="P72:P74"/>
    <mergeCell ref="P76:P80"/>
    <mergeCell ref="Q68:Z69"/>
    <mergeCell ref="AC83:AL83"/>
    <mergeCell ref="AC84:AL84"/>
    <mergeCell ref="AC85:AL85"/>
    <mergeCell ref="AC86:AL86"/>
    <mergeCell ref="AC87:AL87"/>
    <mergeCell ref="AC88:AL88"/>
    <mergeCell ref="AC89:AL89"/>
    <mergeCell ref="P90:Z90"/>
    <mergeCell ref="AC90:AL90"/>
    <mergeCell ref="P81:P84"/>
    <mergeCell ref="P85:P89"/>
    <mergeCell ref="AC91:AL91"/>
    <mergeCell ref="AC92:AL92"/>
    <mergeCell ref="AC93:AL93"/>
    <mergeCell ref="AC94:AL94"/>
    <mergeCell ref="AC95:AL95"/>
    <mergeCell ref="AC96:AL96"/>
    <mergeCell ref="AC97:AL97"/>
    <mergeCell ref="AC98:AL98"/>
    <mergeCell ref="AC99:AL99"/>
    <mergeCell ref="AC100:AL100"/>
    <mergeCell ref="AC101:AL101"/>
    <mergeCell ref="P104:Z104"/>
    <mergeCell ref="AC104:AL104"/>
    <mergeCell ref="AC105:AL105"/>
    <mergeCell ref="AC106:AL106"/>
    <mergeCell ref="AC107:AL107"/>
    <mergeCell ref="AC108:AL108"/>
    <mergeCell ref="AC109:AL109"/>
    <mergeCell ref="Q99:Z100"/>
    <mergeCell ref="AC110:AL110"/>
    <mergeCell ref="AC111:AL111"/>
    <mergeCell ref="AC112:AL112"/>
    <mergeCell ref="AB113:AL113"/>
    <mergeCell ref="AC114:AL114"/>
    <mergeCell ref="P115:Z115"/>
    <mergeCell ref="AC115:AL115"/>
    <mergeCell ref="AC116:AL116"/>
    <mergeCell ref="AC121:AL121"/>
    <mergeCell ref="AC126:AL126"/>
    <mergeCell ref="AC127:AL127"/>
    <mergeCell ref="AC128:AL128"/>
    <mergeCell ref="P129:Z129"/>
    <mergeCell ref="P133:Z133"/>
    <mergeCell ref="Q134:Z134"/>
    <mergeCell ref="AC136:AL136"/>
    <mergeCell ref="P134:P141"/>
    <mergeCell ref="Q139:Z141"/>
    <mergeCell ref="Q137:Z138"/>
    <mergeCell ref="AC137:AL137"/>
    <mergeCell ref="AB129:AB137"/>
    <mergeCell ref="P130:P132"/>
    <mergeCell ref="AC153:AL153"/>
    <mergeCell ref="AC154:AL154"/>
    <mergeCell ref="AC155:AL155"/>
    <mergeCell ref="AC156:AL156"/>
    <mergeCell ref="AB157:AL157"/>
    <mergeCell ref="AC158:AL158"/>
    <mergeCell ref="AC159:AL159"/>
    <mergeCell ref="AB160:AL160"/>
    <mergeCell ref="AB138:AB154"/>
    <mergeCell ref="AB155:AB156"/>
    <mergeCell ref="AC161:AL161"/>
    <mergeCell ref="AB162:AL162"/>
    <mergeCell ref="AC172:AL172"/>
    <mergeCell ref="AC173:AL173"/>
    <mergeCell ref="AC174:AL174"/>
    <mergeCell ref="AC175:AL175"/>
    <mergeCell ref="AC179:AL179"/>
    <mergeCell ref="AC180:AL180"/>
    <mergeCell ref="AC181:AL181"/>
    <mergeCell ref="AB163:AB178"/>
    <mergeCell ref="AC182:AL182"/>
    <mergeCell ref="AC183:AL183"/>
    <mergeCell ref="AC184:AL184"/>
    <mergeCell ref="AB185:AL185"/>
    <mergeCell ref="AC186:AL186"/>
    <mergeCell ref="AC189:AL189"/>
    <mergeCell ref="AC190:AL190"/>
    <mergeCell ref="AC191:AL191"/>
    <mergeCell ref="AC192:AL192"/>
    <mergeCell ref="AB180:AB184"/>
    <mergeCell ref="AB186:AB191"/>
    <mergeCell ref="AC187:AL188"/>
    <mergeCell ref="AC193:AL193"/>
    <mergeCell ref="AC194:AL194"/>
    <mergeCell ref="AC195:AL195"/>
    <mergeCell ref="AC196:AL196"/>
    <mergeCell ref="AB197:AL197"/>
    <mergeCell ref="AC198:AL198"/>
    <mergeCell ref="AC199:AL199"/>
    <mergeCell ref="AC200:AL200"/>
    <mergeCell ref="AC203:AL203"/>
    <mergeCell ref="AB195:AB196"/>
    <mergeCell ref="AB198:AB203"/>
    <mergeCell ref="AC204:AL204"/>
    <mergeCell ref="AC208:AL208"/>
    <mergeCell ref="AC214:AL214"/>
    <mergeCell ref="AC215:AL215"/>
    <mergeCell ref="AC216:AL216"/>
    <mergeCell ref="AC219:AL219"/>
    <mergeCell ref="AC220:AL220"/>
    <mergeCell ref="AC224:AL224"/>
    <mergeCell ref="AB225:AL225"/>
    <mergeCell ref="AB204:AB215"/>
    <mergeCell ref="AB216:AB218"/>
    <mergeCell ref="AB220:AB224"/>
    <mergeCell ref="AC226:AL226"/>
    <mergeCell ref="AC229:AL229"/>
    <mergeCell ref="AC236:AL236"/>
    <mergeCell ref="AC242:AL242"/>
    <mergeCell ref="AC246:AL246"/>
    <mergeCell ref="AC254:AL254"/>
    <mergeCell ref="AC255:AL255"/>
    <mergeCell ref="AB256:AL256"/>
    <mergeCell ref="AC257:AL257"/>
    <mergeCell ref="AB226:AB235"/>
    <mergeCell ref="AB236:AB241"/>
    <mergeCell ref="AB242:AB253"/>
    <mergeCell ref="AB254:AB255"/>
    <mergeCell ref="AC258:AL258"/>
    <mergeCell ref="AC259:AL259"/>
    <mergeCell ref="AC260:AL260"/>
    <mergeCell ref="AB263:AL263"/>
    <mergeCell ref="AC264:AL264"/>
    <mergeCell ref="AC267:AL267"/>
    <mergeCell ref="AC274:AL274"/>
    <mergeCell ref="AC275:AL275"/>
    <mergeCell ref="AC276:AL276"/>
    <mergeCell ref="AB257:AB259"/>
    <mergeCell ref="AB261:AB262"/>
    <mergeCell ref="AB264:AB273"/>
    <mergeCell ref="AB277:AL277"/>
    <mergeCell ref="AC278:AL278"/>
    <mergeCell ref="AC279:AL279"/>
    <mergeCell ref="AC280:AL280"/>
    <mergeCell ref="AC281:AL281"/>
    <mergeCell ref="AC282:AL282"/>
    <mergeCell ref="AC290:AL290"/>
    <mergeCell ref="AB291:AL291"/>
    <mergeCell ref="AC292:AL292"/>
    <mergeCell ref="AB279:AB282"/>
    <mergeCell ref="AB283:AB289"/>
    <mergeCell ref="AB292:AB307"/>
    <mergeCell ref="AC297:AL297"/>
    <mergeCell ref="AC298:AL298"/>
    <mergeCell ref="AC299:AL299"/>
    <mergeCell ref="AC300:AL300"/>
    <mergeCell ref="AC303:AL303"/>
    <mergeCell ref="AC304:AL304"/>
    <mergeCell ref="AC305:AL305"/>
    <mergeCell ref="AC308:AL308"/>
    <mergeCell ref="AC311:AL311"/>
    <mergeCell ref="AC312:AL312"/>
    <mergeCell ref="AC313:AL313"/>
    <mergeCell ref="AC314:AL314"/>
    <mergeCell ref="AB326:AL326"/>
    <mergeCell ref="AC327:AL327"/>
    <mergeCell ref="AC328:AL328"/>
    <mergeCell ref="AC329:AL329"/>
    <mergeCell ref="AB308:AB311"/>
    <mergeCell ref="AB312:AB313"/>
    <mergeCell ref="AB315:AB319"/>
    <mergeCell ref="AB320:AB325"/>
    <mergeCell ref="AC330:AL330"/>
    <mergeCell ref="AC334:AL334"/>
    <mergeCell ref="AC335:AL335"/>
    <mergeCell ref="AC336:AL336"/>
    <mergeCell ref="AC339:AL339"/>
    <mergeCell ref="AC342:AL342"/>
    <mergeCell ref="AC343:AL343"/>
    <mergeCell ref="AC346:AL346"/>
    <mergeCell ref="AB351:AL351"/>
    <mergeCell ref="AB328:AB346"/>
    <mergeCell ref="AB347:AB348"/>
    <mergeCell ref="AB349:AB350"/>
    <mergeCell ref="AC354:AL354"/>
    <mergeCell ref="AC355:AL355"/>
    <mergeCell ref="AC359:AL359"/>
    <mergeCell ref="AC360:AL360"/>
    <mergeCell ref="AC361:AL361"/>
    <mergeCell ref="AC362:AL362"/>
    <mergeCell ref="AC363:AL363"/>
    <mergeCell ref="AC364:AL364"/>
    <mergeCell ref="AC365:AL365"/>
    <mergeCell ref="AC370:AL370"/>
    <mergeCell ref="AB371:AL371"/>
    <mergeCell ref="AB365:AB370"/>
    <mergeCell ref="AC379:AL379"/>
    <mergeCell ref="AC388:AL388"/>
    <mergeCell ref="AC389:AL389"/>
    <mergeCell ref="AC390:AL390"/>
    <mergeCell ref="P4:P6"/>
    <mergeCell ref="P7:P9"/>
    <mergeCell ref="P10:P11"/>
    <mergeCell ref="P12:P13"/>
    <mergeCell ref="P15:P17"/>
    <mergeCell ref="P18:P20"/>
    <mergeCell ref="P21:P22"/>
    <mergeCell ref="P23:P24"/>
    <mergeCell ref="P26:P40"/>
    <mergeCell ref="P41:P42"/>
    <mergeCell ref="P44:P47"/>
    <mergeCell ref="P48:P51"/>
    <mergeCell ref="P52:P54"/>
    <mergeCell ref="P55:P56"/>
    <mergeCell ref="P57:P58"/>
    <mergeCell ref="P59:P60"/>
    <mergeCell ref="P62:P63"/>
    <mergeCell ref="P64:P65"/>
    <mergeCell ref="P66:P67"/>
    <mergeCell ref="P68:P69"/>
    <mergeCell ref="AB101:AB104"/>
    <mergeCell ref="AB105:AB108"/>
    <mergeCell ref="AB109:AB112"/>
    <mergeCell ref="AB114:AB115"/>
    <mergeCell ref="AB117:AB124"/>
    <mergeCell ref="AB125:AB128"/>
    <mergeCell ref="P91:P96"/>
    <mergeCell ref="P97:P100"/>
    <mergeCell ref="P101:P103"/>
    <mergeCell ref="P105:P107"/>
    <mergeCell ref="P108:P109"/>
    <mergeCell ref="P110:P114"/>
    <mergeCell ref="P116:P123"/>
    <mergeCell ref="P124:P128"/>
    <mergeCell ref="Q123:Z123"/>
    <mergeCell ref="Q64:Z65"/>
    <mergeCell ref="AB352:AB360"/>
    <mergeCell ref="AB361:AB363"/>
    <mergeCell ref="AB372:AB385"/>
    <mergeCell ref="AB386:AB387"/>
    <mergeCell ref="AB389:AB390"/>
    <mergeCell ref="AN4:AN15"/>
    <mergeCell ref="AN17:AN36"/>
    <mergeCell ref="AN37:AN41"/>
    <mergeCell ref="AN42:AN49"/>
    <mergeCell ref="AN50:AN60"/>
    <mergeCell ref="AN61:AN83"/>
    <mergeCell ref="AC331:AL333"/>
    <mergeCell ref="AC356:AL358"/>
    <mergeCell ref="AC268:AL269"/>
    <mergeCell ref="AC320:AL325"/>
    <mergeCell ref="AC301:AL302"/>
    <mergeCell ref="AC344:AL345"/>
    <mergeCell ref="AC349:AL350"/>
    <mergeCell ref="AC315:AL319"/>
    <mergeCell ref="AC337:AL338"/>
    <mergeCell ref="AC309:AL310"/>
    <mergeCell ref="AC340:AL341"/>
    <mergeCell ref="AC374:AL376"/>
    <mergeCell ref="AC352:AL353"/>
    <mergeCell ref="AC366:AL369"/>
    <mergeCell ref="AC383:AL385"/>
    <mergeCell ref="AC230:AL235"/>
    <mergeCell ref="AC221:AL223"/>
    <mergeCell ref="AC209:AL213"/>
    <mergeCell ref="AO27:AX36"/>
    <mergeCell ref="AO51:AX60"/>
    <mergeCell ref="D7:E8"/>
    <mergeCell ref="D31:N32"/>
    <mergeCell ref="D11:E12"/>
    <mergeCell ref="F9:N10"/>
    <mergeCell ref="D25:N26"/>
    <mergeCell ref="Q50:Z51"/>
    <mergeCell ref="Q62:Z63"/>
    <mergeCell ref="Q66:Z67"/>
    <mergeCell ref="Q97:Z98"/>
    <mergeCell ref="Q76:Z77"/>
    <mergeCell ref="AC176:AL178"/>
    <mergeCell ref="Q57:Z58"/>
    <mergeCell ref="Q55:Z56"/>
    <mergeCell ref="Q59:Z60"/>
    <mergeCell ref="P142:P144"/>
    <mergeCell ref="P145:P146"/>
    <mergeCell ref="P147:P148"/>
    <mergeCell ref="P149:P153"/>
    <mergeCell ref="AB4:AB10"/>
    <mergeCell ref="AN1:AX2"/>
    <mergeCell ref="AC293:AL296"/>
    <mergeCell ref="AC283:AL289"/>
    <mergeCell ref="AC63:AL65"/>
    <mergeCell ref="D9:E10"/>
    <mergeCell ref="AC29:AL30"/>
    <mergeCell ref="AC201:AL202"/>
    <mergeCell ref="F13:N14"/>
    <mergeCell ref="AC102:AL103"/>
    <mergeCell ref="AC53:AL57"/>
    <mergeCell ref="AC49:AL51"/>
    <mergeCell ref="AO4:AX15"/>
    <mergeCell ref="AO45:AX49"/>
    <mergeCell ref="D1:N2"/>
    <mergeCell ref="F11:N12"/>
    <mergeCell ref="D33:N34"/>
    <mergeCell ref="AO38:AX41"/>
    <mergeCell ref="AO67:AX78"/>
    <mergeCell ref="AO64:AX66"/>
    <mergeCell ref="AO42:AX44"/>
    <mergeCell ref="AC163:AL165"/>
    <mergeCell ref="AC122:AL124"/>
    <mergeCell ref="AC380:AL382"/>
    <mergeCell ref="AC377:AL378"/>
    <mergeCell ref="AC372:AL373"/>
    <mergeCell ref="AC11:AL13"/>
    <mergeCell ref="AO62:AX63"/>
    <mergeCell ref="P1:Z2"/>
    <mergeCell ref="AC170:AL171"/>
    <mergeCell ref="AC168:AL169"/>
    <mergeCell ref="AC227:AL228"/>
    <mergeCell ref="AC243:AL245"/>
    <mergeCell ref="AC237:AL241"/>
    <mergeCell ref="AC247:AL248"/>
    <mergeCell ref="AC80:AL81"/>
    <mergeCell ref="AC72:AL73"/>
    <mergeCell ref="AC148:AL152"/>
    <mergeCell ref="AO17:AX21"/>
    <mergeCell ref="Q135:Z136"/>
    <mergeCell ref="Q52:Z54"/>
    <mergeCell ref="Q70:Z71"/>
    <mergeCell ref="Q108:Z109"/>
    <mergeCell ref="Q41:Z42"/>
    <mergeCell ref="Q101:Z103"/>
    <mergeCell ref="AB1:AL2"/>
    <mergeCell ref="Q85:Z89"/>
    <mergeCell ref="AC386:AL387"/>
    <mergeCell ref="AC306:AL307"/>
    <mergeCell ref="F7:N8"/>
    <mergeCell ref="D17:N18"/>
    <mergeCell ref="D29:N30"/>
    <mergeCell ref="F3:N4"/>
    <mergeCell ref="AC270:AL273"/>
    <mergeCell ref="AC166:AL167"/>
    <mergeCell ref="AO79:AX83"/>
    <mergeCell ref="AC117:AL120"/>
    <mergeCell ref="AC133:AL135"/>
    <mergeCell ref="AC129:AL132"/>
    <mergeCell ref="Q93:Z94"/>
    <mergeCell ref="Q46:Z47"/>
    <mergeCell ref="Q48:Z49"/>
    <mergeCell ref="AC26:AL28"/>
    <mergeCell ref="AC217:AL218"/>
    <mergeCell ref="AC60:AL62"/>
    <mergeCell ref="AC75:AL79"/>
    <mergeCell ref="AC205:AL207"/>
    <mergeCell ref="Q78:Z80"/>
    <mergeCell ref="Q23:Z24"/>
    <mergeCell ref="AC138:AL147"/>
    <mergeCell ref="Q18:Z20"/>
    <mergeCell ref="AO24:AX26"/>
    <mergeCell ref="F5:N6"/>
    <mergeCell ref="D21:N22"/>
    <mergeCell ref="AC347:AL348"/>
    <mergeCell ref="AC261:AL262"/>
    <mergeCell ref="Q83:Z84"/>
    <mergeCell ref="Q72:Z74"/>
    <mergeCell ref="Q21:Z22"/>
    <mergeCell ref="Q4:Z6"/>
    <mergeCell ref="Q91:Z92"/>
    <mergeCell ref="Q10:Z11"/>
    <mergeCell ref="Q12:Z13"/>
    <mergeCell ref="Q116:Z117"/>
    <mergeCell ref="Q26:Z40"/>
    <mergeCell ref="Q15:Z17"/>
    <mergeCell ref="Q44:Z45"/>
    <mergeCell ref="Q147:Z148"/>
    <mergeCell ref="Q149:Z153"/>
    <mergeCell ref="Q142:Z144"/>
    <mergeCell ref="D19:N20"/>
    <mergeCell ref="AC7:AL10"/>
    <mergeCell ref="AC31:AL36"/>
    <mergeCell ref="AC265:AL266"/>
    <mergeCell ref="AC249:AL253"/>
    <mergeCell ref="Q145:Z146"/>
    <mergeCell ref="Q81:Z82"/>
    <mergeCell ref="Q105:Z107"/>
    <mergeCell ref="Q110:Z114"/>
    <mergeCell ref="AC46:AL48"/>
    <mergeCell ref="Q7:Z9"/>
    <mergeCell ref="Q95:Z96"/>
    <mergeCell ref="Q121:Z122"/>
    <mergeCell ref="Q124:Z128"/>
    <mergeCell ref="Q130:Z132"/>
    <mergeCell ref="Q118:Z120"/>
    <mergeCell ref="AB11:AB13"/>
    <mergeCell ref="AB18:AB22"/>
    <mergeCell ref="AB26:AB37"/>
    <mergeCell ref="AB39:AB41"/>
    <mergeCell ref="AB44:AB62"/>
    <mergeCell ref="AB63:AB65"/>
    <mergeCell ref="AB68:AB70"/>
    <mergeCell ref="AB72:AB73"/>
    <mergeCell ref="AB75:AB92"/>
    <mergeCell ref="AB93:AB95"/>
    <mergeCell ref="AB96:AB97"/>
    <mergeCell ref="AB98:AB100"/>
    <mergeCell ref="AC125:AL125"/>
  </mergeCells>
  <phoneticPr fontId="188" type="noConversion"/>
  <hyperlinks>
    <hyperlink ref="F11" r:id="rId1" xr:uid="{00000000-0004-0000-0C00-000000000000}"/>
    <hyperlink ref="F5" r:id="rId2" xr:uid="{00000000-0004-0000-0C00-000001000000}"/>
    <hyperlink ref="F7" r:id="rId3" xr:uid="{00000000-0004-0000-0C00-000002000000}"/>
    <hyperlink ref="F9" r:id="rId4" xr:uid="{00000000-0004-0000-0C00-000003000000}"/>
    <hyperlink ref="F3" r:id="rId5" xr:uid="{00000000-0004-0000-0C00-000004000000}"/>
    <hyperlink ref="F13" r:id="rId6" xr:uid="{00000000-0004-0000-0C00-000005000000}"/>
  </hyperlinks>
  <pageMargins left="0.75" right="0.75" top="1" bottom="1" header="0.51180555555555596" footer="0.51180555555555596"/>
  <pageSetup paperSize="9"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AO124"/>
  <sheetViews>
    <sheetView showGridLines="0" topLeftCell="T30" workbookViewId="0">
      <selection activeCell="B40" sqref="B40:Y43"/>
    </sheetView>
  </sheetViews>
  <sheetFormatPr defaultColWidth="5.6640625" defaultRowHeight="16.95" customHeight="1"/>
  <cols>
    <col min="1" max="19" width="5.6640625" style="614" customWidth="1"/>
    <col min="20" max="20" width="59.88671875" style="614" customWidth="1"/>
    <col min="21" max="21" width="5.6640625" style="614" customWidth="1"/>
    <col min="22" max="16384" width="5.6640625" style="614"/>
  </cols>
  <sheetData>
    <row r="1" spans="2:40" ht="7.05" customHeight="1"/>
    <row r="2" spans="2:40" ht="16.95" customHeight="1">
      <c r="B2" s="2175" t="str">
        <f>人物卡!E3&amp;"，"&amp;人物卡!M6&amp;"，"&amp;人物卡!E6&amp;"岁"&amp;"，"&amp;人物卡!E5&amp;"，"&amp;人物卡!M4&amp;"，"&amp;"现居："&amp;人物卡!E7&amp;"，"&amp;人物卡!M7&amp;"人"</f>
        <v>тополь，男，18岁，音乐家，1920s，现居：不详，不详人</v>
      </c>
      <c r="C2" s="2176"/>
      <c r="D2" s="2176"/>
      <c r="E2" s="2176"/>
      <c r="F2" s="2176"/>
      <c r="G2" s="2176"/>
      <c r="H2" s="2176"/>
      <c r="I2" s="2176"/>
      <c r="J2" s="2176"/>
      <c r="K2" s="2176"/>
      <c r="L2" s="2176"/>
      <c r="M2" s="2177"/>
      <c r="N2" s="2175" t="s">
        <v>330</v>
      </c>
      <c r="O2" s="2176"/>
      <c r="P2" s="2176"/>
      <c r="Q2" s="2176"/>
      <c r="R2" s="2176"/>
      <c r="S2" s="2176"/>
      <c r="T2" s="2176"/>
      <c r="U2" s="2176"/>
      <c r="V2" s="2176"/>
      <c r="W2" s="2176"/>
      <c r="X2" s="2176"/>
      <c r="Y2" s="2177"/>
      <c r="Z2" s="2194" t="s">
        <v>331</v>
      </c>
      <c r="AA2" s="2195"/>
      <c r="AB2" s="2195"/>
      <c r="AC2" s="2195"/>
      <c r="AD2" s="2195"/>
      <c r="AE2" s="2196"/>
      <c r="AF2" s="671"/>
      <c r="AG2" s="671"/>
      <c r="AH2" s="671"/>
      <c r="AI2" s="671"/>
      <c r="AJ2" s="671"/>
      <c r="AK2" s="671"/>
      <c r="AL2" s="671"/>
      <c r="AM2" s="671"/>
      <c r="AN2" s="671"/>
    </row>
    <row r="3" spans="2:40" ht="16.95" customHeight="1">
      <c r="B3" s="2068" t="s">
        <v>332</v>
      </c>
      <c r="C3" s="2038">
        <f>STR</f>
        <v>50</v>
      </c>
      <c r="D3" s="1209">
        <f>INT(C3/2)</f>
        <v>25</v>
      </c>
      <c r="E3" s="2032" t="s">
        <v>333</v>
      </c>
      <c r="F3" s="2037">
        <f>DEX</f>
        <v>70</v>
      </c>
      <c r="G3" s="1210">
        <f>INT(F3/2)</f>
        <v>35</v>
      </c>
      <c r="H3" s="2033" t="s">
        <v>334</v>
      </c>
      <c r="I3" s="2038">
        <f>POW</f>
        <v>80</v>
      </c>
      <c r="J3" s="1209">
        <f>INT(I3/2)</f>
        <v>40</v>
      </c>
      <c r="K3" s="2032" t="s">
        <v>335</v>
      </c>
      <c r="L3" s="2037">
        <f>INT</f>
        <v>70</v>
      </c>
      <c r="M3" s="1224">
        <f>INT(L3/2)</f>
        <v>35</v>
      </c>
      <c r="N3" s="2160" t="str">
        <f>IF(Q3=0,"",人物卡!F16)</f>
        <v/>
      </c>
      <c r="O3" s="2153"/>
      <c r="P3" s="2153"/>
      <c r="Q3" s="1234">
        <f>IF(人物卡!R16-人物卡!J16=0,0,人物卡!R16)</f>
        <v>0</v>
      </c>
      <c r="R3" s="1235">
        <f t="shared" ref="R3:R12" si="0">INT(Q3/2)</f>
        <v>0</v>
      </c>
      <c r="S3" s="1236">
        <f t="shared" ref="S3:S12" si="1">INT(Q3/5)</f>
        <v>0</v>
      </c>
      <c r="T3" s="2154" t="str">
        <f>IF(W3=0,"",人物卡!AB16)</f>
        <v/>
      </c>
      <c r="U3" s="2154"/>
      <c r="V3" s="2154"/>
      <c r="W3" s="1237">
        <f>IF(人物卡!AN16-人物卡!AF16=0,0,人物卡!AN16)</f>
        <v>0</v>
      </c>
      <c r="X3" s="1238">
        <f t="shared" ref="X3:X36" si="2">INT(W3/2)</f>
        <v>0</v>
      </c>
      <c r="Y3" s="1248">
        <f t="shared" ref="Y3:Y36" si="3">INT(W3/5)</f>
        <v>0</v>
      </c>
      <c r="Z3" s="2201" t="str">
        <f>人物卡!E8</f>
        <v>公元</v>
      </c>
      <c r="AA3" s="1673">
        <f>人物卡!G8</f>
        <v>2020</v>
      </c>
      <c r="AB3" s="1673"/>
      <c r="AC3" s="1249" t="str">
        <f>人物卡!J8</f>
        <v>1月</v>
      </c>
      <c r="AD3" s="2012" t="str">
        <f>人物卡!N8</f>
        <v>0：00</v>
      </c>
      <c r="AE3" s="2013"/>
      <c r="AF3" s="671"/>
      <c r="AG3" s="671"/>
      <c r="AH3" s="671"/>
      <c r="AI3" s="671"/>
      <c r="AJ3" s="671"/>
      <c r="AK3" s="671"/>
      <c r="AL3" s="671"/>
      <c r="AM3" s="671"/>
      <c r="AN3" s="671"/>
    </row>
    <row r="4" spans="2:40" ht="16.95" customHeight="1">
      <c r="B4" s="2068"/>
      <c r="C4" s="2038"/>
      <c r="D4" s="1211">
        <f>INT(C3/5)</f>
        <v>10</v>
      </c>
      <c r="E4" s="2032"/>
      <c r="F4" s="2037"/>
      <c r="G4" s="1211">
        <f>INT(F3/5)</f>
        <v>14</v>
      </c>
      <c r="H4" s="2033"/>
      <c r="I4" s="2038"/>
      <c r="J4" s="1211">
        <f>INT(I3/5)</f>
        <v>16</v>
      </c>
      <c r="K4" s="2032"/>
      <c r="L4" s="2037"/>
      <c r="M4" s="1225">
        <f>INT(L3/5)</f>
        <v>14</v>
      </c>
      <c r="N4" s="2160" t="str">
        <f>IF(Q4=0,"",人物卡!F17)</f>
        <v/>
      </c>
      <c r="O4" s="2153"/>
      <c r="P4" s="2153"/>
      <c r="Q4" s="1234">
        <f>IF(人物卡!R17-人物卡!J17=0,0,人物卡!R17)</f>
        <v>0</v>
      </c>
      <c r="R4" s="1235">
        <f t="shared" si="0"/>
        <v>0</v>
      </c>
      <c r="S4" s="1236">
        <f t="shared" si="1"/>
        <v>0</v>
      </c>
      <c r="T4" s="2154" t="str">
        <f>IF(W4=0,"",人物卡!AB17)</f>
        <v/>
      </c>
      <c r="U4" s="2154"/>
      <c r="V4" s="2154"/>
      <c r="W4" s="1237">
        <f>IF(人物卡!AN17-人物卡!AF17=0,0,人物卡!AN17)</f>
        <v>0</v>
      </c>
      <c r="X4" s="1238">
        <f t="shared" si="2"/>
        <v>0</v>
      </c>
      <c r="Y4" s="1248">
        <f t="shared" si="3"/>
        <v>0</v>
      </c>
      <c r="Z4" s="2202"/>
      <c r="AA4" s="2197"/>
      <c r="AB4" s="2197"/>
      <c r="AC4" s="1251" t="str">
        <f>人物卡!L8</f>
        <v>1日</v>
      </c>
      <c r="AD4" s="2014"/>
      <c r="AE4" s="2015"/>
      <c r="AF4" s="671"/>
      <c r="AG4" s="671"/>
      <c r="AH4" s="671"/>
      <c r="AI4" s="671"/>
      <c r="AJ4" s="671"/>
      <c r="AK4" s="671"/>
      <c r="AL4" s="671"/>
      <c r="AM4" s="671"/>
      <c r="AN4" s="671"/>
    </row>
    <row r="5" spans="2:40" ht="16.95" customHeight="1">
      <c r="B5" s="2069" t="s">
        <v>336</v>
      </c>
      <c r="C5" s="2037">
        <f>CON</f>
        <v>50</v>
      </c>
      <c r="D5" s="1210">
        <f>INT(C5/2)</f>
        <v>25</v>
      </c>
      <c r="E5" s="2033" t="s">
        <v>337</v>
      </c>
      <c r="F5" s="2038">
        <f>APP</f>
        <v>70</v>
      </c>
      <c r="G5" s="1209">
        <f>INT(F5/2)</f>
        <v>35</v>
      </c>
      <c r="H5" s="2032" t="s">
        <v>338</v>
      </c>
      <c r="I5" s="2037">
        <f>EDU</f>
        <v>60</v>
      </c>
      <c r="J5" s="1210">
        <f>INT(I5/2)</f>
        <v>30</v>
      </c>
      <c r="K5" s="2033" t="s">
        <v>339</v>
      </c>
      <c r="L5" s="2038">
        <f>SIZ</f>
        <v>50</v>
      </c>
      <c r="M5" s="1226">
        <f>INT(L5/2)</f>
        <v>25</v>
      </c>
      <c r="N5" s="2160" t="str">
        <f>IF(Q5=0,"",人物卡!F18)</f>
        <v/>
      </c>
      <c r="O5" s="2153"/>
      <c r="P5" s="2153"/>
      <c r="Q5" s="1234">
        <f>IF(人物卡!R18-人物卡!J18=0,0,人物卡!R18)</f>
        <v>0</v>
      </c>
      <c r="R5" s="1235">
        <f t="shared" si="0"/>
        <v>0</v>
      </c>
      <c r="S5" s="1236">
        <f t="shared" si="1"/>
        <v>0</v>
      </c>
      <c r="T5" s="2154" t="str">
        <f>IF(W5=0,"",人物卡!AB18)</f>
        <v>聆听</v>
      </c>
      <c r="U5" s="2154"/>
      <c r="V5" s="2154"/>
      <c r="W5" s="1237">
        <f>IF(人物卡!AN18-人物卡!AF18=0,0,人物卡!AN18)</f>
        <v>58</v>
      </c>
      <c r="X5" s="1238">
        <f t="shared" si="2"/>
        <v>29</v>
      </c>
      <c r="Y5" s="1248">
        <f t="shared" si="3"/>
        <v>11</v>
      </c>
      <c r="Z5" s="2178" t="s">
        <v>283</v>
      </c>
      <c r="AA5" s="2179"/>
      <c r="AB5" s="2179"/>
      <c r="AC5" s="2179"/>
      <c r="AD5" s="2179"/>
      <c r="AE5" s="2180"/>
      <c r="AF5" s="671"/>
      <c r="AG5" s="671"/>
      <c r="AH5" s="671"/>
      <c r="AI5" s="671"/>
      <c r="AJ5" s="671"/>
      <c r="AK5" s="671"/>
      <c r="AL5" s="671"/>
      <c r="AM5" s="671"/>
      <c r="AN5" s="671"/>
    </row>
    <row r="6" spans="2:40" ht="16.95" customHeight="1">
      <c r="B6" s="2070"/>
      <c r="C6" s="2074"/>
      <c r="D6" s="1212">
        <f>INT(C5/5)</f>
        <v>10</v>
      </c>
      <c r="E6" s="2034"/>
      <c r="F6" s="2039"/>
      <c r="G6" s="1212">
        <f>INT(F5/5)</f>
        <v>14</v>
      </c>
      <c r="H6" s="2080"/>
      <c r="I6" s="2074"/>
      <c r="J6" s="1212">
        <f>INT(I5/5)</f>
        <v>12</v>
      </c>
      <c r="K6" s="2034"/>
      <c r="L6" s="2039"/>
      <c r="M6" s="1227">
        <f>INT(L5/5)</f>
        <v>10</v>
      </c>
      <c r="N6" s="2160" t="str">
        <f>IF(Q6=0,"",人物卡!F19)</f>
        <v/>
      </c>
      <c r="O6" s="2153"/>
      <c r="P6" s="2153"/>
      <c r="Q6" s="1234">
        <f>IF(人物卡!R19-人物卡!J19=0,0,人物卡!R19)</f>
        <v>0</v>
      </c>
      <c r="R6" s="1235">
        <f t="shared" si="0"/>
        <v>0</v>
      </c>
      <c r="S6" s="1236">
        <f t="shared" si="1"/>
        <v>0</v>
      </c>
      <c r="T6" s="2154" t="str">
        <f>IF(W6=0,"",人物卡!AB19)</f>
        <v>锁匠</v>
      </c>
      <c r="U6" s="2154"/>
      <c r="V6" s="2154"/>
      <c r="W6" s="1237">
        <f>IF(人物卡!AN19-人物卡!AF19=0,0,人物卡!AN19)</f>
        <v>80</v>
      </c>
      <c r="X6" s="1238">
        <f t="shared" si="2"/>
        <v>40</v>
      </c>
      <c r="Y6" s="1248">
        <f t="shared" si="3"/>
        <v>16</v>
      </c>
      <c r="Z6" s="2198" t="s">
        <v>7</v>
      </c>
      <c r="AA6" s="2199"/>
      <c r="AB6" s="2199" t="s">
        <v>287</v>
      </c>
      <c r="AC6" s="2199"/>
      <c r="AD6" s="2199"/>
      <c r="AE6" s="2200"/>
      <c r="AF6" s="671"/>
      <c r="AG6" s="671"/>
      <c r="AH6" s="671"/>
      <c r="AI6" s="671"/>
      <c r="AJ6" s="671"/>
      <c r="AK6" s="671"/>
      <c r="AL6" s="671"/>
      <c r="AM6" s="671"/>
      <c r="AN6" s="671"/>
    </row>
    <row r="7" spans="2:40" ht="16.95" customHeight="1">
      <c r="B7" s="2071" t="s">
        <v>340</v>
      </c>
      <c r="C7" s="2028">
        <f>人物卡!E10</f>
        <v>4</v>
      </c>
      <c r="D7" s="2030">
        <f>人物卡!G10</f>
        <v>10</v>
      </c>
      <c r="E7" s="2061" t="s">
        <v>341</v>
      </c>
      <c r="F7" s="2076">
        <f>人物卡!N10</f>
        <v>69</v>
      </c>
      <c r="G7" s="2078">
        <f>人物卡!P10</f>
        <v>99</v>
      </c>
      <c r="H7" s="2081" t="s">
        <v>342</v>
      </c>
      <c r="I7" s="2028">
        <f>人物卡!W10</f>
        <v>0</v>
      </c>
      <c r="J7" s="2030">
        <f>MP</f>
        <v>0</v>
      </c>
      <c r="K7" s="2035" t="s">
        <v>343</v>
      </c>
      <c r="L7" s="2061">
        <f>人物卡!AN10</f>
        <v>0</v>
      </c>
      <c r="M7" s="2062"/>
      <c r="N7" s="1228">
        <f t="shared" ref="N7:N9" si="4">IF(Q7=0,0,"技艺：")</f>
        <v>0</v>
      </c>
      <c r="O7" s="2153" t="str">
        <f>IF(N7=0,"",人物卡!H20)</f>
        <v/>
      </c>
      <c r="P7" s="2153"/>
      <c r="Q7" s="1234">
        <f>IF(人物卡!R20-人物卡!J20=0,0,人物卡!R20)</f>
        <v>0</v>
      </c>
      <c r="R7" s="1235">
        <f t="shared" si="0"/>
        <v>0</v>
      </c>
      <c r="S7" s="1236">
        <f t="shared" si="1"/>
        <v>0</v>
      </c>
      <c r="T7" s="2154" t="str">
        <f>IF(W7=0,"",人物卡!AB20)</f>
        <v/>
      </c>
      <c r="U7" s="2154"/>
      <c r="V7" s="2154"/>
      <c r="W7" s="1237">
        <f>IF(人物卡!AN20-人物卡!AF20=0,0,人物卡!AN20)</f>
        <v>0</v>
      </c>
      <c r="X7" s="1238">
        <f t="shared" si="2"/>
        <v>0</v>
      </c>
      <c r="Y7" s="1248">
        <f t="shared" si="3"/>
        <v>0</v>
      </c>
      <c r="Z7" s="2188" t="str">
        <f>人物卡!W130</f>
        <v>例：丛雨</v>
      </c>
      <c r="AA7" s="2189"/>
      <c r="AB7" s="2189" t="str">
        <f>人物卡!AD130</f>
        <v>一起出生入死的医生小姐</v>
      </c>
      <c r="AC7" s="2189"/>
      <c r="AD7" s="2189"/>
      <c r="AE7" s="2190"/>
      <c r="AF7" s="671"/>
      <c r="AG7" s="671"/>
      <c r="AH7" s="671"/>
      <c r="AI7" s="671"/>
      <c r="AJ7" s="671"/>
      <c r="AK7" s="671"/>
      <c r="AL7" s="671"/>
      <c r="AM7" s="671"/>
      <c r="AN7" s="671"/>
    </row>
    <row r="8" spans="2:40" ht="16.95" customHeight="1">
      <c r="B8" s="2072"/>
      <c r="C8" s="2029"/>
      <c r="D8" s="2075"/>
      <c r="E8" s="2033"/>
      <c r="F8" s="2077"/>
      <c r="G8" s="2079"/>
      <c r="H8" s="2082"/>
      <c r="I8" s="2029"/>
      <c r="J8" s="2031"/>
      <c r="K8" s="2036"/>
      <c r="L8" s="2049"/>
      <c r="M8" s="2050"/>
      <c r="N8" s="1228">
        <f t="shared" si="4"/>
        <v>0</v>
      </c>
      <c r="O8" s="2153" t="str">
        <f>IF(N8=0,"",人物卡!H21)</f>
        <v/>
      </c>
      <c r="P8" s="2153"/>
      <c r="Q8" s="1234">
        <f>IF(人物卡!R21-人物卡!J21=0,0,人物卡!R21)</f>
        <v>0</v>
      </c>
      <c r="R8" s="1235">
        <f t="shared" si="0"/>
        <v>0</v>
      </c>
      <c r="S8" s="1236">
        <f t="shared" si="1"/>
        <v>0</v>
      </c>
      <c r="T8" s="2154" t="str">
        <f>IF(W8=0,"",人物卡!AB21)</f>
        <v/>
      </c>
      <c r="U8" s="2154"/>
      <c r="V8" s="2154"/>
      <c r="W8" s="1237">
        <f>IF(人物卡!AN21-人物卡!AF21=0,0,人物卡!AN21)</f>
        <v>0</v>
      </c>
      <c r="X8" s="1238">
        <f t="shared" si="2"/>
        <v>0</v>
      </c>
      <c r="Y8" s="1248">
        <f t="shared" si="3"/>
        <v>0</v>
      </c>
      <c r="Z8" s="2188">
        <f>人物卡!W131</f>
        <v>0</v>
      </c>
      <c r="AA8" s="2189"/>
      <c r="AB8" s="2189">
        <f>人物卡!AD131</f>
        <v>0</v>
      </c>
      <c r="AC8" s="2189"/>
      <c r="AD8" s="2189"/>
      <c r="AE8" s="2190"/>
      <c r="AF8" s="671"/>
      <c r="AG8" s="671"/>
      <c r="AH8" s="671"/>
      <c r="AI8" s="671"/>
      <c r="AJ8" s="671"/>
      <c r="AK8" s="671"/>
      <c r="AL8" s="671"/>
      <c r="AM8" s="671"/>
      <c r="AN8" s="671"/>
    </row>
    <row r="9" spans="2:40" ht="16.95" customHeight="1">
      <c r="B9" s="2072" t="s">
        <v>344</v>
      </c>
      <c r="C9" s="2052" t="str">
        <f>人物卡!AP52</f>
        <v>0</v>
      </c>
      <c r="D9" s="2052"/>
      <c r="E9" s="2049" t="s">
        <v>345</v>
      </c>
      <c r="F9" s="2049" t="str">
        <f>人物卡!AP55</f>
        <v>0</v>
      </c>
      <c r="G9" s="2049"/>
      <c r="H9" s="2082" t="s">
        <v>346</v>
      </c>
      <c r="I9" s="2052">
        <f>Luck</f>
        <v>55</v>
      </c>
      <c r="J9" s="2052"/>
      <c r="K9" s="2033" t="s">
        <v>347</v>
      </c>
      <c r="L9" s="2049">
        <f>人物卡!AF10</f>
        <v>8</v>
      </c>
      <c r="M9" s="2050"/>
      <c r="N9" s="1228">
        <f t="shared" si="4"/>
        <v>0</v>
      </c>
      <c r="O9" s="2153" t="str">
        <f>IF(N9=0,"",人物卡!H22)</f>
        <v/>
      </c>
      <c r="P9" s="2153"/>
      <c r="Q9" s="1234">
        <f>IF(人物卡!R22-人物卡!J22=0,0,人物卡!R22)</f>
        <v>0</v>
      </c>
      <c r="R9" s="1235">
        <f t="shared" si="0"/>
        <v>0</v>
      </c>
      <c r="S9" s="1236">
        <f t="shared" si="1"/>
        <v>0</v>
      </c>
      <c r="T9" s="2154" t="str">
        <f>IF(W9=0,"",人物卡!AB22)</f>
        <v/>
      </c>
      <c r="U9" s="2154"/>
      <c r="V9" s="2154"/>
      <c r="W9" s="1237">
        <f>IF(人物卡!AN22-人物卡!AF22=0,0,人物卡!AN22)</f>
        <v>0</v>
      </c>
      <c r="X9" s="1238">
        <f t="shared" si="2"/>
        <v>0</v>
      </c>
      <c r="Y9" s="1248">
        <f t="shared" si="3"/>
        <v>0</v>
      </c>
      <c r="Z9" s="2188">
        <f>人物卡!W132</f>
        <v>0</v>
      </c>
      <c r="AA9" s="2189"/>
      <c r="AB9" s="2189">
        <f>人物卡!AD132</f>
        <v>0</v>
      </c>
      <c r="AC9" s="2189"/>
      <c r="AD9" s="2189"/>
      <c r="AE9" s="2190"/>
      <c r="AF9" s="671"/>
      <c r="AM9" s="671"/>
      <c r="AN9" s="671"/>
    </row>
    <row r="10" spans="2:40" ht="16.95" customHeight="1">
      <c r="B10" s="2073"/>
      <c r="C10" s="2053"/>
      <c r="D10" s="2053"/>
      <c r="E10" s="2034"/>
      <c r="F10" s="2034"/>
      <c r="G10" s="2034"/>
      <c r="H10" s="2053"/>
      <c r="I10" s="2053"/>
      <c r="J10" s="2053"/>
      <c r="K10" s="2034"/>
      <c r="L10" s="2034"/>
      <c r="M10" s="2051"/>
      <c r="N10" s="2160" t="str">
        <f>IF(Q10=0,"",人物卡!F23)</f>
        <v/>
      </c>
      <c r="O10" s="2153"/>
      <c r="P10" s="2153"/>
      <c r="Q10" s="1234">
        <f>IF(人物卡!R23-人物卡!J23=0,0,人物卡!R23)</f>
        <v>0</v>
      </c>
      <c r="R10" s="1235">
        <f t="shared" si="0"/>
        <v>0</v>
      </c>
      <c r="S10" s="1236">
        <f t="shared" si="1"/>
        <v>0</v>
      </c>
      <c r="T10" s="2154" t="str">
        <f>IF(W10=0,"",人物卡!AB23)</f>
        <v/>
      </c>
      <c r="U10" s="2154"/>
      <c r="V10" s="2154"/>
      <c r="W10" s="1237">
        <f>IF(人物卡!AN23-人物卡!AF23=0,0,人物卡!AN23)</f>
        <v>0</v>
      </c>
      <c r="X10" s="1238">
        <f t="shared" si="2"/>
        <v>0</v>
      </c>
      <c r="Y10" s="1248">
        <f t="shared" si="3"/>
        <v>0</v>
      </c>
      <c r="Z10" s="2188">
        <f>人物卡!W133</f>
        <v>0</v>
      </c>
      <c r="AA10" s="2189"/>
      <c r="AB10" s="2189">
        <f>人物卡!AD133</f>
        <v>0</v>
      </c>
      <c r="AC10" s="2189"/>
      <c r="AD10" s="2189"/>
      <c r="AE10" s="2190"/>
      <c r="AF10" s="671"/>
      <c r="AG10" s="671"/>
      <c r="AH10" s="671"/>
      <c r="AI10" s="671"/>
      <c r="AJ10" s="671"/>
      <c r="AK10" s="671"/>
      <c r="AL10" s="671"/>
      <c r="AM10" s="671"/>
      <c r="AN10" s="671"/>
    </row>
    <row r="11" spans="2:40" ht="16.95" customHeight="1">
      <c r="B11" s="2175" t="s">
        <v>163</v>
      </c>
      <c r="C11" s="2176"/>
      <c r="D11" s="2176"/>
      <c r="E11" s="2176"/>
      <c r="F11" s="2176"/>
      <c r="G11" s="2176"/>
      <c r="H11" s="2176"/>
      <c r="I11" s="2176"/>
      <c r="J11" s="2176"/>
      <c r="K11" s="2176"/>
      <c r="L11" s="2176"/>
      <c r="M11" s="2177"/>
      <c r="N11" s="2160" t="str">
        <f>IF(Q11=0,"",人物卡!F24)</f>
        <v/>
      </c>
      <c r="O11" s="2153"/>
      <c r="P11" s="2153"/>
      <c r="Q11" s="1234">
        <f>IF(人物卡!R24-人物卡!J24=0,0,人物卡!R24)</f>
        <v>0</v>
      </c>
      <c r="R11" s="1235">
        <f t="shared" si="0"/>
        <v>0</v>
      </c>
      <c r="S11" s="1236">
        <f t="shared" si="1"/>
        <v>0</v>
      </c>
      <c r="T11" s="2154" t="str">
        <f>IF(W11=0,"",人物卡!AB24)</f>
        <v/>
      </c>
      <c r="U11" s="2154"/>
      <c r="V11" s="2154"/>
      <c r="W11" s="1237">
        <f>IF(人物卡!AN24-人物卡!AF24=0,0,人物卡!AN24)</f>
        <v>0</v>
      </c>
      <c r="X11" s="1238">
        <f t="shared" si="2"/>
        <v>0</v>
      </c>
      <c r="Y11" s="1248">
        <f t="shared" si="3"/>
        <v>0</v>
      </c>
      <c r="Z11" s="2188">
        <f>人物卡!W134</f>
        <v>0</v>
      </c>
      <c r="AA11" s="2189"/>
      <c r="AB11" s="2189">
        <f>人物卡!AD134</f>
        <v>0</v>
      </c>
      <c r="AC11" s="2189"/>
      <c r="AD11" s="2189"/>
      <c r="AE11" s="2190"/>
      <c r="AM11" s="671"/>
      <c r="AN11" s="671"/>
    </row>
    <row r="12" spans="2:40" ht="16.95" customHeight="1">
      <c r="B12" s="1213" t="str">
        <f>人物卡!B53</f>
        <v>无</v>
      </c>
      <c r="C12" s="1214" t="str">
        <f>人物卡!G53</f>
        <v>肉搏</v>
      </c>
      <c r="D12" s="1214" t="str">
        <f>人物卡!M53</f>
        <v>斗殴</v>
      </c>
      <c r="E12" s="1214">
        <f>人物卡!Q53</f>
        <v>25</v>
      </c>
      <c r="F12" s="1214">
        <f>人物卡!S53</f>
        <v>12</v>
      </c>
      <c r="G12" s="1214">
        <f>人物卡!U53</f>
        <v>5</v>
      </c>
      <c r="H12" s="1214" t="str">
        <f>人物卡!W53</f>
        <v>1D3+DB</v>
      </c>
      <c r="I12" s="1214" t="str">
        <f>人物卡!AA53</f>
        <v>——</v>
      </c>
      <c r="J12" s="1214" t="str">
        <f>人物卡!AC53</f>
        <v>×</v>
      </c>
      <c r="K12" s="1214">
        <f>人物卡!AE53</f>
        <v>1</v>
      </c>
      <c r="L12" s="1214" t="str">
        <f>人物卡!AG53</f>
        <v>——</v>
      </c>
      <c r="M12" s="1229" t="str">
        <f>人物卡!AJ53</f>
        <v>——</v>
      </c>
      <c r="N12" s="2160" t="str">
        <f>IF(Q12=0,"",人物卡!F25)</f>
        <v/>
      </c>
      <c r="O12" s="2153"/>
      <c r="P12" s="2153"/>
      <c r="Q12" s="1234">
        <f>IF(人物卡!R25-人物卡!J25=0,0,人物卡!R25)</f>
        <v>0</v>
      </c>
      <c r="R12" s="1235">
        <f t="shared" si="0"/>
        <v>0</v>
      </c>
      <c r="S12" s="1236">
        <f t="shared" si="1"/>
        <v>0</v>
      </c>
      <c r="T12" s="2154" t="str">
        <f>IF(W12=0,"",人物卡!AB25)</f>
        <v/>
      </c>
      <c r="U12" s="2154"/>
      <c r="V12" s="2154"/>
      <c r="W12" s="1237">
        <f>IF(人物卡!AN25-人物卡!AF25=0,0,人物卡!AN25)</f>
        <v>0</v>
      </c>
      <c r="X12" s="1238">
        <f t="shared" si="2"/>
        <v>0</v>
      </c>
      <c r="Y12" s="1248">
        <f t="shared" si="3"/>
        <v>0</v>
      </c>
      <c r="Z12" s="2188">
        <f>人物卡!W135</f>
        <v>0</v>
      </c>
      <c r="AA12" s="2189"/>
      <c r="AB12" s="2189">
        <f>人物卡!AD135</f>
        <v>0</v>
      </c>
      <c r="AC12" s="2189"/>
      <c r="AD12" s="2189"/>
      <c r="AE12" s="2190"/>
      <c r="AI12" s="671"/>
      <c r="AJ12" s="671"/>
      <c r="AK12" s="671"/>
      <c r="AL12" s="671"/>
      <c r="AM12" s="671"/>
      <c r="AN12" s="671"/>
    </row>
    <row r="13" spans="2:40" ht="16.95" customHeight="1">
      <c r="B13" s="1215">
        <f>人物卡!B54</f>
        <v>0</v>
      </c>
      <c r="C13" s="1216">
        <f>人物卡!G54</f>
        <v>0</v>
      </c>
      <c r="D13" s="1216" t="str">
        <f>IF(人物卡!M54="请选择类型","",人物卡!M54)</f>
        <v>←请选择类型</v>
      </c>
      <c r="E13" s="1216" t="str">
        <f>人物卡!Q54</f>
        <v/>
      </c>
      <c r="F13" s="1216" t="str">
        <f>人物卡!S54</f>
        <v/>
      </c>
      <c r="G13" s="1216" t="str">
        <f>人物卡!U54</f>
        <v/>
      </c>
      <c r="H13" s="1216" t="str">
        <f>人物卡!W54</f>
        <v/>
      </c>
      <c r="I13" s="1216" t="str">
        <f>人物卡!AA54</f>
        <v/>
      </c>
      <c r="J13" s="1216" t="str">
        <f>人物卡!AC54</f>
        <v/>
      </c>
      <c r="K13" s="1216" t="str">
        <f>人物卡!AE54</f>
        <v/>
      </c>
      <c r="L13" s="1216" t="str">
        <f>人物卡!AG54</f>
        <v/>
      </c>
      <c r="M13" s="1230" t="str">
        <f>人物卡!AJ54</f>
        <v/>
      </c>
      <c r="N13" s="2160" t="str">
        <f>人物卡!F26</f>
        <v>信用评级</v>
      </c>
      <c r="O13" s="2153"/>
      <c r="P13" s="2153"/>
      <c r="Q13" s="1239">
        <f>人物卡!R26</f>
        <v>15</v>
      </c>
      <c r="R13" s="1240">
        <f>IF(Q13=0,32767,INT(Q13/2))</f>
        <v>7</v>
      </c>
      <c r="S13" s="1241">
        <f>IF(Q13=0,32767,INT(Q13/5))</f>
        <v>3</v>
      </c>
      <c r="T13" s="2154" t="str">
        <f>IF(W13=0,"",人物卡!AB26)</f>
        <v/>
      </c>
      <c r="U13" s="2154"/>
      <c r="V13" s="2154"/>
      <c r="W13" s="1237">
        <f>IF(人物卡!AN26-人物卡!AF26=0,0,人物卡!AN26)</f>
        <v>0</v>
      </c>
      <c r="X13" s="1238">
        <f t="shared" si="2"/>
        <v>0</v>
      </c>
      <c r="Y13" s="1248">
        <f t="shared" si="3"/>
        <v>0</v>
      </c>
      <c r="Z13" s="2188">
        <f>人物卡!W136</f>
        <v>0</v>
      </c>
      <c r="AA13" s="2189"/>
      <c r="AB13" s="2189">
        <f>人物卡!AD136</f>
        <v>0</v>
      </c>
      <c r="AC13" s="2189"/>
      <c r="AD13" s="2189"/>
      <c r="AE13" s="2190"/>
      <c r="AF13" s="671"/>
      <c r="AM13" s="671"/>
      <c r="AN13" s="671"/>
    </row>
    <row r="14" spans="2:40" ht="16.95" customHeight="1">
      <c r="B14" s="1217">
        <f>人物卡!B55</f>
        <v>0</v>
      </c>
      <c r="C14" s="1218">
        <f>人物卡!G55</f>
        <v>0</v>
      </c>
      <c r="D14" s="1218" t="str">
        <f>IF(人物卡!M55="请选择类型","",人物卡!M55)</f>
        <v/>
      </c>
      <c r="E14" s="1218" t="str">
        <f>人物卡!Q55</f>
        <v/>
      </c>
      <c r="F14" s="1218" t="str">
        <f>人物卡!S55</f>
        <v/>
      </c>
      <c r="G14" s="1218" t="str">
        <f>人物卡!U55</f>
        <v/>
      </c>
      <c r="H14" s="1218" t="str">
        <f>人物卡!W55</f>
        <v/>
      </c>
      <c r="I14" s="1218" t="str">
        <f>人物卡!AA55</f>
        <v/>
      </c>
      <c r="J14" s="1218" t="str">
        <f>人物卡!AC55</f>
        <v/>
      </c>
      <c r="K14" s="1218" t="str">
        <f>人物卡!AE55</f>
        <v/>
      </c>
      <c r="L14" s="1218" t="str">
        <f>人物卡!AG55</f>
        <v/>
      </c>
      <c r="M14" s="1231" t="str">
        <f>人物卡!AJ55</f>
        <v/>
      </c>
      <c r="N14" s="2160" t="str">
        <f>IF(Q14=0,"",人物卡!F27)</f>
        <v/>
      </c>
      <c r="O14" s="2153"/>
      <c r="P14" s="2153"/>
      <c r="Q14" s="1234">
        <f>IF(人物卡!R27-人物卡!J27=0,0,人物卡!R27)</f>
        <v>0</v>
      </c>
      <c r="R14" s="1235">
        <f t="shared" ref="R14:R35" si="5">INT(Q14/2)</f>
        <v>0</v>
      </c>
      <c r="S14" s="1236">
        <f t="shared" ref="S14:S35" si="6">INT(Q14/5)</f>
        <v>0</v>
      </c>
      <c r="T14" s="1242">
        <f>IF(W14=0,0,人物卡!AB27)</f>
        <v>0</v>
      </c>
      <c r="U14" s="2154" t="str">
        <f>IF(T14=0,"",人物卡!AD27)</f>
        <v/>
      </c>
      <c r="V14" s="2154"/>
      <c r="W14" s="1237">
        <f>IF(人物卡!AN27-人物卡!AF27=0,0,人物卡!AN27)</f>
        <v>0</v>
      </c>
      <c r="X14" s="1238">
        <f t="shared" si="2"/>
        <v>0</v>
      </c>
      <c r="Y14" s="1248">
        <f t="shared" si="3"/>
        <v>0</v>
      </c>
      <c r="Z14" s="2188">
        <f>人物卡!W137</f>
        <v>0</v>
      </c>
      <c r="AA14" s="2189"/>
      <c r="AB14" s="2189">
        <f>人物卡!AD137</f>
        <v>0</v>
      </c>
      <c r="AC14" s="2189"/>
      <c r="AD14" s="2189"/>
      <c r="AE14" s="2190"/>
      <c r="AF14" s="671"/>
      <c r="AG14" s="671"/>
      <c r="AH14" s="671"/>
      <c r="AI14" s="671"/>
      <c r="AJ14" s="671"/>
      <c r="AK14" s="671"/>
      <c r="AL14" s="671"/>
      <c r="AM14" s="671"/>
      <c r="AN14" s="671"/>
    </row>
    <row r="15" spans="2:40" ht="16.95" customHeight="1">
      <c r="B15" s="1215">
        <f>人物卡!B56</f>
        <v>0</v>
      </c>
      <c r="C15" s="1216">
        <f>人物卡!G56</f>
        <v>0</v>
      </c>
      <c r="D15" s="1216" t="str">
        <f>IF(人物卡!M56="请选择类型","",人物卡!M56)</f>
        <v/>
      </c>
      <c r="E15" s="1216" t="str">
        <f>人物卡!Q56</f>
        <v/>
      </c>
      <c r="F15" s="1216" t="str">
        <f>人物卡!S56</f>
        <v/>
      </c>
      <c r="G15" s="1216" t="str">
        <f>人物卡!U56</f>
        <v/>
      </c>
      <c r="H15" s="1216" t="str">
        <f>人物卡!W56</f>
        <v/>
      </c>
      <c r="I15" s="1216" t="str">
        <f>人物卡!AA56</f>
        <v/>
      </c>
      <c r="J15" s="1216" t="str">
        <f>人物卡!AC56</f>
        <v/>
      </c>
      <c r="K15" s="1216" t="str">
        <f>人物卡!AE56</f>
        <v/>
      </c>
      <c r="L15" s="1216" t="str">
        <f>人物卡!AG56</f>
        <v/>
      </c>
      <c r="M15" s="1230" t="str">
        <f>人物卡!AJ56</f>
        <v/>
      </c>
      <c r="N15" s="2160" t="str">
        <f>IF(Q15=0,"",人物卡!F28)</f>
        <v/>
      </c>
      <c r="O15" s="2153"/>
      <c r="P15" s="2153"/>
      <c r="Q15" s="1234">
        <f>IF(人物卡!R28-人物卡!J28=0,0,人物卡!R28)</f>
        <v>0</v>
      </c>
      <c r="R15" s="1235">
        <f t="shared" si="5"/>
        <v>0</v>
      </c>
      <c r="S15" s="1236">
        <f t="shared" si="6"/>
        <v>0</v>
      </c>
      <c r="T15" s="2154" t="str">
        <f>IF(W15=0,"",人物卡!AB28)</f>
        <v>精神分析</v>
      </c>
      <c r="U15" s="2154"/>
      <c r="V15" s="2154"/>
      <c r="W15" s="1237">
        <f>IF(人物卡!AN28-人物卡!AF28=0,0,人物卡!AN28)</f>
        <v>80</v>
      </c>
      <c r="X15" s="1238">
        <f t="shared" si="2"/>
        <v>40</v>
      </c>
      <c r="Y15" s="1248">
        <f t="shared" si="3"/>
        <v>16</v>
      </c>
      <c r="Z15" s="2188">
        <f>人物卡!W138</f>
        <v>0</v>
      </c>
      <c r="AA15" s="2189"/>
      <c r="AB15" s="2189">
        <f>人物卡!AD138</f>
        <v>0</v>
      </c>
      <c r="AC15" s="2189"/>
      <c r="AD15" s="2189"/>
      <c r="AE15" s="2190"/>
      <c r="AF15" s="671"/>
      <c r="AJ15" s="671"/>
      <c r="AM15" s="671"/>
      <c r="AN15" s="671"/>
    </row>
    <row r="16" spans="2:40" ht="16.95" customHeight="1">
      <c r="B16" s="1217">
        <f>人物卡!B57</f>
        <v>0</v>
      </c>
      <c r="C16" s="1219">
        <f>人物卡!G57</f>
        <v>0</v>
      </c>
      <c r="D16" s="1219">
        <f>IF(人物卡!M57="请选择类型","",人物卡!M57)</f>
        <v>0</v>
      </c>
      <c r="E16" s="1219">
        <f>人物卡!Q57</f>
        <v>0</v>
      </c>
      <c r="F16" s="1219">
        <f>人物卡!S57</f>
        <v>0</v>
      </c>
      <c r="G16" s="1219">
        <f>人物卡!U57</f>
        <v>0</v>
      </c>
      <c r="H16" s="1219">
        <f>人物卡!W57</f>
        <v>0</v>
      </c>
      <c r="I16" s="1219">
        <f>人物卡!AA57</f>
        <v>0</v>
      </c>
      <c r="J16" s="1219">
        <f>人物卡!AC57</f>
        <v>0</v>
      </c>
      <c r="K16" s="1219">
        <f>人物卡!AE57</f>
        <v>0</v>
      </c>
      <c r="L16" s="1219">
        <f>人物卡!AG57</f>
        <v>0</v>
      </c>
      <c r="M16" s="1231">
        <f>人物卡!AJ57</f>
        <v>0</v>
      </c>
      <c r="N16" s="2160" t="str">
        <f>人物卡!F29</f>
        <v>闪避</v>
      </c>
      <c r="O16" s="2153"/>
      <c r="P16" s="2153"/>
      <c r="Q16" s="1239">
        <f>人物卡!R29</f>
        <v>35</v>
      </c>
      <c r="R16" s="1240">
        <f>IF(Q16=0,32767,INT(Q16/2))</f>
        <v>17</v>
      </c>
      <c r="S16" s="1241">
        <f>IF(Q16=0,32767,INT(Q16/5))</f>
        <v>7</v>
      </c>
      <c r="T16" s="2154" t="str">
        <f>IF(W16=0,"",人物卡!AB29)</f>
        <v/>
      </c>
      <c r="U16" s="2154"/>
      <c r="V16" s="2154"/>
      <c r="W16" s="1237">
        <f>IF(人物卡!AN29-人物卡!AF29=0,0,人物卡!AN29)</f>
        <v>0</v>
      </c>
      <c r="X16" s="1238">
        <f t="shared" si="2"/>
        <v>0</v>
      </c>
      <c r="Y16" s="1248">
        <f t="shared" si="3"/>
        <v>0</v>
      </c>
      <c r="Z16" s="2188">
        <f>人物卡!W139</f>
        <v>0</v>
      </c>
      <c r="AA16" s="2189"/>
      <c r="AB16" s="2189">
        <f>人物卡!AD139</f>
        <v>0</v>
      </c>
      <c r="AC16" s="2189"/>
      <c r="AD16" s="2189"/>
      <c r="AE16" s="2190"/>
      <c r="AF16" s="671"/>
      <c r="AG16" s="671"/>
      <c r="AH16" s="671"/>
      <c r="AI16" s="671"/>
      <c r="AJ16" s="671"/>
      <c r="AK16" s="671"/>
      <c r="AL16" s="671"/>
      <c r="AM16" s="671"/>
      <c r="AN16" s="671"/>
    </row>
    <row r="17" spans="2:40" ht="16.95" customHeight="1">
      <c r="B17" s="2175" t="s">
        <v>182</v>
      </c>
      <c r="C17" s="2176"/>
      <c r="D17" s="2176"/>
      <c r="E17" s="2176"/>
      <c r="F17" s="2176"/>
      <c r="G17" s="2176"/>
      <c r="H17" s="2176"/>
      <c r="I17" s="2176"/>
      <c r="J17" s="2176"/>
      <c r="K17" s="2176"/>
      <c r="L17" s="2176"/>
      <c r="M17" s="2177"/>
      <c r="N17" s="2160" t="str">
        <f>IF(Q17=0,"",人物卡!F30)</f>
        <v/>
      </c>
      <c r="O17" s="2153"/>
      <c r="P17" s="2153"/>
      <c r="Q17" s="1234">
        <f>IF(人物卡!R30-人物卡!J30=0,0,人物卡!R30)</f>
        <v>0</v>
      </c>
      <c r="R17" s="1235">
        <f t="shared" si="5"/>
        <v>0</v>
      </c>
      <c r="S17" s="1236">
        <f t="shared" si="6"/>
        <v>0</v>
      </c>
      <c r="T17" s="2154" t="str">
        <f>IF(W17=0,"",人物卡!AB30)</f>
        <v/>
      </c>
      <c r="U17" s="2154"/>
      <c r="V17" s="2154"/>
      <c r="W17" s="1237">
        <f>IF(人物卡!AN30-人物卡!AF30=0,0,人物卡!AN30)</f>
        <v>0</v>
      </c>
      <c r="X17" s="1238">
        <f t="shared" si="2"/>
        <v>0</v>
      </c>
      <c r="Y17" s="1248">
        <f t="shared" si="3"/>
        <v>0</v>
      </c>
      <c r="Z17" s="2191">
        <f>人物卡!W140</f>
        <v>0</v>
      </c>
      <c r="AA17" s="2192"/>
      <c r="AB17" s="2192">
        <f>人物卡!AD140</f>
        <v>0</v>
      </c>
      <c r="AC17" s="2192"/>
      <c r="AD17" s="2192"/>
      <c r="AE17" s="2193"/>
      <c r="AF17" s="671"/>
      <c r="AM17" s="671"/>
      <c r="AN17" s="671"/>
    </row>
    <row r="18" spans="2:40" ht="16.95" customHeight="1">
      <c r="B18" s="2184" t="s">
        <v>101</v>
      </c>
      <c r="C18" s="2185"/>
      <c r="D18" s="2185"/>
      <c r="E18" s="2185" t="s">
        <v>184</v>
      </c>
      <c r="F18" s="2185"/>
      <c r="G18" s="2185" t="s">
        <v>185</v>
      </c>
      <c r="H18" s="2185"/>
      <c r="I18" s="2185" t="s">
        <v>186</v>
      </c>
      <c r="J18" s="2185"/>
      <c r="K18" s="2185" t="s">
        <v>187</v>
      </c>
      <c r="L18" s="2185"/>
      <c r="M18" s="1232" t="s">
        <v>188</v>
      </c>
      <c r="N18" s="2160" t="str">
        <f>IF(Q18=0,"",人物卡!F31)</f>
        <v/>
      </c>
      <c r="O18" s="2153"/>
      <c r="P18" s="2153"/>
      <c r="Q18" s="1234">
        <f>IF(人物卡!R31-人物卡!J31=0,0,人物卡!R31)</f>
        <v>0</v>
      </c>
      <c r="R18" s="1235">
        <f t="shared" si="5"/>
        <v>0</v>
      </c>
      <c r="S18" s="1236">
        <f t="shared" si="6"/>
        <v>0</v>
      </c>
      <c r="T18" s="1242">
        <f t="shared" ref="T18:T20" si="7">IF(W18=0,0,"科学：")</f>
        <v>0</v>
      </c>
      <c r="U18" s="2154" t="str">
        <f>IF(T18=0,"",人物卡!AD31)</f>
        <v/>
      </c>
      <c r="V18" s="2154"/>
      <c r="W18" s="1237">
        <f>IF(人物卡!AN31-人物卡!AF31=0,0,人物卡!AN31)</f>
        <v>0</v>
      </c>
      <c r="X18" s="1238">
        <f t="shared" si="2"/>
        <v>0</v>
      </c>
      <c r="Y18" s="1248">
        <f t="shared" si="3"/>
        <v>0</v>
      </c>
      <c r="Z18" s="2041"/>
      <c r="AA18" s="2042"/>
      <c r="AB18" s="2042"/>
      <c r="AC18" s="2042"/>
      <c r="AD18" s="2042"/>
      <c r="AE18" s="2043"/>
      <c r="AF18" s="671"/>
      <c r="AM18" s="671"/>
      <c r="AN18" s="671"/>
    </row>
    <row r="19" spans="2:40" ht="16.95" customHeight="1">
      <c r="B19" s="2186" t="str">
        <f>人物卡!B62</f>
        <v>15%/7%/3%</v>
      </c>
      <c r="C19" s="2187"/>
      <c r="D19" s="2187"/>
      <c r="E19" s="2187" t="str">
        <f>人物卡!F62</f>
        <v>标准</v>
      </c>
      <c r="F19" s="2187"/>
      <c r="G19" s="2187" t="str">
        <f>人物卡!I62</f>
        <v>10</v>
      </c>
      <c r="H19" s="2187"/>
      <c r="I19" s="2187">
        <f>人物卡!L62</f>
        <v>750</v>
      </c>
      <c r="J19" s="2187"/>
      <c r="K19" s="2187">
        <f>人物卡!O62</f>
        <v>30</v>
      </c>
      <c r="L19" s="2187"/>
      <c r="M19" s="632" t="str">
        <f>人物卡!S62</f>
        <v>美元</v>
      </c>
      <c r="N19" s="2160" t="str">
        <f>IF(Q19=0,"",人物卡!F32)</f>
        <v/>
      </c>
      <c r="O19" s="2153"/>
      <c r="P19" s="2153"/>
      <c r="Q19" s="1234">
        <f>IF(人物卡!R32-人物卡!J32=0,0,人物卡!R32)</f>
        <v>0</v>
      </c>
      <c r="R19" s="1235">
        <f t="shared" si="5"/>
        <v>0</v>
      </c>
      <c r="S19" s="1236">
        <f t="shared" si="6"/>
        <v>0</v>
      </c>
      <c r="T19" s="1242">
        <f t="shared" si="7"/>
        <v>0</v>
      </c>
      <c r="U19" s="2154" t="str">
        <f>IF(T19=0,"",人物卡!AD32)</f>
        <v/>
      </c>
      <c r="V19" s="2154"/>
      <c r="W19" s="1237">
        <f>IF(人物卡!AN32-人物卡!AF32=0,0,人物卡!AN32)</f>
        <v>0</v>
      </c>
      <c r="X19" s="1238">
        <f t="shared" si="2"/>
        <v>0</v>
      </c>
      <c r="Y19" s="1248">
        <f t="shared" si="3"/>
        <v>0</v>
      </c>
      <c r="Z19" s="2041"/>
      <c r="AA19" s="2042"/>
      <c r="AB19" s="2042"/>
      <c r="AC19" s="2042"/>
      <c r="AD19" s="2042"/>
      <c r="AE19" s="2043"/>
      <c r="AF19" s="671"/>
      <c r="AM19" s="671"/>
      <c r="AN19" s="671"/>
    </row>
    <row r="20" spans="2:40" ht="16.95" customHeight="1">
      <c r="B20" s="2172" t="str">
        <f>人物卡!L63</f>
        <v>请在这里详述你的资产</v>
      </c>
      <c r="C20" s="2173"/>
      <c r="D20" s="2173"/>
      <c r="E20" s="2173"/>
      <c r="F20" s="2173"/>
      <c r="G20" s="2173"/>
      <c r="H20" s="2173"/>
      <c r="I20" s="2173"/>
      <c r="J20" s="2173"/>
      <c r="K20" s="2173"/>
      <c r="L20" s="2173"/>
      <c r="M20" s="2174"/>
      <c r="N20" s="2160" t="str">
        <f>IF(Q20=0,"",人物卡!F33)</f>
        <v/>
      </c>
      <c r="O20" s="2153"/>
      <c r="P20" s="2153"/>
      <c r="Q20" s="1234">
        <f>IF(人物卡!R33-人物卡!J33=0,0,人物卡!R33)</f>
        <v>0</v>
      </c>
      <c r="R20" s="1235">
        <f t="shared" si="5"/>
        <v>0</v>
      </c>
      <c r="S20" s="1236">
        <f t="shared" si="6"/>
        <v>0</v>
      </c>
      <c r="T20" s="1242">
        <f t="shared" si="7"/>
        <v>0</v>
      </c>
      <c r="U20" s="2154" t="str">
        <f>IF(T20=0,"",人物卡!AD33)</f>
        <v/>
      </c>
      <c r="V20" s="2154"/>
      <c r="W20" s="1237">
        <f>IF(人物卡!AN33-人物卡!AF33=0,0,人物卡!AN33)</f>
        <v>0</v>
      </c>
      <c r="X20" s="1238">
        <f t="shared" si="2"/>
        <v>0</v>
      </c>
      <c r="Y20" s="1248">
        <f t="shared" si="3"/>
        <v>0</v>
      </c>
      <c r="Z20" s="2044"/>
      <c r="AA20" s="2045"/>
      <c r="AB20" s="2045"/>
      <c r="AC20" s="2045"/>
      <c r="AD20" s="2045"/>
      <c r="AE20" s="2046"/>
      <c r="AF20" s="671"/>
      <c r="AM20" s="671"/>
      <c r="AN20" s="671"/>
    </row>
    <row r="21" spans="2:40" ht="16.95" customHeight="1">
      <c r="B21" s="2175" t="s">
        <v>348</v>
      </c>
      <c r="C21" s="2176"/>
      <c r="D21" s="2176"/>
      <c r="E21" s="2176"/>
      <c r="F21" s="2176"/>
      <c r="G21" s="2176"/>
      <c r="H21" s="2176"/>
      <c r="I21" s="2176"/>
      <c r="J21" s="2176"/>
      <c r="K21" s="2176"/>
      <c r="L21" s="2176"/>
      <c r="M21" s="2177"/>
      <c r="N21" s="1228">
        <f t="shared" ref="N21:N24" si="8">IF(Q21=0,0,"格斗：")</f>
        <v>0</v>
      </c>
      <c r="O21" s="2153" t="str">
        <f>IF(N21=0,"",人物卡!H34)</f>
        <v/>
      </c>
      <c r="P21" s="2153"/>
      <c r="Q21" s="1234">
        <f>IF(人物卡!R34-人物卡!J34=0,0,人物卡!R34)</f>
        <v>0</v>
      </c>
      <c r="R21" s="1235">
        <f t="shared" si="5"/>
        <v>0</v>
      </c>
      <c r="S21" s="1236">
        <f t="shared" si="6"/>
        <v>0</v>
      </c>
      <c r="T21" s="2154" t="str">
        <f>IF(W21=0,"",人物卡!AB34)</f>
        <v>妙手</v>
      </c>
      <c r="U21" s="2154"/>
      <c r="V21" s="2154"/>
      <c r="W21" s="1237">
        <f>IF(人物卡!AN34-人物卡!AF34=0,0,人物卡!AN34)</f>
        <v>80</v>
      </c>
      <c r="X21" s="1238">
        <f t="shared" si="2"/>
        <v>40</v>
      </c>
      <c r="Y21" s="1248">
        <f t="shared" si="3"/>
        <v>16</v>
      </c>
      <c r="Z21" s="2178" t="s">
        <v>233</v>
      </c>
      <c r="AA21" s="2179"/>
      <c r="AB21" s="2179"/>
      <c r="AC21" s="2179"/>
      <c r="AD21" s="2179"/>
      <c r="AE21" s="2180"/>
      <c r="AF21" s="671"/>
      <c r="AM21" s="671"/>
      <c r="AN21" s="671"/>
    </row>
    <row r="22" spans="2:40" ht="16.95" customHeight="1">
      <c r="B22" s="2170" t="str">
        <f>人物卡!F79</f>
        <v>绷带</v>
      </c>
      <c r="C22" s="2152"/>
      <c r="D22" s="2152"/>
      <c r="E22" s="2152" t="str">
        <f>人物卡!F80</f>
        <v>消毒水</v>
      </c>
      <c r="F22" s="2152"/>
      <c r="G22" s="2152"/>
      <c r="H22" s="2152" t="str">
        <f>人物卡!F81</f>
        <v>撬锁套装</v>
      </c>
      <c r="I22" s="2152"/>
      <c r="J22" s="2152"/>
      <c r="K22" s="2152" t="str">
        <f>人物卡!F82</f>
        <v>铁丝</v>
      </c>
      <c r="L22" s="2152"/>
      <c r="M22" s="2171"/>
      <c r="N22" s="1228">
        <f t="shared" si="8"/>
        <v>0</v>
      </c>
      <c r="O22" s="2153" t="str">
        <f>IF(N22=0,"",人物卡!H35)</f>
        <v/>
      </c>
      <c r="P22" s="2153"/>
      <c r="Q22" s="1234">
        <f>IF(人物卡!R35-人物卡!J35=0,0,人物卡!R35)</f>
        <v>0</v>
      </c>
      <c r="R22" s="1235">
        <f t="shared" si="5"/>
        <v>0</v>
      </c>
      <c r="S22" s="1236">
        <f t="shared" si="6"/>
        <v>0</v>
      </c>
      <c r="T22" s="2154" t="str">
        <f>IF(W22=0,"",人物卡!AB35)</f>
        <v>侦查</v>
      </c>
      <c r="U22" s="2154"/>
      <c r="V22" s="2154"/>
      <c r="W22" s="1237">
        <f>IF(人物卡!AN35-人物卡!AF35=0,0,人物卡!AN35)</f>
        <v>60</v>
      </c>
      <c r="X22" s="1238">
        <f t="shared" si="2"/>
        <v>30</v>
      </c>
      <c r="Y22" s="1248">
        <f t="shared" si="3"/>
        <v>12</v>
      </c>
      <c r="Z22" s="2181" t="s">
        <v>239</v>
      </c>
      <c r="AA22" s="2182"/>
      <c r="AB22" s="2182"/>
      <c r="AC22" s="2182"/>
      <c r="AD22" s="2182" t="s">
        <v>349</v>
      </c>
      <c r="AE22" s="2183"/>
      <c r="AF22" s="671"/>
      <c r="AM22" s="671"/>
      <c r="AN22" s="671"/>
    </row>
    <row r="23" spans="2:40" ht="16.95" customHeight="1">
      <c r="B23" s="2161" t="str">
        <f>人物卡!F83</f>
        <v>一次性手套包</v>
      </c>
      <c r="C23" s="2159"/>
      <c r="D23" s="2159"/>
      <c r="E23" s="2159" t="str">
        <f>人物卡!F84</f>
        <v>口罩</v>
      </c>
      <c r="F23" s="2159"/>
      <c r="G23" s="2159"/>
      <c r="H23" s="2159" t="str">
        <f>人物卡!F85</f>
        <v>消毒过的急救工具</v>
      </c>
      <c r="I23" s="2159"/>
      <c r="J23" s="2159"/>
      <c r="K23" s="2159" t="str">
        <f>人物卡!F90</f>
        <v>怀表</v>
      </c>
      <c r="L23" s="2159"/>
      <c r="M23" s="2163"/>
      <c r="N23" s="1228">
        <f t="shared" si="8"/>
        <v>0</v>
      </c>
      <c r="O23" s="2153" t="str">
        <f>IF(N23=0,"",人物卡!H36)</f>
        <v/>
      </c>
      <c r="P23" s="2153"/>
      <c r="Q23" s="1234">
        <f>IF(人物卡!R36-人物卡!J36=0,0,人物卡!R36)</f>
        <v>0</v>
      </c>
      <c r="R23" s="1235">
        <f t="shared" si="5"/>
        <v>0</v>
      </c>
      <c r="S23" s="1236">
        <f t="shared" si="6"/>
        <v>0</v>
      </c>
      <c r="T23" s="2154" t="str">
        <f>IF(W23=0,"",人物卡!AB36)</f>
        <v/>
      </c>
      <c r="U23" s="2154"/>
      <c r="V23" s="2154"/>
      <c r="W23" s="1237">
        <f>IF(人物卡!AN36-人物卡!AF36=0,0,人物卡!AN36)</f>
        <v>0</v>
      </c>
      <c r="X23" s="1238">
        <f t="shared" si="2"/>
        <v>0</v>
      </c>
      <c r="Y23" s="1248">
        <f t="shared" si="3"/>
        <v>0</v>
      </c>
      <c r="Z23" s="2161" t="str">
        <f>人物卡!W98</f>
        <v>例：米-戈</v>
      </c>
      <c r="AA23" s="2162"/>
      <c r="AB23" s="2162"/>
      <c r="AC23" s="2162"/>
      <c r="AD23" s="2162">
        <f>人物卡!AR98</f>
        <v>6</v>
      </c>
      <c r="AE23" s="2163"/>
      <c r="AF23" s="671"/>
      <c r="AM23" s="671"/>
      <c r="AN23" s="671"/>
    </row>
    <row r="24" spans="2:40" ht="16.95" customHeight="1">
      <c r="B24" s="2170" t="str">
        <f>人物卡!F91</f>
        <v>镇静剂</v>
      </c>
      <c r="C24" s="2152"/>
      <c r="D24" s="2152"/>
      <c r="E24" s="2152" t="str">
        <f>人物卡!F92</f>
        <v>兴奋剂</v>
      </c>
      <c r="F24" s="2152"/>
      <c r="G24" s="2152"/>
      <c r="H24" s="2152">
        <f>人物卡!N79</f>
        <v>0</v>
      </c>
      <c r="I24" s="2152"/>
      <c r="J24" s="2152"/>
      <c r="K24" s="2152">
        <f>人物卡!N80</f>
        <v>0</v>
      </c>
      <c r="L24" s="2152"/>
      <c r="M24" s="2171"/>
      <c r="N24" s="1228">
        <f t="shared" si="8"/>
        <v>0</v>
      </c>
      <c r="O24" s="2153" t="str">
        <f>IF(N24=0,"",人物卡!H37)</f>
        <v/>
      </c>
      <c r="P24" s="2153"/>
      <c r="Q24" s="1234">
        <f>IF(人物卡!R37-人物卡!J37=0,0,人物卡!R37)</f>
        <v>0</v>
      </c>
      <c r="R24" s="1235">
        <f t="shared" si="5"/>
        <v>0</v>
      </c>
      <c r="S24" s="1236">
        <f t="shared" si="6"/>
        <v>0</v>
      </c>
      <c r="T24" s="1242">
        <f>IF(W24=0,0,人物卡!AB37)</f>
        <v>0</v>
      </c>
      <c r="U24" s="2154" t="str">
        <f>IF(T24=0,"",人物卡!AD37)</f>
        <v/>
      </c>
      <c r="V24" s="2154"/>
      <c r="W24" s="1237">
        <f>IF(人物卡!AN37-人物卡!AF37=0,0,人物卡!AN37)</f>
        <v>0</v>
      </c>
      <c r="X24" s="1238">
        <f t="shared" si="2"/>
        <v>0</v>
      </c>
      <c r="Y24" s="1248">
        <f t="shared" si="3"/>
        <v>0</v>
      </c>
      <c r="Z24" s="2161" t="str">
        <f>人物卡!W99</f>
        <v>例：修格斯</v>
      </c>
      <c r="AA24" s="2162"/>
      <c r="AB24" s="2162"/>
      <c r="AC24" s="2162"/>
      <c r="AD24" s="2162">
        <f>人物卡!AR99</f>
        <v>5</v>
      </c>
      <c r="AE24" s="2163"/>
      <c r="AF24" s="671"/>
      <c r="AM24" s="671"/>
      <c r="AN24" s="671"/>
    </row>
    <row r="25" spans="2:40" ht="16.95" customHeight="1">
      <c r="B25" s="2161">
        <f>人物卡!N81</f>
        <v>0</v>
      </c>
      <c r="C25" s="2159"/>
      <c r="D25" s="2159"/>
      <c r="E25" s="2159">
        <f>人物卡!N82</f>
        <v>0</v>
      </c>
      <c r="F25" s="2159"/>
      <c r="G25" s="2159"/>
      <c r="H25" s="2159">
        <f>人物卡!N83</f>
        <v>0</v>
      </c>
      <c r="I25" s="2159"/>
      <c r="J25" s="2159"/>
      <c r="K25" s="2159">
        <f>人物卡!N84</f>
        <v>0</v>
      </c>
      <c r="L25" s="2159"/>
      <c r="M25" s="2163"/>
      <c r="N25" s="1228">
        <f t="shared" ref="N25:N28" si="9">IF(Q25=0,0,"射击：")</f>
        <v>0</v>
      </c>
      <c r="O25" s="2153" t="str">
        <f>IF(N25=0,"",人物卡!H38)</f>
        <v/>
      </c>
      <c r="P25" s="2153"/>
      <c r="Q25" s="1234">
        <f>IF(人物卡!R38-人物卡!J38=0,0,人物卡!R38)</f>
        <v>0</v>
      </c>
      <c r="R25" s="1235">
        <f t="shared" si="5"/>
        <v>0</v>
      </c>
      <c r="S25" s="1236">
        <f t="shared" si="6"/>
        <v>0</v>
      </c>
      <c r="T25" s="2154" t="str">
        <f>IF(W25=0,"",人物卡!AB38)</f>
        <v/>
      </c>
      <c r="U25" s="2154"/>
      <c r="V25" s="2154"/>
      <c r="W25" s="1237">
        <f>IF(人物卡!AN38-人物卡!AF38=0,0,人物卡!AN38)</f>
        <v>0</v>
      </c>
      <c r="X25" s="1238">
        <f t="shared" si="2"/>
        <v>0</v>
      </c>
      <c r="Y25" s="1248">
        <f t="shared" si="3"/>
        <v>0</v>
      </c>
      <c r="Z25" s="2161">
        <f>人物卡!W100</f>
        <v>0</v>
      </c>
      <c r="AA25" s="2162"/>
      <c r="AB25" s="2162"/>
      <c r="AC25" s="2162"/>
      <c r="AD25" s="2162">
        <f>人物卡!AR100</f>
        <v>0</v>
      </c>
      <c r="AE25" s="2163"/>
      <c r="AF25" s="671"/>
      <c r="AM25" s="671"/>
      <c r="AN25" s="671"/>
    </row>
    <row r="26" spans="2:40" ht="16.95" customHeight="1">
      <c r="B26" s="2167">
        <f>人物卡!N85</f>
        <v>0</v>
      </c>
      <c r="C26" s="2168"/>
      <c r="D26" s="2168"/>
      <c r="E26" s="2168">
        <f>人物卡!N90</f>
        <v>0</v>
      </c>
      <c r="F26" s="2168"/>
      <c r="G26" s="2168"/>
      <c r="H26" s="2168">
        <f>人物卡!N91</f>
        <v>0</v>
      </c>
      <c r="I26" s="2168"/>
      <c r="J26" s="2168"/>
      <c r="K26" s="2168">
        <f>人物卡!N92</f>
        <v>0</v>
      </c>
      <c r="L26" s="2168"/>
      <c r="M26" s="2169"/>
      <c r="N26" s="1228">
        <f t="shared" si="9"/>
        <v>0</v>
      </c>
      <c r="O26" s="2153" t="str">
        <f>IF(N26=0,"",人物卡!H39)</f>
        <v/>
      </c>
      <c r="P26" s="2153"/>
      <c r="Q26" s="1234">
        <f>IF(人物卡!R39-人物卡!J39=0,0,人物卡!R39)</f>
        <v>0</v>
      </c>
      <c r="R26" s="1235">
        <f t="shared" si="5"/>
        <v>0</v>
      </c>
      <c r="S26" s="1236">
        <f t="shared" si="6"/>
        <v>0</v>
      </c>
      <c r="T26" s="2154" t="str">
        <f>IF(W26=0,"",人物卡!AB39)</f>
        <v/>
      </c>
      <c r="U26" s="2154"/>
      <c r="V26" s="2154"/>
      <c r="W26" s="1237">
        <f>IF(人物卡!AN39-人物卡!AF39=0,0,人物卡!AN39)</f>
        <v>0</v>
      </c>
      <c r="X26" s="1238">
        <f t="shared" si="2"/>
        <v>0</v>
      </c>
      <c r="Y26" s="1248">
        <f t="shared" si="3"/>
        <v>0</v>
      </c>
      <c r="Z26" s="2161">
        <f>人物卡!W101</f>
        <v>0</v>
      </c>
      <c r="AA26" s="2162"/>
      <c r="AB26" s="2162"/>
      <c r="AC26" s="2162"/>
      <c r="AD26" s="2162">
        <f>人物卡!AR101</f>
        <v>0</v>
      </c>
      <c r="AE26" s="2163"/>
      <c r="AF26" s="671"/>
      <c r="AM26" s="671"/>
      <c r="AN26" s="671"/>
    </row>
    <row r="27" spans="2:40" ht="16.95" customHeight="1">
      <c r="B27" s="2164" t="s">
        <v>183</v>
      </c>
      <c r="C27" s="2165"/>
      <c r="D27" s="2165"/>
      <c r="E27" s="2165"/>
      <c r="F27" s="2165"/>
      <c r="G27" s="2165"/>
      <c r="H27" s="2165"/>
      <c r="I27" s="2165"/>
      <c r="J27" s="2165"/>
      <c r="K27" s="2165"/>
      <c r="L27" s="2165"/>
      <c r="M27" s="2166"/>
      <c r="N27" s="1228">
        <f t="shared" si="9"/>
        <v>0</v>
      </c>
      <c r="O27" s="2153" t="str">
        <f>IF(N27=0,"",人物卡!H40)</f>
        <v/>
      </c>
      <c r="P27" s="2153"/>
      <c r="Q27" s="1234">
        <f>IF(人物卡!R40-人物卡!J40=0,0,人物卡!R40)</f>
        <v>0</v>
      </c>
      <c r="R27" s="1235">
        <f t="shared" si="5"/>
        <v>0</v>
      </c>
      <c r="S27" s="1236">
        <f t="shared" si="6"/>
        <v>0</v>
      </c>
      <c r="T27" s="2154" t="str">
        <f>IF(W27=0,"",人物卡!AB40)</f>
        <v/>
      </c>
      <c r="U27" s="2154"/>
      <c r="V27" s="2154"/>
      <c r="W27" s="1237">
        <f>IF(人物卡!AN40-人物卡!AF40=0,0,人物卡!AN40)</f>
        <v>0</v>
      </c>
      <c r="X27" s="1238">
        <f t="shared" si="2"/>
        <v>0</v>
      </c>
      <c r="Y27" s="1248">
        <f t="shared" si="3"/>
        <v>0</v>
      </c>
      <c r="Z27" s="2161">
        <f>人物卡!W102</f>
        <v>0</v>
      </c>
      <c r="AA27" s="2162"/>
      <c r="AB27" s="2162"/>
      <c r="AC27" s="2162"/>
      <c r="AD27" s="2162">
        <f>人物卡!AR102</f>
        <v>0</v>
      </c>
      <c r="AE27" s="2163"/>
      <c r="AF27" s="671"/>
      <c r="AM27" s="671"/>
      <c r="AN27" s="671"/>
    </row>
    <row r="28" spans="2:40" ht="16.95" customHeight="1">
      <c r="B28" s="1220" t="s">
        <v>350</v>
      </c>
      <c r="C28" s="2158">
        <f>人物卡!AA61</f>
        <v>0</v>
      </c>
      <c r="D28" s="2159"/>
      <c r="E28" s="2159"/>
      <c r="F28" s="2159"/>
      <c r="G28" s="1221" t="s">
        <v>351</v>
      </c>
      <c r="H28" s="2147" t="str">
        <f>人物卡!W77</f>
        <v>请务必在此填写背景故事！
使用Alt+Enter换行</v>
      </c>
      <c r="I28" s="2147"/>
      <c r="J28" s="2147"/>
      <c r="K28" s="2147"/>
      <c r="L28" s="2147"/>
      <c r="M28" s="2148"/>
      <c r="N28" s="1228">
        <f t="shared" si="9"/>
        <v>0</v>
      </c>
      <c r="O28" s="2153" t="str">
        <f>IF(N28=0,"",人物卡!H41)</f>
        <v/>
      </c>
      <c r="P28" s="2153"/>
      <c r="Q28" s="1234">
        <f>IF(人物卡!R41-人物卡!J41=0,0,人物卡!R41)</f>
        <v>0</v>
      </c>
      <c r="R28" s="1235">
        <f t="shared" si="5"/>
        <v>0</v>
      </c>
      <c r="S28" s="1236">
        <f t="shared" si="6"/>
        <v>0</v>
      </c>
      <c r="T28" s="2154" t="str">
        <f>IF(W28=0,"",人物卡!AB41)</f>
        <v/>
      </c>
      <c r="U28" s="2154"/>
      <c r="V28" s="2154"/>
      <c r="W28" s="1237">
        <f>IF(人物卡!AN41-人物卡!AF41=0,0,人物卡!AN41)</f>
        <v>0</v>
      </c>
      <c r="X28" s="1238">
        <f t="shared" si="2"/>
        <v>0</v>
      </c>
      <c r="Y28" s="1248">
        <f t="shared" si="3"/>
        <v>0</v>
      </c>
      <c r="Z28" s="2161">
        <f>人物卡!W103</f>
        <v>0</v>
      </c>
      <c r="AA28" s="2162"/>
      <c r="AB28" s="2162"/>
      <c r="AC28" s="2162"/>
      <c r="AD28" s="2162">
        <f>人物卡!AR103</f>
        <v>0</v>
      </c>
      <c r="AE28" s="2163"/>
      <c r="AF28" s="671"/>
      <c r="AM28" s="671"/>
      <c r="AN28" s="671"/>
    </row>
    <row r="29" spans="2:40" ht="16.95" customHeight="1">
      <c r="B29" s="624" t="s">
        <v>352</v>
      </c>
      <c r="C29" s="2151">
        <f>人物卡!AA63</f>
        <v>0</v>
      </c>
      <c r="D29" s="2152"/>
      <c r="E29" s="2152"/>
      <c r="F29" s="2152"/>
      <c r="G29" s="1222" t="str">
        <f>人物卡!AR63</f>
        <v>☐</v>
      </c>
      <c r="H29" s="2147"/>
      <c r="I29" s="2147"/>
      <c r="J29" s="2147"/>
      <c r="K29" s="2147"/>
      <c r="L29" s="2147"/>
      <c r="M29" s="2148"/>
      <c r="N29" s="2160" t="str">
        <f>IF(Q29=0,"",人物卡!F42)</f>
        <v>急救</v>
      </c>
      <c r="O29" s="2153"/>
      <c r="P29" s="2153"/>
      <c r="Q29" s="1234">
        <f>IF(人物卡!R42-人物卡!J42=0,0,人物卡!R42)</f>
        <v>60</v>
      </c>
      <c r="R29" s="1235">
        <f t="shared" si="5"/>
        <v>30</v>
      </c>
      <c r="S29" s="1236">
        <f t="shared" si="6"/>
        <v>12</v>
      </c>
      <c r="T29" s="2154" t="str">
        <f>IF(W29=0,"",人物卡!AB47)</f>
        <v/>
      </c>
      <c r="U29" s="2154"/>
      <c r="V29" s="2154"/>
      <c r="W29" s="1237">
        <f>IF(人物卡!AN42-人物卡!AF42=0,0,人物卡!AN42)</f>
        <v>0</v>
      </c>
      <c r="X29" s="1238">
        <f t="shared" si="2"/>
        <v>0</v>
      </c>
      <c r="Y29" s="1248">
        <f t="shared" si="3"/>
        <v>0</v>
      </c>
      <c r="Z29" s="2161">
        <f>人物卡!W104</f>
        <v>0</v>
      </c>
      <c r="AA29" s="2162"/>
      <c r="AB29" s="2162"/>
      <c r="AC29" s="2162"/>
      <c r="AD29" s="2162">
        <f>人物卡!AR104</f>
        <v>0</v>
      </c>
      <c r="AE29" s="2163"/>
      <c r="AF29" s="671"/>
      <c r="AM29" s="671"/>
      <c r="AN29" s="671"/>
    </row>
    <row r="30" spans="2:40" ht="16.95" customHeight="1">
      <c r="B30" s="1220" t="s">
        <v>353</v>
      </c>
      <c r="C30" s="2158">
        <f>人物卡!AA65</f>
        <v>0</v>
      </c>
      <c r="D30" s="2159"/>
      <c r="E30" s="2159"/>
      <c r="F30" s="2159"/>
      <c r="G30" s="1221" t="str">
        <f>人物卡!AR65</f>
        <v>☐</v>
      </c>
      <c r="H30" s="2147"/>
      <c r="I30" s="2147"/>
      <c r="J30" s="2147"/>
      <c r="K30" s="2147"/>
      <c r="L30" s="2147"/>
      <c r="M30" s="2148"/>
      <c r="N30" s="2160" t="str">
        <f>IF(Q30=0,"",人物卡!F43)</f>
        <v/>
      </c>
      <c r="O30" s="2153"/>
      <c r="P30" s="2153"/>
      <c r="Q30" s="1234">
        <f>IF(人物卡!R43-人物卡!J43=0,0,人物卡!R43)</f>
        <v>0</v>
      </c>
      <c r="R30" s="1235">
        <f t="shared" si="5"/>
        <v>0</v>
      </c>
      <c r="S30" s="1236">
        <f t="shared" si="6"/>
        <v>0</v>
      </c>
      <c r="T30" s="2154" t="str">
        <f>IF(W30=0,"",人物卡!AB43)</f>
        <v/>
      </c>
      <c r="U30" s="2154"/>
      <c r="V30" s="2154"/>
      <c r="W30" s="1237">
        <f>IF(人物卡!AN43-人物卡!AF43=0,0,人物卡!AN43)</f>
        <v>0</v>
      </c>
      <c r="X30" s="1238">
        <f t="shared" si="2"/>
        <v>0</v>
      </c>
      <c r="Y30" s="1248">
        <f t="shared" si="3"/>
        <v>0</v>
      </c>
      <c r="Z30" s="2161">
        <f>人物卡!W105</f>
        <v>0</v>
      </c>
      <c r="AA30" s="2162"/>
      <c r="AB30" s="2162"/>
      <c r="AC30" s="2162"/>
      <c r="AD30" s="2162">
        <f>人物卡!AR105</f>
        <v>0</v>
      </c>
      <c r="AE30" s="2163"/>
      <c r="AF30" s="671"/>
      <c r="AM30" s="671"/>
      <c r="AN30" s="671"/>
    </row>
    <row r="31" spans="2:40" ht="16.95" customHeight="1">
      <c r="B31" s="624" t="s">
        <v>354</v>
      </c>
      <c r="C31" s="2151">
        <f>人物卡!AA67</f>
        <v>0</v>
      </c>
      <c r="D31" s="2152"/>
      <c r="E31" s="2152"/>
      <c r="F31" s="2152"/>
      <c r="G31" s="1222" t="str">
        <f>人物卡!AR67</f>
        <v>☐</v>
      </c>
      <c r="H31" s="2147"/>
      <c r="I31" s="2147"/>
      <c r="J31" s="2147"/>
      <c r="K31" s="2147"/>
      <c r="L31" s="2147"/>
      <c r="M31" s="2148"/>
      <c r="N31" s="2160" t="str">
        <f>IF(Q31=0,"",人物卡!F44)</f>
        <v/>
      </c>
      <c r="O31" s="2153"/>
      <c r="P31" s="2153"/>
      <c r="Q31" s="1234">
        <f>IF(人物卡!R44-人物卡!J44=0,0,人物卡!R44)</f>
        <v>0</v>
      </c>
      <c r="R31" s="1235">
        <f t="shared" si="5"/>
        <v>0</v>
      </c>
      <c r="S31" s="1236">
        <f t="shared" si="6"/>
        <v>0</v>
      </c>
      <c r="T31" s="2154" t="str">
        <f>IF(W31=0,"",人物卡!AB44)</f>
        <v/>
      </c>
      <c r="U31" s="2154"/>
      <c r="V31" s="2154"/>
      <c r="W31" s="1237">
        <f>IF(人物卡!AN44-人物卡!AF44=0,0,人物卡!AN44)</f>
        <v>0</v>
      </c>
      <c r="X31" s="1238">
        <f t="shared" si="2"/>
        <v>0</v>
      </c>
      <c r="Y31" s="1248">
        <f t="shared" si="3"/>
        <v>0</v>
      </c>
      <c r="Z31" s="2161">
        <f>人物卡!W106</f>
        <v>0</v>
      </c>
      <c r="AA31" s="2162"/>
      <c r="AB31" s="2162"/>
      <c r="AC31" s="2162"/>
      <c r="AD31" s="2162">
        <f>人物卡!AR106</f>
        <v>0</v>
      </c>
      <c r="AE31" s="2163"/>
      <c r="AF31" s="671"/>
      <c r="AG31" s="671"/>
      <c r="AH31" s="671"/>
      <c r="AI31" s="671"/>
      <c r="AJ31" s="671"/>
      <c r="AK31" s="671"/>
      <c r="AL31" s="671"/>
      <c r="AM31" s="671"/>
      <c r="AN31" s="671"/>
    </row>
    <row r="32" spans="2:40" ht="16.95" customHeight="1">
      <c r="B32" s="1220" t="s">
        <v>355</v>
      </c>
      <c r="C32" s="2158">
        <f>人物卡!AA69</f>
        <v>0</v>
      </c>
      <c r="D32" s="2159"/>
      <c r="E32" s="2159"/>
      <c r="F32" s="2159"/>
      <c r="G32" s="1221" t="str">
        <f>人物卡!AR69</f>
        <v>☐</v>
      </c>
      <c r="H32" s="2147"/>
      <c r="I32" s="2147"/>
      <c r="J32" s="2147"/>
      <c r="K32" s="2147"/>
      <c r="L32" s="2147"/>
      <c r="M32" s="2148"/>
      <c r="N32" s="2160" t="str">
        <f>IF(Q32=0,"",人物卡!F45)</f>
        <v/>
      </c>
      <c r="O32" s="2153"/>
      <c r="P32" s="2153"/>
      <c r="Q32" s="1234">
        <f>IF(人物卡!R45-人物卡!J45=0,0,人物卡!R45)</f>
        <v>0</v>
      </c>
      <c r="R32" s="1235">
        <f t="shared" si="5"/>
        <v>0</v>
      </c>
      <c r="S32" s="1236">
        <f t="shared" si="6"/>
        <v>0</v>
      </c>
      <c r="T32" s="2154" t="str">
        <f>IF(W32=0,"",人物卡!AB45)</f>
        <v>催眠</v>
      </c>
      <c r="U32" s="2154"/>
      <c r="V32" s="2154"/>
      <c r="W32" s="1237">
        <f>IF(人物卡!AN45-人物卡!AF45=0,0,人物卡!AN45)</f>
        <v>80</v>
      </c>
      <c r="X32" s="1238">
        <f t="shared" si="2"/>
        <v>40</v>
      </c>
      <c r="Y32" s="1248">
        <f t="shared" si="3"/>
        <v>16</v>
      </c>
      <c r="Z32" s="2161">
        <f>人物卡!W107</f>
        <v>0</v>
      </c>
      <c r="AA32" s="2162"/>
      <c r="AB32" s="2162"/>
      <c r="AC32" s="2162"/>
      <c r="AD32" s="2162">
        <f>人物卡!AR107</f>
        <v>0</v>
      </c>
      <c r="AE32" s="2163"/>
      <c r="AF32" s="671"/>
      <c r="AG32" s="671"/>
      <c r="AH32" s="671"/>
      <c r="AI32" s="671"/>
      <c r="AJ32" s="671"/>
      <c r="AK32" s="671"/>
      <c r="AL32" s="671"/>
      <c r="AM32" s="671"/>
      <c r="AN32" s="671"/>
    </row>
    <row r="33" spans="2:41" ht="16.95" customHeight="1">
      <c r="B33" s="624" t="s">
        <v>207</v>
      </c>
      <c r="C33" s="2151">
        <f>人物卡!AA71</f>
        <v>0</v>
      </c>
      <c r="D33" s="2152"/>
      <c r="E33" s="2152"/>
      <c r="F33" s="2152"/>
      <c r="G33" s="1222" t="str">
        <f>人物卡!AR71</f>
        <v>☐</v>
      </c>
      <c r="H33" s="2147"/>
      <c r="I33" s="2147"/>
      <c r="J33" s="2147"/>
      <c r="K33" s="2147"/>
      <c r="L33" s="2147"/>
      <c r="M33" s="2148"/>
      <c r="N33" s="1228">
        <f t="shared" ref="N33:N35" si="10">IF(Q33=0,0,"外语：")</f>
        <v>0</v>
      </c>
      <c r="O33" s="2153" t="str">
        <f>IF(N33=0,"",人物卡!H46)</f>
        <v/>
      </c>
      <c r="P33" s="2153"/>
      <c r="Q33" s="1234">
        <f>IF(人物卡!R46-人物卡!J46=0,0,人物卡!R46)</f>
        <v>0</v>
      </c>
      <c r="R33" s="1235">
        <f t="shared" si="5"/>
        <v>0</v>
      </c>
      <c r="S33" s="1236">
        <f t="shared" si="6"/>
        <v>0</v>
      </c>
      <c r="T33" s="2154" t="str">
        <f>IF(W33=0,"",人物卡!AB46)</f>
        <v/>
      </c>
      <c r="U33" s="2154"/>
      <c r="V33" s="2154"/>
      <c r="W33" s="1237">
        <f>IF(人物卡!AN46-人物卡!AF46=0,0,人物卡!AN46)</f>
        <v>0</v>
      </c>
      <c r="X33" s="1238">
        <f t="shared" si="2"/>
        <v>0</v>
      </c>
      <c r="Y33" s="1248">
        <f t="shared" si="3"/>
        <v>0</v>
      </c>
      <c r="Z33" s="2155">
        <f>人物卡!W108</f>
        <v>0</v>
      </c>
      <c r="AA33" s="2156"/>
      <c r="AB33" s="2156"/>
      <c r="AC33" s="2156"/>
      <c r="AD33" s="2156">
        <f>人物卡!AR108</f>
        <v>0</v>
      </c>
      <c r="AE33" s="2157"/>
      <c r="AF33" s="671"/>
      <c r="AG33" s="671"/>
      <c r="AH33" s="671"/>
      <c r="AI33" s="671"/>
      <c r="AJ33" s="671"/>
      <c r="AK33" s="671"/>
      <c r="AL33" s="671"/>
      <c r="AM33" s="671"/>
      <c r="AN33" s="671"/>
    </row>
    <row r="34" spans="2:41" ht="16.95" customHeight="1">
      <c r="B34" s="1220" t="s">
        <v>356</v>
      </c>
      <c r="C34" s="2158">
        <f>人物卡!AA73</f>
        <v>0</v>
      </c>
      <c r="D34" s="2159"/>
      <c r="E34" s="2159"/>
      <c r="F34" s="2159"/>
      <c r="G34" s="1221" t="str">
        <f>人物卡!AR73</f>
        <v>☐</v>
      </c>
      <c r="H34" s="2147"/>
      <c r="I34" s="2147"/>
      <c r="J34" s="2147"/>
      <c r="K34" s="2147"/>
      <c r="L34" s="2147"/>
      <c r="M34" s="2148"/>
      <c r="N34" s="1228">
        <f t="shared" si="10"/>
        <v>0</v>
      </c>
      <c r="O34" s="2153" t="str">
        <f>IF(N34=0,"",人物卡!H47)</f>
        <v/>
      </c>
      <c r="P34" s="2153"/>
      <c r="Q34" s="1234">
        <f>IF(人物卡!R47-人物卡!J47=0,0,人物卡!R47)</f>
        <v>0</v>
      </c>
      <c r="R34" s="1235">
        <f t="shared" si="5"/>
        <v>0</v>
      </c>
      <c r="S34" s="1236">
        <f t="shared" si="6"/>
        <v>0</v>
      </c>
      <c r="T34" s="2154" t="str">
        <f>IF(W34=0,"",人物卡!#REF!)</f>
        <v/>
      </c>
      <c r="U34" s="2154"/>
      <c r="V34" s="2154"/>
      <c r="W34" s="1237">
        <f>IF(人物卡!AN47-人物卡!AF47=0,0,人物卡!AN47)</f>
        <v>0</v>
      </c>
      <c r="X34" s="1238">
        <f t="shared" si="2"/>
        <v>0</v>
      </c>
      <c r="Y34" s="1248">
        <f t="shared" si="3"/>
        <v>0</v>
      </c>
      <c r="Z34" s="2041"/>
      <c r="AA34" s="2042"/>
      <c r="AB34" s="2042"/>
      <c r="AC34" s="2042"/>
      <c r="AD34" s="2042"/>
      <c r="AE34" s="2043"/>
      <c r="AF34" s="671"/>
      <c r="AG34" s="671"/>
      <c r="AH34" s="671"/>
      <c r="AI34" s="671"/>
      <c r="AJ34" s="671"/>
      <c r="AK34" s="671"/>
      <c r="AL34" s="671"/>
      <c r="AM34" s="671"/>
      <c r="AN34" s="671"/>
    </row>
    <row r="35" spans="2:41" ht="16.95" customHeight="1">
      <c r="B35" s="624" t="s">
        <v>357</v>
      </c>
      <c r="C35" s="2151">
        <f>人物卡!AA75</f>
        <v>0</v>
      </c>
      <c r="D35" s="2152"/>
      <c r="E35" s="2152"/>
      <c r="F35" s="2152"/>
      <c r="G35" s="1222" t="str">
        <f>人物卡!AR75</f>
        <v>☐</v>
      </c>
      <c r="H35" s="2147"/>
      <c r="I35" s="2147"/>
      <c r="J35" s="2147"/>
      <c r="K35" s="2147"/>
      <c r="L35" s="2147"/>
      <c r="M35" s="2148"/>
      <c r="N35" s="1228">
        <f t="shared" si="10"/>
        <v>0</v>
      </c>
      <c r="O35" s="2153" t="str">
        <f>IF(N35=0,"",人物卡!H48)</f>
        <v/>
      </c>
      <c r="P35" s="2153"/>
      <c r="Q35" s="1234">
        <f>IF(人物卡!R48-人物卡!J48=0,0,人物卡!R48)</f>
        <v>0</v>
      </c>
      <c r="R35" s="1235">
        <f t="shared" si="5"/>
        <v>0</v>
      </c>
      <c r="S35" s="1236">
        <f t="shared" si="6"/>
        <v>0</v>
      </c>
      <c r="T35" s="2154" t="str">
        <f>IF(W35=0,"",人物卡!AB48)</f>
        <v/>
      </c>
      <c r="U35" s="2154"/>
      <c r="V35" s="2154"/>
      <c r="W35" s="1237">
        <f>IF(人物卡!AN48-人物卡!AF48=0,0,人物卡!AN48)</f>
        <v>0</v>
      </c>
      <c r="X35" s="1238">
        <f t="shared" si="2"/>
        <v>0</v>
      </c>
      <c r="Y35" s="1248">
        <f t="shared" si="3"/>
        <v>0</v>
      </c>
      <c r="Z35" s="2041"/>
      <c r="AA35" s="2042"/>
      <c r="AB35" s="2042"/>
      <c r="AC35" s="2042"/>
      <c r="AD35" s="2042"/>
      <c r="AE35" s="2043"/>
      <c r="AF35" s="671"/>
      <c r="AG35" s="671"/>
      <c r="AH35" s="671"/>
      <c r="AI35" s="671"/>
      <c r="AJ35" s="671"/>
      <c r="AK35" s="671"/>
      <c r="AL35" s="671"/>
      <c r="AM35" s="671"/>
      <c r="AN35" s="671"/>
    </row>
    <row r="36" spans="2:41" ht="16.95" customHeight="1">
      <c r="B36" s="1223" t="s">
        <v>358</v>
      </c>
      <c r="C36" s="2142">
        <f>人物卡!AA77</f>
        <v>0</v>
      </c>
      <c r="D36" s="2143"/>
      <c r="E36" s="2143"/>
      <c r="F36" s="2143"/>
      <c r="G36" s="2144"/>
      <c r="H36" s="2149"/>
      <c r="I36" s="2149"/>
      <c r="J36" s="2149"/>
      <c r="K36" s="2149"/>
      <c r="L36" s="2149"/>
      <c r="M36" s="2150"/>
      <c r="N36" s="1233" t="s">
        <v>359</v>
      </c>
      <c r="O36" s="2039">
        <f>人物卡!H49</f>
        <v>0</v>
      </c>
      <c r="P36" s="2039"/>
      <c r="Q36" s="1243">
        <f>人物卡!R49</f>
        <v>60</v>
      </c>
      <c r="R36" s="1244">
        <f>IF(Q36=0,32767,INT(Q36/2))</f>
        <v>30</v>
      </c>
      <c r="S36" s="1245">
        <f>IF(Q36=0,32767,INT(Q36/5))</f>
        <v>12</v>
      </c>
      <c r="T36" s="2074" t="str">
        <f>IF(W36=0,"",人物卡!AB49)</f>
        <v/>
      </c>
      <c r="U36" s="2074"/>
      <c r="V36" s="2074"/>
      <c r="W36" s="1246">
        <f>IF(人物卡!AN49-人物卡!AF49=0,0,人物卡!AN49)</f>
        <v>0</v>
      </c>
      <c r="X36" s="1247">
        <f t="shared" si="2"/>
        <v>0</v>
      </c>
      <c r="Y36" s="1252">
        <f t="shared" si="3"/>
        <v>0</v>
      </c>
      <c r="Z36" s="2044"/>
      <c r="AA36" s="2045"/>
      <c r="AB36" s="2045"/>
      <c r="AC36" s="2045"/>
      <c r="AD36" s="2045"/>
      <c r="AE36" s="2046"/>
      <c r="AF36" s="2132" t="s">
        <v>360</v>
      </c>
      <c r="AG36" s="2132"/>
      <c r="AH36" s="2132"/>
      <c r="AI36" s="2132"/>
      <c r="AJ36" s="2132"/>
      <c r="AK36" s="2132"/>
      <c r="AL36" s="2132"/>
      <c r="AM36" s="2132"/>
      <c r="AN36" s="2132"/>
      <c r="AO36" s="2132"/>
    </row>
    <row r="37" spans="2:41" ht="16.95" customHeight="1">
      <c r="B37" s="2132" t="s">
        <v>361</v>
      </c>
      <c r="C37" s="2132"/>
      <c r="D37" s="2132"/>
      <c r="E37" s="2132"/>
      <c r="F37" s="2132"/>
      <c r="G37" s="2132"/>
      <c r="H37" s="2132"/>
      <c r="I37" s="2132"/>
      <c r="J37" s="2132"/>
      <c r="K37" s="2132"/>
      <c r="L37" s="2132"/>
      <c r="M37" s="2132"/>
      <c r="N37" s="2132"/>
      <c r="O37" s="2132"/>
      <c r="P37" s="2145" t="s">
        <v>362</v>
      </c>
      <c r="Q37" s="2145"/>
      <c r="R37" s="2145"/>
      <c r="S37" s="2145"/>
      <c r="T37" s="2145"/>
      <c r="U37" s="2145"/>
      <c r="V37" s="2145"/>
      <c r="W37" s="2145"/>
      <c r="X37" s="2145"/>
      <c r="Y37" s="2145"/>
      <c r="Z37" s="671"/>
      <c r="AA37" s="671"/>
      <c r="AB37" s="671"/>
      <c r="AC37" s="671"/>
      <c r="AD37" s="671"/>
      <c r="AE37" s="671"/>
      <c r="AF37" s="2040" t="s">
        <v>363</v>
      </c>
      <c r="AG37" s="2040"/>
      <c r="AH37" s="2040"/>
      <c r="AI37" s="2040"/>
      <c r="AJ37" s="2040"/>
      <c r="AK37" s="2040"/>
      <c r="AL37" s="2040"/>
      <c r="AM37" s="671"/>
      <c r="AN37" s="671"/>
    </row>
    <row r="38" spans="2:41" ht="16.95" customHeight="1">
      <c r="B38" s="2129" t="s">
        <v>364</v>
      </c>
      <c r="C38" s="2130"/>
      <c r="D38" s="2130"/>
      <c r="E38" s="2130"/>
      <c r="F38" s="2130"/>
      <c r="G38" s="2130"/>
      <c r="H38" s="2130"/>
      <c r="I38" s="2130"/>
      <c r="J38" s="2130"/>
      <c r="K38" s="2130"/>
      <c r="L38" s="2130"/>
      <c r="M38" s="2130"/>
      <c r="N38" s="2130"/>
      <c r="O38" s="2130"/>
      <c r="P38" s="2130"/>
      <c r="Q38" s="2130"/>
      <c r="R38" s="2130"/>
      <c r="S38" s="2130"/>
      <c r="T38" s="2130"/>
      <c r="U38" s="2130"/>
      <c r="V38" s="2130"/>
      <c r="W38" s="2130"/>
      <c r="X38" s="2130"/>
      <c r="Y38" s="2131"/>
      <c r="Z38" s="421"/>
      <c r="AA38" s="1253"/>
      <c r="AB38" s="1253"/>
      <c r="AC38" s="1253"/>
      <c r="AD38" s="1253"/>
      <c r="AE38" s="1253"/>
      <c r="AF38" s="2040"/>
      <c r="AG38" s="2040"/>
      <c r="AH38" s="2040"/>
      <c r="AI38" s="2040"/>
      <c r="AJ38" s="2040"/>
      <c r="AK38" s="2040"/>
      <c r="AL38" s="2040"/>
    </row>
    <row r="39" spans="2:41" ht="16.95" customHeight="1">
      <c r="B39" s="2126" t="s">
        <v>365</v>
      </c>
      <c r="C39" s="2127"/>
      <c r="D39" s="2127"/>
      <c r="E39" s="2127"/>
      <c r="F39" s="2127"/>
      <c r="G39" s="2127"/>
      <c r="H39" s="2127"/>
      <c r="I39" s="2127"/>
      <c r="J39" s="2127"/>
      <c r="K39" s="2127"/>
      <c r="L39" s="2127"/>
      <c r="M39" s="2127"/>
      <c r="N39" s="2127"/>
      <c r="O39" s="2127"/>
      <c r="P39" s="2127"/>
      <c r="Q39" s="2127"/>
      <c r="R39" s="2127"/>
      <c r="S39" s="2127"/>
      <c r="T39" s="2127"/>
      <c r="U39" s="2127"/>
      <c r="V39" s="2127"/>
      <c r="W39" s="2127"/>
      <c r="X39" s="2127"/>
      <c r="Y39" s="2128"/>
      <c r="Z39" s="421" t="s">
        <v>366</v>
      </c>
      <c r="AA39" s="2020" t="s">
        <v>367</v>
      </c>
      <c r="AB39" s="2020"/>
      <c r="AC39" s="2020"/>
      <c r="AD39" s="2020"/>
      <c r="AE39" s="2020"/>
      <c r="AF39" s="2146" t="s">
        <v>368</v>
      </c>
      <c r="AG39" s="2146"/>
      <c r="AH39" s="2146"/>
      <c r="AI39" s="2146"/>
      <c r="AJ39" s="2146"/>
      <c r="AK39" s="2146"/>
      <c r="AL39" s="2146"/>
      <c r="AM39" s="2146"/>
      <c r="AN39" s="2146"/>
    </row>
    <row r="40" spans="2:41" ht="16.95" customHeight="1">
      <c r="B40" s="2011" t="str">
        <f>附表!S24</f>
        <v>.st 力量50str50敏捷70dex70意志80pow80体质50con50外貌70app70教育60edu60体型50siz50智力70灵感70int70san69san值69理智69理智值69幸运55运气55mp魔法hp4体力4会计5人类学1估价5考古学1取悦15魅惑15攀爬20计算机5计算机使用5电脑5信用15信誉15信用评级15克苏鲁0克苏鲁神话0cm0乔装5闪避35汽车20驾驶20汽车驾驶20电气维修10电子学1话术5斗殴25手枪20急救60历史5恐吓15跳跃20母语60法律5图书馆20图书馆使用20聆听58开锁80撬锁80锁匠80机械维修10医学1博物学10自然学10领航10导航10神秘学5重型操作1重型机械1操作重型机械1重型1说服10精神分析80心理学10骑术5妙手80侦查60潜行20生存10游泳20投掷20追踪10驯兽5潜水1爆破1读唇1催眠80炮术1</v>
      </c>
      <c r="C40" s="2011"/>
      <c r="D40" s="2011"/>
      <c r="E40" s="2011"/>
      <c r="F40" s="2011"/>
      <c r="G40" s="2011"/>
      <c r="H40" s="2011"/>
      <c r="I40" s="2011"/>
      <c r="J40" s="2011"/>
      <c r="K40" s="2011"/>
      <c r="L40" s="2011"/>
      <c r="M40" s="2011"/>
      <c r="N40" s="2011"/>
      <c r="O40" s="2011"/>
      <c r="P40" s="2011"/>
      <c r="Q40" s="2011"/>
      <c r="R40" s="2011"/>
      <c r="S40" s="2011"/>
      <c r="T40" s="2011"/>
      <c r="U40" s="2011"/>
      <c r="V40" s="2011"/>
      <c r="W40" s="2011"/>
      <c r="X40" s="2011"/>
      <c r="Y40" s="2011"/>
      <c r="Z40" s="516"/>
      <c r="AA40" s="2020"/>
      <c r="AB40" s="2020"/>
      <c r="AC40" s="2020"/>
      <c r="AD40" s="2020"/>
      <c r="AE40" s="2020"/>
      <c r="AF40" s="421"/>
      <c r="AG40" s="421"/>
    </row>
    <row r="41" spans="2:41" customFormat="1" ht="14.4">
      <c r="B41" s="2011"/>
      <c r="C41" s="2011"/>
      <c r="D41" s="2011"/>
      <c r="E41" s="2011"/>
      <c r="F41" s="2011"/>
      <c r="G41" s="2011"/>
      <c r="H41" s="2011"/>
      <c r="I41" s="2011"/>
      <c r="J41" s="2011"/>
      <c r="K41" s="2011"/>
      <c r="L41" s="2011"/>
      <c r="M41" s="2011"/>
      <c r="N41" s="2011"/>
      <c r="O41" s="2011"/>
      <c r="P41" s="2011"/>
      <c r="Q41" s="2011"/>
      <c r="R41" s="2011"/>
      <c r="S41" s="2011"/>
      <c r="T41" s="2011"/>
      <c r="U41" s="2011"/>
      <c r="V41" s="2011"/>
      <c r="W41" s="2011"/>
      <c r="X41" s="2011"/>
      <c r="Y41" s="2011"/>
      <c r="Z41" s="516"/>
      <c r="AA41" s="2020"/>
      <c r="AB41" s="2020"/>
      <c r="AC41" s="2020"/>
      <c r="AD41" s="2020"/>
      <c r="AE41" s="2020"/>
      <c r="AF41" s="421"/>
      <c r="AG41" s="421"/>
    </row>
    <row r="42" spans="2:41" customFormat="1" ht="14.4">
      <c r="B42" s="2011"/>
      <c r="C42" s="2011"/>
      <c r="D42" s="2011"/>
      <c r="E42" s="2011"/>
      <c r="F42" s="2011"/>
      <c r="G42" s="2011"/>
      <c r="H42" s="2011"/>
      <c r="I42" s="2011"/>
      <c r="J42" s="2011"/>
      <c r="K42" s="2011"/>
      <c r="L42" s="2011"/>
      <c r="M42" s="2011"/>
      <c r="N42" s="2011"/>
      <c r="O42" s="2011"/>
      <c r="P42" s="2011"/>
      <c r="Q42" s="2011"/>
      <c r="R42" s="2011"/>
      <c r="S42" s="2011"/>
      <c r="T42" s="2011"/>
      <c r="U42" s="2011"/>
      <c r="V42" s="2011"/>
      <c r="W42" s="2011"/>
      <c r="X42" s="2011"/>
      <c r="Y42" s="2011"/>
      <c r="Z42" s="516"/>
      <c r="AA42" s="2020"/>
      <c r="AB42" s="2020"/>
      <c r="AC42" s="2020"/>
      <c r="AD42" s="2020"/>
      <c r="AE42" s="2020"/>
      <c r="AF42" s="421"/>
      <c r="AG42" s="421"/>
    </row>
    <row r="43" spans="2:41" customFormat="1" ht="14.4">
      <c r="B43" s="2011"/>
      <c r="C43" s="2011"/>
      <c r="D43" s="2011"/>
      <c r="E43" s="2011"/>
      <c r="F43" s="2011"/>
      <c r="G43" s="2011"/>
      <c r="H43" s="2011"/>
      <c r="I43" s="2011"/>
      <c r="J43" s="2011"/>
      <c r="K43" s="2011"/>
      <c r="L43" s="2011"/>
      <c r="M43" s="2011"/>
      <c r="N43" s="2011"/>
      <c r="O43" s="2011"/>
      <c r="P43" s="2011"/>
      <c r="Q43" s="2011"/>
      <c r="R43" s="2011"/>
      <c r="S43" s="2011"/>
      <c r="T43" s="2011"/>
      <c r="U43" s="2011"/>
      <c r="V43" s="2011"/>
      <c r="W43" s="2011"/>
      <c r="X43" s="2011"/>
      <c r="Y43" s="2011"/>
      <c r="Z43" s="516"/>
      <c r="AA43" s="2020"/>
      <c r="AB43" s="2020"/>
      <c r="AC43" s="2020"/>
      <c r="AD43" s="2020"/>
      <c r="AE43" s="2020"/>
      <c r="AF43" s="421"/>
      <c r="AG43" s="421"/>
    </row>
    <row r="44" spans="2:41" customFormat="1" ht="15">
      <c r="B44" s="2123" t="s">
        <v>369</v>
      </c>
      <c r="C44" s="2124"/>
      <c r="D44" s="2124"/>
      <c r="E44" s="2124"/>
      <c r="F44" s="2124"/>
      <c r="G44" s="2124"/>
      <c r="H44" s="2124"/>
      <c r="I44" s="2124"/>
      <c r="J44" s="2124"/>
      <c r="K44" s="2124"/>
      <c r="L44" s="2124"/>
      <c r="M44" s="2124"/>
      <c r="N44" s="2124"/>
      <c r="O44" s="2124"/>
      <c r="P44" s="2124"/>
      <c r="Q44" s="2124"/>
      <c r="R44" s="2124"/>
      <c r="S44" s="2124"/>
      <c r="T44" s="2124"/>
      <c r="U44" s="2124"/>
      <c r="V44" s="2124"/>
      <c r="W44" s="2124"/>
      <c r="X44" s="2124"/>
      <c r="Y44" s="2125"/>
      <c r="Z44" s="421"/>
      <c r="AA44" s="421"/>
      <c r="AB44" s="421"/>
      <c r="AC44" s="421"/>
      <c r="AD44" s="421"/>
      <c r="AE44" s="421"/>
      <c r="AF44" s="421"/>
      <c r="AG44" s="421"/>
    </row>
    <row r="45" spans="2:41" customFormat="1" ht="15">
      <c r="B45" s="2126" t="s">
        <v>365</v>
      </c>
      <c r="C45" s="2127"/>
      <c r="D45" s="2127"/>
      <c r="E45" s="2127"/>
      <c r="F45" s="2127"/>
      <c r="G45" s="2127"/>
      <c r="H45" s="2127"/>
      <c r="I45" s="2127"/>
      <c r="J45" s="2127"/>
      <c r="K45" s="2127"/>
      <c r="L45" s="2127"/>
      <c r="M45" s="2127"/>
      <c r="N45" s="2127"/>
      <c r="O45" s="2127"/>
      <c r="P45" s="2127"/>
      <c r="Q45" s="2127"/>
      <c r="R45" s="2127"/>
      <c r="S45" s="2127"/>
      <c r="T45" s="2127"/>
      <c r="U45" s="2127"/>
      <c r="V45" s="2127"/>
      <c r="W45" s="2127"/>
      <c r="X45" s="2127"/>
      <c r="Y45" s="2128"/>
      <c r="Z45" s="421" t="s">
        <v>366</v>
      </c>
      <c r="AA45" s="2020" t="s">
        <v>370</v>
      </c>
      <c r="AB45" s="2021"/>
      <c r="AC45" s="2021"/>
      <c r="AD45" s="2021"/>
      <c r="AE45" s="2021"/>
      <c r="AF45" s="421"/>
      <c r="AG45" s="421"/>
    </row>
    <row r="46" spans="2:41" customFormat="1" ht="14.4">
      <c r="B46" s="2011" t="str">
        <f>附表!S63</f>
        <v>.st тополь-力量50str50敏捷70dex70意志80pow80体质50con50外貌70app70教育60edu60体型50siz50智力70灵感70int70san69san值69理智69理智值69幸运55运气55mp魔法hp4体力4会计5人类学1估价5考古学1取悦15魅惑15攀爬20计算机5计算机使用5电脑5信用15信誉15信用评级15克苏鲁0克苏鲁神话0cm0乔装5闪避35汽车20驾驶20汽车驾驶20电气维修10电子学1话术5斗殴25手枪20急救60历史5恐吓15跳跃20母语60法律5图书馆20图书馆使用20聆听58开锁80撬锁80锁匠80机械维修10医学1博物学10自然学10领航10导航10神秘学5重型操作1重型机械1操作重型机械1重型1说服10精神分析80心理学10骑术5妙手80侦查60潜行20生存10游泳20投掷20追踪10驯兽5潜水1爆破1读唇1催眠80炮术1</v>
      </c>
      <c r="C46" s="2011"/>
      <c r="D46" s="2011"/>
      <c r="E46" s="2011"/>
      <c r="F46" s="2011"/>
      <c r="G46" s="2011"/>
      <c r="H46" s="2011"/>
      <c r="I46" s="2011"/>
      <c r="J46" s="2011"/>
      <c r="K46" s="2011"/>
      <c r="L46" s="2011"/>
      <c r="M46" s="2011"/>
      <c r="N46" s="2011"/>
      <c r="O46" s="2011"/>
      <c r="P46" s="2011"/>
      <c r="Q46" s="2011"/>
      <c r="R46" s="2011"/>
      <c r="S46" s="2011"/>
      <c r="T46" s="2011"/>
      <c r="U46" s="2011"/>
      <c r="V46" s="2011"/>
      <c r="W46" s="2011"/>
      <c r="X46" s="2011"/>
      <c r="Y46" s="2011"/>
      <c r="Z46" s="516"/>
      <c r="AA46" s="2021"/>
      <c r="AB46" s="2021"/>
      <c r="AC46" s="2021"/>
      <c r="AD46" s="2021"/>
      <c r="AE46" s="2021"/>
      <c r="AF46" s="421"/>
      <c r="AG46" s="421"/>
    </row>
    <row r="47" spans="2:41" customFormat="1" ht="14.4">
      <c r="B47" s="2011"/>
      <c r="C47" s="2011"/>
      <c r="D47" s="2011"/>
      <c r="E47" s="2011"/>
      <c r="F47" s="2011"/>
      <c r="G47" s="2011"/>
      <c r="H47" s="2011"/>
      <c r="I47" s="2011"/>
      <c r="J47" s="2011"/>
      <c r="K47" s="2011"/>
      <c r="L47" s="2011"/>
      <c r="M47" s="2011"/>
      <c r="N47" s="2011"/>
      <c r="O47" s="2011"/>
      <c r="P47" s="2011"/>
      <c r="Q47" s="2011"/>
      <c r="R47" s="2011"/>
      <c r="S47" s="2011"/>
      <c r="T47" s="2011"/>
      <c r="U47" s="2011"/>
      <c r="V47" s="2011"/>
      <c r="W47" s="2011"/>
      <c r="X47" s="2011"/>
      <c r="Y47" s="2011"/>
      <c r="Z47" s="516"/>
      <c r="AA47" s="2021"/>
      <c r="AB47" s="2021"/>
      <c r="AC47" s="2021"/>
      <c r="AD47" s="2021"/>
      <c r="AE47" s="2021"/>
      <c r="AF47" s="421"/>
      <c r="AG47" s="421"/>
    </row>
    <row r="48" spans="2:41" customFormat="1" ht="14.4">
      <c r="B48" s="2011"/>
      <c r="C48" s="2011"/>
      <c r="D48" s="2011"/>
      <c r="E48" s="2011"/>
      <c r="F48" s="2011"/>
      <c r="G48" s="2011"/>
      <c r="H48" s="2011"/>
      <c r="I48" s="2011"/>
      <c r="J48" s="2011"/>
      <c r="K48" s="2011"/>
      <c r="L48" s="2011"/>
      <c r="M48" s="2011"/>
      <c r="N48" s="2011"/>
      <c r="O48" s="2011"/>
      <c r="P48" s="2011"/>
      <c r="Q48" s="2011"/>
      <c r="R48" s="2011"/>
      <c r="S48" s="2011"/>
      <c r="T48" s="2011"/>
      <c r="U48" s="2011"/>
      <c r="V48" s="2011"/>
      <c r="W48" s="2011"/>
      <c r="X48" s="2011"/>
      <c r="Y48" s="2011"/>
      <c r="Z48" s="516"/>
      <c r="AA48" s="2021"/>
      <c r="AB48" s="2021"/>
      <c r="AC48" s="2021"/>
      <c r="AD48" s="2021"/>
      <c r="AE48" s="2021"/>
      <c r="AF48" s="421"/>
      <c r="AG48" s="421"/>
    </row>
    <row r="49" spans="2:33" customFormat="1" ht="14.4">
      <c r="B49" s="2011"/>
      <c r="C49" s="2011"/>
      <c r="D49" s="2011"/>
      <c r="E49" s="2011"/>
      <c r="F49" s="2011"/>
      <c r="G49" s="2011"/>
      <c r="H49" s="2011"/>
      <c r="I49" s="2011"/>
      <c r="J49" s="2011"/>
      <c r="K49" s="2011"/>
      <c r="L49" s="2011"/>
      <c r="M49" s="2011"/>
      <c r="N49" s="2011"/>
      <c r="O49" s="2011"/>
      <c r="P49" s="2011"/>
      <c r="Q49" s="2011"/>
      <c r="R49" s="2011"/>
      <c r="S49" s="2011"/>
      <c r="T49" s="2011"/>
      <c r="U49" s="2011"/>
      <c r="V49" s="2011"/>
      <c r="W49" s="2011"/>
      <c r="X49" s="2011"/>
      <c r="Y49" s="2011"/>
      <c r="Z49" s="516"/>
      <c r="AA49" s="2021"/>
      <c r="AB49" s="2021"/>
      <c r="AC49" s="2021"/>
      <c r="AD49" s="2021"/>
      <c r="AE49" s="2021"/>
      <c r="AF49" s="421"/>
      <c r="AG49" s="421"/>
    </row>
    <row r="50" spans="2:33" ht="16.95" customHeight="1">
      <c r="B50" s="2129" t="s">
        <v>371</v>
      </c>
      <c r="C50" s="2130"/>
      <c r="D50" s="2130"/>
      <c r="E50" s="2130"/>
      <c r="F50" s="2130"/>
      <c r="G50" s="2130"/>
      <c r="H50" s="2130"/>
      <c r="I50" s="2130"/>
      <c r="J50" s="2130"/>
      <c r="K50" s="2130"/>
      <c r="L50" s="2130"/>
      <c r="M50" s="2130"/>
      <c r="N50" s="2130"/>
      <c r="O50" s="2130"/>
      <c r="P50" s="2130"/>
      <c r="Q50" s="2130"/>
      <c r="R50" s="2130"/>
      <c r="S50" s="2130"/>
      <c r="T50" s="2130"/>
      <c r="U50" s="2130"/>
      <c r="V50" s="2130"/>
      <c r="W50" s="2130"/>
      <c r="X50" s="2130"/>
      <c r="Y50" s="2131"/>
      <c r="AF50" s="421"/>
      <c r="AG50" s="421"/>
    </row>
    <row r="51" spans="2:33" ht="16.95" customHeight="1">
      <c r="B51" s="2126" t="s">
        <v>365</v>
      </c>
      <c r="C51" s="2127"/>
      <c r="D51" s="2127"/>
      <c r="E51" s="2127"/>
      <c r="F51" s="2127"/>
      <c r="G51" s="2127"/>
      <c r="H51" s="2127"/>
      <c r="I51" s="2127"/>
      <c r="J51" s="2127"/>
      <c r="K51" s="2127"/>
      <c r="L51" s="2127"/>
      <c r="M51" s="2127"/>
      <c r="N51" s="2127"/>
      <c r="O51" s="2127"/>
      <c r="P51" s="2127"/>
      <c r="Q51" s="2127"/>
      <c r="R51" s="2127"/>
      <c r="S51" s="2127"/>
      <c r="T51" s="2127"/>
      <c r="U51" s="2127"/>
      <c r="V51" s="2127"/>
      <c r="W51" s="2127"/>
      <c r="X51" s="2127"/>
      <c r="Y51" s="2128"/>
      <c r="Z51" s="614" t="s">
        <v>366</v>
      </c>
      <c r="AA51" s="2140" t="s">
        <v>372</v>
      </c>
      <c r="AB51" s="2141"/>
      <c r="AC51" s="2141"/>
      <c r="AD51" s="2141"/>
      <c r="AE51" s="2141"/>
      <c r="AF51" s="421"/>
      <c r="AG51" s="421"/>
    </row>
    <row r="52" spans="2:33" ht="16.95" customHeight="1">
      <c r="B52" s="2011" t="str">
        <f>附表!S46</f>
        <v>.st 力量50str50敏捷70dex70意志80pow80体质50con50外貌70app70教育60edu60体型50siz50智力70灵感70int70san69san值69理智69理智值69幸运55运气55mp魔法hp4体力4会计5人类学1估价5考古学1取悦15魅惑15攀爬20计算机5计算机使用5电脑5信用15信誉15信用评级15克苏鲁0克苏鲁神话0cm0乔装5闪避35汽车20驾驶20汽车驾驶20电气维修10电子学1话术5斗殴25手枪20急救60历史5恐吓15跳跃20母语60法律5图书馆20图书馆使用20聆听58开锁80撬锁80锁匠80机械维修10医学1博物学10自然学10领航10导航10神秘学5重型操作1重型机械1操作重型机械1重型1说服10精神分析80心理学10骑术5妙手80侦查60潜行20生存10游泳20投掷20追踪10驯兽5潜水1爆破1读唇1催眠80炮术1时代:1920s	职业:音乐家	年龄18 性别:男	住地:不详	出身:不详	 身体状态:健康	 精神状态:清醒	&amp;DB=0 体格:0 闪避:35 护甲:0</v>
      </c>
      <c r="C52" s="2011"/>
      <c r="D52" s="2011"/>
      <c r="E52" s="2011"/>
      <c r="F52" s="2011"/>
      <c r="G52" s="2011"/>
      <c r="H52" s="2011"/>
      <c r="I52" s="2011"/>
      <c r="J52" s="2011"/>
      <c r="K52" s="2011"/>
      <c r="L52" s="2011"/>
      <c r="M52" s="2011"/>
      <c r="N52" s="2011"/>
      <c r="O52" s="2011"/>
      <c r="P52" s="2011"/>
      <c r="Q52" s="2011"/>
      <c r="R52" s="2011"/>
      <c r="S52" s="2011"/>
      <c r="T52" s="2011"/>
      <c r="U52" s="2011"/>
      <c r="V52" s="2011"/>
      <c r="W52" s="2011"/>
      <c r="X52" s="2011"/>
      <c r="Y52" s="2011"/>
      <c r="AA52" s="2141"/>
      <c r="AB52" s="2141"/>
      <c r="AC52" s="2141"/>
      <c r="AD52" s="2141"/>
      <c r="AE52" s="2141"/>
      <c r="AF52" s="421"/>
      <c r="AG52" s="421"/>
    </row>
    <row r="53" spans="2:33" ht="16.95" customHeight="1">
      <c r="B53" s="2011"/>
      <c r="C53" s="2011"/>
      <c r="D53" s="2011"/>
      <c r="E53" s="2011"/>
      <c r="F53" s="2011"/>
      <c r="G53" s="2011"/>
      <c r="H53" s="2011"/>
      <c r="I53" s="2011"/>
      <c r="J53" s="2011"/>
      <c r="K53" s="2011"/>
      <c r="L53" s="2011"/>
      <c r="M53" s="2011"/>
      <c r="N53" s="2011"/>
      <c r="O53" s="2011"/>
      <c r="P53" s="2011"/>
      <c r="Q53" s="2011"/>
      <c r="R53" s="2011"/>
      <c r="S53" s="2011"/>
      <c r="T53" s="2011"/>
      <c r="U53" s="2011"/>
      <c r="V53" s="2011"/>
      <c r="W53" s="2011"/>
      <c r="X53" s="2011"/>
      <c r="Y53" s="2011"/>
      <c r="AA53" s="2141"/>
      <c r="AB53" s="2141"/>
      <c r="AC53" s="2141"/>
      <c r="AD53" s="2141"/>
      <c r="AE53" s="2141"/>
      <c r="AF53" s="421"/>
      <c r="AG53" s="421"/>
    </row>
    <row r="54" spans="2:33" ht="16.95" customHeight="1">
      <c r="B54" s="2011"/>
      <c r="C54" s="2011"/>
      <c r="D54" s="2011"/>
      <c r="E54" s="2011"/>
      <c r="F54" s="2011"/>
      <c r="G54" s="2011"/>
      <c r="H54" s="2011"/>
      <c r="I54" s="2011"/>
      <c r="J54" s="2011"/>
      <c r="K54" s="2011"/>
      <c r="L54" s="2011"/>
      <c r="M54" s="2011"/>
      <c r="N54" s="2011"/>
      <c r="O54" s="2011"/>
      <c r="P54" s="2011"/>
      <c r="Q54" s="2011"/>
      <c r="R54" s="2011"/>
      <c r="S54" s="2011"/>
      <c r="T54" s="2011"/>
      <c r="U54" s="2011"/>
      <c r="V54" s="2011"/>
      <c r="W54" s="2011"/>
      <c r="X54" s="2011"/>
      <c r="Y54" s="2011"/>
      <c r="AA54" s="2141"/>
      <c r="AB54" s="2141"/>
      <c r="AC54" s="2141"/>
      <c r="AD54" s="2141"/>
      <c r="AE54" s="2141"/>
      <c r="AF54" s="421"/>
      <c r="AG54" s="421"/>
    </row>
    <row r="55" spans="2:33" ht="16.95" customHeight="1">
      <c r="B55" s="2011"/>
      <c r="C55" s="2011"/>
      <c r="D55" s="2011"/>
      <c r="E55" s="2011"/>
      <c r="F55" s="2011"/>
      <c r="G55" s="2011"/>
      <c r="H55" s="2011"/>
      <c r="I55" s="2011"/>
      <c r="J55" s="2011"/>
      <c r="K55" s="2011"/>
      <c r="L55" s="2011"/>
      <c r="M55" s="2011"/>
      <c r="N55" s="2011"/>
      <c r="O55" s="2011"/>
      <c r="P55" s="2011"/>
      <c r="Q55" s="2011"/>
      <c r="R55" s="2011"/>
      <c r="S55" s="2011"/>
      <c r="T55" s="2011"/>
      <c r="U55" s="2011"/>
      <c r="V55" s="2011"/>
      <c r="W55" s="2011"/>
      <c r="X55" s="2011"/>
      <c r="Y55" s="2011"/>
      <c r="AA55" s="2141"/>
      <c r="AB55" s="2141"/>
      <c r="AC55" s="2141"/>
      <c r="AD55" s="2141"/>
      <c r="AE55" s="2141"/>
      <c r="AF55" s="421"/>
      <c r="AG55" s="421"/>
    </row>
    <row r="56" spans="2:33" ht="16.95" customHeight="1">
      <c r="B56" s="2011"/>
      <c r="C56" s="2011"/>
      <c r="D56" s="2011"/>
      <c r="E56" s="2011"/>
      <c r="F56" s="2011"/>
      <c r="G56" s="2011"/>
      <c r="H56" s="2011"/>
      <c r="I56" s="2011"/>
      <c r="J56" s="2011"/>
      <c r="K56" s="2011"/>
      <c r="L56" s="2011"/>
      <c r="M56" s="2011"/>
      <c r="N56" s="2011"/>
      <c r="O56" s="2011"/>
      <c r="P56" s="2011"/>
      <c r="Q56" s="2011"/>
      <c r="R56" s="2011"/>
      <c r="S56" s="2011"/>
      <c r="T56" s="2011"/>
      <c r="U56" s="2011"/>
      <c r="V56" s="2011"/>
      <c r="W56" s="2011"/>
      <c r="X56" s="2011"/>
      <c r="Y56" s="2011"/>
      <c r="AA56" s="2132" t="s">
        <v>373</v>
      </c>
      <c r="AB56" s="2132"/>
      <c r="AC56" s="2132"/>
      <c r="AD56" s="2132"/>
      <c r="AE56" s="2132"/>
      <c r="AF56" s="421"/>
      <c r="AG56" s="421"/>
    </row>
    <row r="57" spans="2:33" ht="16.95" customHeight="1">
      <c r="B57" s="2123" t="s">
        <v>374</v>
      </c>
      <c r="C57" s="2124"/>
      <c r="D57" s="2124"/>
      <c r="E57" s="2124"/>
      <c r="F57" s="2124"/>
      <c r="G57" s="2124"/>
      <c r="H57" s="2124"/>
      <c r="I57" s="2124"/>
      <c r="J57" s="2124"/>
      <c r="K57" s="2124"/>
      <c r="L57" s="2124"/>
      <c r="M57" s="2124"/>
      <c r="N57" s="2124"/>
      <c r="O57" s="2124"/>
      <c r="P57" s="2124"/>
      <c r="Q57" s="2124"/>
      <c r="R57" s="2124"/>
      <c r="S57" s="2124"/>
      <c r="T57" s="2124"/>
      <c r="U57" s="2124"/>
      <c r="V57" s="2124"/>
      <c r="W57" s="2124"/>
      <c r="X57" s="2124"/>
      <c r="Y57" s="2125"/>
      <c r="AF57" s="421"/>
      <c r="AG57" s="421"/>
    </row>
    <row r="58" spans="2:33" ht="16.95" customHeight="1">
      <c r="B58" s="2126" t="s">
        <v>365</v>
      </c>
      <c r="C58" s="2127"/>
      <c r="D58" s="2127"/>
      <c r="E58" s="2127"/>
      <c r="F58" s="2127"/>
      <c r="G58" s="2127"/>
      <c r="H58" s="2127"/>
      <c r="I58" s="2127"/>
      <c r="J58" s="2127"/>
      <c r="K58" s="2127"/>
      <c r="L58" s="2127"/>
      <c r="M58" s="2127"/>
      <c r="N58" s="2127"/>
      <c r="O58" s="2127"/>
      <c r="P58" s="2127"/>
      <c r="Q58" s="2127"/>
      <c r="R58" s="2127"/>
      <c r="S58" s="2127"/>
      <c r="T58" s="2127"/>
      <c r="U58" s="2127"/>
      <c r="V58" s="2127"/>
      <c r="W58" s="2127"/>
      <c r="X58" s="2127"/>
      <c r="Y58" s="2128"/>
      <c r="Z58" s="614" t="s">
        <v>366</v>
      </c>
      <c r="AA58" s="2020" t="s">
        <v>375</v>
      </c>
      <c r="AB58" s="2021"/>
      <c r="AC58" s="2021"/>
      <c r="AD58" s="2021"/>
      <c r="AE58" s="2021"/>
      <c r="AF58" s="421"/>
      <c r="AG58" s="421"/>
    </row>
    <row r="59" spans="2:33" ht="16.95" customHeight="1">
      <c r="B59" s="2011" t="str">
        <f>附表!S76</f>
        <v>.st тополь？力量50str50敏捷70dex70意志80pow80体质50con50外貌70app70教育60edu60体型50siz50智力70灵感70int70san69san值69理智69理智值69幸运55运气55mp魔法hp4体力4会计5人类学1估价5考古学1取悦15魅惑15攀爬20计算机5计算机使用5电脑5信用15信誉15信用评级15克苏鲁0克苏鲁神话0cm0乔装5闪避35汽车20驾驶20汽车驾驶20电气维修10电子学1话术5斗殴25手枪20急救60历史5恐吓15跳跃20母语60法律5图书馆20图书馆使用20聆听58开锁80撬锁80锁匠80机械维修10医学1博物学10自然学10领航10导航10神秘学5重型操作1重型机械1操作重型机械1重型1说服10精神分析80心理学10骑术5妙手80侦查60潜行20生存10游泳20投掷20追踪10驯兽5潜水1爆破1读唇1催眠80炮术1</v>
      </c>
      <c r="C59" s="2011"/>
      <c r="D59" s="2011"/>
      <c r="E59" s="2011"/>
      <c r="F59" s="2011"/>
      <c r="G59" s="2011"/>
      <c r="H59" s="2011"/>
      <c r="I59" s="2011"/>
      <c r="J59" s="2011"/>
      <c r="K59" s="2011"/>
      <c r="L59" s="2011"/>
      <c r="M59" s="2011"/>
      <c r="N59" s="2011"/>
      <c r="O59" s="2011"/>
      <c r="P59" s="2011"/>
      <c r="Q59" s="2011"/>
      <c r="R59" s="2011"/>
      <c r="S59" s="2011"/>
      <c r="T59" s="2011"/>
      <c r="U59" s="2011"/>
      <c r="V59" s="2011"/>
      <c r="W59" s="2011"/>
      <c r="X59" s="2011"/>
      <c r="Y59" s="2011"/>
      <c r="AA59" s="2021"/>
      <c r="AB59" s="2021"/>
      <c r="AC59" s="2021"/>
      <c r="AD59" s="2021"/>
      <c r="AE59" s="2021"/>
      <c r="AF59" s="421"/>
      <c r="AG59" s="421"/>
    </row>
    <row r="60" spans="2:33" ht="16.95" customHeight="1">
      <c r="B60" s="2011"/>
      <c r="C60" s="2011"/>
      <c r="D60" s="2011"/>
      <c r="E60" s="2011"/>
      <c r="F60" s="2011"/>
      <c r="G60" s="2011"/>
      <c r="H60" s="2011"/>
      <c r="I60" s="2011"/>
      <c r="J60" s="2011"/>
      <c r="K60" s="2011"/>
      <c r="L60" s="2011"/>
      <c r="M60" s="2011"/>
      <c r="N60" s="2011"/>
      <c r="O60" s="2011"/>
      <c r="P60" s="2011"/>
      <c r="Q60" s="2011"/>
      <c r="R60" s="2011"/>
      <c r="S60" s="2011"/>
      <c r="T60" s="2011"/>
      <c r="U60" s="2011"/>
      <c r="V60" s="2011"/>
      <c r="W60" s="2011"/>
      <c r="X60" s="2011"/>
      <c r="Y60" s="2011"/>
      <c r="AA60" s="2021"/>
      <c r="AB60" s="2021"/>
      <c r="AC60" s="2021"/>
      <c r="AD60" s="2021"/>
      <c r="AE60" s="2021"/>
      <c r="AF60" s="421"/>
      <c r="AG60" s="421"/>
    </row>
    <row r="61" spans="2:33" ht="16.95" customHeight="1">
      <c r="B61" s="2011"/>
      <c r="C61" s="2011"/>
      <c r="D61" s="2011"/>
      <c r="E61" s="2011"/>
      <c r="F61" s="2011"/>
      <c r="G61" s="2011"/>
      <c r="H61" s="2011"/>
      <c r="I61" s="2011"/>
      <c r="J61" s="2011"/>
      <c r="K61" s="2011"/>
      <c r="L61" s="2011"/>
      <c r="M61" s="2011"/>
      <c r="N61" s="2011"/>
      <c r="O61" s="2011"/>
      <c r="P61" s="2011"/>
      <c r="Q61" s="2011"/>
      <c r="R61" s="2011"/>
      <c r="S61" s="2011"/>
      <c r="T61" s="2011"/>
      <c r="U61" s="2011"/>
      <c r="V61" s="2011"/>
      <c r="W61" s="2011"/>
      <c r="X61" s="2011"/>
      <c r="Y61" s="2011"/>
      <c r="AA61" s="2021"/>
      <c r="AB61" s="2021"/>
      <c r="AC61" s="2021"/>
      <c r="AD61" s="2021"/>
      <c r="AE61" s="2021"/>
      <c r="AF61" s="421"/>
      <c r="AG61" s="421"/>
    </row>
    <row r="62" spans="2:33" ht="16.95" customHeight="1">
      <c r="B62" s="2011"/>
      <c r="C62" s="2011"/>
      <c r="D62" s="2011"/>
      <c r="E62" s="2011"/>
      <c r="F62" s="2011"/>
      <c r="G62" s="2011"/>
      <c r="H62" s="2011"/>
      <c r="I62" s="2011"/>
      <c r="J62" s="2011"/>
      <c r="K62" s="2011"/>
      <c r="L62" s="2011"/>
      <c r="M62" s="2011"/>
      <c r="N62" s="2011"/>
      <c r="O62" s="2011"/>
      <c r="P62" s="2011"/>
      <c r="Q62" s="2011"/>
      <c r="R62" s="2011"/>
      <c r="S62" s="2011"/>
      <c r="T62" s="2011"/>
      <c r="U62" s="2011"/>
      <c r="V62" s="2011"/>
      <c r="W62" s="2011"/>
      <c r="X62" s="2011"/>
      <c r="Y62" s="2011"/>
      <c r="AA62" s="2021"/>
      <c r="AB62" s="2021"/>
      <c r="AC62" s="2021"/>
      <c r="AD62" s="2021"/>
      <c r="AE62" s="2021"/>
    </row>
    <row r="64" spans="2:33" ht="16.95" customHeight="1">
      <c r="B64" s="2133" t="s">
        <v>376</v>
      </c>
      <c r="C64" s="2134"/>
      <c r="D64" s="2134"/>
      <c r="E64" s="2134"/>
      <c r="F64" s="2134"/>
      <c r="G64" s="2134"/>
      <c r="H64" s="2134"/>
      <c r="I64" s="2134"/>
      <c r="J64" s="2134"/>
      <c r="K64" s="2134"/>
      <c r="L64" s="2134"/>
      <c r="M64" s="2134"/>
      <c r="N64" s="2134"/>
      <c r="O64" s="2134"/>
      <c r="P64" s="2134"/>
      <c r="Q64" s="2134"/>
      <c r="R64" s="2134"/>
      <c r="S64" s="2134"/>
      <c r="T64" s="2134"/>
      <c r="U64" s="2134"/>
      <c r="V64" s="2134"/>
      <c r="W64" s="2134"/>
      <c r="X64" s="2134"/>
      <c r="Y64" s="2135"/>
      <c r="Z64" s="516"/>
      <c r="AA64" s="421"/>
      <c r="AB64" s="421"/>
      <c r="AC64" s="421"/>
      <c r="AD64" s="421"/>
      <c r="AE64" s="421"/>
    </row>
    <row r="65" spans="2:35" ht="16.95" customHeight="1">
      <c r="B65" s="2136" t="s">
        <v>377</v>
      </c>
      <c r="C65" s="2137"/>
      <c r="D65" s="2138" t="s">
        <v>378</v>
      </c>
      <c r="E65" s="2138"/>
      <c r="F65" s="2138" t="s">
        <v>379</v>
      </c>
      <c r="G65" s="2138"/>
      <c r="H65" s="2138"/>
      <c r="I65" s="2138"/>
      <c r="J65" s="2137" t="s">
        <v>377</v>
      </c>
      <c r="K65" s="2137"/>
      <c r="L65" s="2138" t="s">
        <v>378</v>
      </c>
      <c r="M65" s="2138"/>
      <c r="N65" s="2138" t="s">
        <v>379</v>
      </c>
      <c r="O65" s="2138"/>
      <c r="P65" s="2138"/>
      <c r="Q65" s="2138"/>
      <c r="R65" s="2137" t="s">
        <v>377</v>
      </c>
      <c r="S65" s="2137"/>
      <c r="T65" s="2138" t="s">
        <v>378</v>
      </c>
      <c r="U65" s="2138"/>
      <c r="V65" s="2138" t="s">
        <v>379</v>
      </c>
      <c r="W65" s="2138"/>
      <c r="X65" s="2138"/>
      <c r="Y65" s="2139"/>
      <c r="Z65" s="516"/>
      <c r="AA65" s="421"/>
      <c r="AB65" s="421"/>
      <c r="AC65" s="421"/>
      <c r="AD65" s="421"/>
      <c r="AE65" s="421"/>
      <c r="AF65" s="1256"/>
      <c r="AG65" s="1256"/>
      <c r="AH65" s="1256"/>
      <c r="AI65" s="650"/>
    </row>
    <row r="66" spans="2:35" ht="16.95" customHeight="1">
      <c r="B66" s="2112" t="s">
        <v>380</v>
      </c>
      <c r="C66" s="2107"/>
      <c r="D66" s="2107" t="s">
        <v>332</v>
      </c>
      <c r="E66" s="2107"/>
      <c r="F66" s="2108"/>
      <c r="G66" s="2108"/>
      <c r="H66" s="2108"/>
      <c r="I66" s="2113"/>
      <c r="J66" s="2107" t="s">
        <v>381</v>
      </c>
      <c r="K66" s="2107"/>
      <c r="L66" s="2107" t="s">
        <v>382</v>
      </c>
      <c r="M66" s="2107"/>
      <c r="N66" s="2114"/>
      <c r="O66" s="2114"/>
      <c r="P66" s="2114"/>
      <c r="Q66" s="2116"/>
      <c r="R66" s="2101" t="s">
        <v>115</v>
      </c>
      <c r="S66" s="2101"/>
      <c r="T66" s="2101" t="s">
        <v>383</v>
      </c>
      <c r="U66" s="2101"/>
      <c r="V66" s="2105" t="s">
        <v>384</v>
      </c>
      <c r="W66" s="2105"/>
      <c r="X66" s="2105"/>
      <c r="Y66" s="2122"/>
      <c r="Z66" s="516"/>
      <c r="AA66" s="421"/>
      <c r="AB66" s="421"/>
      <c r="AC66" s="421"/>
      <c r="AD66" s="421"/>
      <c r="AE66" s="421"/>
      <c r="AF66" s="1256"/>
      <c r="AG66" s="1256"/>
      <c r="AH66" s="1256"/>
      <c r="AI66" s="650"/>
    </row>
    <row r="67" spans="2:35" ht="16.95" customHeight="1">
      <c r="B67" s="2096" t="s">
        <v>385</v>
      </c>
      <c r="C67" s="2036"/>
      <c r="D67" s="2036" t="s">
        <v>333</v>
      </c>
      <c r="E67" s="2036"/>
      <c r="F67" s="2098"/>
      <c r="G67" s="2098"/>
      <c r="H67" s="2098"/>
      <c r="I67" s="2097"/>
      <c r="J67" s="2036" t="s">
        <v>386</v>
      </c>
      <c r="K67" s="2036"/>
      <c r="L67" s="2036" t="s">
        <v>387</v>
      </c>
      <c r="M67" s="2036"/>
      <c r="N67" s="2118" t="s">
        <v>388</v>
      </c>
      <c r="O67" s="2118"/>
      <c r="P67" s="2118"/>
      <c r="Q67" s="2119"/>
      <c r="R67" s="2120" t="s">
        <v>120</v>
      </c>
      <c r="S67" s="2120"/>
      <c r="T67" s="2036" t="s">
        <v>389</v>
      </c>
      <c r="U67" s="2036"/>
      <c r="V67" s="2036"/>
      <c r="W67" s="2036"/>
      <c r="X67" s="2036"/>
      <c r="Y67" s="2121"/>
      <c r="Z67" s="516"/>
      <c r="AA67" s="421"/>
      <c r="AB67" s="421"/>
      <c r="AC67" s="421"/>
      <c r="AD67" s="421"/>
      <c r="AE67" s="421"/>
      <c r="AF67" s="1256"/>
      <c r="AG67" s="1256"/>
      <c r="AH67" s="1256"/>
      <c r="AI67" s="650"/>
    </row>
    <row r="68" spans="2:35" ht="16.95" customHeight="1">
      <c r="B68" s="2112" t="s">
        <v>390</v>
      </c>
      <c r="C68" s="2107"/>
      <c r="D68" s="2107" t="s">
        <v>336</v>
      </c>
      <c r="E68" s="2107"/>
      <c r="F68" s="2108"/>
      <c r="G68" s="2108"/>
      <c r="H68" s="2108"/>
      <c r="I68" s="2113"/>
      <c r="J68" s="2107" t="s">
        <v>391</v>
      </c>
      <c r="K68" s="2107"/>
      <c r="L68" s="2107" t="s">
        <v>392</v>
      </c>
      <c r="M68" s="2107"/>
      <c r="N68" s="2114"/>
      <c r="O68" s="2114"/>
      <c r="P68" s="2114"/>
      <c r="Q68" s="2116"/>
      <c r="R68" s="2107" t="s">
        <v>393</v>
      </c>
      <c r="S68" s="2107"/>
      <c r="T68" s="2107" t="s">
        <v>394</v>
      </c>
      <c r="U68" s="2107"/>
      <c r="V68" s="2107" t="s">
        <v>395</v>
      </c>
      <c r="W68" s="2107"/>
      <c r="X68" s="2107"/>
      <c r="Y68" s="2117"/>
      <c r="Z68" s="516"/>
      <c r="AA68" s="421"/>
      <c r="AB68" s="421"/>
      <c r="AC68" s="421"/>
      <c r="AD68" s="421"/>
      <c r="AE68" s="421"/>
      <c r="AF68" s="1256"/>
      <c r="AG68" s="1256"/>
      <c r="AH68" s="1256"/>
      <c r="AI68" s="650"/>
    </row>
    <row r="69" spans="2:35" ht="16.95" customHeight="1">
      <c r="B69" s="2096" t="s">
        <v>396</v>
      </c>
      <c r="C69" s="2036"/>
      <c r="D69" s="2036" t="s">
        <v>339</v>
      </c>
      <c r="E69" s="2036"/>
      <c r="F69" s="2097"/>
      <c r="G69" s="2097"/>
      <c r="H69" s="2097"/>
      <c r="I69" s="2097"/>
      <c r="J69" s="1254"/>
      <c r="K69" s="1254"/>
      <c r="L69" s="1254"/>
      <c r="M69" s="1254"/>
      <c r="N69" s="1254"/>
      <c r="O69" s="1254"/>
      <c r="P69" s="1254"/>
      <c r="Q69" s="1255"/>
      <c r="R69" s="2091" t="s">
        <v>68</v>
      </c>
      <c r="S69" s="2091"/>
      <c r="T69" s="2091" t="s">
        <v>397</v>
      </c>
      <c r="U69" s="2091"/>
      <c r="V69" s="2110"/>
      <c r="W69" s="2110"/>
      <c r="X69" s="2110"/>
      <c r="Y69" s="2111"/>
      <c r="Z69" s="516"/>
      <c r="AA69" s="421"/>
      <c r="AB69" s="421"/>
      <c r="AC69" s="421"/>
      <c r="AD69" s="421"/>
      <c r="AE69" s="421"/>
      <c r="AF69" s="1256"/>
      <c r="AG69" s="1256"/>
      <c r="AH69" s="1256"/>
      <c r="AI69" s="650"/>
    </row>
    <row r="70" spans="2:35" ht="16.95" customHeight="1">
      <c r="B70" s="2112" t="s">
        <v>398</v>
      </c>
      <c r="C70" s="2107"/>
      <c r="D70" s="2107" t="s">
        <v>337</v>
      </c>
      <c r="E70" s="2107"/>
      <c r="F70" s="2108"/>
      <c r="G70" s="2108"/>
      <c r="H70" s="2108"/>
      <c r="I70" s="2113"/>
      <c r="J70" s="671"/>
      <c r="K70" s="671"/>
      <c r="L70" s="671"/>
      <c r="M70" s="671"/>
      <c r="N70" s="671"/>
      <c r="O70" s="671"/>
      <c r="P70" s="671"/>
      <c r="Q70" s="811"/>
      <c r="R70" s="2107" t="s">
        <v>76</v>
      </c>
      <c r="S70" s="2107"/>
      <c r="T70" s="2107" t="s">
        <v>399</v>
      </c>
      <c r="U70" s="2107"/>
      <c r="V70" s="2114"/>
      <c r="W70" s="2114"/>
      <c r="X70" s="2114"/>
      <c r="Y70" s="2115"/>
      <c r="Z70" s="516"/>
      <c r="AA70" s="421"/>
      <c r="AB70" s="421"/>
      <c r="AC70" s="421"/>
      <c r="AD70" s="421"/>
      <c r="AE70" s="421"/>
      <c r="AF70" s="1256"/>
      <c r="AG70" s="1256"/>
      <c r="AH70" s="1256"/>
      <c r="AI70" s="650"/>
    </row>
    <row r="71" spans="2:35" ht="16.95" customHeight="1">
      <c r="B71" s="2090" t="s">
        <v>400</v>
      </c>
      <c r="C71" s="2091"/>
      <c r="D71" s="2091" t="s">
        <v>335</v>
      </c>
      <c r="E71" s="2091"/>
      <c r="F71" s="2092" t="s">
        <v>401</v>
      </c>
      <c r="G71" s="2092"/>
      <c r="H71" s="2092"/>
      <c r="I71" s="2093"/>
      <c r="J71" s="1254"/>
      <c r="K71" s="1254"/>
      <c r="L71" s="1254"/>
      <c r="M71" s="1254"/>
      <c r="N71" s="1254"/>
      <c r="O71" s="1254"/>
      <c r="P71" s="1254"/>
      <c r="Q71" s="1255"/>
      <c r="R71" s="2091" t="s">
        <v>84</v>
      </c>
      <c r="S71" s="2091"/>
      <c r="T71" s="2091"/>
      <c r="U71" s="2091"/>
      <c r="V71" s="2092" t="s">
        <v>402</v>
      </c>
      <c r="W71" s="2092"/>
      <c r="X71" s="2092"/>
      <c r="Y71" s="2099"/>
      <c r="Z71" s="516"/>
      <c r="AA71" s="421"/>
      <c r="AB71" s="421"/>
      <c r="AC71" s="421"/>
      <c r="AD71" s="421"/>
      <c r="AE71" s="421"/>
      <c r="AF71" s="1256"/>
      <c r="AG71" s="1256"/>
      <c r="AH71" s="1256"/>
      <c r="AI71" s="650"/>
    </row>
    <row r="72" spans="2:35" ht="16.95" customHeight="1">
      <c r="B72" s="2100" t="s">
        <v>403</v>
      </c>
      <c r="C72" s="2101"/>
      <c r="D72" s="2101" t="s">
        <v>334</v>
      </c>
      <c r="E72" s="2101"/>
      <c r="F72" s="2102"/>
      <c r="G72" s="2102"/>
      <c r="H72" s="2102"/>
      <c r="I72" s="2103"/>
      <c r="J72" s="2104" t="s">
        <v>93</v>
      </c>
      <c r="K72" s="2104"/>
      <c r="L72" s="2101" t="s">
        <v>404</v>
      </c>
      <c r="M72" s="2101"/>
      <c r="N72" s="2105" t="s">
        <v>405</v>
      </c>
      <c r="O72" s="2105"/>
      <c r="P72" s="2105"/>
      <c r="Q72" s="2106"/>
      <c r="R72" s="2101" t="s">
        <v>86</v>
      </c>
      <c r="S72" s="2101"/>
      <c r="T72" s="2107"/>
      <c r="U72" s="2107"/>
      <c r="V72" s="2108" t="s">
        <v>406</v>
      </c>
      <c r="W72" s="2108"/>
      <c r="X72" s="2108"/>
      <c r="Y72" s="2109"/>
      <c r="Z72" s="516"/>
      <c r="AA72" s="421"/>
      <c r="AB72" s="421"/>
      <c r="AC72" s="421"/>
      <c r="AD72" s="421"/>
      <c r="AE72" s="421"/>
      <c r="AF72" s="1256"/>
      <c r="AG72" s="1256"/>
      <c r="AH72" s="1256"/>
      <c r="AI72" s="650"/>
    </row>
    <row r="73" spans="2:35" ht="16.95" customHeight="1">
      <c r="B73" s="2090" t="s">
        <v>407</v>
      </c>
      <c r="C73" s="2091"/>
      <c r="D73" s="2091" t="s">
        <v>338</v>
      </c>
      <c r="E73" s="2091"/>
      <c r="F73" s="2092"/>
      <c r="G73" s="2092"/>
      <c r="H73" s="2092"/>
      <c r="I73" s="2093"/>
      <c r="J73" s="2091" t="s">
        <v>101</v>
      </c>
      <c r="K73" s="2091"/>
      <c r="L73" s="2091" t="s">
        <v>408</v>
      </c>
      <c r="M73" s="2091"/>
      <c r="N73" s="2094" t="s">
        <v>409</v>
      </c>
      <c r="O73" s="2094"/>
      <c r="P73" s="2094"/>
      <c r="Q73" s="2095"/>
      <c r="R73" s="2091" t="s">
        <v>94</v>
      </c>
      <c r="S73" s="2091"/>
      <c r="T73" s="2091" t="s">
        <v>410</v>
      </c>
      <c r="U73" s="2091"/>
      <c r="V73" s="2092" t="s">
        <v>411</v>
      </c>
      <c r="W73" s="2092"/>
      <c r="X73" s="2092"/>
      <c r="Y73" s="2099"/>
      <c r="Z73" s="516"/>
      <c r="AA73" s="421"/>
      <c r="AB73" s="421"/>
      <c r="AC73" s="421"/>
      <c r="AD73" s="421"/>
      <c r="AE73" s="421"/>
      <c r="AF73" s="1256"/>
      <c r="AG73" s="1256"/>
      <c r="AH73" s="1256"/>
      <c r="AI73" s="650"/>
    </row>
    <row r="74" spans="2:35" ht="16.95" customHeight="1">
      <c r="B74" s="2083" t="s">
        <v>412</v>
      </c>
      <c r="C74" s="2084"/>
      <c r="D74" s="2084"/>
      <c r="E74" s="2084"/>
      <c r="F74" s="2085" t="s">
        <v>413</v>
      </c>
      <c r="G74" s="2085"/>
      <c r="H74" s="2085"/>
      <c r="I74" s="2086"/>
      <c r="J74" s="2058" t="s">
        <v>103</v>
      </c>
      <c r="K74" s="2058"/>
      <c r="L74" s="2058" t="s">
        <v>414</v>
      </c>
      <c r="M74" s="2058"/>
      <c r="N74" s="2087" t="s">
        <v>415</v>
      </c>
      <c r="O74" s="2087"/>
      <c r="P74" s="2087"/>
      <c r="Q74" s="2088"/>
      <c r="R74" s="2089" t="s">
        <v>137</v>
      </c>
      <c r="S74" s="2089"/>
      <c r="T74" s="2058" t="s">
        <v>416</v>
      </c>
      <c r="U74" s="2058"/>
      <c r="V74" s="2059"/>
      <c r="W74" s="2059"/>
      <c r="X74" s="2059"/>
      <c r="Y74" s="2060"/>
      <c r="Z74" s="516"/>
      <c r="AA74" s="421"/>
      <c r="AB74" s="421"/>
      <c r="AC74" s="421"/>
      <c r="AD74" s="421"/>
      <c r="AE74" s="421"/>
      <c r="AF74" s="1256"/>
      <c r="AG74" s="1256"/>
      <c r="AH74" s="1256"/>
      <c r="AI74" s="650"/>
    </row>
    <row r="75" spans="2:35" ht="16.95" customHeight="1">
      <c r="B75" s="2018" t="s">
        <v>417</v>
      </c>
      <c r="C75" s="2018"/>
      <c r="D75" s="2018"/>
      <c r="E75" s="2018"/>
      <c r="F75" s="2018"/>
      <c r="G75" s="2018"/>
      <c r="R75" s="673"/>
      <c r="S75" s="673"/>
      <c r="T75" s="673"/>
      <c r="U75" s="673"/>
      <c r="V75" s="673"/>
      <c r="W75" s="673"/>
      <c r="X75" s="673"/>
      <c r="Y75" s="673"/>
      <c r="Z75" s="421"/>
      <c r="AA75" s="421"/>
      <c r="AB75" s="421"/>
      <c r="AC75" s="421"/>
      <c r="AD75" s="421"/>
      <c r="AE75" s="421"/>
      <c r="AF75" s="1256"/>
      <c r="AG75" s="1256"/>
      <c r="AH75" s="1256"/>
      <c r="AI75" s="650"/>
    </row>
    <row r="76" spans="2:35" ht="16.95" customHeight="1">
      <c r="B76" s="2019"/>
      <c r="C76" s="2019"/>
      <c r="D76" s="2019"/>
      <c r="E76" s="2019"/>
      <c r="F76" s="2019"/>
      <c r="G76" s="2019"/>
      <c r="H76" s="421"/>
      <c r="I76" s="421"/>
      <c r="J76" s="421"/>
      <c r="K76" s="421"/>
      <c r="L76" s="421"/>
      <c r="M76" s="421"/>
      <c r="N76" s="421"/>
      <c r="O76" s="421"/>
      <c r="P76" s="421"/>
      <c r="Q76" s="421"/>
      <c r="R76" s="421"/>
      <c r="S76" s="421"/>
      <c r="T76" s="421"/>
      <c r="U76" s="421"/>
      <c r="V76" s="421"/>
      <c r="W76" s="421"/>
      <c r="X76" s="421"/>
      <c r="Y76" s="421"/>
      <c r="Z76" s="673"/>
      <c r="AA76" s="673"/>
      <c r="AB76" s="673"/>
      <c r="AF76" s="650"/>
    </row>
    <row r="77" spans="2:35" ht="16.95" customHeight="1">
      <c r="B77" s="2022" t="s">
        <v>418</v>
      </c>
      <c r="C77" s="2023"/>
      <c r="D77" s="2023"/>
      <c r="E77" s="2023"/>
      <c r="F77" s="2023"/>
      <c r="G77" s="2023"/>
      <c r="H77" s="2023"/>
      <c r="I77" s="2023"/>
      <c r="J77" s="2023"/>
      <c r="K77" s="2023"/>
      <c r="L77" s="2023"/>
      <c r="M77" s="2023"/>
      <c r="N77" s="2023"/>
      <c r="O77" s="2023"/>
      <c r="P77" s="2023"/>
      <c r="Q77" s="2023"/>
      <c r="R77" s="2023"/>
      <c r="S77" s="2023"/>
      <c r="T77" s="2023"/>
      <c r="U77" s="2023"/>
      <c r="V77" s="2023"/>
      <c r="W77" s="2023"/>
      <c r="X77" s="2023"/>
      <c r="Y77" s="2023"/>
      <c r="Z77" s="2023"/>
      <c r="AA77" s="2023"/>
      <c r="AB77" s="2023"/>
      <c r="AC77" s="2023"/>
      <c r="AD77" s="2023"/>
      <c r="AE77" s="2024"/>
    </row>
    <row r="78" spans="2:35" ht="15">
      <c r="B78" s="2025"/>
      <c r="C78" s="2026"/>
      <c r="D78" s="2026"/>
      <c r="E78" s="2026"/>
      <c r="F78" s="2026"/>
      <c r="G78" s="2026"/>
      <c r="H78" s="2026"/>
      <c r="I78" s="2026"/>
      <c r="J78" s="2026"/>
      <c r="K78" s="2026"/>
      <c r="L78" s="2026"/>
      <c r="M78" s="2026"/>
      <c r="N78" s="2026"/>
      <c r="O78" s="2026"/>
      <c r="P78" s="2026"/>
      <c r="Q78" s="2026"/>
      <c r="R78" s="2026"/>
      <c r="S78" s="2026"/>
      <c r="T78" s="2026"/>
      <c r="U78" s="2026"/>
      <c r="V78" s="2026"/>
      <c r="W78" s="2026"/>
      <c r="X78" s="2026"/>
      <c r="Y78" s="2026"/>
      <c r="Z78" s="2026"/>
      <c r="AA78" s="2026"/>
      <c r="AB78" s="2026"/>
      <c r="AC78" s="2026"/>
      <c r="AD78" s="2026"/>
      <c r="AE78" s="2027"/>
    </row>
    <row r="79" spans="2:35" ht="16.95" customHeight="1">
      <c r="B79" s="2063" t="s">
        <v>97</v>
      </c>
      <c r="C79" s="2064"/>
      <c r="D79" s="2064"/>
      <c r="E79" s="2065" t="s">
        <v>419</v>
      </c>
      <c r="F79" s="2065"/>
      <c r="G79" s="2065"/>
      <c r="H79" s="2065" t="s">
        <v>107</v>
      </c>
      <c r="I79" s="2065"/>
      <c r="J79" s="2066" t="s">
        <v>114</v>
      </c>
      <c r="K79" s="2066"/>
      <c r="L79" s="2066"/>
      <c r="M79" s="2066"/>
      <c r="N79" s="2066"/>
      <c r="O79" s="2066"/>
      <c r="P79" s="2066"/>
      <c r="Q79" s="2066"/>
      <c r="R79" s="2066"/>
      <c r="S79" s="2066"/>
      <c r="T79" s="2066"/>
      <c r="U79" s="2066"/>
      <c r="V79" s="2066"/>
      <c r="W79" s="2066"/>
      <c r="X79" s="2066"/>
      <c r="Y79" s="2066"/>
      <c r="Z79" s="2066"/>
      <c r="AA79" s="2066"/>
      <c r="AB79" s="2066"/>
      <c r="AC79" s="2066"/>
      <c r="AD79" s="2066"/>
      <c r="AE79" s="2067"/>
    </row>
    <row r="80" spans="2:35" ht="15">
      <c r="B80" s="2016" t="s">
        <v>420</v>
      </c>
      <c r="C80" s="2017"/>
      <c r="D80" s="2017"/>
      <c r="E80" s="2017" t="s">
        <v>421</v>
      </c>
      <c r="F80" s="2017"/>
      <c r="G80" s="2017"/>
      <c r="H80" s="2017">
        <v>70</v>
      </c>
      <c r="I80" s="2017"/>
      <c r="J80" s="2056" t="s">
        <v>422</v>
      </c>
      <c r="K80" s="2056"/>
      <c r="L80" s="2056"/>
      <c r="M80" s="2056"/>
      <c r="N80" s="2056"/>
      <c r="O80" s="2056"/>
      <c r="P80" s="2056"/>
      <c r="Q80" s="2056"/>
      <c r="R80" s="2056"/>
      <c r="S80" s="2056"/>
      <c r="T80" s="2056"/>
      <c r="U80" s="2056"/>
      <c r="V80" s="2056"/>
      <c r="W80" s="2056"/>
      <c r="X80" s="2056"/>
      <c r="Y80" s="2056"/>
      <c r="Z80" s="2056"/>
      <c r="AA80" s="2056"/>
      <c r="AB80" s="2056"/>
      <c r="AC80" s="2056"/>
      <c r="AD80" s="2056"/>
      <c r="AE80" s="2057"/>
    </row>
    <row r="81" spans="2:31" ht="15">
      <c r="B81" s="2016"/>
      <c r="C81" s="2017"/>
      <c r="D81" s="2017"/>
      <c r="E81" s="2017"/>
      <c r="F81" s="2017"/>
      <c r="G81" s="2017"/>
      <c r="H81" s="2017"/>
      <c r="I81" s="2017"/>
      <c r="J81" s="2056"/>
      <c r="K81" s="2056"/>
      <c r="L81" s="2056"/>
      <c r="M81" s="2056"/>
      <c r="N81" s="2056"/>
      <c r="O81" s="2056"/>
      <c r="P81" s="2056"/>
      <c r="Q81" s="2056"/>
      <c r="R81" s="2056"/>
      <c r="S81" s="2056"/>
      <c r="T81" s="2056"/>
      <c r="U81" s="2056"/>
      <c r="V81" s="2056"/>
      <c r="W81" s="2056"/>
      <c r="X81" s="2056"/>
      <c r="Y81" s="2056"/>
      <c r="Z81" s="2056"/>
      <c r="AA81" s="2056"/>
      <c r="AB81" s="2056"/>
      <c r="AC81" s="2056"/>
      <c r="AD81" s="2056"/>
      <c r="AE81" s="2057"/>
    </row>
    <row r="82" spans="2:31" ht="15">
      <c r="B82" s="2009" t="s">
        <v>423</v>
      </c>
      <c r="C82" s="2010"/>
      <c r="D82" s="2010"/>
      <c r="E82" s="2010" t="s">
        <v>424</v>
      </c>
      <c r="F82" s="2010"/>
      <c r="G82" s="2010"/>
      <c r="H82" s="2010">
        <v>60</v>
      </c>
      <c r="I82" s="2010"/>
      <c r="J82" s="2005" t="s">
        <v>425</v>
      </c>
      <c r="K82" s="2005"/>
      <c r="L82" s="2005"/>
      <c r="M82" s="2005"/>
      <c r="N82" s="2005"/>
      <c r="O82" s="2005"/>
      <c r="P82" s="2005"/>
      <c r="Q82" s="2005"/>
      <c r="R82" s="2005"/>
      <c r="S82" s="2005"/>
      <c r="T82" s="2005"/>
      <c r="U82" s="2005"/>
      <c r="V82" s="2005"/>
      <c r="W82" s="2005"/>
      <c r="X82" s="2005"/>
      <c r="Y82" s="2005"/>
      <c r="Z82" s="2005"/>
      <c r="AA82" s="2005"/>
      <c r="AB82" s="2005"/>
      <c r="AC82" s="2005"/>
      <c r="AD82" s="2005"/>
      <c r="AE82" s="2006"/>
    </row>
    <row r="83" spans="2:31" ht="15">
      <c r="B83" s="2009"/>
      <c r="C83" s="2010"/>
      <c r="D83" s="2010"/>
      <c r="E83" s="2010"/>
      <c r="F83" s="2010"/>
      <c r="G83" s="2010"/>
      <c r="H83" s="2010"/>
      <c r="I83" s="2010"/>
      <c r="J83" s="2005"/>
      <c r="K83" s="2005"/>
      <c r="L83" s="2005"/>
      <c r="M83" s="2005"/>
      <c r="N83" s="2005"/>
      <c r="O83" s="2005"/>
      <c r="P83" s="2005"/>
      <c r="Q83" s="2005"/>
      <c r="R83" s="2005"/>
      <c r="S83" s="2005"/>
      <c r="T83" s="2005"/>
      <c r="U83" s="2005"/>
      <c r="V83" s="2005"/>
      <c r="W83" s="2005"/>
      <c r="X83" s="2005"/>
      <c r="Y83" s="2005"/>
      <c r="Z83" s="2005"/>
      <c r="AA83" s="2005"/>
      <c r="AB83" s="2005"/>
      <c r="AC83" s="2005"/>
      <c r="AD83" s="2005"/>
      <c r="AE83" s="2006"/>
    </row>
    <row r="84" spans="2:31" ht="15">
      <c r="B84" s="2016" t="s">
        <v>426</v>
      </c>
      <c r="C84" s="2017"/>
      <c r="D84" s="2017"/>
      <c r="E84" s="2017" t="s">
        <v>424</v>
      </c>
      <c r="F84" s="2017"/>
      <c r="G84" s="2017"/>
      <c r="H84" s="2054">
        <v>60</v>
      </c>
      <c r="I84" s="2054"/>
      <c r="J84" s="2003" t="s">
        <v>427</v>
      </c>
      <c r="K84" s="2003"/>
      <c r="L84" s="2003"/>
      <c r="M84" s="2003"/>
      <c r="N84" s="2003"/>
      <c r="O84" s="2003"/>
      <c r="P84" s="2003"/>
      <c r="Q84" s="2003"/>
      <c r="R84" s="2003"/>
      <c r="S84" s="2003"/>
      <c r="T84" s="2003"/>
      <c r="U84" s="2003"/>
      <c r="V84" s="2003"/>
      <c r="W84" s="2003"/>
      <c r="X84" s="2003"/>
      <c r="Y84" s="2003"/>
      <c r="Z84" s="2003"/>
      <c r="AA84" s="2003"/>
      <c r="AB84" s="2003"/>
      <c r="AC84" s="2003"/>
      <c r="AD84" s="2003"/>
      <c r="AE84" s="2004"/>
    </row>
    <row r="85" spans="2:31" ht="15">
      <c r="B85" s="2016"/>
      <c r="C85" s="2017"/>
      <c r="D85" s="2017"/>
      <c r="E85" s="2017"/>
      <c r="F85" s="2017"/>
      <c r="G85" s="2017"/>
      <c r="H85" s="2054"/>
      <c r="I85" s="2054"/>
      <c r="J85" s="2003"/>
      <c r="K85" s="2003"/>
      <c r="L85" s="2003"/>
      <c r="M85" s="2003"/>
      <c r="N85" s="2003"/>
      <c r="O85" s="2003"/>
      <c r="P85" s="2003"/>
      <c r="Q85" s="2003"/>
      <c r="R85" s="2003"/>
      <c r="S85" s="2003"/>
      <c r="T85" s="2003"/>
      <c r="U85" s="2003"/>
      <c r="V85" s="2003"/>
      <c r="W85" s="2003"/>
      <c r="X85" s="2003"/>
      <c r="Y85" s="2003"/>
      <c r="Z85" s="2003"/>
      <c r="AA85" s="2003"/>
      <c r="AB85" s="2003"/>
      <c r="AC85" s="2003"/>
      <c r="AD85" s="2003"/>
      <c r="AE85" s="2004"/>
    </row>
    <row r="86" spans="2:31" ht="15">
      <c r="B86" s="2009" t="s">
        <v>428</v>
      </c>
      <c r="C86" s="2010"/>
      <c r="D86" s="2010"/>
      <c r="E86" s="2010" t="s">
        <v>424</v>
      </c>
      <c r="F86" s="2010"/>
      <c r="G86" s="2010"/>
      <c r="H86" s="2010">
        <v>60</v>
      </c>
      <c r="I86" s="2010"/>
      <c r="J86" s="2005" t="s">
        <v>429</v>
      </c>
      <c r="K86" s="2005"/>
      <c r="L86" s="2005"/>
      <c r="M86" s="2005"/>
      <c r="N86" s="2005"/>
      <c r="O86" s="2005"/>
      <c r="P86" s="2005"/>
      <c r="Q86" s="2005"/>
      <c r="R86" s="2005"/>
      <c r="S86" s="2005"/>
      <c r="T86" s="2005"/>
      <c r="U86" s="2005"/>
      <c r="V86" s="2005"/>
      <c r="W86" s="2005"/>
      <c r="X86" s="2005"/>
      <c r="Y86" s="2005"/>
      <c r="Z86" s="2005"/>
      <c r="AA86" s="2005"/>
      <c r="AB86" s="2005"/>
      <c r="AC86" s="2005"/>
      <c r="AD86" s="2005"/>
      <c r="AE86" s="2006"/>
    </row>
    <row r="87" spans="2:31" ht="15">
      <c r="B87" s="2009"/>
      <c r="C87" s="2010"/>
      <c r="D87" s="2010"/>
      <c r="E87" s="2010"/>
      <c r="F87" s="2010"/>
      <c r="G87" s="2010"/>
      <c r="H87" s="2010"/>
      <c r="I87" s="2010"/>
      <c r="J87" s="2005"/>
      <c r="K87" s="2005"/>
      <c r="L87" s="2005"/>
      <c r="M87" s="2005"/>
      <c r="N87" s="2005"/>
      <c r="O87" s="2005"/>
      <c r="P87" s="2005"/>
      <c r="Q87" s="2005"/>
      <c r="R87" s="2005"/>
      <c r="S87" s="2005"/>
      <c r="T87" s="2005"/>
      <c r="U87" s="2005"/>
      <c r="V87" s="2005"/>
      <c r="W87" s="2005"/>
      <c r="X87" s="2005"/>
      <c r="Y87" s="2005"/>
      <c r="Z87" s="2005"/>
      <c r="AA87" s="2005"/>
      <c r="AB87" s="2005"/>
      <c r="AC87" s="2005"/>
      <c r="AD87" s="2005"/>
      <c r="AE87" s="2006"/>
    </row>
    <row r="88" spans="2:31" ht="15">
      <c r="B88" s="2016" t="s">
        <v>430</v>
      </c>
      <c r="C88" s="2017"/>
      <c r="D88" s="2017"/>
      <c r="E88" s="2055" t="s">
        <v>431</v>
      </c>
      <c r="F88" s="2055"/>
      <c r="G88" s="2055"/>
      <c r="H88" s="2054">
        <v>0</v>
      </c>
      <c r="I88" s="2054"/>
      <c r="J88" s="2003" t="s">
        <v>432</v>
      </c>
      <c r="K88" s="2003"/>
      <c r="L88" s="2003"/>
      <c r="M88" s="2003"/>
      <c r="N88" s="2003"/>
      <c r="O88" s="2003"/>
      <c r="P88" s="2003"/>
      <c r="Q88" s="2003"/>
      <c r="R88" s="2003"/>
      <c r="S88" s="2003"/>
      <c r="T88" s="2003"/>
      <c r="U88" s="2003"/>
      <c r="V88" s="2003"/>
      <c r="W88" s="2003"/>
      <c r="X88" s="2003"/>
      <c r="Y88" s="2003"/>
      <c r="Z88" s="2003"/>
      <c r="AA88" s="2003"/>
      <c r="AB88" s="2003"/>
      <c r="AC88" s="2003"/>
      <c r="AD88" s="2003"/>
      <c r="AE88" s="2004"/>
    </row>
    <row r="89" spans="2:31" ht="15">
      <c r="B89" s="2016"/>
      <c r="C89" s="2017"/>
      <c r="D89" s="2017"/>
      <c r="E89" s="2055"/>
      <c r="F89" s="2055"/>
      <c r="G89" s="2055"/>
      <c r="H89" s="2054"/>
      <c r="I89" s="2054"/>
      <c r="J89" s="2003"/>
      <c r="K89" s="2003"/>
      <c r="L89" s="2003"/>
      <c r="M89" s="2003"/>
      <c r="N89" s="2003"/>
      <c r="O89" s="2003"/>
      <c r="P89" s="2003"/>
      <c r="Q89" s="2003"/>
      <c r="R89" s="2003"/>
      <c r="S89" s="2003"/>
      <c r="T89" s="2003"/>
      <c r="U89" s="2003"/>
      <c r="V89" s="2003"/>
      <c r="W89" s="2003"/>
      <c r="X89" s="2003"/>
      <c r="Y89" s="2003"/>
      <c r="Z89" s="2003"/>
      <c r="AA89" s="2003"/>
      <c r="AB89" s="2003"/>
      <c r="AC89" s="2003"/>
      <c r="AD89" s="2003"/>
      <c r="AE89" s="2004"/>
    </row>
    <row r="90" spans="2:31" ht="15">
      <c r="B90" s="2009" t="str">
        <f>IF(ISBLANK(人物卡!BC26),"",人物卡!BC26)</f>
        <v/>
      </c>
      <c r="C90" s="2010"/>
      <c r="D90" s="2010"/>
      <c r="E90" s="2010" t="str">
        <f>IF(ISBLANK(人物卡!BC28),"",人物卡!BC28)</f>
        <v/>
      </c>
      <c r="F90" s="2010"/>
      <c r="G90" s="2010"/>
      <c r="H90" s="2010" t="str">
        <f>IF(ISBLANK(人物卡!BG28),"",人物卡!BG28)</f>
        <v/>
      </c>
      <c r="I90" s="2010"/>
      <c r="J90" s="2005" t="str">
        <f>IF(ISBLANK(人物卡!BC30),"",人物卡!BC30)</f>
        <v/>
      </c>
      <c r="K90" s="2005"/>
      <c r="L90" s="2005"/>
      <c r="M90" s="2005"/>
      <c r="N90" s="2005"/>
      <c r="O90" s="2005"/>
      <c r="P90" s="2005"/>
      <c r="Q90" s="2005"/>
      <c r="R90" s="2005"/>
      <c r="S90" s="2005"/>
      <c r="T90" s="2005"/>
      <c r="U90" s="2005"/>
      <c r="V90" s="2005"/>
      <c r="W90" s="2005"/>
      <c r="X90" s="2005"/>
      <c r="Y90" s="2005"/>
      <c r="Z90" s="2005"/>
      <c r="AA90" s="2005"/>
      <c r="AB90" s="2005"/>
      <c r="AC90" s="2005"/>
      <c r="AD90" s="2005"/>
      <c r="AE90" s="2006"/>
    </row>
    <row r="91" spans="2:31" ht="15">
      <c r="B91" s="2047"/>
      <c r="C91" s="2048"/>
      <c r="D91" s="2048"/>
      <c r="E91" s="2048"/>
      <c r="F91" s="2048"/>
      <c r="G91" s="2048"/>
      <c r="H91" s="2048"/>
      <c r="I91" s="2048"/>
      <c r="J91" s="2007"/>
      <c r="K91" s="2007"/>
      <c r="L91" s="2007"/>
      <c r="M91" s="2007"/>
      <c r="N91" s="2007"/>
      <c r="O91" s="2007"/>
      <c r="P91" s="2007"/>
      <c r="Q91" s="2007"/>
      <c r="R91" s="2007"/>
      <c r="S91" s="2007"/>
      <c r="T91" s="2007"/>
      <c r="U91" s="2007"/>
      <c r="V91" s="2007"/>
      <c r="W91" s="2007"/>
      <c r="X91" s="2007"/>
      <c r="Y91" s="2007"/>
      <c r="Z91" s="2007"/>
      <c r="AA91" s="2007"/>
      <c r="AB91" s="2007"/>
      <c r="AC91" s="2007"/>
      <c r="AD91" s="2007"/>
      <c r="AE91" s="2008"/>
    </row>
    <row r="97" ht="15"/>
    <row r="98" ht="15"/>
    <row r="99" ht="15"/>
    <row r="100" ht="15"/>
    <row r="101" ht="15"/>
    <row r="102" ht="15"/>
    <row r="103" ht="15"/>
    <row r="104" ht="15"/>
    <row r="105" ht="15"/>
    <row r="106" ht="15"/>
    <row r="107" ht="15"/>
    <row r="108" ht="15"/>
    <row r="109" ht="15"/>
    <row r="110" ht="15"/>
    <row r="111" ht="15"/>
    <row r="112" ht="15"/>
    <row r="113" ht="15"/>
    <row r="114" ht="15"/>
    <row r="115" ht="15"/>
    <row r="116" ht="15"/>
    <row r="117" ht="15"/>
    <row r="118" ht="15"/>
    <row r="119" ht="15"/>
    <row r="120" ht="15"/>
    <row r="121" ht="15"/>
    <row r="122" ht="15"/>
    <row r="123" ht="15"/>
    <row r="124" ht="15"/>
  </sheetData>
  <sheetProtection selectLockedCells="1"/>
  <protectedRanges>
    <protectedRange sqref="AG3:AG6 AJ3:AJ6" name="技能表以上"/>
    <protectedRange sqref="E3:E6 H3:H6 B3:B6 K3:K6 AA4 AD4" name="技能表以上_1"/>
  </protectedRanges>
  <mergeCells count="340">
    <mergeCell ref="B2:M2"/>
    <mergeCell ref="N2:Y2"/>
    <mergeCell ref="Z2:AE2"/>
    <mergeCell ref="N3:P3"/>
    <mergeCell ref="T3:V3"/>
    <mergeCell ref="N4:P4"/>
    <mergeCell ref="T4:V4"/>
    <mergeCell ref="N5:P5"/>
    <mergeCell ref="T5:V5"/>
    <mergeCell ref="Z5:AE5"/>
    <mergeCell ref="I3:I4"/>
    <mergeCell ref="I5:I6"/>
    <mergeCell ref="AA3:AB4"/>
    <mergeCell ref="N6:P6"/>
    <mergeCell ref="T6:V6"/>
    <mergeCell ref="Z6:AA6"/>
    <mergeCell ref="AB6:AE6"/>
    <mergeCell ref="Z3:Z4"/>
    <mergeCell ref="O7:P7"/>
    <mergeCell ref="T7:V7"/>
    <mergeCell ref="Z7:AA7"/>
    <mergeCell ref="AB7:AE7"/>
    <mergeCell ref="O8:P8"/>
    <mergeCell ref="T8:V8"/>
    <mergeCell ref="Z8:AA8"/>
    <mergeCell ref="AB8:AE8"/>
    <mergeCell ref="O9:P9"/>
    <mergeCell ref="T9:V9"/>
    <mergeCell ref="Z9:AA9"/>
    <mergeCell ref="AB9:AE9"/>
    <mergeCell ref="N10:P10"/>
    <mergeCell ref="T10:V10"/>
    <mergeCell ref="Z10:AA10"/>
    <mergeCell ref="AB10:AE10"/>
    <mergeCell ref="B11:M11"/>
    <mergeCell ref="N11:P11"/>
    <mergeCell ref="T11:V11"/>
    <mergeCell ref="Z11:AA11"/>
    <mergeCell ref="AB11:AE11"/>
    <mergeCell ref="N12:P12"/>
    <mergeCell ref="T12:V12"/>
    <mergeCell ref="Z12:AA12"/>
    <mergeCell ref="AB12:AE12"/>
    <mergeCell ref="N13:P13"/>
    <mergeCell ref="T13:V13"/>
    <mergeCell ref="Z13:AA13"/>
    <mergeCell ref="AB13:AE13"/>
    <mergeCell ref="N14:P14"/>
    <mergeCell ref="U14:V14"/>
    <mergeCell ref="Z14:AA14"/>
    <mergeCell ref="AB14:AE14"/>
    <mergeCell ref="N15:P15"/>
    <mergeCell ref="T15:V15"/>
    <mergeCell ref="Z15:AA15"/>
    <mergeCell ref="AB15:AE15"/>
    <mergeCell ref="N16:P16"/>
    <mergeCell ref="T16:V16"/>
    <mergeCell ref="Z16:AA16"/>
    <mergeCell ref="AB16:AE16"/>
    <mergeCell ref="B17:M17"/>
    <mergeCell ref="N17:P17"/>
    <mergeCell ref="T17:V17"/>
    <mergeCell ref="Z17:AA17"/>
    <mergeCell ref="AB17:AE17"/>
    <mergeCell ref="B18:D18"/>
    <mergeCell ref="E18:F18"/>
    <mergeCell ref="G18:H18"/>
    <mergeCell ref="I18:J18"/>
    <mergeCell ref="K18:L18"/>
    <mergeCell ref="N18:P18"/>
    <mergeCell ref="U18:V18"/>
    <mergeCell ref="B19:D19"/>
    <mergeCell ref="E19:F19"/>
    <mergeCell ref="G19:H19"/>
    <mergeCell ref="I19:J19"/>
    <mergeCell ref="K19:L19"/>
    <mergeCell ref="N19:P19"/>
    <mergeCell ref="U19:V19"/>
    <mergeCell ref="B20:M20"/>
    <mergeCell ref="N20:P20"/>
    <mergeCell ref="U20:V20"/>
    <mergeCell ref="B21:M21"/>
    <mergeCell ref="O21:P21"/>
    <mergeCell ref="T21:V21"/>
    <mergeCell ref="Z21:AE21"/>
    <mergeCell ref="B22:D22"/>
    <mergeCell ref="E22:G22"/>
    <mergeCell ref="H22:J22"/>
    <mergeCell ref="K22:M22"/>
    <mergeCell ref="O22:P22"/>
    <mergeCell ref="T22:V22"/>
    <mergeCell ref="Z22:AC22"/>
    <mergeCell ref="AD22:AE22"/>
    <mergeCell ref="B23:D23"/>
    <mergeCell ref="E23:G23"/>
    <mergeCell ref="H23:J23"/>
    <mergeCell ref="K23:M23"/>
    <mergeCell ref="O23:P23"/>
    <mergeCell ref="T23:V23"/>
    <mergeCell ref="Z23:AC23"/>
    <mergeCell ref="AD23:AE23"/>
    <mergeCell ref="B24:D24"/>
    <mergeCell ref="E24:G24"/>
    <mergeCell ref="H24:J24"/>
    <mergeCell ref="K24:M24"/>
    <mergeCell ref="O24:P24"/>
    <mergeCell ref="U24:V24"/>
    <mergeCell ref="Z24:AC24"/>
    <mergeCell ref="AD24:AE24"/>
    <mergeCell ref="B25:D25"/>
    <mergeCell ref="E25:G25"/>
    <mergeCell ref="H25:J25"/>
    <mergeCell ref="K25:M25"/>
    <mergeCell ref="O25:P25"/>
    <mergeCell ref="T25:V25"/>
    <mergeCell ref="Z25:AC25"/>
    <mergeCell ref="AD25:AE25"/>
    <mergeCell ref="B26:D26"/>
    <mergeCell ref="E26:G26"/>
    <mergeCell ref="H26:J26"/>
    <mergeCell ref="K26:M26"/>
    <mergeCell ref="O26:P26"/>
    <mergeCell ref="T26:V26"/>
    <mergeCell ref="Z26:AC26"/>
    <mergeCell ref="AD26:AE26"/>
    <mergeCell ref="B27:M27"/>
    <mergeCell ref="O27:P27"/>
    <mergeCell ref="T27:V27"/>
    <mergeCell ref="Z27:AC27"/>
    <mergeCell ref="AD27:AE27"/>
    <mergeCell ref="C28:F28"/>
    <mergeCell ref="O28:P28"/>
    <mergeCell ref="T28:V28"/>
    <mergeCell ref="Z28:AC28"/>
    <mergeCell ref="AD28:AE28"/>
    <mergeCell ref="T31:V31"/>
    <mergeCell ref="Z31:AC31"/>
    <mergeCell ref="AD31:AE31"/>
    <mergeCell ref="C32:F32"/>
    <mergeCell ref="N32:P32"/>
    <mergeCell ref="T32:V32"/>
    <mergeCell ref="Z32:AC32"/>
    <mergeCell ref="AD32:AE32"/>
    <mergeCell ref="C29:F29"/>
    <mergeCell ref="N29:P29"/>
    <mergeCell ref="T29:V29"/>
    <mergeCell ref="Z29:AC29"/>
    <mergeCell ref="AD29:AE29"/>
    <mergeCell ref="C30:F30"/>
    <mergeCell ref="N30:P30"/>
    <mergeCell ref="T30:V30"/>
    <mergeCell ref="Z30:AC30"/>
    <mergeCell ref="AD30:AE30"/>
    <mergeCell ref="C36:G36"/>
    <mergeCell ref="O36:P36"/>
    <mergeCell ref="T36:V36"/>
    <mergeCell ref="AF36:AO36"/>
    <mergeCell ref="B37:O37"/>
    <mergeCell ref="P37:Y37"/>
    <mergeCell ref="B38:Y38"/>
    <mergeCell ref="B39:Y39"/>
    <mergeCell ref="AF39:AN39"/>
    <mergeCell ref="AA39:AE43"/>
    <mergeCell ref="H28:M36"/>
    <mergeCell ref="C33:F33"/>
    <mergeCell ref="O33:P33"/>
    <mergeCell ref="T33:V33"/>
    <mergeCell ref="Z33:AC33"/>
    <mergeCell ref="AD33:AE33"/>
    <mergeCell ref="C34:F34"/>
    <mergeCell ref="O34:P34"/>
    <mergeCell ref="T34:V34"/>
    <mergeCell ref="C35:F35"/>
    <mergeCell ref="O35:P35"/>
    <mergeCell ref="T35:V35"/>
    <mergeCell ref="C31:F31"/>
    <mergeCell ref="N31:P31"/>
    <mergeCell ref="B44:Y44"/>
    <mergeCell ref="B45:Y45"/>
    <mergeCell ref="B50:Y50"/>
    <mergeCell ref="B51:Y51"/>
    <mergeCell ref="AA56:AE56"/>
    <mergeCell ref="B57:Y57"/>
    <mergeCell ref="B58:Y58"/>
    <mergeCell ref="B64:Y64"/>
    <mergeCell ref="B65:C65"/>
    <mergeCell ref="D65:E65"/>
    <mergeCell ref="F65:I65"/>
    <mergeCell ref="J65:K65"/>
    <mergeCell ref="L65:M65"/>
    <mergeCell ref="N65:Q65"/>
    <mergeCell ref="R65:S65"/>
    <mergeCell ref="T65:U65"/>
    <mergeCell ref="V65:Y65"/>
    <mergeCell ref="AA51:AE55"/>
    <mergeCell ref="B52:Y56"/>
    <mergeCell ref="AA58:AE62"/>
    <mergeCell ref="N67:Q67"/>
    <mergeCell ref="R67:S67"/>
    <mergeCell ref="T67:U67"/>
    <mergeCell ref="V67:Y67"/>
    <mergeCell ref="B66:C66"/>
    <mergeCell ref="D66:E66"/>
    <mergeCell ref="F66:I66"/>
    <mergeCell ref="J66:K66"/>
    <mergeCell ref="L66:M66"/>
    <mergeCell ref="N66:Q66"/>
    <mergeCell ref="R66:S66"/>
    <mergeCell ref="T66:U66"/>
    <mergeCell ref="V66:Y66"/>
    <mergeCell ref="T69:U69"/>
    <mergeCell ref="V69:Y69"/>
    <mergeCell ref="B70:C70"/>
    <mergeCell ref="D70:E70"/>
    <mergeCell ref="F70:I70"/>
    <mergeCell ref="R70:S70"/>
    <mergeCell ref="T70:U70"/>
    <mergeCell ref="V70:Y70"/>
    <mergeCell ref="B68:C68"/>
    <mergeCell ref="D68:E68"/>
    <mergeCell ref="F68:I68"/>
    <mergeCell ref="J68:K68"/>
    <mergeCell ref="L68:M68"/>
    <mergeCell ref="N68:Q68"/>
    <mergeCell ref="R68:S68"/>
    <mergeCell ref="T68:U68"/>
    <mergeCell ref="V68:Y68"/>
    <mergeCell ref="T73:U73"/>
    <mergeCell ref="V73:Y73"/>
    <mergeCell ref="B71:C71"/>
    <mergeCell ref="D71:E71"/>
    <mergeCell ref="F71:I71"/>
    <mergeCell ref="R71:S71"/>
    <mergeCell ref="T71:U71"/>
    <mergeCell ref="V71:Y71"/>
    <mergeCell ref="B72:C72"/>
    <mergeCell ref="D72:E72"/>
    <mergeCell ref="F72:I72"/>
    <mergeCell ref="J72:K72"/>
    <mergeCell ref="L72:M72"/>
    <mergeCell ref="N72:Q72"/>
    <mergeCell ref="R72:S72"/>
    <mergeCell ref="T72:U72"/>
    <mergeCell ref="V72:Y72"/>
    <mergeCell ref="H9:H10"/>
    <mergeCell ref="B74:C74"/>
    <mergeCell ref="D74:E74"/>
    <mergeCell ref="F74:I74"/>
    <mergeCell ref="J74:K74"/>
    <mergeCell ref="L74:M74"/>
    <mergeCell ref="N74:Q74"/>
    <mergeCell ref="R74:S74"/>
    <mergeCell ref="B73:C73"/>
    <mergeCell ref="D73:E73"/>
    <mergeCell ref="F73:I73"/>
    <mergeCell ref="J73:K73"/>
    <mergeCell ref="L73:M73"/>
    <mergeCell ref="N73:Q73"/>
    <mergeCell ref="R73:S73"/>
    <mergeCell ref="B69:C69"/>
    <mergeCell ref="D69:E69"/>
    <mergeCell ref="F69:I69"/>
    <mergeCell ref="R69:S69"/>
    <mergeCell ref="B67:C67"/>
    <mergeCell ref="D67:E67"/>
    <mergeCell ref="F67:I67"/>
    <mergeCell ref="J67:K67"/>
    <mergeCell ref="L67:M67"/>
    <mergeCell ref="L7:M8"/>
    <mergeCell ref="B79:D79"/>
    <mergeCell ref="E79:G79"/>
    <mergeCell ref="H79:I79"/>
    <mergeCell ref="J79:AE79"/>
    <mergeCell ref="B3:B4"/>
    <mergeCell ref="B5:B6"/>
    <mergeCell ref="B7:B8"/>
    <mergeCell ref="B9:B10"/>
    <mergeCell ref="C3:C4"/>
    <mergeCell ref="C5:C6"/>
    <mergeCell ref="C7:C8"/>
    <mergeCell ref="D7:D8"/>
    <mergeCell ref="E3:E4"/>
    <mergeCell ref="E5:E6"/>
    <mergeCell ref="E7:E8"/>
    <mergeCell ref="E9:E10"/>
    <mergeCell ref="F3:F4"/>
    <mergeCell ref="F5:F6"/>
    <mergeCell ref="F7:F8"/>
    <mergeCell ref="G7:G8"/>
    <mergeCell ref="H3:H4"/>
    <mergeCell ref="H5:H6"/>
    <mergeCell ref="H7:H8"/>
    <mergeCell ref="AF37:AL38"/>
    <mergeCell ref="Z18:AE20"/>
    <mergeCell ref="B90:D91"/>
    <mergeCell ref="E90:G91"/>
    <mergeCell ref="F9:G10"/>
    <mergeCell ref="L9:M10"/>
    <mergeCell ref="B59:Y62"/>
    <mergeCell ref="C9:D10"/>
    <mergeCell ref="I9:J10"/>
    <mergeCell ref="B86:D87"/>
    <mergeCell ref="E86:G87"/>
    <mergeCell ref="H88:I89"/>
    <mergeCell ref="B88:D89"/>
    <mergeCell ref="E88:G89"/>
    <mergeCell ref="H86:I87"/>
    <mergeCell ref="H90:I91"/>
    <mergeCell ref="Z34:AE36"/>
    <mergeCell ref="J80:AE81"/>
    <mergeCell ref="J82:AE83"/>
    <mergeCell ref="J86:AE87"/>
    <mergeCell ref="H84:I85"/>
    <mergeCell ref="K9:K10"/>
    <mergeCell ref="T74:U74"/>
    <mergeCell ref="V74:Y74"/>
    <mergeCell ref="J88:AE89"/>
    <mergeCell ref="J90:AE91"/>
    <mergeCell ref="B82:D83"/>
    <mergeCell ref="E82:G83"/>
    <mergeCell ref="B46:Y49"/>
    <mergeCell ref="AD3:AE4"/>
    <mergeCell ref="B80:D81"/>
    <mergeCell ref="E80:G81"/>
    <mergeCell ref="B75:G76"/>
    <mergeCell ref="H80:I81"/>
    <mergeCell ref="H82:I83"/>
    <mergeCell ref="B40:Y43"/>
    <mergeCell ref="AA45:AE49"/>
    <mergeCell ref="B77:AE78"/>
    <mergeCell ref="J84:AE85"/>
    <mergeCell ref="B84:D85"/>
    <mergeCell ref="E84:G85"/>
    <mergeCell ref="I7:I8"/>
    <mergeCell ref="J7:J8"/>
    <mergeCell ref="K3:K4"/>
    <mergeCell ref="K5:K6"/>
    <mergeCell ref="K7:K8"/>
    <mergeCell ref="L3:L4"/>
    <mergeCell ref="L5:L6"/>
  </mergeCells>
  <phoneticPr fontId="188" type="noConversion"/>
  <dataValidations count="4">
    <dataValidation allowBlank="1" showInputMessage="1" showErrorMessage="1" sqref="B3:D3 E3:F3 G3 H3:I3 J3 K3:L3 M3 B4:D4 E4:F4 G4 H4:I4 J4 K4:L4 M4 B5:C5 D5 E5:F5 G5 H5:I5 J5 K5:L5 M5 B6:C6 D6 E6:F6 G6 H6:I6 J6 K6:L6 M6" xr:uid="{00000000-0002-0000-0100-000000000000}"/>
    <dataValidation type="list" allowBlank="1" showInputMessage="1" showErrorMessage="1" sqref="Z3" xr:uid="{00000000-0002-0000-0100-000001000000}">
      <formula1>"公元,公元前"</formula1>
    </dataValidation>
    <dataValidation type="list" allowBlank="1" showInputMessage="1" showErrorMessage="1" sqref="AA3 AC3 AC4" xr:uid="{00000000-0002-0000-0100-000002000000}">
      <formula1>#REF!</formula1>
    </dataValidation>
    <dataValidation allowBlank="1" showErrorMessage="1" sqref="I18:J18 K18:L18 M18" xr:uid="{00000000-0002-0000-0100-000003000000}"/>
  </dataValidations>
  <pageMargins left="0.75" right="0.75" top="1" bottom="1" header="0.51180555555555596" footer="0.51180555555555596"/>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P284"/>
  <sheetViews>
    <sheetView showGridLines="0" workbookViewId="0">
      <pane ySplit="1" topLeftCell="A70" activePane="bottomLeft" state="frozen"/>
      <selection pane="bottomLeft" activeCell="C3" sqref="C3"/>
    </sheetView>
  </sheetViews>
  <sheetFormatPr defaultColWidth="9" defaultRowHeight="15.6"/>
  <cols>
    <col min="1" max="1" width="4.77734375" style="1086" customWidth="1"/>
    <col min="2" max="3" width="12.6640625" style="1087" customWidth="1"/>
    <col min="4" max="4" width="6.109375" style="1088" customWidth="1"/>
    <col min="5" max="5" width="26.44140625" style="1086" customWidth="1"/>
    <col min="6" max="6" width="7.6640625" style="1086" customWidth="1"/>
    <col min="7" max="7" width="138" style="1086" customWidth="1"/>
    <col min="8" max="8" width="12.88671875" style="1087" customWidth="1"/>
    <col min="9" max="10" width="9.88671875" style="1086" customWidth="1"/>
    <col min="11" max="11" width="13.109375" style="1086" hidden="1"/>
    <col min="12" max="12" width="13.77734375" style="787" hidden="1"/>
    <col min="13" max="13" width="17.6640625" style="787" hidden="1"/>
    <col min="14" max="14" width="17.109375" style="787" hidden="1"/>
    <col min="15" max="15" width="10.77734375" style="787" customWidth="1"/>
    <col min="16" max="16" width="8.44140625" style="787" customWidth="1"/>
    <col min="17" max="17" width="23.6640625" style="1089" customWidth="1"/>
    <col min="18" max="18" width="8.109375" style="787" customWidth="1"/>
    <col min="19" max="20" width="9" style="787" customWidth="1"/>
    <col min="21" max="21" width="11.33203125" style="787" customWidth="1"/>
    <col min="22" max="22" width="9" style="787" customWidth="1"/>
    <col min="23" max="16384" width="9" style="787"/>
  </cols>
  <sheetData>
    <row r="1" spans="1:172" ht="31.2">
      <c r="A1" s="1090" t="s">
        <v>433</v>
      </c>
      <c r="B1" s="2246" t="s">
        <v>15</v>
      </c>
      <c r="C1" s="2246"/>
      <c r="D1" s="1092" t="s">
        <v>101</v>
      </c>
      <c r="E1" s="1091" t="s">
        <v>434</v>
      </c>
      <c r="F1" s="1091" t="s">
        <v>435</v>
      </c>
      <c r="G1" s="1093" t="s">
        <v>436</v>
      </c>
      <c r="H1" s="1094"/>
      <c r="I1" s="1094"/>
      <c r="J1" s="1094"/>
      <c r="K1" s="2247" t="s">
        <v>437</v>
      </c>
      <c r="L1" s="2247"/>
      <c r="M1" s="2247" t="s">
        <v>152</v>
      </c>
      <c r="N1" s="2247"/>
      <c r="O1" s="716"/>
      <c r="P1" s="716"/>
      <c r="Q1" s="1116"/>
      <c r="R1" s="716"/>
      <c r="S1" s="716"/>
      <c r="T1" s="716"/>
      <c r="U1" s="716"/>
      <c r="V1" s="716"/>
      <c r="W1" s="716"/>
      <c r="X1" s="716"/>
      <c r="Y1" s="716"/>
      <c r="Z1" s="716"/>
      <c r="AA1" s="716"/>
      <c r="AB1" s="716"/>
      <c r="AC1" s="716"/>
      <c r="AD1" s="716"/>
      <c r="AE1" s="716"/>
      <c r="AF1" s="716"/>
      <c r="AG1" s="716"/>
      <c r="AH1" s="716"/>
      <c r="AI1" s="716"/>
      <c r="AJ1" s="716"/>
      <c r="AK1" s="716"/>
      <c r="AL1" s="716"/>
      <c r="AM1" s="716"/>
      <c r="AN1" s="716"/>
      <c r="AO1" s="716"/>
      <c r="AP1" s="716"/>
      <c r="AQ1" s="716"/>
      <c r="AR1" s="716"/>
      <c r="AS1" s="716"/>
      <c r="AT1" s="716"/>
      <c r="AU1" s="716"/>
      <c r="AV1" s="716"/>
      <c r="AW1" s="716"/>
      <c r="AX1" s="716"/>
      <c r="AY1" s="716"/>
      <c r="AZ1" s="716"/>
      <c r="BA1" s="716"/>
      <c r="BB1" s="716"/>
      <c r="BC1" s="716"/>
      <c r="BD1" s="716"/>
      <c r="BE1" s="716"/>
      <c r="BF1" s="716"/>
      <c r="BG1" s="716"/>
      <c r="BH1" s="716"/>
      <c r="BI1" s="716"/>
      <c r="BJ1" s="716"/>
      <c r="BK1" s="716"/>
      <c r="BL1" s="716"/>
      <c r="BM1" s="716"/>
      <c r="BN1" s="716"/>
      <c r="BO1" s="716"/>
      <c r="BP1" s="716"/>
      <c r="BQ1" s="716"/>
      <c r="BR1" s="716"/>
      <c r="BS1" s="716"/>
      <c r="BT1" s="716"/>
      <c r="BU1" s="716"/>
      <c r="BV1" s="716"/>
      <c r="BW1" s="716"/>
      <c r="BX1" s="716"/>
      <c r="BY1" s="716"/>
      <c r="BZ1" s="716"/>
      <c r="CA1" s="716"/>
      <c r="CB1" s="716"/>
      <c r="CC1" s="716"/>
      <c r="CD1" s="716"/>
      <c r="CE1" s="716"/>
      <c r="CF1" s="716"/>
      <c r="CG1" s="716"/>
      <c r="CH1" s="716"/>
      <c r="CI1" s="716"/>
      <c r="CJ1" s="716"/>
      <c r="CK1" s="716"/>
      <c r="CL1" s="716"/>
      <c r="CM1" s="716"/>
      <c r="CN1" s="716"/>
      <c r="CO1" s="716"/>
      <c r="CP1" s="716"/>
      <c r="CQ1" s="716"/>
      <c r="CR1" s="716"/>
      <c r="CS1" s="716"/>
      <c r="CT1" s="716"/>
      <c r="CU1" s="716"/>
      <c r="CV1" s="716"/>
      <c r="CW1" s="716"/>
      <c r="CX1" s="716"/>
      <c r="CY1" s="716"/>
      <c r="CZ1" s="716"/>
      <c r="DA1" s="716"/>
      <c r="DB1" s="716"/>
      <c r="DC1" s="716"/>
      <c r="DD1" s="716"/>
      <c r="DE1" s="716"/>
      <c r="DF1" s="716"/>
      <c r="DG1" s="716"/>
      <c r="DH1" s="716"/>
      <c r="DI1" s="716"/>
      <c r="DJ1" s="716"/>
      <c r="DK1" s="716"/>
      <c r="DL1" s="716"/>
      <c r="DM1" s="716"/>
      <c r="DN1" s="716"/>
      <c r="DO1" s="716"/>
      <c r="DP1" s="716"/>
      <c r="DQ1" s="716"/>
      <c r="DR1" s="716"/>
      <c r="DS1" s="716"/>
      <c r="DT1" s="716"/>
      <c r="DU1" s="716"/>
      <c r="DV1" s="716"/>
      <c r="DW1" s="716"/>
      <c r="DX1" s="716"/>
      <c r="DY1" s="716"/>
      <c r="DZ1" s="716"/>
      <c r="EA1" s="716"/>
      <c r="EB1" s="716"/>
      <c r="EC1" s="716"/>
      <c r="ED1" s="716"/>
      <c r="EE1" s="716"/>
      <c r="EF1" s="716"/>
      <c r="EG1" s="716"/>
      <c r="EH1" s="716"/>
      <c r="EI1" s="716"/>
      <c r="EJ1" s="716"/>
      <c r="EK1" s="716"/>
      <c r="EL1" s="716"/>
      <c r="EM1" s="716"/>
      <c r="EN1" s="716"/>
      <c r="EO1" s="716"/>
      <c r="EP1" s="716"/>
      <c r="EQ1" s="716"/>
      <c r="ER1" s="716"/>
      <c r="ES1" s="716"/>
      <c r="ET1" s="716"/>
      <c r="EU1" s="716"/>
      <c r="EV1" s="716"/>
      <c r="EW1" s="716"/>
      <c r="EX1" s="716"/>
      <c r="EY1" s="716"/>
      <c r="EZ1" s="716"/>
      <c r="FA1" s="716"/>
      <c r="FB1" s="716"/>
      <c r="FC1" s="716"/>
      <c r="FD1" s="716"/>
      <c r="FE1" s="716"/>
      <c r="FF1" s="716"/>
      <c r="FG1" s="716"/>
      <c r="FH1" s="716"/>
      <c r="FI1" s="716"/>
      <c r="FJ1" s="716"/>
      <c r="FK1" s="716"/>
      <c r="FL1" s="716"/>
      <c r="FM1" s="716"/>
      <c r="FN1" s="716"/>
      <c r="FO1" s="716"/>
      <c r="FP1" s="716"/>
    </row>
    <row r="2" spans="1:172">
      <c r="A2" s="1095">
        <v>0</v>
      </c>
      <c r="B2" s="2248" t="s">
        <v>438</v>
      </c>
      <c r="C2" s="2248"/>
      <c r="D2" s="2248"/>
      <c r="E2" s="2248"/>
      <c r="F2" s="2248"/>
      <c r="G2" s="2249"/>
      <c r="H2" s="2205" t="s">
        <v>439</v>
      </c>
      <c r="I2" s="2250" t="s">
        <v>440</v>
      </c>
      <c r="J2" s="2251"/>
      <c r="K2" s="1114"/>
      <c r="L2" s="1115"/>
      <c r="M2" s="1115"/>
      <c r="N2" s="1115"/>
      <c r="O2" s="1116"/>
      <c r="P2" s="1116"/>
      <c r="Q2" s="421"/>
      <c r="R2" s="1129"/>
      <c r="S2" s="716"/>
      <c r="T2" s="716"/>
      <c r="U2" s="716"/>
      <c r="V2" s="716"/>
      <c r="W2" s="716"/>
      <c r="X2" s="716"/>
      <c r="Y2" s="716"/>
      <c r="Z2" s="716"/>
      <c r="AA2" s="716"/>
      <c r="AB2" s="716"/>
      <c r="AC2" s="716"/>
      <c r="AD2" s="716"/>
      <c r="AE2" s="716"/>
      <c r="AF2" s="716"/>
      <c r="AG2" s="716"/>
      <c r="AH2" s="716"/>
      <c r="AI2" s="716"/>
      <c r="AJ2" s="716"/>
      <c r="AK2" s="716"/>
      <c r="AL2" s="716"/>
      <c r="AM2" s="716"/>
      <c r="AN2" s="716"/>
      <c r="AO2" s="716"/>
      <c r="AP2" s="716"/>
      <c r="AQ2" s="716"/>
      <c r="AR2" s="716"/>
      <c r="AS2" s="716"/>
      <c r="AT2" s="716"/>
      <c r="AU2" s="716"/>
      <c r="AV2" s="716"/>
      <c r="AW2" s="716"/>
      <c r="AX2" s="716"/>
      <c r="AY2" s="716"/>
      <c r="AZ2" s="716"/>
      <c r="BA2" s="716"/>
      <c r="BB2" s="716"/>
      <c r="BC2" s="716"/>
      <c r="BD2" s="716"/>
      <c r="BE2" s="716"/>
      <c r="BF2" s="716"/>
      <c r="BG2" s="716"/>
      <c r="BH2" s="716"/>
      <c r="BI2" s="716"/>
      <c r="BJ2" s="716"/>
      <c r="BK2" s="716"/>
      <c r="BL2" s="716"/>
      <c r="BM2" s="716"/>
      <c r="BN2" s="716"/>
      <c r="BO2" s="716"/>
      <c r="BP2" s="716"/>
      <c r="BQ2" s="716"/>
      <c r="BR2" s="716"/>
      <c r="BS2" s="716"/>
      <c r="BT2" s="716"/>
      <c r="BU2" s="716"/>
      <c r="BV2" s="716"/>
      <c r="BW2" s="716"/>
      <c r="BX2" s="716"/>
      <c r="BY2" s="716"/>
      <c r="BZ2" s="716"/>
      <c r="CA2" s="716"/>
      <c r="CB2" s="716"/>
      <c r="CC2" s="716"/>
      <c r="CD2" s="716"/>
      <c r="CE2" s="716"/>
      <c r="CF2" s="716"/>
      <c r="CG2" s="716"/>
      <c r="CH2" s="716"/>
      <c r="CI2" s="716"/>
      <c r="CJ2" s="716"/>
      <c r="CK2" s="716"/>
      <c r="CL2" s="716"/>
      <c r="CM2" s="716"/>
      <c r="CN2" s="716"/>
      <c r="CO2" s="716"/>
      <c r="CP2" s="716"/>
      <c r="CQ2" s="716"/>
      <c r="CR2" s="716"/>
      <c r="CS2" s="716"/>
      <c r="CT2" s="716"/>
      <c r="CU2" s="716"/>
      <c r="CV2" s="716"/>
      <c r="CW2" s="716"/>
      <c r="CX2" s="716"/>
      <c r="CY2" s="716"/>
      <c r="CZ2" s="716"/>
      <c r="DA2" s="716"/>
      <c r="DB2" s="716"/>
      <c r="DC2" s="716"/>
      <c r="DD2" s="716"/>
      <c r="DE2" s="716"/>
      <c r="DF2" s="716"/>
      <c r="DG2" s="716"/>
      <c r="DH2" s="716"/>
      <c r="DI2" s="716"/>
      <c r="DJ2" s="716"/>
      <c r="DK2" s="716"/>
      <c r="DL2" s="716"/>
      <c r="DM2" s="716"/>
      <c r="DN2" s="716"/>
      <c r="DO2" s="716"/>
      <c r="DP2" s="716"/>
      <c r="DQ2" s="716"/>
      <c r="DR2" s="716"/>
      <c r="DS2" s="716"/>
      <c r="DT2" s="716"/>
      <c r="DU2" s="716"/>
      <c r="DV2" s="716"/>
      <c r="DW2" s="716"/>
      <c r="DX2" s="716"/>
      <c r="DY2" s="716"/>
      <c r="DZ2" s="716"/>
      <c r="EA2" s="716"/>
      <c r="EB2" s="716"/>
      <c r="EC2" s="716"/>
      <c r="ED2" s="716"/>
      <c r="EE2" s="716"/>
      <c r="EF2" s="716"/>
      <c r="EG2" s="716"/>
      <c r="EH2" s="716"/>
      <c r="EI2" s="716"/>
      <c r="EJ2" s="716"/>
      <c r="EK2" s="716"/>
      <c r="EL2" s="716"/>
      <c r="EM2" s="716"/>
      <c r="EN2" s="716"/>
      <c r="EO2" s="716"/>
      <c r="EP2" s="716"/>
      <c r="EQ2" s="716"/>
      <c r="ER2" s="716"/>
      <c r="ES2" s="716"/>
      <c r="ET2" s="716"/>
      <c r="EU2" s="716"/>
      <c r="EV2" s="716"/>
      <c r="EW2" s="716"/>
      <c r="EX2" s="716"/>
      <c r="EY2" s="716"/>
      <c r="EZ2" s="716"/>
      <c r="FA2" s="716"/>
      <c r="FB2" s="716"/>
      <c r="FC2" s="716"/>
      <c r="FD2" s="716"/>
      <c r="FE2" s="716"/>
      <c r="FF2" s="716"/>
      <c r="FG2" s="716"/>
      <c r="FH2" s="716"/>
      <c r="FI2" s="716"/>
      <c r="FJ2" s="716"/>
      <c r="FK2" s="716"/>
      <c r="FL2" s="716"/>
      <c r="FM2" s="716"/>
      <c r="FN2" s="716"/>
    </row>
    <row r="3" spans="1:172" ht="17.25" customHeight="1">
      <c r="A3" s="1096">
        <v>1</v>
      </c>
      <c r="B3" s="1097" t="str">
        <f>IF(C3="","自定义职业",C3)</f>
        <v>自定义职业</v>
      </c>
      <c r="C3" s="1098"/>
      <c r="D3" s="1099"/>
      <c r="E3" s="1100" t="str">
        <f>附表!AA9</f>
        <v>教育×4</v>
      </c>
      <c r="F3" s="1101">
        <f>SUM(附表!AF10:AF12)</f>
        <v>240</v>
      </c>
      <c r="G3" s="1102" t="str">
        <f>IF(I3&lt;&gt;"",I3&amp;"，"&amp;I4&amp;"，"&amp;I5&amp;"，"&amp;I6&amp;"，"&amp;I7&amp;"，"&amp;I8&amp;"，"&amp;I9&amp;"，"&amp;I10,"不多于8个本职技能。在职业属性中输入第二职业属性的数值（留空则视为EDU）并自行设置起始信誉。使用自定义职业前，请先咨询你的守秘人。")</f>
        <v>不多于8个本职技能。在职业属性中输入第二职业属性的数值（留空则视为EDU）并自行设置起始信誉。使用自定义职业前，请先咨询你的守秘人。</v>
      </c>
      <c r="H3" s="2205"/>
      <c r="I3" s="2244"/>
      <c r="J3" s="2245"/>
      <c r="K3" s="2231" t="s">
        <v>441</v>
      </c>
      <c r="L3" s="2231"/>
      <c r="M3" s="1117" t="s">
        <v>442</v>
      </c>
      <c r="N3" s="1118"/>
      <c r="O3" s="1116"/>
      <c r="P3" s="1116"/>
      <c r="Q3" s="421"/>
      <c r="R3" s="1129"/>
      <c r="S3" s="716"/>
      <c r="T3" s="716"/>
      <c r="U3" s="716"/>
      <c r="V3" s="716"/>
      <c r="W3" s="716"/>
      <c r="X3" s="716"/>
      <c r="Y3" s="716"/>
      <c r="Z3" s="716"/>
      <c r="AA3" s="716"/>
      <c r="AB3" s="716"/>
      <c r="AC3" s="716"/>
      <c r="AD3" s="716"/>
      <c r="AE3" s="716"/>
      <c r="AF3" s="716"/>
      <c r="AG3" s="716"/>
      <c r="AH3" s="716"/>
      <c r="AI3" s="716"/>
      <c r="AJ3" s="716"/>
      <c r="AK3" s="716"/>
      <c r="AL3" s="716"/>
      <c r="AM3" s="716"/>
      <c r="AN3" s="716"/>
      <c r="AO3" s="716"/>
      <c r="AP3" s="716"/>
      <c r="AQ3" s="716"/>
      <c r="AR3" s="716"/>
      <c r="AS3" s="716"/>
      <c r="AT3" s="716"/>
      <c r="AU3" s="716"/>
      <c r="AV3" s="716"/>
      <c r="AW3" s="716"/>
      <c r="AX3" s="716"/>
      <c r="AY3" s="716"/>
      <c r="AZ3" s="716"/>
      <c r="BA3" s="716"/>
      <c r="BB3" s="716"/>
      <c r="BC3" s="716"/>
      <c r="BD3" s="716"/>
      <c r="BE3" s="716"/>
      <c r="BF3" s="716"/>
      <c r="BG3" s="716"/>
      <c r="BH3" s="716"/>
      <c r="BI3" s="716"/>
      <c r="BJ3" s="716"/>
      <c r="BK3" s="716"/>
      <c r="BL3" s="716"/>
      <c r="BM3" s="716"/>
      <c r="BN3" s="716"/>
      <c r="BO3" s="716"/>
      <c r="BP3" s="716"/>
      <c r="BQ3" s="716"/>
      <c r="BR3" s="716"/>
      <c r="BS3" s="716"/>
      <c r="BT3" s="716"/>
      <c r="BU3" s="716"/>
      <c r="BV3" s="716"/>
      <c r="BW3" s="716"/>
      <c r="BX3" s="716"/>
      <c r="BY3" s="716"/>
      <c r="BZ3" s="716"/>
      <c r="CA3" s="716"/>
      <c r="CB3" s="716"/>
      <c r="CC3" s="716"/>
      <c r="CD3" s="716"/>
      <c r="CE3" s="716"/>
      <c r="CF3" s="716"/>
      <c r="CG3" s="716"/>
      <c r="CH3" s="716"/>
      <c r="CI3" s="716"/>
      <c r="CJ3" s="716"/>
      <c r="CK3" s="716"/>
      <c r="CL3" s="716"/>
      <c r="CM3" s="716"/>
      <c r="CN3" s="716"/>
      <c r="CO3" s="716"/>
      <c r="CP3" s="716"/>
      <c r="CQ3" s="716"/>
      <c r="CR3" s="716"/>
      <c r="CS3" s="716"/>
      <c r="CT3" s="716"/>
      <c r="CU3" s="716"/>
      <c r="CV3" s="716"/>
      <c r="CW3" s="716"/>
      <c r="CX3" s="716"/>
      <c r="CY3" s="716"/>
      <c r="CZ3" s="716"/>
      <c r="DA3" s="716"/>
      <c r="DB3" s="716"/>
      <c r="DC3" s="716"/>
      <c r="DD3" s="716"/>
      <c r="DE3" s="716"/>
      <c r="DF3" s="716"/>
      <c r="DG3" s="716"/>
      <c r="DH3" s="716"/>
      <c r="DI3" s="716"/>
      <c r="DJ3" s="716"/>
      <c r="DK3" s="716"/>
      <c r="DL3" s="716"/>
      <c r="DM3" s="716"/>
      <c r="DN3" s="716"/>
      <c r="DO3" s="716"/>
      <c r="DP3" s="716"/>
      <c r="DQ3" s="716"/>
      <c r="DR3" s="716"/>
      <c r="DS3" s="716"/>
      <c r="DT3" s="716"/>
      <c r="DU3" s="716"/>
      <c r="DV3" s="716"/>
      <c r="DW3" s="716"/>
      <c r="DX3" s="716"/>
      <c r="DY3" s="716"/>
      <c r="DZ3" s="716"/>
      <c r="EA3" s="716"/>
      <c r="EB3" s="716"/>
      <c r="EC3" s="716"/>
      <c r="ED3" s="716"/>
      <c r="EE3" s="716"/>
      <c r="EF3" s="716"/>
      <c r="EG3" s="716"/>
      <c r="EH3" s="716"/>
      <c r="EI3" s="716"/>
      <c r="EJ3" s="716"/>
      <c r="EK3" s="716"/>
      <c r="EL3" s="716"/>
      <c r="EM3" s="716"/>
      <c r="EN3" s="716"/>
      <c r="EO3" s="716"/>
      <c r="EP3" s="716"/>
      <c r="EQ3" s="716"/>
      <c r="ER3" s="716"/>
      <c r="ES3" s="716"/>
      <c r="ET3" s="716"/>
      <c r="EU3" s="716"/>
      <c r="EV3" s="716"/>
      <c r="EW3" s="716"/>
      <c r="EX3" s="716"/>
      <c r="EY3" s="716"/>
      <c r="EZ3" s="716"/>
      <c r="FA3" s="716"/>
      <c r="FB3" s="716"/>
      <c r="FC3" s="716"/>
      <c r="FD3" s="716"/>
      <c r="FE3" s="716"/>
      <c r="FF3" s="716"/>
      <c r="FG3" s="716"/>
      <c r="FH3" s="716"/>
      <c r="FI3" s="716"/>
      <c r="FJ3" s="716"/>
      <c r="FK3" s="716"/>
      <c r="FL3" s="716"/>
      <c r="FM3" s="716"/>
      <c r="FN3" s="716"/>
    </row>
    <row r="4" spans="1:172">
      <c r="A4" s="1095">
        <v>2</v>
      </c>
      <c r="B4" s="2230" t="s">
        <v>443</v>
      </c>
      <c r="C4" s="2230"/>
      <c r="D4" s="1094" t="s">
        <v>444</v>
      </c>
      <c r="E4" s="1094" t="s">
        <v>445</v>
      </c>
      <c r="F4" s="1104">
        <f>EDU*4</f>
        <v>240</v>
      </c>
      <c r="G4" s="1105" t="s">
        <v>446</v>
      </c>
      <c r="H4" s="2205"/>
      <c r="I4" s="2244"/>
      <c r="J4" s="2245"/>
      <c r="K4" s="2231" t="s">
        <v>447</v>
      </c>
      <c r="L4" s="2231"/>
      <c r="M4" s="1117" t="s">
        <v>448</v>
      </c>
      <c r="N4" s="1118"/>
      <c r="O4" s="1116"/>
      <c r="P4" s="1116"/>
      <c r="Q4" s="421"/>
      <c r="R4" s="1129"/>
      <c r="S4" s="716"/>
      <c r="T4" s="716"/>
      <c r="U4" s="716"/>
      <c r="V4" s="716"/>
      <c r="W4" s="716"/>
      <c r="X4" s="716"/>
      <c r="Y4" s="716"/>
      <c r="Z4" s="716"/>
      <c r="AA4" s="716"/>
      <c r="AB4" s="716"/>
      <c r="AC4" s="716"/>
      <c r="AD4" s="716"/>
      <c r="AE4" s="716"/>
      <c r="AF4" s="716"/>
      <c r="AG4" s="716"/>
      <c r="AH4" s="716"/>
      <c r="AI4" s="716"/>
      <c r="AJ4" s="716"/>
      <c r="AK4" s="716"/>
      <c r="AL4" s="716"/>
      <c r="AM4" s="716"/>
      <c r="AN4" s="716"/>
      <c r="AO4" s="716"/>
      <c r="AP4" s="716"/>
      <c r="AQ4" s="716"/>
      <c r="AR4" s="716"/>
      <c r="AS4" s="716"/>
      <c r="AT4" s="716"/>
      <c r="AU4" s="716"/>
      <c r="AV4" s="716"/>
      <c r="AW4" s="716"/>
      <c r="AX4" s="716"/>
      <c r="AY4" s="716"/>
      <c r="AZ4" s="716"/>
      <c r="BA4" s="716"/>
      <c r="BB4" s="716"/>
      <c r="BC4" s="716"/>
      <c r="BD4" s="716"/>
      <c r="BE4" s="716"/>
      <c r="BF4" s="716"/>
      <c r="BG4" s="716"/>
      <c r="BH4" s="716"/>
      <c r="BI4" s="716"/>
      <c r="BJ4" s="716"/>
      <c r="BK4" s="716"/>
      <c r="BL4" s="716"/>
      <c r="BM4" s="716"/>
      <c r="BN4" s="716"/>
      <c r="BO4" s="716"/>
      <c r="BP4" s="716"/>
      <c r="BQ4" s="716"/>
      <c r="BR4" s="716"/>
      <c r="BS4" s="716"/>
      <c r="BT4" s="716"/>
      <c r="BU4" s="716"/>
      <c r="BV4" s="716"/>
      <c r="BW4" s="716"/>
      <c r="BX4" s="716"/>
      <c r="BY4" s="716"/>
      <c r="BZ4" s="716"/>
      <c r="CA4" s="716"/>
      <c r="CB4" s="716"/>
      <c r="CC4" s="716"/>
      <c r="CD4" s="716"/>
      <c r="CE4" s="716"/>
      <c r="CF4" s="716"/>
      <c r="CG4" s="716"/>
      <c r="CH4" s="716"/>
      <c r="CI4" s="716"/>
      <c r="CJ4" s="716"/>
      <c r="CK4" s="716"/>
      <c r="CL4" s="716"/>
      <c r="CM4" s="716"/>
      <c r="CN4" s="716"/>
      <c r="CO4" s="716"/>
      <c r="CP4" s="716"/>
      <c r="CQ4" s="716"/>
      <c r="CR4" s="716"/>
      <c r="CS4" s="716"/>
      <c r="CT4" s="716"/>
      <c r="CU4" s="716"/>
      <c r="CV4" s="716"/>
      <c r="CW4" s="716"/>
      <c r="CX4" s="716"/>
      <c r="CY4" s="716"/>
      <c r="CZ4" s="716"/>
      <c r="DA4" s="716"/>
      <c r="DB4" s="716"/>
      <c r="DC4" s="716"/>
      <c r="DD4" s="716"/>
      <c r="DE4" s="716"/>
      <c r="DF4" s="716"/>
      <c r="DG4" s="716"/>
      <c r="DH4" s="716"/>
      <c r="DI4" s="716"/>
      <c r="DJ4" s="716"/>
      <c r="DK4" s="716"/>
      <c r="DL4" s="716"/>
      <c r="DM4" s="716"/>
      <c r="DN4" s="716"/>
      <c r="DO4" s="716"/>
      <c r="DP4" s="716"/>
      <c r="DQ4" s="716"/>
      <c r="DR4" s="716"/>
      <c r="DS4" s="716"/>
      <c r="DT4" s="716"/>
      <c r="DU4" s="716"/>
      <c r="DV4" s="716"/>
      <c r="DW4" s="716"/>
      <c r="DX4" s="716"/>
      <c r="DY4" s="716"/>
      <c r="DZ4" s="716"/>
      <c r="EA4" s="716"/>
      <c r="EB4" s="716"/>
      <c r="EC4" s="716"/>
      <c r="ED4" s="716"/>
      <c r="EE4" s="716"/>
      <c r="EF4" s="716"/>
      <c r="EG4" s="716"/>
      <c r="EH4" s="716"/>
      <c r="EI4" s="716"/>
      <c r="EJ4" s="716"/>
      <c r="EK4" s="716"/>
      <c r="EL4" s="716"/>
      <c r="EM4" s="716"/>
      <c r="EN4" s="716"/>
      <c r="EO4" s="716"/>
      <c r="EP4" s="716"/>
      <c r="EQ4" s="716"/>
      <c r="ER4" s="716"/>
      <c r="ES4" s="716"/>
      <c r="ET4" s="716"/>
      <c r="EU4" s="716"/>
      <c r="EV4" s="716"/>
      <c r="EW4" s="716"/>
      <c r="EX4" s="716"/>
      <c r="EY4" s="716"/>
      <c r="EZ4" s="716"/>
      <c r="FA4" s="716"/>
      <c r="FB4" s="716"/>
      <c r="FC4" s="716"/>
      <c r="FD4" s="716"/>
      <c r="FE4" s="716"/>
      <c r="FF4" s="716"/>
      <c r="FG4" s="716"/>
      <c r="FH4" s="716"/>
      <c r="FI4" s="716"/>
      <c r="FJ4" s="716"/>
      <c r="FK4" s="716"/>
      <c r="FL4" s="716"/>
      <c r="FM4" s="716"/>
      <c r="FN4" s="716"/>
    </row>
    <row r="5" spans="1:172">
      <c r="A5" s="1106">
        <v>3</v>
      </c>
      <c r="B5" s="2232" t="s">
        <v>449</v>
      </c>
      <c r="C5" s="2232"/>
      <c r="D5" s="1108" t="s">
        <v>450</v>
      </c>
      <c r="E5" s="1109" t="s">
        <v>451</v>
      </c>
      <c r="F5" s="1109">
        <f>EDU*2+DEX*2</f>
        <v>260</v>
      </c>
      <c r="G5" s="1110" t="s">
        <v>452</v>
      </c>
      <c r="H5" s="2205"/>
      <c r="I5" s="2244"/>
      <c r="J5" s="2245"/>
      <c r="K5" s="2231" t="s">
        <v>453</v>
      </c>
      <c r="L5" s="2231"/>
      <c r="M5" s="1117" t="s">
        <v>454</v>
      </c>
      <c r="N5" s="1118"/>
      <c r="O5" s="1116"/>
      <c r="P5" s="1116"/>
      <c r="Q5" s="421"/>
      <c r="R5" s="1129"/>
      <c r="S5" s="716"/>
      <c r="T5" s="716"/>
      <c r="U5" s="716"/>
      <c r="V5" s="716"/>
      <c r="W5" s="716"/>
      <c r="X5" s="716"/>
      <c r="Y5" s="716"/>
      <c r="Z5" s="716"/>
      <c r="AA5" s="716"/>
      <c r="AB5" s="716"/>
      <c r="AC5" s="716"/>
      <c r="AD5" s="716"/>
      <c r="AE5" s="716"/>
      <c r="AF5" s="716"/>
      <c r="AG5" s="716"/>
      <c r="AH5" s="716"/>
      <c r="AI5" s="716"/>
      <c r="AJ5" s="716"/>
      <c r="AK5" s="716"/>
      <c r="AL5" s="716"/>
      <c r="AM5" s="716"/>
      <c r="AN5" s="716"/>
      <c r="AO5" s="716"/>
      <c r="AP5" s="716"/>
      <c r="AQ5" s="716"/>
      <c r="AR5" s="716"/>
      <c r="AS5" s="716"/>
      <c r="AT5" s="716"/>
      <c r="AU5" s="716"/>
      <c r="AV5" s="716"/>
      <c r="AW5" s="716"/>
      <c r="AX5" s="716"/>
      <c r="AY5" s="716"/>
      <c r="AZ5" s="716"/>
      <c r="BA5" s="716"/>
      <c r="BB5" s="716"/>
      <c r="BC5" s="716"/>
      <c r="BD5" s="716"/>
      <c r="BE5" s="716"/>
      <c r="BF5" s="716"/>
      <c r="BG5" s="716"/>
      <c r="BH5" s="716"/>
      <c r="BI5" s="716"/>
      <c r="BJ5" s="716"/>
      <c r="BK5" s="716"/>
      <c r="BL5" s="716"/>
      <c r="BM5" s="716"/>
      <c r="BN5" s="716"/>
      <c r="BO5" s="716"/>
      <c r="BP5" s="716"/>
      <c r="BQ5" s="716"/>
      <c r="BR5" s="716"/>
      <c r="BS5" s="716"/>
      <c r="BT5" s="716"/>
      <c r="BU5" s="716"/>
      <c r="BV5" s="716"/>
      <c r="BW5" s="716"/>
      <c r="BX5" s="716"/>
      <c r="BY5" s="716"/>
      <c r="BZ5" s="716"/>
      <c r="CA5" s="716"/>
      <c r="CB5" s="716"/>
      <c r="CC5" s="716"/>
      <c r="CD5" s="716"/>
      <c r="CE5" s="716"/>
      <c r="CF5" s="716"/>
      <c r="CG5" s="716"/>
      <c r="CH5" s="716"/>
      <c r="CI5" s="716"/>
      <c r="CJ5" s="716"/>
      <c r="CK5" s="716"/>
      <c r="CL5" s="716"/>
      <c r="CM5" s="716"/>
      <c r="CN5" s="716"/>
      <c r="CO5" s="716"/>
      <c r="CP5" s="716"/>
      <c r="CQ5" s="716"/>
      <c r="CR5" s="716"/>
      <c r="CS5" s="716"/>
      <c r="CT5" s="716"/>
      <c r="CU5" s="716"/>
      <c r="CV5" s="716"/>
      <c r="CW5" s="716"/>
      <c r="CX5" s="716"/>
      <c r="CY5" s="716"/>
      <c r="CZ5" s="716"/>
      <c r="DA5" s="716"/>
      <c r="DB5" s="716"/>
      <c r="DC5" s="716"/>
      <c r="DD5" s="716"/>
      <c r="DE5" s="716"/>
      <c r="DF5" s="716"/>
      <c r="DG5" s="716"/>
      <c r="DH5" s="716"/>
      <c r="DI5" s="716"/>
      <c r="DJ5" s="716"/>
      <c r="DK5" s="716"/>
      <c r="DL5" s="716"/>
      <c r="DM5" s="716"/>
      <c r="DN5" s="716"/>
      <c r="DO5" s="716"/>
      <c r="DP5" s="716"/>
      <c r="DQ5" s="716"/>
      <c r="DR5" s="716"/>
      <c r="DS5" s="716"/>
      <c r="DT5" s="716"/>
      <c r="DU5" s="716"/>
      <c r="DV5" s="716"/>
      <c r="DW5" s="716"/>
      <c r="DX5" s="716"/>
      <c r="DY5" s="716"/>
      <c r="DZ5" s="716"/>
      <c r="EA5" s="716"/>
      <c r="EB5" s="716"/>
      <c r="EC5" s="716"/>
      <c r="ED5" s="716"/>
      <c r="EE5" s="716"/>
      <c r="EF5" s="716"/>
      <c r="EG5" s="716"/>
      <c r="EH5" s="716"/>
      <c r="EI5" s="716"/>
      <c r="EJ5" s="716"/>
      <c r="EK5" s="716"/>
      <c r="EL5" s="716"/>
      <c r="EM5" s="716"/>
      <c r="EN5" s="716"/>
      <c r="EO5" s="716"/>
      <c r="EP5" s="716"/>
      <c r="EQ5" s="716"/>
      <c r="ER5" s="716"/>
      <c r="ES5" s="716"/>
      <c r="ET5" s="716"/>
      <c r="EU5" s="716"/>
      <c r="EV5" s="716"/>
      <c r="EW5" s="716"/>
      <c r="EX5" s="716"/>
      <c r="EY5" s="716"/>
      <c r="EZ5" s="716"/>
      <c r="FA5" s="716"/>
      <c r="FB5" s="716"/>
      <c r="FC5" s="716"/>
      <c r="FD5" s="716"/>
      <c r="FE5" s="716"/>
      <c r="FF5" s="716"/>
      <c r="FG5" s="716"/>
      <c r="FH5" s="716"/>
      <c r="FI5" s="716"/>
      <c r="FJ5" s="716"/>
      <c r="FK5" s="716"/>
      <c r="FL5" s="716"/>
      <c r="FM5" s="716"/>
      <c r="FN5" s="716"/>
    </row>
    <row r="6" spans="1:172">
      <c r="A6" s="1095">
        <v>4</v>
      </c>
      <c r="B6" s="2230" t="s">
        <v>455</v>
      </c>
      <c r="C6" s="2230"/>
      <c r="D6" s="1094" t="s">
        <v>456</v>
      </c>
      <c r="E6" s="1094" t="s">
        <v>457</v>
      </c>
      <c r="F6" s="1104">
        <f>EDU*2+APP*2</f>
        <v>260</v>
      </c>
      <c r="G6" s="1105" t="s">
        <v>458</v>
      </c>
      <c r="H6" s="2205"/>
      <c r="I6" s="2244"/>
      <c r="J6" s="2245"/>
      <c r="K6" s="2231" t="s">
        <v>459</v>
      </c>
      <c r="L6" s="2231"/>
      <c r="M6" s="1117" t="s">
        <v>460</v>
      </c>
      <c r="N6" s="1118"/>
      <c r="O6" s="1116"/>
      <c r="P6" s="1116"/>
      <c r="Q6" s="421"/>
      <c r="R6" s="1130"/>
      <c r="S6" s="716"/>
      <c r="T6" s="716"/>
      <c r="U6" s="716"/>
      <c r="V6" s="716"/>
      <c r="W6" s="716"/>
      <c r="X6" s="716"/>
      <c r="Y6" s="716"/>
      <c r="Z6" s="716"/>
      <c r="AA6" s="716"/>
      <c r="AB6" s="716"/>
      <c r="AC6" s="716"/>
      <c r="AD6" s="716"/>
      <c r="AE6" s="716"/>
      <c r="AF6" s="716"/>
      <c r="AG6" s="716"/>
      <c r="AH6" s="716"/>
      <c r="AI6" s="716"/>
      <c r="AJ6" s="716"/>
      <c r="AK6" s="716"/>
      <c r="AL6" s="716"/>
      <c r="AM6" s="716"/>
      <c r="AN6" s="716"/>
      <c r="AO6" s="716"/>
      <c r="AP6" s="716"/>
      <c r="AQ6" s="716"/>
      <c r="AR6" s="716"/>
      <c r="AS6" s="716"/>
      <c r="AT6" s="716"/>
      <c r="AU6" s="716"/>
      <c r="AV6" s="716"/>
      <c r="AW6" s="716"/>
      <c r="AX6" s="716"/>
      <c r="AY6" s="716"/>
      <c r="AZ6" s="716"/>
      <c r="BA6" s="716"/>
      <c r="BB6" s="716"/>
      <c r="BC6" s="716"/>
      <c r="BD6" s="716"/>
      <c r="BE6" s="716"/>
      <c r="BF6" s="716"/>
      <c r="BG6" s="716"/>
      <c r="BH6" s="716"/>
      <c r="BI6" s="716"/>
      <c r="BJ6" s="716"/>
      <c r="BK6" s="716"/>
      <c r="BL6" s="716"/>
      <c r="BM6" s="716"/>
      <c r="BN6" s="716"/>
      <c r="BO6" s="716"/>
      <c r="BP6" s="716"/>
      <c r="BQ6" s="716"/>
      <c r="BR6" s="716"/>
      <c r="BS6" s="716"/>
      <c r="BT6" s="716"/>
      <c r="BU6" s="716"/>
      <c r="BV6" s="716"/>
      <c r="BW6" s="716"/>
      <c r="BX6" s="716"/>
      <c r="BY6" s="716"/>
      <c r="BZ6" s="716"/>
      <c r="CA6" s="716"/>
      <c r="CB6" s="716"/>
      <c r="CC6" s="716"/>
      <c r="CD6" s="716"/>
      <c r="CE6" s="716"/>
      <c r="CF6" s="716"/>
      <c r="CG6" s="716"/>
      <c r="CH6" s="716"/>
      <c r="CI6" s="716"/>
      <c r="CJ6" s="716"/>
      <c r="CK6" s="716"/>
      <c r="CL6" s="716"/>
      <c r="CM6" s="716"/>
      <c r="CN6" s="716"/>
      <c r="CO6" s="716"/>
      <c r="CP6" s="716"/>
      <c r="CQ6" s="716"/>
      <c r="CR6" s="716"/>
      <c r="CS6" s="716"/>
      <c r="CT6" s="716"/>
      <c r="CU6" s="716"/>
      <c r="CV6" s="716"/>
      <c r="CW6" s="716"/>
      <c r="CX6" s="716"/>
      <c r="CY6" s="716"/>
      <c r="CZ6" s="716"/>
      <c r="DA6" s="716"/>
      <c r="DB6" s="716"/>
      <c r="DC6" s="716"/>
      <c r="DD6" s="716"/>
      <c r="DE6" s="716"/>
      <c r="DF6" s="716"/>
      <c r="DG6" s="716"/>
      <c r="DH6" s="716"/>
      <c r="DI6" s="716"/>
      <c r="DJ6" s="716"/>
      <c r="DK6" s="716"/>
      <c r="DL6" s="716"/>
      <c r="DM6" s="716"/>
      <c r="DN6" s="716"/>
      <c r="DO6" s="716"/>
      <c r="DP6" s="716"/>
      <c r="DQ6" s="716"/>
      <c r="DR6" s="716"/>
      <c r="DS6" s="716"/>
      <c r="DT6" s="716"/>
      <c r="DU6" s="716"/>
      <c r="DV6" s="716"/>
      <c r="DW6" s="716"/>
      <c r="DX6" s="716"/>
      <c r="DY6" s="716"/>
      <c r="DZ6" s="716"/>
      <c r="EA6" s="716"/>
      <c r="EB6" s="716"/>
      <c r="EC6" s="716"/>
      <c r="ED6" s="716"/>
      <c r="EE6" s="716"/>
      <c r="EF6" s="716"/>
      <c r="EG6" s="716"/>
      <c r="EH6" s="716"/>
      <c r="EI6" s="716"/>
      <c r="EJ6" s="716"/>
      <c r="EK6" s="716"/>
      <c r="EL6" s="716"/>
      <c r="EM6" s="716"/>
      <c r="EN6" s="716"/>
      <c r="EO6" s="716"/>
      <c r="EP6" s="716"/>
      <c r="EQ6" s="716"/>
      <c r="ER6" s="716"/>
      <c r="ES6" s="716"/>
      <c r="ET6" s="716"/>
      <c r="EU6" s="716"/>
      <c r="EV6" s="716"/>
      <c r="EW6" s="716"/>
      <c r="EX6" s="716"/>
      <c r="EY6" s="716"/>
      <c r="EZ6" s="716"/>
      <c r="FA6" s="716"/>
      <c r="FB6" s="716"/>
      <c r="FC6" s="716"/>
      <c r="FD6" s="716"/>
      <c r="FE6" s="716"/>
      <c r="FF6" s="716"/>
      <c r="FG6" s="716"/>
      <c r="FH6" s="716"/>
      <c r="FI6" s="716"/>
      <c r="FJ6" s="716"/>
      <c r="FK6" s="716"/>
      <c r="FL6" s="716"/>
      <c r="FM6" s="716"/>
      <c r="FN6" s="716"/>
    </row>
    <row r="7" spans="1:172" ht="16.5" customHeight="1">
      <c r="A7" s="1106">
        <v>5</v>
      </c>
      <c r="B7" s="2232" t="s">
        <v>461</v>
      </c>
      <c r="C7" s="2232"/>
      <c r="D7" s="1108" t="s">
        <v>462</v>
      </c>
      <c r="E7" s="1109" t="s">
        <v>457</v>
      </c>
      <c r="F7" s="1109">
        <f>EDU*2+APP*2</f>
        <v>260</v>
      </c>
      <c r="G7" s="1110" t="s">
        <v>463</v>
      </c>
      <c r="H7" s="2205"/>
      <c r="I7" s="2244"/>
      <c r="J7" s="2245"/>
      <c r="K7" s="2231" t="s">
        <v>464</v>
      </c>
      <c r="L7" s="2231"/>
      <c r="M7" s="1117" t="s">
        <v>460</v>
      </c>
      <c r="N7" s="1118"/>
      <c r="O7" s="1116"/>
      <c r="P7" s="1116"/>
      <c r="Q7" s="421"/>
      <c r="R7" s="1131"/>
      <c r="S7" s="716"/>
      <c r="T7" s="716"/>
      <c r="U7" s="716"/>
      <c r="V7" s="716"/>
      <c r="W7" s="716"/>
      <c r="X7" s="716"/>
      <c r="Y7" s="716"/>
      <c r="Z7" s="716"/>
      <c r="AA7" s="716"/>
      <c r="AB7" s="716"/>
      <c r="AC7" s="716"/>
      <c r="AD7" s="716"/>
      <c r="AE7" s="716"/>
      <c r="AF7" s="716"/>
      <c r="AG7" s="716"/>
      <c r="AH7" s="716"/>
      <c r="AI7" s="716"/>
      <c r="AJ7" s="716"/>
      <c r="AK7" s="716"/>
      <c r="AL7" s="716"/>
      <c r="AM7" s="716"/>
      <c r="AN7" s="716"/>
      <c r="AO7" s="716"/>
      <c r="AP7" s="716"/>
      <c r="AQ7" s="716"/>
      <c r="AR7" s="716"/>
      <c r="AS7" s="716"/>
      <c r="AT7" s="716"/>
      <c r="AU7" s="716"/>
      <c r="AV7" s="716"/>
      <c r="AW7" s="716"/>
      <c r="AX7" s="716"/>
      <c r="AY7" s="716"/>
      <c r="AZ7" s="716"/>
      <c r="BA7" s="716"/>
      <c r="BB7" s="716"/>
      <c r="BC7" s="716"/>
      <c r="BD7" s="716"/>
      <c r="BE7" s="716"/>
      <c r="BF7" s="716"/>
      <c r="BG7" s="716"/>
      <c r="BH7" s="716"/>
      <c r="BI7" s="716"/>
      <c r="BJ7" s="716"/>
      <c r="BK7" s="716"/>
      <c r="BL7" s="716"/>
      <c r="BM7" s="716"/>
      <c r="BN7" s="716"/>
      <c r="BO7" s="716"/>
      <c r="BP7" s="716"/>
      <c r="BQ7" s="716"/>
      <c r="BR7" s="716"/>
      <c r="BS7" s="716"/>
      <c r="BT7" s="716"/>
      <c r="BU7" s="716"/>
      <c r="BV7" s="716"/>
      <c r="BW7" s="716"/>
      <c r="BX7" s="716"/>
      <c r="BY7" s="716"/>
      <c r="BZ7" s="716"/>
      <c r="CA7" s="716"/>
      <c r="CB7" s="716"/>
      <c r="CC7" s="716"/>
      <c r="CD7" s="716"/>
      <c r="CE7" s="716"/>
      <c r="CF7" s="716"/>
      <c r="CG7" s="716"/>
      <c r="CH7" s="716"/>
      <c r="CI7" s="716"/>
      <c r="CJ7" s="716"/>
      <c r="CK7" s="716"/>
      <c r="CL7" s="716"/>
      <c r="CM7" s="716"/>
      <c r="CN7" s="716"/>
      <c r="CO7" s="716"/>
      <c r="CP7" s="716"/>
      <c r="CQ7" s="716"/>
      <c r="CR7" s="716"/>
      <c r="CS7" s="716"/>
      <c r="CT7" s="716"/>
      <c r="CU7" s="716"/>
      <c r="CV7" s="716"/>
      <c r="CW7" s="716"/>
      <c r="CX7" s="716"/>
      <c r="CY7" s="716"/>
      <c r="CZ7" s="716"/>
      <c r="DA7" s="716"/>
      <c r="DB7" s="716"/>
      <c r="DC7" s="716"/>
      <c r="DD7" s="716"/>
      <c r="DE7" s="716"/>
      <c r="DF7" s="716"/>
      <c r="DG7" s="716"/>
      <c r="DH7" s="716"/>
      <c r="DI7" s="716"/>
      <c r="DJ7" s="716"/>
      <c r="DK7" s="716"/>
      <c r="DL7" s="716"/>
      <c r="DM7" s="716"/>
      <c r="DN7" s="716"/>
      <c r="DO7" s="716"/>
      <c r="DP7" s="716"/>
      <c r="DQ7" s="716"/>
      <c r="DR7" s="716"/>
      <c r="DS7" s="716"/>
      <c r="DT7" s="716"/>
      <c r="DU7" s="716"/>
      <c r="DV7" s="716"/>
      <c r="DW7" s="716"/>
      <c r="DX7" s="716"/>
      <c r="DY7" s="716"/>
      <c r="DZ7" s="716"/>
      <c r="EA7" s="716"/>
      <c r="EB7" s="716"/>
      <c r="EC7" s="716"/>
      <c r="ED7" s="716"/>
      <c r="EE7" s="716"/>
      <c r="EF7" s="716"/>
      <c r="EG7" s="716"/>
      <c r="EH7" s="716"/>
      <c r="EI7" s="716"/>
      <c r="EJ7" s="716"/>
      <c r="EK7" s="716"/>
      <c r="EL7" s="716"/>
      <c r="EM7" s="716"/>
      <c r="EN7" s="716"/>
      <c r="EO7" s="716"/>
      <c r="EP7" s="716"/>
      <c r="EQ7" s="716"/>
      <c r="ER7" s="716"/>
      <c r="ES7" s="716"/>
      <c r="ET7" s="716"/>
      <c r="EU7" s="716"/>
      <c r="EV7" s="716"/>
      <c r="EW7" s="716"/>
      <c r="EX7" s="716"/>
      <c r="EY7" s="716"/>
      <c r="EZ7" s="716"/>
      <c r="FA7" s="716"/>
      <c r="FB7" s="716"/>
      <c r="FC7" s="716"/>
      <c r="FD7" s="716"/>
      <c r="FE7" s="716"/>
      <c r="FF7" s="716"/>
      <c r="FG7" s="716"/>
      <c r="FH7" s="716"/>
      <c r="FI7" s="716"/>
      <c r="FJ7" s="716"/>
      <c r="FK7" s="716"/>
      <c r="FL7" s="716"/>
      <c r="FM7" s="716"/>
      <c r="FN7" s="716"/>
    </row>
    <row r="8" spans="1:172">
      <c r="A8" s="1095">
        <v>6</v>
      </c>
      <c r="B8" s="2230" t="s">
        <v>465</v>
      </c>
      <c r="C8" s="2230"/>
      <c r="D8" s="1094" t="s">
        <v>466</v>
      </c>
      <c r="E8" s="1094" t="s">
        <v>467</v>
      </c>
      <c r="F8" s="1104">
        <f>EDU*2+MAX(STR*2,DEX*2)</f>
        <v>260</v>
      </c>
      <c r="G8" s="1105" t="s">
        <v>468</v>
      </c>
      <c r="H8" s="2205"/>
      <c r="I8" s="2244"/>
      <c r="J8" s="2245"/>
      <c r="K8" s="2231" t="s">
        <v>469</v>
      </c>
      <c r="L8" s="2231"/>
      <c r="M8" s="1117" t="s">
        <v>470</v>
      </c>
      <c r="N8" s="1118"/>
      <c r="O8" s="1089"/>
      <c r="P8" s="1089"/>
      <c r="Q8" s="421"/>
      <c r="R8" s="1130"/>
    </row>
    <row r="9" spans="1:172">
      <c r="A9" s="1106">
        <v>7</v>
      </c>
      <c r="B9" s="2232" t="s">
        <v>471</v>
      </c>
      <c r="C9" s="2232"/>
      <c r="D9" s="1108" t="s">
        <v>472</v>
      </c>
      <c r="E9" s="1109" t="s">
        <v>473</v>
      </c>
      <c r="F9" s="1109">
        <f>EDU*4</f>
        <v>240</v>
      </c>
      <c r="G9" s="1110" t="s">
        <v>474</v>
      </c>
      <c r="H9" s="2205"/>
      <c r="I9" s="2244" t="s">
        <v>225</v>
      </c>
      <c r="J9" s="2245"/>
      <c r="K9" s="2231" t="s">
        <v>475</v>
      </c>
      <c r="L9" s="2231"/>
      <c r="M9" s="1117" t="s">
        <v>476</v>
      </c>
      <c r="N9" s="1118"/>
      <c r="O9" s="1089"/>
      <c r="P9" s="1089"/>
      <c r="Q9" s="421"/>
      <c r="R9" s="1129"/>
      <c r="S9" s="716"/>
      <c r="T9" s="716"/>
      <c r="U9" s="716"/>
      <c r="V9" s="716"/>
      <c r="W9" s="716"/>
      <c r="X9" s="716"/>
      <c r="Y9" s="716"/>
      <c r="Z9" s="716"/>
      <c r="AA9" s="716"/>
      <c r="AB9" s="716"/>
      <c r="AC9" s="716"/>
      <c r="AD9" s="716"/>
      <c r="AE9" s="716"/>
      <c r="AF9" s="716"/>
      <c r="AG9" s="716"/>
      <c r="AH9" s="716"/>
      <c r="AI9" s="716"/>
      <c r="AJ9" s="716"/>
      <c r="AK9" s="716"/>
      <c r="AL9" s="716"/>
    </row>
    <row r="10" spans="1:172">
      <c r="A10" s="1095">
        <v>8</v>
      </c>
      <c r="B10" s="2230" t="s">
        <v>477</v>
      </c>
      <c r="C10" s="2230"/>
      <c r="D10" s="1094" t="s">
        <v>478</v>
      </c>
      <c r="E10" s="1094" t="s">
        <v>479</v>
      </c>
      <c r="F10" s="1104">
        <f>EDU*2+MAX(APP*2,POW*2)</f>
        <v>280</v>
      </c>
      <c r="G10" s="1105" t="s">
        <v>480</v>
      </c>
      <c r="H10" s="2205"/>
      <c r="I10" s="2244" t="s">
        <v>225</v>
      </c>
      <c r="J10" s="2245"/>
      <c r="K10" s="2231" t="s">
        <v>481</v>
      </c>
      <c r="L10" s="2231"/>
      <c r="M10" s="1117" t="s">
        <v>482</v>
      </c>
      <c r="N10" s="1118"/>
      <c r="O10" s="1089"/>
      <c r="P10" s="1089"/>
      <c r="Q10" s="421"/>
      <c r="R10" s="1129"/>
      <c r="S10" s="421"/>
      <c r="T10" s="421"/>
      <c r="U10" s="421"/>
      <c r="V10" s="421"/>
      <c r="W10" s="421"/>
      <c r="X10" s="421"/>
      <c r="Y10" s="421"/>
      <c r="Z10" s="421"/>
      <c r="AA10" s="421"/>
      <c r="AB10" s="421"/>
      <c r="AC10" s="421"/>
      <c r="AD10" s="421"/>
      <c r="AE10" s="421"/>
      <c r="AF10" s="421"/>
      <c r="AG10" s="421"/>
      <c r="AH10" s="716"/>
      <c r="AI10" s="716"/>
      <c r="AJ10" s="716"/>
      <c r="AK10" s="716"/>
      <c r="AL10" s="716"/>
    </row>
    <row r="11" spans="1:172" ht="17.25" customHeight="1">
      <c r="A11" s="1106">
        <v>9</v>
      </c>
      <c r="B11" s="2232" t="s">
        <v>483</v>
      </c>
      <c r="C11" s="2232"/>
      <c r="D11" s="1108" t="s">
        <v>444</v>
      </c>
      <c r="E11" s="1109" t="s">
        <v>473</v>
      </c>
      <c r="F11" s="1109">
        <f>EDU*4</f>
        <v>240</v>
      </c>
      <c r="G11" s="1110" t="s">
        <v>484</v>
      </c>
      <c r="I11" s="1119" t="s">
        <v>485</v>
      </c>
      <c r="J11" s="1120"/>
      <c r="K11" s="2231" t="s">
        <v>486</v>
      </c>
      <c r="L11" s="2231"/>
      <c r="M11" s="1117" t="s">
        <v>487</v>
      </c>
      <c r="N11" s="1118"/>
      <c r="O11" s="1089"/>
      <c r="P11" s="1089"/>
      <c r="Q11" s="421"/>
      <c r="R11" s="1129"/>
      <c r="S11" s="421"/>
      <c r="T11" s="421"/>
      <c r="U11" s="421"/>
      <c r="V11" s="421"/>
      <c r="W11" s="421"/>
      <c r="X11" s="421"/>
      <c r="Y11" s="421"/>
      <c r="Z11" s="421"/>
      <c r="AA11" s="421"/>
      <c r="AB11" s="421"/>
      <c r="AC11" s="421"/>
      <c r="AD11" s="421"/>
      <c r="AE11" s="421"/>
      <c r="AF11" s="421"/>
      <c r="AG11" s="421"/>
      <c r="AH11" s="716"/>
      <c r="AI11" s="716"/>
      <c r="AJ11" s="716"/>
      <c r="AK11" s="716"/>
      <c r="AL11" s="716"/>
    </row>
    <row r="12" spans="1:172">
      <c r="A12" s="1095">
        <v>10</v>
      </c>
      <c r="B12" s="2230" t="s">
        <v>488</v>
      </c>
      <c r="C12" s="2230"/>
      <c r="D12" s="1094" t="s">
        <v>489</v>
      </c>
      <c r="E12" s="1094" t="s">
        <v>473</v>
      </c>
      <c r="F12" s="1104">
        <f>EDU*4</f>
        <v>240</v>
      </c>
      <c r="G12" s="1105" t="s">
        <v>490</v>
      </c>
      <c r="H12" s="787"/>
      <c r="I12" s="787"/>
      <c r="J12" s="787"/>
      <c r="K12" s="2231" t="s">
        <v>491</v>
      </c>
      <c r="L12" s="2231"/>
      <c r="M12" s="1117" t="s">
        <v>492</v>
      </c>
      <c r="N12" s="1118"/>
      <c r="O12" s="1089"/>
      <c r="P12" s="1089"/>
      <c r="Q12" s="421"/>
      <c r="R12" s="1129"/>
      <c r="S12" s="421"/>
      <c r="T12" s="421"/>
      <c r="U12" s="421"/>
      <c r="V12" s="421"/>
      <c r="W12" s="421"/>
      <c r="X12" s="421"/>
      <c r="Y12" s="421"/>
      <c r="Z12" s="421"/>
      <c r="AA12" s="421"/>
      <c r="AB12" s="421"/>
      <c r="AC12" s="421"/>
      <c r="AD12" s="421"/>
      <c r="AE12" s="421"/>
      <c r="AF12" s="421"/>
      <c r="AG12" s="421"/>
      <c r="AH12" s="716"/>
      <c r="AI12" s="716"/>
      <c r="AJ12" s="716"/>
      <c r="AK12" s="716"/>
      <c r="AL12" s="716"/>
    </row>
    <row r="13" spans="1:172">
      <c r="A13" s="1106">
        <v>11</v>
      </c>
      <c r="B13" s="2232" t="s">
        <v>493</v>
      </c>
      <c r="C13" s="2232"/>
      <c r="D13" s="1108" t="s">
        <v>478</v>
      </c>
      <c r="E13" s="1109" t="s">
        <v>473</v>
      </c>
      <c r="F13" s="1109">
        <f>EDU*4</f>
        <v>240</v>
      </c>
      <c r="G13" s="1107" t="s">
        <v>494</v>
      </c>
      <c r="H13" s="2241" t="s">
        <v>495</v>
      </c>
      <c r="I13" s="2242"/>
      <c r="J13" s="2243"/>
      <c r="K13" s="2231" t="s">
        <v>496</v>
      </c>
      <c r="L13" s="2231"/>
      <c r="M13" s="1117" t="s">
        <v>497</v>
      </c>
      <c r="N13" s="1118"/>
      <c r="O13" s="1089"/>
      <c r="P13" s="1089"/>
      <c r="Q13" s="421"/>
      <c r="R13" s="1129"/>
      <c r="S13" s="421"/>
      <c r="T13" s="421"/>
      <c r="U13" s="421"/>
      <c r="V13" s="421"/>
      <c r="W13" s="421"/>
      <c r="X13" s="421"/>
      <c r="Y13" s="421"/>
      <c r="Z13" s="421"/>
      <c r="AA13" s="421"/>
      <c r="AB13" s="421"/>
      <c r="AC13" s="421"/>
      <c r="AD13" s="421"/>
      <c r="AE13" s="421"/>
      <c r="AF13" s="421"/>
      <c r="AG13" s="421"/>
      <c r="AH13" s="716"/>
      <c r="AI13" s="716"/>
      <c r="AJ13" s="716"/>
      <c r="AK13" s="716"/>
      <c r="AL13" s="716"/>
    </row>
    <row r="14" spans="1:172">
      <c r="A14" s="1095">
        <v>12</v>
      </c>
      <c r="B14" s="2230" t="s">
        <v>498</v>
      </c>
      <c r="C14" s="2230"/>
      <c r="D14" s="1094" t="s">
        <v>444</v>
      </c>
      <c r="E14" s="1094" t="s">
        <v>473</v>
      </c>
      <c r="F14" s="1104">
        <f>EDU*4</f>
        <v>240</v>
      </c>
      <c r="G14" s="1103" t="s">
        <v>499</v>
      </c>
      <c r="H14" s="1111" t="s">
        <v>500</v>
      </c>
      <c r="I14" s="1121" t="s">
        <v>501</v>
      </c>
      <c r="J14" s="1122" t="s">
        <v>502</v>
      </c>
      <c r="K14" s="2231" t="s">
        <v>503</v>
      </c>
      <c r="L14" s="2231"/>
      <c r="M14" s="1117" t="s">
        <v>504</v>
      </c>
      <c r="N14" s="1118"/>
      <c r="O14" s="1089"/>
      <c r="P14" s="1089"/>
      <c r="Q14" s="421"/>
      <c r="R14" s="1129"/>
      <c r="S14" s="421"/>
      <c r="T14" s="421"/>
      <c r="U14" s="421"/>
      <c r="V14" s="421"/>
      <c r="W14" s="421"/>
      <c r="X14" s="421"/>
      <c r="Y14" s="421"/>
      <c r="Z14" s="421"/>
      <c r="AA14" s="421"/>
      <c r="AB14" s="421"/>
      <c r="AC14" s="421"/>
      <c r="AD14" s="421"/>
      <c r="AE14" s="421"/>
      <c r="AF14" s="421"/>
      <c r="AG14" s="421"/>
      <c r="AH14" s="716"/>
      <c r="AI14" s="716"/>
      <c r="AJ14" s="716"/>
      <c r="AK14" s="716"/>
      <c r="AL14" s="716"/>
    </row>
    <row r="15" spans="1:172" ht="17.25" customHeight="1">
      <c r="A15" s="1106">
        <v>13</v>
      </c>
      <c r="B15" s="2232" t="s">
        <v>505</v>
      </c>
      <c r="C15" s="2232"/>
      <c r="D15" s="1108" t="s">
        <v>506</v>
      </c>
      <c r="E15" s="1109" t="s">
        <v>507</v>
      </c>
      <c r="F15" s="1109">
        <f>EDU*2+MAX(DEX*2,POW*2)</f>
        <v>280</v>
      </c>
      <c r="G15" s="1107" t="s">
        <v>508</v>
      </c>
      <c r="H15" s="1112" t="s">
        <v>380</v>
      </c>
      <c r="I15" s="1123" t="s">
        <v>179</v>
      </c>
      <c r="J15" s="1124">
        <f>IF(I15="√",2,0)</f>
        <v>0</v>
      </c>
      <c r="K15" s="2231" t="s">
        <v>509</v>
      </c>
      <c r="L15" s="2231"/>
      <c r="M15" s="1117" t="s">
        <v>510</v>
      </c>
      <c r="N15" s="1118"/>
      <c r="O15" s="1089"/>
      <c r="P15" s="1089"/>
      <c r="Q15" s="421"/>
      <c r="R15" s="1129"/>
      <c r="S15" s="421"/>
      <c r="T15" s="421"/>
      <c r="U15" s="421"/>
      <c r="V15" s="421"/>
      <c r="W15" s="421"/>
      <c r="X15" s="421"/>
      <c r="Y15" s="421"/>
      <c r="Z15" s="421"/>
      <c r="AA15" s="421"/>
      <c r="AB15" s="421"/>
      <c r="AC15" s="421"/>
      <c r="AD15" s="421"/>
      <c r="AE15" s="421"/>
      <c r="AF15" s="421"/>
      <c r="AG15" s="421"/>
      <c r="AH15" s="716"/>
      <c r="AI15" s="716"/>
      <c r="AJ15" s="716"/>
      <c r="AK15" s="716"/>
      <c r="AL15" s="716"/>
    </row>
    <row r="16" spans="1:172" ht="17.25" customHeight="1">
      <c r="A16" s="1095">
        <v>14</v>
      </c>
      <c r="B16" s="2230" t="s">
        <v>511</v>
      </c>
      <c r="C16" s="2230"/>
      <c r="D16" s="1094" t="s">
        <v>512</v>
      </c>
      <c r="E16" s="1094" t="s">
        <v>467</v>
      </c>
      <c r="F16" s="1104">
        <f>EDU*2+MAX(STR*2,DEX*2)</f>
        <v>260</v>
      </c>
      <c r="G16" s="1103" t="s">
        <v>513</v>
      </c>
      <c r="H16" s="1113" t="s">
        <v>385</v>
      </c>
      <c r="I16" s="1125" t="s">
        <v>179</v>
      </c>
      <c r="J16" s="1126">
        <f>IF(I16="√",2,0)</f>
        <v>0</v>
      </c>
      <c r="K16" s="2231" t="s">
        <v>514</v>
      </c>
      <c r="L16" s="2231"/>
      <c r="M16" s="1117" t="s">
        <v>515</v>
      </c>
      <c r="N16" s="1118"/>
      <c r="O16" s="1089"/>
      <c r="P16" s="1089"/>
      <c r="Q16" s="421"/>
      <c r="R16" s="1129"/>
      <c r="S16" s="421"/>
      <c r="T16" s="421"/>
      <c r="U16" s="421"/>
      <c r="V16" s="421"/>
      <c r="W16" s="421"/>
      <c r="X16" s="421"/>
      <c r="Y16" s="421"/>
      <c r="Z16" s="421"/>
      <c r="AA16" s="421"/>
      <c r="AB16" s="421"/>
      <c r="AC16" s="421"/>
      <c r="AD16" s="421"/>
      <c r="AE16" s="421"/>
      <c r="AF16" s="421"/>
      <c r="AG16" s="421"/>
      <c r="AH16" s="716"/>
      <c r="AI16" s="716"/>
      <c r="AJ16" s="716"/>
      <c r="AK16" s="716"/>
      <c r="AL16" s="716"/>
    </row>
    <row r="17" spans="1:38" ht="16.5" customHeight="1">
      <c r="A17" s="1106">
        <v>15</v>
      </c>
      <c r="B17" s="2232" t="s">
        <v>516</v>
      </c>
      <c r="C17" s="2232"/>
      <c r="D17" s="1108" t="s">
        <v>517</v>
      </c>
      <c r="E17" s="1109" t="s">
        <v>467</v>
      </c>
      <c r="F17" s="1109">
        <f>EDU*2+MAX(STR*2,DEX*2)</f>
        <v>260</v>
      </c>
      <c r="G17" s="1107" t="s">
        <v>518</v>
      </c>
      <c r="H17" s="1112" t="s">
        <v>390</v>
      </c>
      <c r="I17" s="1123" t="s">
        <v>179</v>
      </c>
      <c r="J17" s="1124">
        <f>IF(I17="√",2,0)</f>
        <v>0</v>
      </c>
      <c r="K17" s="2231" t="s">
        <v>519</v>
      </c>
      <c r="L17" s="2231"/>
      <c r="M17" s="1117" t="s">
        <v>520</v>
      </c>
      <c r="N17" s="1118"/>
      <c r="O17" s="1089"/>
      <c r="P17" s="1089"/>
      <c r="Q17" s="421"/>
      <c r="R17" s="1129"/>
      <c r="S17" s="421"/>
      <c r="T17" s="421"/>
      <c r="U17" s="421"/>
      <c r="V17" s="421"/>
      <c r="W17" s="421"/>
      <c r="X17" s="421"/>
      <c r="Y17" s="421"/>
      <c r="Z17" s="421"/>
      <c r="AA17" s="421"/>
      <c r="AB17" s="421"/>
      <c r="AC17" s="421"/>
      <c r="AD17" s="421"/>
      <c r="AE17" s="421"/>
      <c r="AF17" s="421"/>
      <c r="AG17" s="421"/>
      <c r="AH17" s="716"/>
      <c r="AI17" s="716"/>
      <c r="AJ17" s="716"/>
      <c r="AK17" s="716"/>
      <c r="AL17" s="716"/>
    </row>
    <row r="18" spans="1:38">
      <c r="A18" s="1095">
        <v>16</v>
      </c>
      <c r="B18" s="2230" t="s">
        <v>521</v>
      </c>
      <c r="C18" s="2230"/>
      <c r="D18" s="1094" t="s">
        <v>522</v>
      </c>
      <c r="E18" s="1094" t="s">
        <v>473</v>
      </c>
      <c r="F18" s="1104">
        <f>EDU*4</f>
        <v>240</v>
      </c>
      <c r="G18" s="1103" t="s">
        <v>523</v>
      </c>
      <c r="H18" s="1113" t="s">
        <v>396</v>
      </c>
      <c r="I18" s="1125" t="s">
        <v>179</v>
      </c>
      <c r="J18" s="1126">
        <f t="shared" ref="J18:J23" si="0">IF(I18="√",2,0)</f>
        <v>0</v>
      </c>
      <c r="K18" s="2231" t="s">
        <v>524</v>
      </c>
      <c r="L18" s="2231"/>
      <c r="M18" s="1117" t="s">
        <v>525</v>
      </c>
      <c r="N18" s="1118"/>
      <c r="O18" s="1089"/>
      <c r="P18" s="1089"/>
      <c r="Q18" s="421"/>
      <c r="R18" s="1129"/>
      <c r="S18" s="421"/>
      <c r="T18" s="421"/>
      <c r="U18" s="421"/>
      <c r="V18" s="421"/>
      <c r="W18" s="421"/>
      <c r="X18" s="421"/>
      <c r="Y18" s="421"/>
      <c r="Z18" s="421"/>
      <c r="AA18" s="421"/>
      <c r="AB18" s="421"/>
      <c r="AC18" s="421"/>
      <c r="AD18" s="421"/>
      <c r="AE18" s="421"/>
      <c r="AF18" s="421"/>
      <c r="AG18" s="421"/>
      <c r="AH18" s="716"/>
      <c r="AI18" s="716"/>
      <c r="AJ18" s="716"/>
      <c r="AK18" s="716"/>
      <c r="AL18" s="716"/>
    </row>
    <row r="19" spans="1:38" ht="16.5" customHeight="1">
      <c r="A19" s="1106">
        <v>17</v>
      </c>
      <c r="B19" s="2232" t="s">
        <v>526</v>
      </c>
      <c r="C19" s="2232"/>
      <c r="D19" s="1108" t="s">
        <v>527</v>
      </c>
      <c r="E19" s="1109" t="s">
        <v>457</v>
      </c>
      <c r="F19" s="1109">
        <f>EDU*2+APP*2</f>
        <v>260</v>
      </c>
      <c r="G19" s="1107" t="s">
        <v>528</v>
      </c>
      <c r="H19" s="1112" t="s">
        <v>398</v>
      </c>
      <c r="I19" s="1123" t="s">
        <v>179</v>
      </c>
      <c r="J19" s="1124">
        <f t="shared" si="0"/>
        <v>0</v>
      </c>
      <c r="K19" s="2231" t="s">
        <v>529</v>
      </c>
      <c r="L19" s="2231"/>
      <c r="M19" s="1117" t="s">
        <v>530</v>
      </c>
      <c r="N19" s="1118"/>
      <c r="O19" s="1089"/>
      <c r="P19" s="1089"/>
      <c r="Q19" s="421"/>
      <c r="R19" s="1129"/>
      <c r="S19" s="421"/>
      <c r="T19" s="421"/>
      <c r="U19" s="421"/>
      <c r="V19" s="421"/>
      <c r="W19" s="421"/>
      <c r="X19" s="421"/>
      <c r="Y19" s="421"/>
      <c r="Z19" s="421"/>
      <c r="AA19" s="421"/>
      <c r="AB19" s="421"/>
      <c r="AC19" s="421"/>
      <c r="AD19" s="421"/>
      <c r="AE19" s="421"/>
      <c r="AF19" s="421"/>
      <c r="AG19" s="421"/>
      <c r="AH19" s="716"/>
      <c r="AI19" s="716"/>
      <c r="AJ19" s="716"/>
      <c r="AK19" s="716"/>
      <c r="AL19" s="716"/>
    </row>
    <row r="20" spans="1:38" ht="16.5" customHeight="1">
      <c r="A20" s="1095">
        <v>18</v>
      </c>
      <c r="B20" s="2230" t="s">
        <v>531</v>
      </c>
      <c r="C20" s="2230"/>
      <c r="D20" s="1094" t="s">
        <v>532</v>
      </c>
      <c r="E20" s="1094" t="s">
        <v>467</v>
      </c>
      <c r="F20" s="1104">
        <f>EDU*2+MAX(STR*2,DEX*2)</f>
        <v>260</v>
      </c>
      <c r="G20" s="1103" t="s">
        <v>533</v>
      </c>
      <c r="H20" s="1113" t="s">
        <v>400</v>
      </c>
      <c r="I20" s="1125" t="s">
        <v>179</v>
      </c>
      <c r="J20" s="1126">
        <f t="shared" si="0"/>
        <v>0</v>
      </c>
      <c r="K20" s="2231" t="s">
        <v>534</v>
      </c>
      <c r="L20" s="2231"/>
      <c r="M20" s="1117" t="s">
        <v>535</v>
      </c>
      <c r="N20" s="1118"/>
      <c r="O20" s="1089"/>
      <c r="P20" s="1089"/>
      <c r="Q20" s="421"/>
      <c r="R20" s="1129"/>
      <c r="S20" s="516"/>
      <c r="T20" s="516"/>
      <c r="U20" s="516"/>
      <c r="V20" s="516"/>
      <c r="W20" s="516"/>
      <c r="X20" s="516"/>
      <c r="Y20" s="516"/>
      <c r="Z20" s="516"/>
      <c r="AA20" s="516"/>
      <c r="AB20" s="516"/>
      <c r="AC20" s="516"/>
      <c r="AD20" s="516"/>
      <c r="AE20" s="716"/>
      <c r="AF20" s="716"/>
      <c r="AG20" s="716"/>
      <c r="AH20" s="716"/>
      <c r="AI20" s="716"/>
      <c r="AJ20" s="716"/>
      <c r="AK20" s="716"/>
      <c r="AL20" s="716"/>
    </row>
    <row r="21" spans="1:38">
      <c r="A21" s="1106">
        <v>19</v>
      </c>
      <c r="B21" s="2232" t="s">
        <v>536</v>
      </c>
      <c r="C21" s="2232"/>
      <c r="D21" s="1108" t="s">
        <v>537</v>
      </c>
      <c r="E21" s="1109" t="s">
        <v>473</v>
      </c>
      <c r="F21" s="1109">
        <f>EDU*4</f>
        <v>240</v>
      </c>
      <c r="G21" s="1107" t="s">
        <v>538</v>
      </c>
      <c r="H21" s="1112" t="s">
        <v>407</v>
      </c>
      <c r="I21" s="1123" t="s">
        <v>539</v>
      </c>
      <c r="J21" s="1124">
        <f>IF(I21="√",IF(SUM(J15:J20,J22:J23)&gt;0,2,4),0)</f>
        <v>4</v>
      </c>
      <c r="K21" s="2231" t="s">
        <v>540</v>
      </c>
      <c r="L21" s="2231"/>
      <c r="M21" s="1117" t="s">
        <v>541</v>
      </c>
      <c r="N21" s="1118"/>
      <c r="O21" s="1089"/>
      <c r="P21" s="1089"/>
      <c r="Q21" s="421"/>
      <c r="R21" s="1131"/>
      <c r="S21" s="516"/>
      <c r="T21" s="516"/>
      <c r="U21" s="516"/>
      <c r="V21" s="516"/>
      <c r="W21" s="516"/>
      <c r="X21" s="516"/>
      <c r="Y21" s="516"/>
      <c r="Z21" s="516"/>
      <c r="AA21" s="516"/>
      <c r="AB21" s="516"/>
      <c r="AC21" s="516"/>
      <c r="AD21" s="516"/>
      <c r="AE21" s="716"/>
      <c r="AF21" s="716"/>
      <c r="AG21" s="716"/>
      <c r="AH21" s="716"/>
      <c r="AI21" s="716"/>
      <c r="AJ21" s="716"/>
      <c r="AK21" s="716"/>
      <c r="AL21" s="716"/>
    </row>
    <row r="22" spans="1:38" ht="16.5" customHeight="1">
      <c r="A22" s="1095">
        <v>20</v>
      </c>
      <c r="B22" s="2230" t="s">
        <v>542</v>
      </c>
      <c r="C22" s="2230"/>
      <c r="D22" s="1094" t="s">
        <v>522</v>
      </c>
      <c r="E22" s="1094" t="s">
        <v>467</v>
      </c>
      <c r="F22" s="1104">
        <f>EDU*2+MAX(STR*2,DEX*2)</f>
        <v>260</v>
      </c>
      <c r="G22" s="1103" t="s">
        <v>543</v>
      </c>
      <c r="H22" s="1113" t="s">
        <v>403</v>
      </c>
      <c r="I22" s="1125" t="s">
        <v>179</v>
      </c>
      <c r="J22" s="1126">
        <f t="shared" si="0"/>
        <v>0</v>
      </c>
      <c r="K22" s="2231" t="s">
        <v>544</v>
      </c>
      <c r="L22" s="2231"/>
      <c r="M22" s="1117" t="s">
        <v>545</v>
      </c>
      <c r="N22" s="1118"/>
      <c r="O22" s="1089"/>
      <c r="P22" s="1089"/>
      <c r="Q22" s="421"/>
      <c r="R22" s="1131"/>
      <c r="S22" s="516"/>
      <c r="T22" s="516"/>
      <c r="U22" s="516"/>
      <c r="V22" s="516"/>
      <c r="W22" s="516"/>
      <c r="X22" s="516"/>
      <c r="Y22" s="516"/>
      <c r="Z22" s="516"/>
      <c r="AA22" s="516"/>
      <c r="AB22" s="516"/>
      <c r="AC22" s="516"/>
      <c r="AD22" s="516"/>
      <c r="AE22" s="716"/>
      <c r="AF22" s="716"/>
      <c r="AG22" s="716"/>
      <c r="AH22" s="716"/>
      <c r="AI22" s="716"/>
      <c r="AJ22" s="716"/>
      <c r="AK22" s="716"/>
      <c r="AL22" s="716"/>
    </row>
    <row r="23" spans="1:38" ht="16.5" customHeight="1">
      <c r="A23" s="1106">
        <v>21</v>
      </c>
      <c r="B23" s="2232" t="s">
        <v>546</v>
      </c>
      <c r="C23" s="2232"/>
      <c r="D23" s="1108" t="s">
        <v>547</v>
      </c>
      <c r="E23" s="1109" t="s">
        <v>548</v>
      </c>
      <c r="F23" s="1109">
        <f>EDU*2+STR*2</f>
        <v>220</v>
      </c>
      <c r="G23" s="1107" t="s">
        <v>549</v>
      </c>
      <c r="H23" s="1112" t="s">
        <v>412</v>
      </c>
      <c r="I23" s="1123" t="s">
        <v>179</v>
      </c>
      <c r="J23" s="1124">
        <f t="shared" si="0"/>
        <v>0</v>
      </c>
      <c r="K23" s="2231" t="s">
        <v>550</v>
      </c>
      <c r="L23" s="2231"/>
      <c r="M23" s="1117" t="s">
        <v>551</v>
      </c>
      <c r="N23" s="1118"/>
      <c r="O23" s="1089"/>
      <c r="P23" s="1089"/>
      <c r="Q23" s="421"/>
      <c r="R23" s="1129"/>
      <c r="S23" s="516"/>
      <c r="T23" s="516"/>
      <c r="U23" s="516"/>
      <c r="V23" s="516"/>
      <c r="W23" s="516"/>
      <c r="X23" s="516"/>
      <c r="Y23" s="516"/>
      <c r="Z23" s="516"/>
      <c r="AA23" s="516"/>
      <c r="AB23" s="516"/>
      <c r="AC23" s="516"/>
      <c r="AD23" s="716"/>
      <c r="AE23" s="716"/>
      <c r="AF23" s="716"/>
      <c r="AG23" s="716"/>
      <c r="AH23" s="716"/>
      <c r="AI23" s="716"/>
      <c r="AJ23" s="716"/>
      <c r="AK23" s="716"/>
      <c r="AL23" s="716"/>
    </row>
    <row r="24" spans="1:38">
      <c r="A24" s="1095">
        <v>22</v>
      </c>
      <c r="B24" s="2230" t="s">
        <v>552</v>
      </c>
      <c r="C24" s="2230"/>
      <c r="D24" s="1094" t="s">
        <v>456</v>
      </c>
      <c r="E24" s="1094" t="s">
        <v>473</v>
      </c>
      <c r="F24" s="1104">
        <f>EDU*4</f>
        <v>240</v>
      </c>
      <c r="G24" s="1105" t="s">
        <v>553</v>
      </c>
      <c r="H24" s="2238" t="s">
        <v>554</v>
      </c>
      <c r="I24" s="2239"/>
      <c r="J24" s="2240"/>
      <c r="K24" s="1127"/>
      <c r="L24" s="1127"/>
      <c r="M24" s="1127"/>
      <c r="N24" s="1127"/>
      <c r="O24" s="1127"/>
      <c r="P24" s="1127"/>
      <c r="Q24" s="421"/>
      <c r="R24" s="1130"/>
      <c r="S24" s="516"/>
      <c r="T24" s="516"/>
      <c r="U24" s="516"/>
      <c r="V24" s="516"/>
      <c r="W24" s="516"/>
      <c r="X24" s="516"/>
      <c r="Y24" s="516"/>
      <c r="Z24" s="516"/>
      <c r="AA24" s="516"/>
      <c r="AB24" s="516"/>
      <c r="AC24" s="516"/>
      <c r="AD24" s="716"/>
      <c r="AE24" s="716"/>
      <c r="AF24" s="716"/>
      <c r="AG24" s="716"/>
      <c r="AH24" s="716"/>
      <c r="AI24" s="716"/>
      <c r="AJ24" s="716"/>
      <c r="AK24" s="716"/>
      <c r="AL24" s="716"/>
    </row>
    <row r="25" spans="1:38">
      <c r="A25" s="1106">
        <v>23</v>
      </c>
      <c r="B25" s="2232" t="s">
        <v>555</v>
      </c>
      <c r="C25" s="2232"/>
      <c r="D25" s="1108" t="s">
        <v>547</v>
      </c>
      <c r="E25" s="1109" t="s">
        <v>473</v>
      </c>
      <c r="F25" s="1109">
        <f>EDU*4</f>
        <v>240</v>
      </c>
      <c r="G25" s="1110" t="s">
        <v>556</v>
      </c>
      <c r="H25" s="2235" t="s">
        <v>557</v>
      </c>
      <c r="I25" s="2236"/>
      <c r="J25" s="2237"/>
      <c r="K25" s="2231" t="s">
        <v>558</v>
      </c>
      <c r="L25" s="2231"/>
      <c r="M25" s="1117" t="s">
        <v>559</v>
      </c>
      <c r="N25" s="1118"/>
      <c r="O25" s="1089"/>
      <c r="P25" s="1089"/>
      <c r="Q25" s="421"/>
      <c r="R25" s="1131"/>
      <c r="S25" s="716"/>
      <c r="T25" s="716"/>
      <c r="U25" s="716"/>
      <c r="V25" s="716"/>
      <c r="W25" s="716"/>
      <c r="X25" s="716"/>
      <c r="Y25" s="716"/>
      <c r="Z25" s="716"/>
      <c r="AA25" s="716"/>
      <c r="AB25" s="716"/>
      <c r="AC25" s="716"/>
      <c r="AD25" s="716"/>
      <c r="AE25" s="716"/>
      <c r="AF25" s="716"/>
      <c r="AG25" s="716"/>
      <c r="AH25" s="716"/>
      <c r="AI25" s="716"/>
      <c r="AJ25" s="716"/>
      <c r="AK25" s="716"/>
      <c r="AL25" s="716"/>
    </row>
    <row r="26" spans="1:38">
      <c r="A26" s="1095">
        <v>24</v>
      </c>
      <c r="B26" s="2230" t="s">
        <v>560</v>
      </c>
      <c r="C26" s="2230"/>
      <c r="D26" s="1094" t="s">
        <v>561</v>
      </c>
      <c r="E26" s="1094" t="s">
        <v>473</v>
      </c>
      <c r="F26" s="1104">
        <f>EDU*4</f>
        <v>240</v>
      </c>
      <c r="G26" s="1105" t="s">
        <v>562</v>
      </c>
      <c r="J26" s="787"/>
      <c r="K26" s="2231" t="s">
        <v>563</v>
      </c>
      <c r="L26" s="2231"/>
      <c r="M26" s="1117" t="s">
        <v>564</v>
      </c>
      <c r="N26" s="1118"/>
      <c r="O26" s="1089"/>
      <c r="P26" s="1089"/>
      <c r="Q26" s="421"/>
      <c r="R26" s="1131"/>
      <c r="S26" s="716"/>
      <c r="T26" s="716"/>
      <c r="U26" s="716"/>
      <c r="V26" s="716"/>
      <c r="W26" s="716"/>
      <c r="X26" s="716"/>
      <c r="Y26" s="716"/>
      <c r="Z26" s="716"/>
      <c r="AA26" s="716"/>
      <c r="AB26" s="716"/>
      <c r="AC26" s="716"/>
      <c r="AD26" s="716"/>
      <c r="AE26" s="716"/>
      <c r="AF26" s="716"/>
      <c r="AG26" s="716"/>
      <c r="AH26" s="716"/>
      <c r="AI26" s="716"/>
      <c r="AJ26" s="716"/>
      <c r="AK26" s="716"/>
      <c r="AL26" s="716"/>
    </row>
    <row r="27" spans="1:38">
      <c r="A27" s="1106">
        <v>25</v>
      </c>
      <c r="B27" s="2232" t="s">
        <v>565</v>
      </c>
      <c r="C27" s="2232"/>
      <c r="D27" s="1108" t="s">
        <v>561</v>
      </c>
      <c r="E27" s="1109" t="s">
        <v>473</v>
      </c>
      <c r="F27" s="1109">
        <f>EDU*4</f>
        <v>240</v>
      </c>
      <c r="G27" s="1110" t="s">
        <v>566</v>
      </c>
      <c r="J27" s="787"/>
      <c r="K27" s="2231" t="s">
        <v>567</v>
      </c>
      <c r="L27" s="2231"/>
      <c r="M27" s="1117" t="s">
        <v>568</v>
      </c>
      <c r="N27" s="1118"/>
      <c r="O27" s="1089"/>
      <c r="P27" s="1089"/>
      <c r="Q27" s="421"/>
      <c r="R27" s="1130"/>
      <c r="S27" s="716"/>
      <c r="T27" s="716"/>
      <c r="U27" s="716"/>
      <c r="V27" s="716"/>
      <c r="W27" s="716"/>
      <c r="X27" s="716"/>
      <c r="Y27" s="716"/>
      <c r="Z27" s="716"/>
      <c r="AA27" s="716"/>
      <c r="AB27" s="716"/>
      <c r="AC27" s="716"/>
      <c r="AD27" s="716"/>
      <c r="AE27" s="716"/>
      <c r="AF27" s="716"/>
      <c r="AG27" s="716"/>
      <c r="AH27" s="716"/>
      <c r="AI27" s="716"/>
      <c r="AJ27" s="716"/>
      <c r="AK27" s="716"/>
      <c r="AL27" s="716"/>
    </row>
    <row r="28" spans="1:38" ht="17.25" customHeight="1">
      <c r="A28" s="1095">
        <v>26</v>
      </c>
      <c r="B28" s="2230" t="s">
        <v>569</v>
      </c>
      <c r="C28" s="2230"/>
      <c r="D28" s="1094" t="s">
        <v>450</v>
      </c>
      <c r="E28" s="1094" t="s">
        <v>467</v>
      </c>
      <c r="F28" s="1104">
        <f>EDU*2+MAX(STR*2,DEX*2)</f>
        <v>260</v>
      </c>
      <c r="G28" s="1105" t="s">
        <v>570</v>
      </c>
      <c r="J28" s="787"/>
      <c r="K28" s="2231" t="s">
        <v>571</v>
      </c>
      <c r="L28" s="2231"/>
      <c r="M28" s="1117" t="s">
        <v>572</v>
      </c>
      <c r="N28" s="1118"/>
      <c r="O28" s="1089"/>
      <c r="P28" s="1089"/>
      <c r="Q28" s="421"/>
      <c r="R28" s="1129"/>
      <c r="S28" s="716"/>
      <c r="T28" s="716"/>
      <c r="U28" s="716"/>
      <c r="V28" s="716"/>
      <c r="W28" s="716"/>
      <c r="X28" s="716"/>
      <c r="Y28" s="716"/>
      <c r="Z28" s="716"/>
      <c r="AA28" s="716"/>
      <c r="AB28" s="716"/>
      <c r="AC28" s="716"/>
      <c r="AD28" s="716"/>
      <c r="AE28" s="716"/>
      <c r="AF28" s="716"/>
      <c r="AG28" s="716"/>
      <c r="AH28" s="716"/>
      <c r="AI28" s="716"/>
      <c r="AJ28" s="716"/>
      <c r="AK28" s="716"/>
      <c r="AL28" s="716"/>
    </row>
    <row r="29" spans="1:38" ht="16.5" customHeight="1">
      <c r="A29" s="1106">
        <v>27</v>
      </c>
      <c r="B29" s="2232" t="s">
        <v>573</v>
      </c>
      <c r="C29" s="2232"/>
      <c r="D29" s="1108" t="s">
        <v>478</v>
      </c>
      <c r="E29" s="1109" t="s">
        <v>574</v>
      </c>
      <c r="F29" s="1109">
        <f>EDU*2+DEX*2</f>
        <v>260</v>
      </c>
      <c r="G29" s="1110" t="s">
        <v>575</v>
      </c>
      <c r="J29" s="787"/>
      <c r="K29" s="2231" t="s">
        <v>576</v>
      </c>
      <c r="L29" s="2231"/>
      <c r="M29" s="1117" t="s">
        <v>577</v>
      </c>
      <c r="N29" s="1118"/>
      <c r="O29" s="1089"/>
      <c r="P29" s="1089"/>
      <c r="Q29" s="421"/>
      <c r="R29" s="1129"/>
      <c r="S29" s="716"/>
      <c r="T29" s="716"/>
      <c r="U29" s="716"/>
      <c r="V29" s="716"/>
      <c r="W29" s="716"/>
      <c r="X29" s="716"/>
      <c r="Y29" s="716"/>
      <c r="Z29" s="716"/>
      <c r="AA29" s="716"/>
      <c r="AB29" s="716"/>
      <c r="AC29" s="716"/>
      <c r="AD29" s="716"/>
      <c r="AE29" s="716"/>
      <c r="AF29" s="716"/>
      <c r="AG29" s="716"/>
      <c r="AH29" s="716"/>
      <c r="AI29" s="716"/>
      <c r="AJ29" s="716"/>
      <c r="AK29" s="716"/>
      <c r="AL29" s="716"/>
    </row>
    <row r="30" spans="1:38" ht="17.25" customHeight="1">
      <c r="A30" s="1095">
        <v>28</v>
      </c>
      <c r="B30" s="2230" t="s">
        <v>578</v>
      </c>
      <c r="C30" s="2230"/>
      <c r="D30" s="1094" t="s">
        <v>579</v>
      </c>
      <c r="E30" s="1094" t="s">
        <v>467</v>
      </c>
      <c r="F30" s="1104">
        <f>EDU*2+MAX(STR*2,DEX*2)</f>
        <v>260</v>
      </c>
      <c r="G30" s="1105" t="s">
        <v>580</v>
      </c>
      <c r="J30" s="787"/>
      <c r="K30" s="2231" t="s">
        <v>581</v>
      </c>
      <c r="L30" s="2231"/>
      <c r="M30" s="1117" t="s">
        <v>582</v>
      </c>
      <c r="N30" s="1118"/>
      <c r="O30" s="1089"/>
      <c r="P30" s="1089"/>
      <c r="Q30" s="421"/>
      <c r="R30" s="1129"/>
      <c r="S30" s="716"/>
      <c r="T30" s="716"/>
      <c r="U30" s="716"/>
      <c r="V30" s="716"/>
      <c r="W30" s="716"/>
      <c r="X30" s="716"/>
      <c r="Y30" s="716"/>
      <c r="Z30" s="716"/>
      <c r="AA30" s="716"/>
      <c r="AB30" s="716"/>
      <c r="AC30" s="716"/>
      <c r="AD30" s="716"/>
      <c r="AE30" s="716"/>
      <c r="AF30" s="716"/>
      <c r="AG30" s="716"/>
      <c r="AH30" s="716"/>
      <c r="AI30" s="716"/>
      <c r="AJ30" s="716"/>
      <c r="AK30" s="716"/>
      <c r="AL30" s="716"/>
    </row>
    <row r="31" spans="1:38" ht="17.25" customHeight="1">
      <c r="A31" s="1106">
        <v>29</v>
      </c>
      <c r="B31" s="2232" t="s">
        <v>583</v>
      </c>
      <c r="C31" s="2232"/>
      <c r="D31" s="1108" t="s">
        <v>584</v>
      </c>
      <c r="E31" s="1109" t="s">
        <v>585</v>
      </c>
      <c r="F31" s="1109">
        <f>EDU*2+MAX(STR*2,DEX*2)</f>
        <v>260</v>
      </c>
      <c r="G31" s="1110" t="s">
        <v>586</v>
      </c>
      <c r="K31" s="2231" t="s">
        <v>587</v>
      </c>
      <c r="L31" s="2231"/>
      <c r="M31" s="1117" t="s">
        <v>588</v>
      </c>
      <c r="N31" s="1118"/>
      <c r="O31" s="1089"/>
      <c r="P31" s="1089"/>
      <c r="Q31" s="421"/>
      <c r="R31" s="1129"/>
      <c r="S31" s="716"/>
      <c r="T31" s="716"/>
      <c r="U31" s="716"/>
      <c r="V31" s="716"/>
      <c r="W31" s="716"/>
      <c r="X31" s="716"/>
      <c r="Y31" s="716"/>
      <c r="Z31" s="716"/>
      <c r="AA31" s="716"/>
      <c r="AB31" s="716"/>
      <c r="AC31" s="716"/>
      <c r="AD31" s="716"/>
      <c r="AE31" s="716"/>
      <c r="AF31" s="716"/>
      <c r="AG31" s="716"/>
      <c r="AH31" s="716"/>
      <c r="AI31" s="716"/>
      <c r="AJ31" s="716"/>
      <c r="AK31" s="716"/>
      <c r="AL31" s="716"/>
    </row>
    <row r="32" spans="1:38" ht="17.25" customHeight="1">
      <c r="A32" s="1095">
        <v>30</v>
      </c>
      <c r="B32" s="2230" t="s">
        <v>589</v>
      </c>
      <c r="C32" s="2230"/>
      <c r="D32" s="1094" t="s">
        <v>590</v>
      </c>
      <c r="E32" s="1094" t="s">
        <v>591</v>
      </c>
      <c r="F32" s="1104">
        <f>EDU*2+STR*2</f>
        <v>220</v>
      </c>
      <c r="G32" s="1105" t="s">
        <v>592</v>
      </c>
      <c r="K32" s="2231" t="s">
        <v>593</v>
      </c>
      <c r="L32" s="2231"/>
      <c r="M32" s="1117" t="s">
        <v>594</v>
      </c>
      <c r="N32" s="1118"/>
      <c r="O32" s="1089"/>
      <c r="P32" s="1089"/>
      <c r="Q32" s="421"/>
      <c r="R32" s="1130"/>
      <c r="S32" s="716"/>
      <c r="T32" s="716"/>
      <c r="U32" s="716"/>
      <c r="V32" s="716"/>
      <c r="W32" s="716"/>
      <c r="X32" s="716"/>
      <c r="Y32" s="716"/>
      <c r="Z32" s="716"/>
      <c r="AA32" s="716"/>
      <c r="AB32" s="716"/>
      <c r="AC32" s="716"/>
      <c r="AD32" s="716"/>
      <c r="AE32" s="716"/>
      <c r="AF32" s="716"/>
      <c r="AG32" s="716"/>
      <c r="AH32" s="716"/>
      <c r="AI32" s="716"/>
      <c r="AJ32" s="716"/>
      <c r="AK32" s="716"/>
      <c r="AL32" s="716"/>
    </row>
    <row r="33" spans="1:38" ht="17.25" customHeight="1">
      <c r="A33" s="1106">
        <v>31</v>
      </c>
      <c r="B33" s="2232" t="s">
        <v>595</v>
      </c>
      <c r="C33" s="2232"/>
      <c r="D33" s="1108" t="s">
        <v>596</v>
      </c>
      <c r="E33" s="1109" t="s">
        <v>597</v>
      </c>
      <c r="F33" s="1109">
        <f>EDU*2+DEX*2</f>
        <v>260</v>
      </c>
      <c r="G33" s="1110" t="s">
        <v>598</v>
      </c>
      <c r="K33" s="2231" t="s">
        <v>599</v>
      </c>
      <c r="L33" s="2231"/>
      <c r="M33" s="1117" t="s">
        <v>588</v>
      </c>
      <c r="N33" s="1118"/>
      <c r="O33" s="1089"/>
      <c r="P33" s="1089"/>
      <c r="Q33" s="421"/>
      <c r="R33" s="1131"/>
      <c r="S33" s="716"/>
      <c r="T33" s="716"/>
      <c r="U33" s="716"/>
      <c r="V33" s="716"/>
      <c r="W33" s="716"/>
      <c r="X33" s="716"/>
      <c r="Y33" s="716"/>
      <c r="Z33" s="716"/>
      <c r="AA33" s="716"/>
      <c r="AB33" s="716"/>
      <c r="AC33" s="716"/>
      <c r="AD33" s="716"/>
      <c r="AE33" s="716"/>
      <c r="AF33" s="716"/>
      <c r="AG33" s="716"/>
      <c r="AH33" s="716"/>
      <c r="AI33" s="716"/>
      <c r="AJ33" s="716"/>
      <c r="AK33" s="716"/>
      <c r="AL33" s="716"/>
    </row>
    <row r="34" spans="1:38" ht="17.25" customHeight="1">
      <c r="A34" s="1095">
        <v>32</v>
      </c>
      <c r="B34" s="2230" t="s">
        <v>600</v>
      </c>
      <c r="C34" s="2230"/>
      <c r="D34" s="1094" t="s">
        <v>601</v>
      </c>
      <c r="E34" s="1094" t="s">
        <v>602</v>
      </c>
      <c r="F34" s="1104">
        <f>EDU*2+APP*2</f>
        <v>260</v>
      </c>
      <c r="G34" s="1105" t="s">
        <v>603</v>
      </c>
      <c r="K34" s="2231" t="s">
        <v>604</v>
      </c>
      <c r="L34" s="2231"/>
      <c r="M34" s="1117" t="s">
        <v>605</v>
      </c>
      <c r="N34" s="1118"/>
      <c r="O34" s="1089"/>
      <c r="P34" s="1089"/>
      <c r="Q34" s="421"/>
      <c r="R34" s="1130"/>
      <c r="S34" s="716"/>
      <c r="T34" s="716"/>
      <c r="U34" s="716"/>
      <c r="V34" s="716"/>
      <c r="W34" s="716"/>
      <c r="X34" s="716"/>
      <c r="Y34" s="716"/>
      <c r="Z34" s="716"/>
      <c r="AA34" s="716"/>
      <c r="AB34" s="716"/>
      <c r="AC34" s="716"/>
      <c r="AD34" s="716"/>
      <c r="AE34" s="716"/>
      <c r="AF34" s="716"/>
      <c r="AG34" s="716"/>
      <c r="AH34" s="716"/>
      <c r="AI34" s="716"/>
      <c r="AJ34" s="716"/>
      <c r="AK34" s="716"/>
      <c r="AL34" s="716"/>
    </row>
    <row r="35" spans="1:38" ht="17.25" customHeight="1">
      <c r="A35" s="1106">
        <v>33</v>
      </c>
      <c r="B35" s="2232" t="s">
        <v>606</v>
      </c>
      <c r="C35" s="2232"/>
      <c r="D35" s="1108" t="s">
        <v>607</v>
      </c>
      <c r="E35" s="1109" t="s">
        <v>608</v>
      </c>
      <c r="F35" s="1109">
        <f>EDU*2+MAX(DEX*2,APP*2)</f>
        <v>260</v>
      </c>
      <c r="G35" s="1110" t="s">
        <v>609</v>
      </c>
      <c r="K35" s="2231" t="s">
        <v>610</v>
      </c>
      <c r="L35" s="2231"/>
      <c r="M35" s="1117" t="s">
        <v>588</v>
      </c>
      <c r="N35" s="1118"/>
      <c r="O35" s="1089"/>
      <c r="P35" s="1089"/>
      <c r="Q35" s="421"/>
      <c r="R35" s="1129"/>
      <c r="S35" s="716"/>
      <c r="T35" s="716"/>
      <c r="U35" s="716"/>
      <c r="V35" s="716"/>
      <c r="W35" s="716"/>
      <c r="X35" s="716"/>
      <c r="Y35" s="716"/>
      <c r="Z35" s="716"/>
      <c r="AA35" s="716"/>
      <c r="AB35" s="716"/>
      <c r="AC35" s="716"/>
      <c r="AD35" s="716"/>
      <c r="AE35" s="716"/>
      <c r="AF35" s="716"/>
      <c r="AG35" s="716"/>
      <c r="AH35" s="716"/>
      <c r="AI35" s="716"/>
      <c r="AJ35" s="716"/>
      <c r="AK35" s="716"/>
      <c r="AL35" s="716"/>
    </row>
    <row r="36" spans="1:38" ht="17.25" customHeight="1">
      <c r="A36" s="1095">
        <v>34</v>
      </c>
      <c r="B36" s="2230" t="s">
        <v>611</v>
      </c>
      <c r="C36" s="2230"/>
      <c r="D36" s="1094" t="s">
        <v>612</v>
      </c>
      <c r="E36" s="1094" t="s">
        <v>602</v>
      </c>
      <c r="F36" s="1104">
        <f>EDU*2+APP*2</f>
        <v>260</v>
      </c>
      <c r="G36" s="1105" t="s">
        <v>613</v>
      </c>
      <c r="K36" s="2231" t="s">
        <v>614</v>
      </c>
      <c r="L36" s="2231"/>
      <c r="M36" s="1117" t="s">
        <v>615</v>
      </c>
      <c r="N36" s="1118"/>
      <c r="O36" s="1089"/>
      <c r="P36" s="1089"/>
      <c r="Q36" s="421"/>
      <c r="R36" s="1089"/>
    </row>
    <row r="37" spans="1:38" ht="17.25" customHeight="1">
      <c r="A37" s="1106">
        <v>35</v>
      </c>
      <c r="B37" s="2232" t="s">
        <v>616</v>
      </c>
      <c r="C37" s="2232"/>
      <c r="D37" s="1108" t="s">
        <v>537</v>
      </c>
      <c r="E37" s="1109" t="s">
        <v>602</v>
      </c>
      <c r="F37" s="1109">
        <f>EDU*2+APP*2</f>
        <v>260</v>
      </c>
      <c r="G37" s="1110" t="s">
        <v>617</v>
      </c>
      <c r="K37" s="2231" t="s">
        <v>618</v>
      </c>
      <c r="L37" s="2231"/>
      <c r="M37" s="1117" t="s">
        <v>619</v>
      </c>
      <c r="N37" s="1118"/>
      <c r="O37" s="1089"/>
      <c r="P37" s="1089"/>
      <c r="Q37" s="421"/>
      <c r="R37" s="1089"/>
    </row>
    <row r="38" spans="1:38">
      <c r="A38" s="1095">
        <v>36</v>
      </c>
      <c r="B38" s="2230" t="s">
        <v>620</v>
      </c>
      <c r="C38" s="2230"/>
      <c r="D38" s="1094" t="s">
        <v>621</v>
      </c>
      <c r="E38" s="1094" t="s">
        <v>473</v>
      </c>
      <c r="F38" s="1104">
        <f>EDU*4</f>
        <v>240</v>
      </c>
      <c r="G38" s="1105" t="s">
        <v>622</v>
      </c>
      <c r="K38" s="2231" t="s">
        <v>623</v>
      </c>
      <c r="L38" s="2231"/>
      <c r="M38" s="1117" t="s">
        <v>624</v>
      </c>
      <c r="N38" s="1118"/>
      <c r="O38" s="1089"/>
      <c r="P38" s="1089"/>
      <c r="Q38" s="421"/>
      <c r="R38" s="1089"/>
    </row>
    <row r="39" spans="1:38" ht="17.25" customHeight="1">
      <c r="A39" s="1106">
        <v>37</v>
      </c>
      <c r="B39" s="2232" t="s">
        <v>625</v>
      </c>
      <c r="C39" s="2232"/>
      <c r="D39" s="1108" t="s">
        <v>621</v>
      </c>
      <c r="E39" s="1109" t="s">
        <v>626</v>
      </c>
      <c r="F39" s="1109">
        <f>EDU*2+MAX(DEX*2,APP*2)</f>
        <v>260</v>
      </c>
      <c r="G39" s="1110" t="s">
        <v>627</v>
      </c>
      <c r="K39" s="2231" t="s">
        <v>628</v>
      </c>
      <c r="L39" s="2231"/>
      <c r="M39" s="1117" t="s">
        <v>629</v>
      </c>
      <c r="N39" s="1118"/>
      <c r="O39" s="1089"/>
      <c r="P39" s="1089"/>
      <c r="Q39" s="421"/>
      <c r="R39" s="1089"/>
    </row>
    <row r="40" spans="1:38" ht="17.25" customHeight="1">
      <c r="A40" s="1095">
        <v>38</v>
      </c>
      <c r="B40" s="2230" t="s">
        <v>630</v>
      </c>
      <c r="C40" s="2230"/>
      <c r="D40" s="1094" t="s">
        <v>631</v>
      </c>
      <c r="E40" s="1094" t="s">
        <v>467</v>
      </c>
      <c r="F40" s="1104">
        <f>EDU*2+MAX(STR*2,DEX*2)</f>
        <v>260</v>
      </c>
      <c r="G40" s="1105" t="s">
        <v>632</v>
      </c>
      <c r="K40" s="2231" t="s">
        <v>633</v>
      </c>
      <c r="L40" s="2231"/>
      <c r="M40" s="1117" t="s">
        <v>634</v>
      </c>
      <c r="N40" s="1118"/>
      <c r="O40" s="1089"/>
      <c r="P40" s="1089"/>
      <c r="Q40" s="421"/>
      <c r="R40" s="1089"/>
    </row>
    <row r="41" spans="1:38">
      <c r="A41" s="1106">
        <v>39</v>
      </c>
      <c r="B41" s="2232" t="s">
        <v>635</v>
      </c>
      <c r="C41" s="2232"/>
      <c r="D41" s="1108" t="s">
        <v>579</v>
      </c>
      <c r="E41" s="1109" t="s">
        <v>473</v>
      </c>
      <c r="F41" s="1109">
        <f>EDU*4</f>
        <v>240</v>
      </c>
      <c r="G41" s="1110" t="s">
        <v>636</v>
      </c>
      <c r="K41" s="2231" t="s">
        <v>637</v>
      </c>
      <c r="L41" s="2231"/>
      <c r="M41" s="1117" t="s">
        <v>638</v>
      </c>
      <c r="N41" s="1118"/>
      <c r="O41" s="1089"/>
      <c r="P41" s="1089"/>
      <c r="Q41" s="421"/>
      <c r="R41" s="1089"/>
    </row>
    <row r="42" spans="1:38">
      <c r="A42" s="1095">
        <v>40</v>
      </c>
      <c r="B42" s="2230" t="s">
        <v>639</v>
      </c>
      <c r="C42" s="2230"/>
      <c r="D42" s="1094" t="s">
        <v>532</v>
      </c>
      <c r="E42" s="1094" t="s">
        <v>473</v>
      </c>
      <c r="F42" s="1104">
        <f>EDU*4</f>
        <v>240</v>
      </c>
      <c r="G42" s="1105" t="s">
        <v>640</v>
      </c>
      <c r="K42" s="2231" t="s">
        <v>641</v>
      </c>
      <c r="L42" s="2231"/>
      <c r="M42" s="1117" t="s">
        <v>642</v>
      </c>
      <c r="N42" s="1118"/>
      <c r="O42" s="1089"/>
      <c r="P42" s="1089"/>
      <c r="Q42" s="421"/>
      <c r="R42" s="1089"/>
    </row>
    <row r="43" spans="1:38">
      <c r="A43" s="1106">
        <v>41</v>
      </c>
      <c r="B43" s="2232" t="s">
        <v>643</v>
      </c>
      <c r="C43" s="2232"/>
      <c r="D43" s="1108" t="s">
        <v>621</v>
      </c>
      <c r="E43" s="1109" t="s">
        <v>473</v>
      </c>
      <c r="F43" s="1109">
        <f>EDU*4</f>
        <v>240</v>
      </c>
      <c r="G43" s="1110" t="s">
        <v>644</v>
      </c>
      <c r="K43" s="2231" t="s">
        <v>645</v>
      </c>
      <c r="L43" s="2231"/>
      <c r="M43" s="1117" t="s">
        <v>646</v>
      </c>
      <c r="N43" s="1118"/>
      <c r="O43" s="1089"/>
      <c r="P43" s="1089"/>
      <c r="Q43" s="421"/>
      <c r="R43" s="1089"/>
    </row>
    <row r="44" spans="1:38" ht="17.25" customHeight="1">
      <c r="A44" s="1095">
        <v>42</v>
      </c>
      <c r="B44" s="2230" t="s">
        <v>647</v>
      </c>
      <c r="C44" s="2230"/>
      <c r="D44" s="1094" t="s">
        <v>648</v>
      </c>
      <c r="E44" s="1094" t="s">
        <v>457</v>
      </c>
      <c r="F44" s="1104">
        <f>EDU*2+APP*2</f>
        <v>260</v>
      </c>
      <c r="G44" s="1105" t="s">
        <v>649</v>
      </c>
      <c r="K44" s="2231" t="s">
        <v>650</v>
      </c>
      <c r="L44" s="2231"/>
      <c r="M44" s="1117" t="s">
        <v>651</v>
      </c>
      <c r="N44" s="1118"/>
      <c r="O44" s="1089"/>
      <c r="P44" s="1089"/>
      <c r="Q44" s="421"/>
      <c r="R44" s="1089"/>
    </row>
    <row r="45" spans="1:38" ht="17.25" customHeight="1">
      <c r="A45" s="1106">
        <v>43</v>
      </c>
      <c r="B45" s="2232" t="s">
        <v>652</v>
      </c>
      <c r="C45" s="2232"/>
      <c r="D45" s="1108" t="s">
        <v>522</v>
      </c>
      <c r="E45" s="1109" t="s">
        <v>597</v>
      </c>
      <c r="F45" s="1109">
        <f>EDU*2+DEX*2</f>
        <v>260</v>
      </c>
      <c r="G45" s="1110" t="s">
        <v>653</v>
      </c>
      <c r="K45" s="2231" t="s">
        <v>654</v>
      </c>
      <c r="L45" s="2231"/>
      <c r="M45" s="1117" t="s">
        <v>655</v>
      </c>
      <c r="N45" s="1118"/>
      <c r="O45" s="1089"/>
      <c r="P45" s="1089"/>
      <c r="Q45" s="421"/>
      <c r="R45" s="1089"/>
    </row>
    <row r="46" spans="1:38">
      <c r="A46" s="1095">
        <v>44</v>
      </c>
      <c r="B46" s="2230" t="s">
        <v>656</v>
      </c>
      <c r="C46" s="2230"/>
      <c r="D46" s="1094" t="s">
        <v>657</v>
      </c>
      <c r="E46" s="1094" t="s">
        <v>473</v>
      </c>
      <c r="F46" s="1104">
        <f>EDU*4</f>
        <v>240</v>
      </c>
      <c r="G46" s="1105" t="s">
        <v>658</v>
      </c>
      <c r="K46" s="2231" t="s">
        <v>659</v>
      </c>
      <c r="L46" s="2231"/>
      <c r="M46" s="1117" t="s">
        <v>660</v>
      </c>
      <c r="N46" s="1118"/>
      <c r="O46" s="1089"/>
      <c r="P46" s="1089"/>
      <c r="Q46" s="421"/>
      <c r="R46" s="1089"/>
    </row>
    <row r="47" spans="1:38" ht="17.25" customHeight="1">
      <c r="A47" s="1106">
        <v>45</v>
      </c>
      <c r="B47" s="2232" t="s">
        <v>661</v>
      </c>
      <c r="C47" s="2232"/>
      <c r="D47" s="1108" t="s">
        <v>662</v>
      </c>
      <c r="E47" s="1109" t="s">
        <v>663</v>
      </c>
      <c r="F47" s="1109">
        <f>EDU*2+MAX(DEX*2,APP*2,STR*2)</f>
        <v>260</v>
      </c>
      <c r="G47" s="1110" t="s">
        <v>664</v>
      </c>
      <c r="K47" s="2231" t="s">
        <v>665</v>
      </c>
      <c r="L47" s="2231"/>
      <c r="M47" s="1117" t="s">
        <v>666</v>
      </c>
      <c r="N47" s="1118"/>
      <c r="O47" s="1089"/>
      <c r="P47" s="1089"/>
      <c r="Q47" s="421"/>
      <c r="R47" s="1089"/>
    </row>
    <row r="48" spans="1:38" ht="17.25" customHeight="1">
      <c r="A48" s="1095">
        <v>46</v>
      </c>
      <c r="B48" s="2230" t="s">
        <v>667</v>
      </c>
      <c r="C48" s="2230"/>
      <c r="D48" s="1094" t="s">
        <v>478</v>
      </c>
      <c r="E48" s="1094" t="s">
        <v>451</v>
      </c>
      <c r="F48" s="1104">
        <f>EDU*2+DEX*2</f>
        <v>260</v>
      </c>
      <c r="G48" s="1105" t="s">
        <v>668</v>
      </c>
      <c r="K48" s="2231" t="s">
        <v>669</v>
      </c>
      <c r="L48" s="2231"/>
      <c r="M48" s="1117" t="s">
        <v>670</v>
      </c>
      <c r="N48" s="1118"/>
      <c r="O48" s="1089"/>
      <c r="P48" s="1089"/>
      <c r="Q48" s="421"/>
      <c r="R48" s="1089"/>
    </row>
    <row r="49" spans="1:18" ht="17.25" customHeight="1">
      <c r="A49" s="1106">
        <v>47</v>
      </c>
      <c r="B49" s="2232" t="s">
        <v>671</v>
      </c>
      <c r="C49" s="2232"/>
      <c r="D49" s="1108" t="s">
        <v>450</v>
      </c>
      <c r="E49" s="1109" t="s">
        <v>467</v>
      </c>
      <c r="F49" s="1109">
        <f>EDU*2+MAX(STR*2,DEX*2)</f>
        <v>260</v>
      </c>
      <c r="G49" s="1110" t="s">
        <v>672</v>
      </c>
      <c r="K49" s="2231" t="s">
        <v>673</v>
      </c>
      <c r="L49" s="2231"/>
      <c r="M49" s="1117" t="s">
        <v>674</v>
      </c>
      <c r="N49" s="1118"/>
      <c r="O49" s="1089"/>
      <c r="P49" s="1089"/>
      <c r="Q49" s="421"/>
      <c r="R49" s="1089"/>
    </row>
    <row r="50" spans="1:18" ht="17.25" customHeight="1">
      <c r="A50" s="1095">
        <v>48</v>
      </c>
      <c r="B50" s="2230" t="s">
        <v>675</v>
      </c>
      <c r="C50" s="2230"/>
      <c r="D50" s="1094" t="s">
        <v>522</v>
      </c>
      <c r="E50" s="1094" t="s">
        <v>597</v>
      </c>
      <c r="F50" s="1104">
        <f>EDU*2+DEX*2</f>
        <v>260</v>
      </c>
      <c r="G50" s="1105" t="s">
        <v>676</v>
      </c>
      <c r="K50" s="2231" t="s">
        <v>677</v>
      </c>
      <c r="L50" s="2231"/>
      <c r="M50" s="1117" t="s">
        <v>678</v>
      </c>
      <c r="N50" s="1118"/>
      <c r="O50" s="1089"/>
      <c r="P50" s="1089"/>
      <c r="Q50" s="421"/>
      <c r="R50" s="1089"/>
    </row>
    <row r="51" spans="1:18">
      <c r="A51" s="1106">
        <v>49</v>
      </c>
      <c r="B51" s="2232" t="s">
        <v>679</v>
      </c>
      <c r="C51" s="2232"/>
      <c r="D51" s="1108" t="s">
        <v>680</v>
      </c>
      <c r="E51" s="1109" t="s">
        <v>473</v>
      </c>
      <c r="F51" s="1109">
        <f>EDU*4</f>
        <v>240</v>
      </c>
      <c r="G51" s="1110" t="s">
        <v>681</v>
      </c>
      <c r="K51" s="2231" t="s">
        <v>682</v>
      </c>
      <c r="L51" s="2231"/>
      <c r="M51" s="1117" t="s">
        <v>683</v>
      </c>
      <c r="N51" s="1118"/>
      <c r="O51" s="1089"/>
      <c r="P51" s="1089"/>
      <c r="Q51" s="421"/>
      <c r="R51" s="1089"/>
    </row>
    <row r="52" spans="1:18" ht="17.25" customHeight="1">
      <c r="A52" s="1095">
        <v>50</v>
      </c>
      <c r="B52" s="2230" t="s">
        <v>684</v>
      </c>
      <c r="C52" s="2230"/>
      <c r="D52" s="1094" t="s">
        <v>685</v>
      </c>
      <c r="E52" s="1094" t="s">
        <v>602</v>
      </c>
      <c r="F52" s="1104">
        <f>EDU*2+APP*2</f>
        <v>260</v>
      </c>
      <c r="G52" s="1105" t="s">
        <v>686</v>
      </c>
      <c r="K52" s="2231" t="s">
        <v>687</v>
      </c>
      <c r="L52" s="2231"/>
      <c r="M52" s="1117" t="s">
        <v>688</v>
      </c>
      <c r="N52" s="1118"/>
      <c r="O52" s="1089"/>
      <c r="P52" s="1089"/>
      <c r="Q52" s="421"/>
      <c r="R52" s="1089"/>
    </row>
    <row r="53" spans="1:18">
      <c r="A53" s="1106">
        <v>51</v>
      </c>
      <c r="B53" s="2232" t="s">
        <v>689</v>
      </c>
      <c r="C53" s="2232"/>
      <c r="D53" s="1108" t="s">
        <v>579</v>
      </c>
      <c r="E53" s="1109" t="s">
        <v>473</v>
      </c>
      <c r="F53" s="1109">
        <f>EDU*4</f>
        <v>240</v>
      </c>
      <c r="G53" s="1110" t="s">
        <v>690</v>
      </c>
      <c r="K53" s="2231" t="s">
        <v>691</v>
      </c>
      <c r="L53" s="2231"/>
      <c r="M53" s="1117" t="s">
        <v>692</v>
      </c>
      <c r="N53" s="1118"/>
      <c r="O53" s="1089"/>
      <c r="P53" s="1089"/>
      <c r="Q53" s="421"/>
      <c r="R53" s="1089"/>
    </row>
    <row r="54" spans="1:18" ht="16.5" customHeight="1">
      <c r="A54" s="1095">
        <v>52</v>
      </c>
      <c r="B54" s="2230" t="s">
        <v>693</v>
      </c>
      <c r="C54" s="2230"/>
      <c r="D54" s="1094" t="s">
        <v>517</v>
      </c>
      <c r="E54" s="1094" t="s">
        <v>457</v>
      </c>
      <c r="F54" s="1104">
        <f>EDU*2+APP*2</f>
        <v>260</v>
      </c>
      <c r="G54" s="1105" t="s">
        <v>694</v>
      </c>
      <c r="K54" s="2231" t="s">
        <v>695</v>
      </c>
      <c r="L54" s="2231"/>
      <c r="M54" s="1117" t="s">
        <v>696</v>
      </c>
      <c r="N54" s="1118"/>
      <c r="O54" s="1089"/>
      <c r="P54" s="1089"/>
      <c r="Q54" s="421"/>
      <c r="R54" s="1089"/>
    </row>
    <row r="55" spans="1:18" ht="17.25" customHeight="1">
      <c r="A55" s="1106">
        <v>53</v>
      </c>
      <c r="B55" s="2232" t="s">
        <v>697</v>
      </c>
      <c r="C55" s="2232"/>
      <c r="D55" s="1108" t="s">
        <v>698</v>
      </c>
      <c r="E55" s="1109" t="s">
        <v>663</v>
      </c>
      <c r="F55" s="1109">
        <f>EDU*2+MAX(DEX*2,APP*2,STR*2)</f>
        <v>260</v>
      </c>
      <c r="G55" s="1110" t="s">
        <v>699</v>
      </c>
      <c r="K55" s="2231" t="s">
        <v>700</v>
      </c>
      <c r="L55" s="2231"/>
      <c r="M55" s="1117" t="s">
        <v>701</v>
      </c>
      <c r="N55" s="1118"/>
      <c r="O55" s="1089"/>
      <c r="P55" s="1089"/>
      <c r="Q55" s="421"/>
      <c r="R55" s="1089"/>
    </row>
    <row r="56" spans="1:18" ht="16.5" customHeight="1">
      <c r="A56" s="1095">
        <v>54</v>
      </c>
      <c r="B56" s="2230" t="s">
        <v>702</v>
      </c>
      <c r="C56" s="2230"/>
      <c r="D56" s="1094" t="s">
        <v>522</v>
      </c>
      <c r="E56" s="1094" t="s">
        <v>467</v>
      </c>
      <c r="F56" s="1104">
        <f>EDU*2+MAX(STR*2,DEX*2)</f>
        <v>260</v>
      </c>
      <c r="G56" s="1105" t="s">
        <v>703</v>
      </c>
      <c r="K56" s="2231" t="s">
        <v>704</v>
      </c>
      <c r="L56" s="2231"/>
      <c r="M56" s="1117" t="s">
        <v>705</v>
      </c>
      <c r="N56" s="1118"/>
      <c r="O56" s="1089"/>
      <c r="P56" s="1089"/>
      <c r="Q56" s="421"/>
      <c r="R56" s="1089"/>
    </row>
    <row r="57" spans="1:18">
      <c r="A57" s="1106">
        <v>55</v>
      </c>
      <c r="B57" s="2232" t="s">
        <v>706</v>
      </c>
      <c r="C57" s="2232"/>
      <c r="D57" s="1108" t="s">
        <v>537</v>
      </c>
      <c r="E57" s="1109" t="s">
        <v>473</v>
      </c>
      <c r="F57" s="1109">
        <f>EDU*4</f>
        <v>240</v>
      </c>
      <c r="G57" s="1110" t="s">
        <v>707</v>
      </c>
      <c r="H57" s="1086"/>
      <c r="K57" s="2231" t="s">
        <v>708</v>
      </c>
      <c r="L57" s="2231"/>
      <c r="M57" s="1117" t="s">
        <v>709</v>
      </c>
      <c r="N57" s="1118"/>
      <c r="O57" s="1089"/>
      <c r="P57" s="1089"/>
      <c r="Q57" s="421"/>
      <c r="R57" s="1089"/>
    </row>
    <row r="58" spans="1:18" ht="15" customHeight="1">
      <c r="A58" s="1095">
        <v>56</v>
      </c>
      <c r="B58" s="2230" t="s">
        <v>710</v>
      </c>
      <c r="C58" s="2230"/>
      <c r="D58" s="1094" t="s">
        <v>522</v>
      </c>
      <c r="E58" s="1094" t="s">
        <v>467</v>
      </c>
      <c r="F58" s="1104">
        <f>EDU*2+MAX(STR*2,DEX*2)</f>
        <v>260</v>
      </c>
      <c r="G58" s="1105" t="s">
        <v>711</v>
      </c>
      <c r="H58" s="1086"/>
      <c r="K58" s="2231" t="s">
        <v>712</v>
      </c>
      <c r="L58" s="2231"/>
      <c r="M58" s="1117" t="s">
        <v>713</v>
      </c>
      <c r="N58" s="1118"/>
      <c r="O58" s="1089"/>
      <c r="P58" s="1089"/>
      <c r="Q58" s="421"/>
      <c r="R58" s="1089"/>
    </row>
    <row r="59" spans="1:18" ht="16.05" customHeight="1">
      <c r="A59" s="1106">
        <v>57</v>
      </c>
      <c r="B59" s="2232" t="s">
        <v>714</v>
      </c>
      <c r="C59" s="2232"/>
      <c r="D59" s="1108" t="s">
        <v>478</v>
      </c>
      <c r="E59" s="1109" t="s">
        <v>473</v>
      </c>
      <c r="F59" s="1109">
        <f>EDU*4</f>
        <v>240</v>
      </c>
      <c r="G59" s="1110" t="s">
        <v>715</v>
      </c>
      <c r="H59" s="1086"/>
      <c r="K59" s="2231" t="s">
        <v>716</v>
      </c>
      <c r="L59" s="2231"/>
      <c r="M59" s="1128" t="s">
        <v>717</v>
      </c>
      <c r="N59" s="1118"/>
      <c r="O59" s="1089"/>
      <c r="P59" s="1089"/>
      <c r="Q59" s="421"/>
      <c r="R59" s="1089"/>
    </row>
    <row r="60" spans="1:18">
      <c r="A60" s="1095">
        <v>58</v>
      </c>
      <c r="B60" s="2230" t="s">
        <v>718</v>
      </c>
      <c r="C60" s="2230"/>
      <c r="D60" s="1094" t="s">
        <v>719</v>
      </c>
      <c r="E60" s="1094" t="s">
        <v>473</v>
      </c>
      <c r="F60" s="1104">
        <f>EDU*4</f>
        <v>240</v>
      </c>
      <c r="G60" s="1105" t="s">
        <v>720</v>
      </c>
      <c r="H60" s="1086"/>
      <c r="K60" s="2231" t="s">
        <v>721</v>
      </c>
      <c r="L60" s="2231"/>
      <c r="M60" s="1117" t="s">
        <v>722</v>
      </c>
      <c r="N60" s="1118"/>
      <c r="O60" s="1089"/>
      <c r="P60" s="1089"/>
      <c r="Q60" s="421"/>
      <c r="R60" s="1089"/>
    </row>
    <row r="61" spans="1:18">
      <c r="A61" s="1106">
        <v>59</v>
      </c>
      <c r="B61" s="2232" t="s">
        <v>723</v>
      </c>
      <c r="C61" s="2232"/>
      <c r="D61" s="1108" t="s">
        <v>724</v>
      </c>
      <c r="E61" s="1109" t="s">
        <v>725</v>
      </c>
      <c r="F61" s="1109">
        <f>EDU*2+MAX(DEX*2,APP*2)</f>
        <v>260</v>
      </c>
      <c r="G61" s="1110" t="s">
        <v>726</v>
      </c>
      <c r="H61" s="1086"/>
      <c r="K61" s="2231" t="s">
        <v>727</v>
      </c>
      <c r="L61" s="2231"/>
      <c r="M61" s="1117" t="s">
        <v>728</v>
      </c>
      <c r="N61" s="1118"/>
      <c r="O61" s="1089"/>
      <c r="P61" s="1089"/>
      <c r="Q61" s="421"/>
      <c r="R61" s="1089"/>
    </row>
    <row r="62" spans="1:18">
      <c r="A62" s="1095">
        <v>60</v>
      </c>
      <c r="B62" s="2230" t="s">
        <v>729</v>
      </c>
      <c r="C62" s="2230"/>
      <c r="D62" s="1094" t="s">
        <v>730</v>
      </c>
      <c r="E62" s="1094" t="s">
        <v>457</v>
      </c>
      <c r="F62" s="1104">
        <f>EDU*2+APP*2</f>
        <v>260</v>
      </c>
      <c r="G62" s="1105" t="s">
        <v>731</v>
      </c>
      <c r="H62" s="1086"/>
      <c r="K62" s="2231" t="s">
        <v>732</v>
      </c>
      <c r="L62" s="2231"/>
      <c r="M62" s="1117" t="s">
        <v>733</v>
      </c>
      <c r="N62" s="1118"/>
      <c r="O62" s="1089"/>
      <c r="P62" s="1089"/>
      <c r="Q62" s="421"/>
      <c r="R62" s="1089"/>
    </row>
    <row r="63" spans="1:18">
      <c r="A63" s="1106">
        <v>61</v>
      </c>
      <c r="B63" s="2232" t="s">
        <v>734</v>
      </c>
      <c r="C63" s="2232"/>
      <c r="D63" s="1108" t="s">
        <v>450</v>
      </c>
      <c r="E63" s="1109" t="s">
        <v>467</v>
      </c>
      <c r="F63" s="1109">
        <f>EDU*2+MAX(STR*2,DEX*2)</f>
        <v>260</v>
      </c>
      <c r="G63" s="1110" t="s">
        <v>735</v>
      </c>
      <c r="H63" s="1086"/>
      <c r="K63" s="2231" t="s">
        <v>736</v>
      </c>
      <c r="L63" s="2231"/>
      <c r="M63" s="1117" t="s">
        <v>733</v>
      </c>
      <c r="N63" s="1118"/>
      <c r="O63" s="1089"/>
      <c r="P63" s="1089"/>
      <c r="Q63" s="421"/>
      <c r="R63" s="1089"/>
    </row>
    <row r="64" spans="1:18">
      <c r="A64" s="1095">
        <v>62</v>
      </c>
      <c r="B64" s="2230" t="s">
        <v>737</v>
      </c>
      <c r="C64" s="2230"/>
      <c r="D64" s="1094" t="s">
        <v>738</v>
      </c>
      <c r="E64" s="1094" t="s">
        <v>602</v>
      </c>
      <c r="F64" s="1104">
        <f>EDU*2+APP*2</f>
        <v>260</v>
      </c>
      <c r="G64" s="1105" t="s">
        <v>739</v>
      </c>
      <c r="H64" s="1086"/>
      <c r="K64" s="2231" t="s">
        <v>740</v>
      </c>
      <c r="L64" s="2231"/>
      <c r="M64" s="1117" t="s">
        <v>741</v>
      </c>
      <c r="N64" s="1118"/>
      <c r="O64" s="1089"/>
      <c r="P64" s="1089"/>
      <c r="Q64" s="421"/>
      <c r="R64" s="1089"/>
    </row>
    <row r="65" spans="1:20">
      <c r="A65" s="1106">
        <v>63</v>
      </c>
      <c r="B65" s="2232" t="s">
        <v>742</v>
      </c>
      <c r="C65" s="2232"/>
      <c r="D65" s="1108" t="s">
        <v>662</v>
      </c>
      <c r="E65" s="1109" t="s">
        <v>743</v>
      </c>
      <c r="F65" s="1109">
        <f>EDU*2+MAX(DEX*2,APP*2)</f>
        <v>260</v>
      </c>
      <c r="G65" s="1110" t="s">
        <v>744</v>
      </c>
      <c r="H65" s="1086"/>
      <c r="K65" s="2231" t="s">
        <v>745</v>
      </c>
      <c r="L65" s="2231"/>
      <c r="M65" s="1117" t="s">
        <v>746</v>
      </c>
      <c r="N65" s="1118"/>
      <c r="O65" s="1089"/>
      <c r="P65" s="1089"/>
      <c r="Q65" s="421"/>
      <c r="R65" s="1089"/>
    </row>
    <row r="66" spans="1:20">
      <c r="A66" s="1095">
        <v>64</v>
      </c>
      <c r="B66" s="2230" t="s">
        <v>747</v>
      </c>
      <c r="C66" s="2230"/>
      <c r="D66" s="1094" t="s">
        <v>748</v>
      </c>
      <c r="E66" s="1094" t="s">
        <v>749</v>
      </c>
      <c r="F66" s="1104">
        <f>EDU*2+STR*2</f>
        <v>220</v>
      </c>
      <c r="G66" s="1105" t="s">
        <v>750</v>
      </c>
      <c r="H66" s="1086"/>
      <c r="K66" s="2231" t="s">
        <v>751</v>
      </c>
      <c r="L66" s="2231"/>
      <c r="M66" s="1117" t="s">
        <v>752</v>
      </c>
      <c r="N66" s="1118"/>
      <c r="O66" s="1089"/>
      <c r="P66" s="1089"/>
      <c r="Q66" s="421"/>
      <c r="R66" s="1089"/>
    </row>
    <row r="67" spans="1:20">
      <c r="A67" s="1106">
        <v>65</v>
      </c>
      <c r="B67" s="2232" t="s">
        <v>753</v>
      </c>
      <c r="C67" s="2232"/>
      <c r="D67" s="1108" t="s">
        <v>522</v>
      </c>
      <c r="E67" s="1109" t="s">
        <v>473</v>
      </c>
      <c r="F67" s="1109">
        <f>EDU*4</f>
        <v>240</v>
      </c>
      <c r="G67" s="1110" t="s">
        <v>754</v>
      </c>
      <c r="H67" s="1086"/>
      <c r="K67" s="2231" t="s">
        <v>755</v>
      </c>
      <c r="L67" s="2231"/>
      <c r="M67" s="1117" t="s">
        <v>756</v>
      </c>
      <c r="N67" s="1118"/>
      <c r="O67" s="1089"/>
      <c r="P67" s="1089"/>
      <c r="Q67" s="421"/>
      <c r="R67" s="1089"/>
    </row>
    <row r="68" spans="1:20">
      <c r="A68" s="1095">
        <v>66</v>
      </c>
      <c r="B68" s="2230" t="s">
        <v>757</v>
      </c>
      <c r="C68" s="2230"/>
      <c r="D68" s="1094" t="s">
        <v>522</v>
      </c>
      <c r="E68" s="1094" t="s">
        <v>473</v>
      </c>
      <c r="F68" s="1104">
        <f>EDU*4</f>
        <v>240</v>
      </c>
      <c r="G68" s="1105" t="s">
        <v>758</v>
      </c>
      <c r="H68" s="1086"/>
      <c r="K68" s="2231" t="s">
        <v>759</v>
      </c>
      <c r="L68" s="2231"/>
      <c r="M68" s="1117" t="s">
        <v>760</v>
      </c>
      <c r="N68" s="1118"/>
      <c r="O68" s="1089"/>
      <c r="P68" s="1089"/>
      <c r="R68" s="1089"/>
      <c r="S68" s="1089"/>
    </row>
    <row r="69" spans="1:20">
      <c r="A69" s="1106">
        <v>67</v>
      </c>
      <c r="B69" s="2232" t="s">
        <v>761</v>
      </c>
      <c r="C69" s="2232"/>
      <c r="D69" s="1108" t="s">
        <v>762</v>
      </c>
      <c r="E69" s="1109" t="s">
        <v>473</v>
      </c>
      <c r="F69" s="1109">
        <f>EDU*4</f>
        <v>240</v>
      </c>
      <c r="G69" s="1110" t="s">
        <v>763</v>
      </c>
      <c r="H69" s="1086"/>
      <c r="K69" s="2231" t="s">
        <v>764</v>
      </c>
      <c r="L69" s="2231"/>
      <c r="M69" s="1117" t="s">
        <v>765</v>
      </c>
      <c r="N69" s="1118"/>
      <c r="O69" s="1089"/>
      <c r="P69" s="1089"/>
      <c r="R69" s="1089"/>
      <c r="S69" s="1089"/>
    </row>
    <row r="70" spans="1:20">
      <c r="A70" s="1095">
        <v>68</v>
      </c>
      <c r="B70" s="2230" t="s">
        <v>766</v>
      </c>
      <c r="C70" s="2230"/>
      <c r="D70" s="1094" t="s">
        <v>680</v>
      </c>
      <c r="E70" s="1094" t="s">
        <v>473</v>
      </c>
      <c r="F70" s="1104">
        <f>EDU*4</f>
        <v>240</v>
      </c>
      <c r="G70" s="1105" t="s">
        <v>767</v>
      </c>
      <c r="H70" s="1086"/>
      <c r="K70" s="2231" t="s">
        <v>768</v>
      </c>
      <c r="L70" s="2231"/>
      <c r="M70" s="1117" t="s">
        <v>769</v>
      </c>
      <c r="N70" s="1118"/>
      <c r="O70" s="1089"/>
      <c r="P70" s="1089"/>
      <c r="R70" s="1089"/>
      <c r="S70" s="1089"/>
      <c r="T70" s="1089"/>
    </row>
    <row r="71" spans="1:20">
      <c r="A71" s="1106">
        <v>69</v>
      </c>
      <c r="B71" s="2232" t="s">
        <v>770</v>
      </c>
      <c r="C71" s="2232"/>
      <c r="D71" s="1108" t="s">
        <v>522</v>
      </c>
      <c r="E71" s="1109" t="s">
        <v>467</v>
      </c>
      <c r="F71" s="1109">
        <f>EDU*2+MAX(STR*2,DEX*2)</f>
        <v>260</v>
      </c>
      <c r="G71" s="1110" t="s">
        <v>771</v>
      </c>
      <c r="H71" s="1086"/>
      <c r="K71" s="2231" t="s">
        <v>772</v>
      </c>
      <c r="L71" s="2231"/>
      <c r="M71" s="1117" t="s">
        <v>773</v>
      </c>
      <c r="N71" s="1118"/>
      <c r="O71" s="1089"/>
      <c r="P71" s="1089"/>
      <c r="R71" s="1089"/>
      <c r="S71" s="1089"/>
      <c r="T71" s="1089"/>
    </row>
    <row r="72" spans="1:20" ht="16.5" customHeight="1">
      <c r="A72" s="1095">
        <v>70</v>
      </c>
      <c r="B72" s="2230" t="s">
        <v>774</v>
      </c>
      <c r="C72" s="2230"/>
      <c r="D72" s="1094" t="s">
        <v>522</v>
      </c>
      <c r="E72" s="1094" t="s">
        <v>467</v>
      </c>
      <c r="F72" s="1104">
        <f>EDU*2+MAX(STR*2,DEX*2)</f>
        <v>260</v>
      </c>
      <c r="G72" s="1105" t="s">
        <v>775</v>
      </c>
      <c r="H72" s="1086"/>
      <c r="K72" s="2231" t="s">
        <v>776</v>
      </c>
      <c r="L72" s="2231"/>
      <c r="M72" s="1117" t="s">
        <v>773</v>
      </c>
      <c r="N72" s="1118"/>
      <c r="O72" s="1089"/>
      <c r="P72" s="1089"/>
      <c r="R72" s="1089"/>
      <c r="S72" s="1089"/>
      <c r="T72" s="1089"/>
    </row>
    <row r="73" spans="1:20" ht="16.5" customHeight="1">
      <c r="A73" s="1106">
        <v>71</v>
      </c>
      <c r="B73" s="2232" t="s">
        <v>777</v>
      </c>
      <c r="C73" s="2232"/>
      <c r="D73" s="1108" t="s">
        <v>522</v>
      </c>
      <c r="E73" s="1109" t="s">
        <v>467</v>
      </c>
      <c r="F73" s="1109">
        <f>EDU*2+MAX(STR*2,DEX*2)</f>
        <v>260</v>
      </c>
      <c r="G73" s="1110" t="s">
        <v>778</v>
      </c>
      <c r="H73" s="1086"/>
      <c r="K73" s="2231" t="s">
        <v>779</v>
      </c>
      <c r="L73" s="2231"/>
      <c r="M73" s="1117" t="s">
        <v>773</v>
      </c>
      <c r="N73" s="1118"/>
      <c r="O73" s="1089"/>
      <c r="P73" s="1089"/>
      <c r="R73" s="1089"/>
      <c r="S73" s="1089"/>
      <c r="T73" s="1089"/>
    </row>
    <row r="74" spans="1:20">
      <c r="A74" s="1095">
        <v>72</v>
      </c>
      <c r="B74" s="2230" t="s">
        <v>780</v>
      </c>
      <c r="C74" s="2230"/>
      <c r="D74" s="1094" t="s">
        <v>657</v>
      </c>
      <c r="E74" s="1094" t="s">
        <v>473</v>
      </c>
      <c r="F74" s="1104">
        <f>EDU*4</f>
        <v>240</v>
      </c>
      <c r="G74" s="1105" t="s">
        <v>781</v>
      </c>
      <c r="H74" s="1086"/>
      <c r="K74" s="2231" t="s">
        <v>782</v>
      </c>
      <c r="L74" s="2231"/>
      <c r="M74" s="1117" t="s">
        <v>783</v>
      </c>
      <c r="N74" s="1118"/>
      <c r="O74" s="1089"/>
      <c r="P74" s="1089"/>
      <c r="R74" s="1089"/>
      <c r="S74" s="1089"/>
      <c r="T74" s="1089"/>
    </row>
    <row r="75" spans="1:20">
      <c r="A75" s="1106">
        <v>73</v>
      </c>
      <c r="B75" s="2232" t="s">
        <v>784</v>
      </c>
      <c r="C75" s="2232"/>
      <c r="D75" s="1108" t="s">
        <v>785</v>
      </c>
      <c r="E75" s="1109" t="s">
        <v>473</v>
      </c>
      <c r="F75" s="1109">
        <f>EDU*4</f>
        <v>240</v>
      </c>
      <c r="G75" s="1110" t="s">
        <v>786</v>
      </c>
      <c r="H75" s="1086"/>
      <c r="K75" s="2231" t="s">
        <v>787</v>
      </c>
      <c r="L75" s="2231"/>
      <c r="M75" s="1117" t="s">
        <v>788</v>
      </c>
      <c r="N75" s="1118"/>
      <c r="O75" s="1089"/>
      <c r="P75" s="1089"/>
      <c r="R75" s="1089"/>
      <c r="S75" s="1089"/>
      <c r="T75" s="1089"/>
    </row>
    <row r="76" spans="1:20">
      <c r="A76" s="1095">
        <v>74</v>
      </c>
      <c r="B76" s="2230" t="s">
        <v>789</v>
      </c>
      <c r="C76" s="2230"/>
      <c r="D76" s="1094" t="s">
        <v>456</v>
      </c>
      <c r="E76" s="1094" t="s">
        <v>473</v>
      </c>
      <c r="F76" s="1104">
        <f>EDU*4</f>
        <v>240</v>
      </c>
      <c r="G76" s="1105" t="s">
        <v>790</v>
      </c>
      <c r="H76" s="1086"/>
      <c r="K76" s="2231" t="s">
        <v>791</v>
      </c>
      <c r="L76" s="2231"/>
      <c r="M76" s="1117" t="s">
        <v>792</v>
      </c>
      <c r="N76" s="1118"/>
      <c r="O76" s="1089"/>
      <c r="P76" s="1089"/>
      <c r="R76" s="1089"/>
      <c r="S76" s="1089"/>
      <c r="T76" s="1089"/>
    </row>
    <row r="77" spans="1:20" ht="16.5" customHeight="1">
      <c r="A77" s="1106">
        <v>75</v>
      </c>
      <c r="B77" s="2232" t="s">
        <v>793</v>
      </c>
      <c r="C77" s="2232"/>
      <c r="D77" s="1108" t="s">
        <v>794</v>
      </c>
      <c r="E77" s="1109" t="s">
        <v>467</v>
      </c>
      <c r="F77" s="1109">
        <f>EDU*2+MAX(STR*2,DEX*2)</f>
        <v>260</v>
      </c>
      <c r="G77" s="1110" t="s">
        <v>795</v>
      </c>
      <c r="H77" s="1086"/>
      <c r="K77" s="2231" t="s">
        <v>796</v>
      </c>
      <c r="L77" s="2231"/>
      <c r="M77" s="1117" t="s">
        <v>797</v>
      </c>
      <c r="N77" s="1118"/>
      <c r="O77" s="1089"/>
      <c r="P77" s="1089"/>
      <c r="R77" s="1089"/>
      <c r="S77" s="1089"/>
      <c r="T77" s="1089"/>
    </row>
    <row r="78" spans="1:20" ht="17.25" customHeight="1">
      <c r="A78" s="1095">
        <v>76</v>
      </c>
      <c r="B78" s="2230" t="s">
        <v>798</v>
      </c>
      <c r="C78" s="2230"/>
      <c r="D78" s="1094" t="s">
        <v>799</v>
      </c>
      <c r="E78" s="1094" t="s">
        <v>457</v>
      </c>
      <c r="F78" s="1104">
        <f>EDU*2+APP*2</f>
        <v>260</v>
      </c>
      <c r="G78" s="1105" t="s">
        <v>800</v>
      </c>
      <c r="H78" s="1086"/>
      <c r="K78" s="2231" t="s">
        <v>801</v>
      </c>
      <c r="L78" s="2231"/>
      <c r="M78" s="1117" t="s">
        <v>802</v>
      </c>
      <c r="N78" s="1118"/>
      <c r="O78" s="1089"/>
      <c r="P78" s="1089"/>
      <c r="R78" s="1089"/>
      <c r="S78" s="1089"/>
      <c r="T78" s="1089"/>
    </row>
    <row r="79" spans="1:20" ht="17.25" customHeight="1">
      <c r="A79" s="1106">
        <v>77</v>
      </c>
      <c r="B79" s="2232" t="s">
        <v>803</v>
      </c>
      <c r="C79" s="2232"/>
      <c r="D79" s="1108" t="s">
        <v>579</v>
      </c>
      <c r="E79" s="1109" t="s">
        <v>467</v>
      </c>
      <c r="F79" s="1109">
        <f>EDU*2+MAX(STR*2,DEX*2)</f>
        <v>260</v>
      </c>
      <c r="G79" s="1110" t="s">
        <v>804</v>
      </c>
      <c r="H79" s="1086"/>
      <c r="K79" s="2231" t="s">
        <v>805</v>
      </c>
      <c r="L79" s="2231"/>
      <c r="M79" s="1117" t="s">
        <v>806</v>
      </c>
      <c r="N79" s="1118"/>
      <c r="O79" s="1089"/>
      <c r="P79" s="1089"/>
      <c r="R79" s="1089"/>
      <c r="S79" s="1089"/>
      <c r="T79" s="1089"/>
    </row>
    <row r="80" spans="1:20">
      <c r="A80" s="1095">
        <v>78</v>
      </c>
      <c r="B80" s="2230" t="s">
        <v>807</v>
      </c>
      <c r="C80" s="2230"/>
      <c r="D80" s="1094" t="s">
        <v>680</v>
      </c>
      <c r="E80" s="1094" t="s">
        <v>473</v>
      </c>
      <c r="F80" s="1104">
        <f>EDU*4</f>
        <v>240</v>
      </c>
      <c r="G80" s="1105" t="s">
        <v>808</v>
      </c>
      <c r="H80" s="1086"/>
      <c r="K80" s="2231" t="s">
        <v>809</v>
      </c>
      <c r="L80" s="2231"/>
      <c r="M80" s="1117" t="s">
        <v>810</v>
      </c>
      <c r="N80" s="1149"/>
      <c r="O80" s="1089"/>
      <c r="P80" s="1089"/>
      <c r="R80" s="1089"/>
      <c r="S80" s="1089"/>
      <c r="T80" s="1089"/>
    </row>
    <row r="81" spans="1:20" ht="16.5" customHeight="1">
      <c r="A81" s="1106">
        <v>79</v>
      </c>
      <c r="B81" s="2232" t="s">
        <v>16</v>
      </c>
      <c r="C81" s="2232"/>
      <c r="D81" s="1108" t="s">
        <v>522</v>
      </c>
      <c r="E81" s="1109" t="s">
        <v>811</v>
      </c>
      <c r="F81" s="1109">
        <f>EDU*2+MAX(POW*2,DEX*2)</f>
        <v>280</v>
      </c>
      <c r="G81" s="1110" t="s">
        <v>812</v>
      </c>
      <c r="H81" s="1086"/>
      <c r="K81" s="2231" t="s">
        <v>813</v>
      </c>
      <c r="L81" s="2231"/>
      <c r="M81" s="1117" t="s">
        <v>814</v>
      </c>
      <c r="N81" s="1149"/>
      <c r="O81" s="1089"/>
      <c r="P81" s="1089"/>
      <c r="R81" s="1089"/>
      <c r="S81" s="1089"/>
      <c r="T81" s="1089"/>
    </row>
    <row r="82" spans="1:20">
      <c r="A82" s="1095">
        <v>80</v>
      </c>
      <c r="B82" s="2230" t="s">
        <v>815</v>
      </c>
      <c r="C82" s="2230"/>
      <c r="D82" s="1094" t="s">
        <v>522</v>
      </c>
      <c r="E82" s="1094" t="s">
        <v>473</v>
      </c>
      <c r="F82" s="1104">
        <f>EDU*4</f>
        <v>240</v>
      </c>
      <c r="G82" s="1105" t="s">
        <v>816</v>
      </c>
      <c r="H82" s="1086"/>
      <c r="K82" s="2231" t="s">
        <v>817</v>
      </c>
      <c r="L82" s="2231"/>
      <c r="M82" s="1117" t="s">
        <v>818</v>
      </c>
      <c r="N82" s="1149"/>
      <c r="O82" s="1089"/>
      <c r="P82" s="1089"/>
      <c r="R82" s="1089"/>
      <c r="S82" s="1089"/>
      <c r="T82" s="1089"/>
    </row>
    <row r="83" spans="1:20" ht="16.05" customHeight="1">
      <c r="A83" s="1106">
        <v>81</v>
      </c>
      <c r="B83" s="2232" t="s">
        <v>819</v>
      </c>
      <c r="C83" s="2232"/>
      <c r="D83" s="1108" t="s">
        <v>820</v>
      </c>
      <c r="E83" s="1109" t="s">
        <v>473</v>
      </c>
      <c r="F83" s="1109">
        <f>EDU*4</f>
        <v>240</v>
      </c>
      <c r="G83" s="1110" t="s">
        <v>821</v>
      </c>
      <c r="H83" s="1086"/>
      <c r="K83" s="2231" t="s">
        <v>822</v>
      </c>
      <c r="L83" s="2231"/>
      <c r="M83" s="1128" t="s">
        <v>823</v>
      </c>
      <c r="N83" s="1149"/>
      <c r="O83" s="1089"/>
      <c r="P83" s="1089"/>
      <c r="R83" s="1089"/>
      <c r="S83" s="1089"/>
      <c r="T83" s="1089"/>
    </row>
    <row r="84" spans="1:20" ht="16.5" customHeight="1">
      <c r="A84" s="1095">
        <v>82</v>
      </c>
      <c r="B84" s="2230" t="s">
        <v>824</v>
      </c>
      <c r="C84" s="2230"/>
      <c r="D84" s="1094" t="s">
        <v>825</v>
      </c>
      <c r="E84" s="1094" t="s">
        <v>467</v>
      </c>
      <c r="F84" s="1104">
        <f>EDU*2+MAX(STR*2,DEX*2)</f>
        <v>260</v>
      </c>
      <c r="G84" s="1105" t="s">
        <v>826</v>
      </c>
      <c r="K84" s="2231" t="s">
        <v>827</v>
      </c>
      <c r="L84" s="2231"/>
      <c r="M84" s="1117" t="s">
        <v>828</v>
      </c>
      <c r="N84" s="1149"/>
      <c r="O84" s="1089"/>
      <c r="P84" s="1089"/>
      <c r="R84" s="1089"/>
      <c r="S84" s="1089"/>
      <c r="T84" s="1089"/>
    </row>
    <row r="85" spans="1:20" ht="15" customHeight="1">
      <c r="A85" s="1106">
        <v>83</v>
      </c>
      <c r="B85" s="2232" t="s">
        <v>829</v>
      </c>
      <c r="C85" s="2232"/>
      <c r="D85" s="1108" t="s">
        <v>522</v>
      </c>
      <c r="E85" s="1109" t="s">
        <v>473</v>
      </c>
      <c r="F85" s="1109">
        <f>EDU*4</f>
        <v>240</v>
      </c>
      <c r="G85" s="1110" t="s">
        <v>830</v>
      </c>
      <c r="K85" s="2231" t="s">
        <v>831</v>
      </c>
      <c r="L85" s="2231"/>
      <c r="M85" s="1128" t="s">
        <v>832</v>
      </c>
      <c r="N85" s="1149"/>
      <c r="O85" s="1089"/>
      <c r="P85" s="1089"/>
      <c r="R85" s="1089"/>
      <c r="S85" s="1089"/>
      <c r="T85" s="1089"/>
    </row>
    <row r="86" spans="1:20">
      <c r="A86" s="1095">
        <v>84</v>
      </c>
      <c r="B86" s="2230" t="s">
        <v>833</v>
      </c>
      <c r="C86" s="2230"/>
      <c r="D86" s="1094" t="s">
        <v>834</v>
      </c>
      <c r="E86" s="1094" t="s">
        <v>473</v>
      </c>
      <c r="F86" s="1104">
        <f>EDU*4</f>
        <v>240</v>
      </c>
      <c r="G86" s="1105" t="s">
        <v>835</v>
      </c>
      <c r="K86" s="2231" t="s">
        <v>836</v>
      </c>
      <c r="L86" s="2231"/>
      <c r="M86" s="1117" t="s">
        <v>837</v>
      </c>
      <c r="N86" s="1149"/>
      <c r="O86" s="1089"/>
      <c r="P86" s="1089"/>
      <c r="R86" s="1089"/>
      <c r="S86" s="1089"/>
      <c r="T86" s="1089"/>
    </row>
    <row r="87" spans="1:20">
      <c r="A87" s="1106">
        <v>85</v>
      </c>
      <c r="B87" s="2232" t="s">
        <v>838</v>
      </c>
      <c r="C87" s="2232"/>
      <c r="D87" s="1108" t="s">
        <v>522</v>
      </c>
      <c r="E87" s="1109" t="s">
        <v>473</v>
      </c>
      <c r="F87" s="1109">
        <f>EDU*4</f>
        <v>240</v>
      </c>
      <c r="G87" s="1110" t="s">
        <v>839</v>
      </c>
      <c r="K87" s="2231" t="s">
        <v>840</v>
      </c>
      <c r="L87" s="2231"/>
      <c r="M87" s="1117" t="s">
        <v>841</v>
      </c>
      <c r="N87" s="1149"/>
      <c r="O87" s="1089"/>
      <c r="P87" s="1089"/>
      <c r="R87" s="1089"/>
      <c r="S87" s="1089"/>
      <c r="T87" s="1089"/>
    </row>
    <row r="88" spans="1:20">
      <c r="A88" s="1095">
        <v>86</v>
      </c>
      <c r="B88" s="2230" t="s">
        <v>842</v>
      </c>
      <c r="C88" s="2230"/>
      <c r="D88" s="1094" t="s">
        <v>680</v>
      </c>
      <c r="E88" s="1094" t="s">
        <v>473</v>
      </c>
      <c r="F88" s="1104">
        <f>EDU*4</f>
        <v>240</v>
      </c>
      <c r="G88" s="1105" t="s">
        <v>843</v>
      </c>
      <c r="K88" s="2231" t="s">
        <v>844</v>
      </c>
      <c r="L88" s="2231"/>
      <c r="M88" s="1117" t="s">
        <v>841</v>
      </c>
      <c r="N88" s="1149"/>
      <c r="O88" s="1089"/>
      <c r="P88" s="1089"/>
      <c r="R88" s="1089"/>
      <c r="S88" s="1089"/>
      <c r="T88" s="1089"/>
    </row>
    <row r="89" spans="1:20" ht="16.5" customHeight="1">
      <c r="A89" s="1106">
        <v>87</v>
      </c>
      <c r="B89" s="2232" t="s">
        <v>845</v>
      </c>
      <c r="C89" s="2232"/>
      <c r="D89" s="1108" t="s">
        <v>794</v>
      </c>
      <c r="E89" s="1109" t="s">
        <v>574</v>
      </c>
      <c r="F89" s="1109">
        <f>EDU*2+DEX*2</f>
        <v>260</v>
      </c>
      <c r="G89" s="1110" t="s">
        <v>846</v>
      </c>
      <c r="K89" s="2231" t="s">
        <v>847</v>
      </c>
      <c r="L89" s="2231"/>
      <c r="M89" s="1117" t="s">
        <v>848</v>
      </c>
      <c r="N89" s="1149"/>
      <c r="O89" s="1089"/>
      <c r="P89" s="1089"/>
      <c r="R89" s="1089"/>
      <c r="S89" s="1089"/>
      <c r="T89" s="1089"/>
    </row>
    <row r="90" spans="1:20">
      <c r="A90" s="1095">
        <v>88</v>
      </c>
      <c r="B90" s="2230" t="s">
        <v>849</v>
      </c>
      <c r="C90" s="2230"/>
      <c r="D90" s="1094" t="s">
        <v>579</v>
      </c>
      <c r="E90" s="1094" t="s">
        <v>473</v>
      </c>
      <c r="F90" s="1104">
        <f>EDU*4</f>
        <v>240</v>
      </c>
      <c r="G90" s="1105" t="s">
        <v>850</v>
      </c>
      <c r="K90" s="2231" t="s">
        <v>851</v>
      </c>
      <c r="L90" s="2231"/>
      <c r="M90" s="1117" t="s">
        <v>852</v>
      </c>
      <c r="N90" s="1149"/>
      <c r="O90" s="1089"/>
      <c r="P90" s="1089"/>
      <c r="R90" s="1089"/>
      <c r="S90" s="1089"/>
      <c r="T90" s="1089"/>
    </row>
    <row r="91" spans="1:20" ht="16.5" customHeight="1">
      <c r="A91" s="1106">
        <v>89</v>
      </c>
      <c r="B91" s="2232" t="s">
        <v>853</v>
      </c>
      <c r="C91" s="2232"/>
      <c r="D91" s="1108" t="s">
        <v>532</v>
      </c>
      <c r="E91" s="1109" t="s">
        <v>467</v>
      </c>
      <c r="F91" s="1109">
        <f>EDU*2+MAX(STR*2,DEX*2)</f>
        <v>260</v>
      </c>
      <c r="G91" s="1110" t="s">
        <v>854</v>
      </c>
      <c r="K91" s="2231" t="s">
        <v>855</v>
      </c>
      <c r="L91" s="2231"/>
      <c r="M91" s="1117" t="s">
        <v>856</v>
      </c>
      <c r="N91" s="1149"/>
      <c r="O91" s="1089"/>
      <c r="P91" s="1089"/>
      <c r="R91" s="1089"/>
      <c r="S91" s="1089"/>
      <c r="T91" s="1089"/>
    </row>
    <row r="92" spans="1:20" ht="16.5" customHeight="1">
      <c r="A92" s="1095">
        <v>90</v>
      </c>
      <c r="B92" s="2230" t="s">
        <v>857</v>
      </c>
      <c r="C92" s="2230"/>
      <c r="D92" s="1094" t="s">
        <v>522</v>
      </c>
      <c r="E92" s="1094" t="s">
        <v>467</v>
      </c>
      <c r="F92" s="1104">
        <f>EDU*2+MAX(STR*2,DEX*2)</f>
        <v>260</v>
      </c>
      <c r="G92" s="1105" t="s">
        <v>858</v>
      </c>
      <c r="K92" s="2231" t="s">
        <v>859</v>
      </c>
      <c r="L92" s="2231"/>
      <c r="M92" s="1117" t="s">
        <v>860</v>
      </c>
      <c r="N92" s="1149"/>
      <c r="O92" s="1089"/>
      <c r="P92" s="1089"/>
      <c r="R92" s="1089"/>
      <c r="S92" s="1089"/>
      <c r="T92" s="1089"/>
    </row>
    <row r="93" spans="1:20" ht="16.5" customHeight="1">
      <c r="A93" s="1106">
        <v>91</v>
      </c>
      <c r="B93" s="2232" t="s">
        <v>861</v>
      </c>
      <c r="C93" s="2232"/>
      <c r="D93" s="1108" t="s">
        <v>522</v>
      </c>
      <c r="E93" s="1109" t="s">
        <v>467</v>
      </c>
      <c r="F93" s="1109">
        <f>EDU*2+MAX(STR*2,DEX*2)</f>
        <v>260</v>
      </c>
      <c r="G93" s="1110" t="s">
        <v>862</v>
      </c>
      <c r="K93" s="2231" t="s">
        <v>863</v>
      </c>
      <c r="L93" s="2231"/>
      <c r="M93" s="1117" t="s">
        <v>864</v>
      </c>
      <c r="N93" s="1149"/>
      <c r="O93" s="1089"/>
      <c r="P93" s="1089"/>
      <c r="R93" s="1089"/>
      <c r="S93" s="1089"/>
      <c r="T93" s="1089"/>
    </row>
    <row r="94" spans="1:20">
      <c r="A94" s="1095">
        <v>92</v>
      </c>
      <c r="B94" s="2230" t="s">
        <v>865</v>
      </c>
      <c r="C94" s="2230"/>
      <c r="D94" s="1094" t="s">
        <v>794</v>
      </c>
      <c r="E94" s="1094" t="s">
        <v>473</v>
      </c>
      <c r="F94" s="1104">
        <f>EDU*4</f>
        <v>240</v>
      </c>
      <c r="G94" s="1105" t="s">
        <v>866</v>
      </c>
      <c r="K94" s="2231" t="s">
        <v>867</v>
      </c>
      <c r="L94" s="2231"/>
      <c r="M94" s="1117" t="s">
        <v>868</v>
      </c>
      <c r="N94" s="1149"/>
      <c r="O94" s="1089"/>
      <c r="P94" s="1089"/>
      <c r="R94" s="1089"/>
      <c r="S94" s="1089"/>
      <c r="T94" s="1089"/>
    </row>
    <row r="95" spans="1:20" ht="16.5" customHeight="1">
      <c r="A95" s="1106">
        <v>93</v>
      </c>
      <c r="B95" s="2232" t="s">
        <v>869</v>
      </c>
      <c r="C95" s="2232"/>
      <c r="D95" s="1108" t="s">
        <v>870</v>
      </c>
      <c r="E95" s="1109" t="s">
        <v>467</v>
      </c>
      <c r="F95" s="1109">
        <f>EDU*2+MAX(STR*2,DEX*2)</f>
        <v>260</v>
      </c>
      <c r="G95" s="1110" t="s">
        <v>871</v>
      </c>
      <c r="K95" s="2231" t="s">
        <v>872</v>
      </c>
      <c r="L95" s="2231"/>
      <c r="M95" s="1117" t="s">
        <v>873</v>
      </c>
      <c r="N95" s="1149"/>
      <c r="O95" s="1089"/>
      <c r="P95" s="1089"/>
      <c r="R95" s="1089"/>
      <c r="S95" s="1089"/>
      <c r="T95" s="1089"/>
    </row>
    <row r="96" spans="1:20" ht="17.25" customHeight="1">
      <c r="A96" s="1095">
        <v>94</v>
      </c>
      <c r="B96" s="2230" t="s">
        <v>874</v>
      </c>
      <c r="C96" s="2230"/>
      <c r="D96" s="1094" t="s">
        <v>875</v>
      </c>
      <c r="E96" s="1094" t="s">
        <v>457</v>
      </c>
      <c r="F96" s="1104">
        <f>EDU*2+APP*2</f>
        <v>260</v>
      </c>
      <c r="G96" s="1105" t="s">
        <v>876</v>
      </c>
      <c r="K96" s="2231" t="s">
        <v>877</v>
      </c>
      <c r="L96" s="2231"/>
      <c r="M96" s="1117" t="s">
        <v>878</v>
      </c>
      <c r="N96" s="1149"/>
      <c r="O96" s="1089"/>
      <c r="P96" s="1089"/>
      <c r="R96" s="1089"/>
      <c r="S96" s="1089"/>
      <c r="T96" s="1089"/>
    </row>
    <row r="97" spans="1:20">
      <c r="A97" s="1106">
        <v>95</v>
      </c>
      <c r="B97" s="2232" t="s">
        <v>879</v>
      </c>
      <c r="C97" s="2232"/>
      <c r="D97" s="1108" t="s">
        <v>657</v>
      </c>
      <c r="E97" s="1109" t="s">
        <v>473</v>
      </c>
      <c r="F97" s="1109">
        <f>EDU*4</f>
        <v>240</v>
      </c>
      <c r="G97" s="1110" t="s">
        <v>880</v>
      </c>
      <c r="K97" s="2231" t="s">
        <v>881</v>
      </c>
      <c r="L97" s="2231"/>
      <c r="M97" s="1117" t="s">
        <v>882</v>
      </c>
      <c r="N97" s="1149"/>
      <c r="O97" s="1089"/>
      <c r="P97" s="1089"/>
      <c r="R97" s="1089"/>
      <c r="S97" s="1089"/>
      <c r="T97" s="1089"/>
    </row>
    <row r="98" spans="1:20">
      <c r="A98" s="1095">
        <v>96</v>
      </c>
      <c r="B98" s="2230" t="s">
        <v>883</v>
      </c>
      <c r="C98" s="2230"/>
      <c r="D98" s="1094" t="s">
        <v>478</v>
      </c>
      <c r="E98" s="1094" t="s">
        <v>473</v>
      </c>
      <c r="F98" s="1104">
        <f>EDU*4</f>
        <v>240</v>
      </c>
      <c r="G98" s="1105" t="s">
        <v>884</v>
      </c>
      <c r="K98" s="2231" t="s">
        <v>885</v>
      </c>
      <c r="L98" s="2231"/>
      <c r="M98" s="1117" t="s">
        <v>886</v>
      </c>
      <c r="N98" s="1149"/>
      <c r="O98" s="1089"/>
      <c r="P98" s="1089"/>
      <c r="R98" s="1089"/>
      <c r="S98" s="1089"/>
      <c r="T98" s="1089"/>
    </row>
    <row r="99" spans="1:20">
      <c r="A99" s="1106">
        <v>97</v>
      </c>
      <c r="B99" s="2232" t="s">
        <v>887</v>
      </c>
      <c r="C99" s="2232"/>
      <c r="D99" s="1108" t="s">
        <v>522</v>
      </c>
      <c r="E99" s="1109" t="s">
        <v>473</v>
      </c>
      <c r="F99" s="1109">
        <f>EDU*4</f>
        <v>240</v>
      </c>
      <c r="G99" s="1110" t="s">
        <v>888</v>
      </c>
      <c r="K99" s="2231" t="s">
        <v>889</v>
      </c>
      <c r="L99" s="2231"/>
      <c r="M99" s="1117" t="s">
        <v>890</v>
      </c>
      <c r="N99" s="1149"/>
      <c r="O99" s="1089"/>
      <c r="P99" s="1089"/>
      <c r="R99" s="1089"/>
      <c r="S99" s="1089"/>
      <c r="T99" s="1089"/>
    </row>
    <row r="100" spans="1:20">
      <c r="A100" s="1095">
        <v>98</v>
      </c>
      <c r="B100" s="2230" t="s">
        <v>891</v>
      </c>
      <c r="C100" s="2230"/>
      <c r="D100" s="1094" t="s">
        <v>522</v>
      </c>
      <c r="E100" s="1094" t="s">
        <v>473</v>
      </c>
      <c r="F100" s="1104">
        <f>EDU*4</f>
        <v>240</v>
      </c>
      <c r="G100" s="1105" t="s">
        <v>892</v>
      </c>
      <c r="K100" s="2231" t="s">
        <v>893</v>
      </c>
      <c r="L100" s="2231"/>
      <c r="M100" s="1117" t="s">
        <v>894</v>
      </c>
      <c r="N100" s="1149"/>
      <c r="O100" s="1089"/>
      <c r="P100" s="1089"/>
      <c r="R100" s="1089"/>
      <c r="S100" s="1089"/>
      <c r="T100" s="1089"/>
    </row>
    <row r="101" spans="1:20">
      <c r="A101" s="1106">
        <v>99</v>
      </c>
      <c r="B101" s="2232" t="s">
        <v>895</v>
      </c>
      <c r="C101" s="2232"/>
      <c r="D101" s="1108" t="s">
        <v>537</v>
      </c>
      <c r="E101" s="1109" t="s">
        <v>473</v>
      </c>
      <c r="F101" s="1109">
        <f>EDU*4</f>
        <v>240</v>
      </c>
      <c r="G101" s="1110" t="s">
        <v>896</v>
      </c>
      <c r="K101" s="2231" t="s">
        <v>897</v>
      </c>
      <c r="L101" s="2231"/>
      <c r="M101" s="1117" t="s">
        <v>898</v>
      </c>
      <c r="N101" s="1149"/>
      <c r="O101" s="1089"/>
      <c r="P101" s="1089"/>
      <c r="R101" s="1089"/>
      <c r="S101" s="1089"/>
      <c r="T101" s="1089"/>
    </row>
    <row r="102" spans="1:20" ht="17.25" customHeight="1">
      <c r="A102" s="1095">
        <v>100</v>
      </c>
      <c r="B102" s="2230" t="s">
        <v>899</v>
      </c>
      <c r="C102" s="2230"/>
      <c r="D102" s="1094" t="s">
        <v>456</v>
      </c>
      <c r="E102" s="1094" t="s">
        <v>602</v>
      </c>
      <c r="F102" s="1104">
        <f>EDU*2+APP*2</f>
        <v>260</v>
      </c>
      <c r="G102" s="1105" t="s">
        <v>900</v>
      </c>
      <c r="K102" s="2231" t="s">
        <v>901</v>
      </c>
      <c r="L102" s="2231"/>
      <c r="M102" s="1117" t="s">
        <v>902</v>
      </c>
      <c r="N102" s="1149"/>
      <c r="O102" s="1089"/>
      <c r="P102" s="1089"/>
      <c r="R102" s="1089"/>
      <c r="S102" s="1089"/>
      <c r="T102" s="1089"/>
    </row>
    <row r="103" spans="1:20">
      <c r="A103" s="1106">
        <v>101</v>
      </c>
      <c r="B103" s="2232" t="s">
        <v>903</v>
      </c>
      <c r="C103" s="2232"/>
      <c r="D103" s="1108" t="s">
        <v>506</v>
      </c>
      <c r="E103" s="1109" t="s">
        <v>473</v>
      </c>
      <c r="F103" s="1109">
        <f>EDU*4</f>
        <v>240</v>
      </c>
      <c r="G103" s="1110" t="s">
        <v>904</v>
      </c>
      <c r="K103" s="2231" t="s">
        <v>905</v>
      </c>
      <c r="L103" s="2231"/>
      <c r="M103" s="1117" t="s">
        <v>906</v>
      </c>
      <c r="N103" s="1149"/>
      <c r="O103" s="1089"/>
      <c r="P103" s="1089"/>
      <c r="R103" s="1089"/>
      <c r="S103" s="1089"/>
      <c r="T103" s="1089"/>
    </row>
    <row r="104" spans="1:20" ht="17.25" customHeight="1">
      <c r="A104" s="1095">
        <v>102</v>
      </c>
      <c r="B104" s="2230" t="s">
        <v>907</v>
      </c>
      <c r="C104" s="2230"/>
      <c r="D104" s="1094" t="s">
        <v>522</v>
      </c>
      <c r="E104" s="1094" t="s">
        <v>908</v>
      </c>
      <c r="F104" s="1104">
        <f>EDU*2+MAX(DEX*2,APP*2)</f>
        <v>260</v>
      </c>
      <c r="G104" s="1105" t="s">
        <v>909</v>
      </c>
      <c r="K104" s="2231" t="s">
        <v>910</v>
      </c>
      <c r="L104" s="2231"/>
      <c r="M104" s="1117" t="s">
        <v>911</v>
      </c>
      <c r="N104" s="1149"/>
      <c r="O104" s="1089"/>
      <c r="P104" s="1089"/>
      <c r="R104" s="1089"/>
      <c r="S104" s="1089"/>
      <c r="T104" s="1089"/>
    </row>
    <row r="105" spans="1:20" ht="17.25" customHeight="1">
      <c r="A105" s="1106">
        <v>103</v>
      </c>
      <c r="B105" s="2232" t="s">
        <v>912</v>
      </c>
      <c r="C105" s="2232"/>
      <c r="D105" s="1108" t="s">
        <v>537</v>
      </c>
      <c r="E105" s="1109" t="s">
        <v>725</v>
      </c>
      <c r="F105" s="1109">
        <f>EDU*2+MAX(DEX*2,APP*2)</f>
        <v>260</v>
      </c>
      <c r="G105" s="1110" t="s">
        <v>913</v>
      </c>
      <c r="K105" s="2231" t="s">
        <v>914</v>
      </c>
      <c r="L105" s="2231"/>
      <c r="M105" s="1117" t="s">
        <v>915</v>
      </c>
      <c r="N105" s="1149"/>
      <c r="O105" s="1089"/>
      <c r="P105" s="1089"/>
      <c r="R105" s="1089"/>
      <c r="S105" s="1089"/>
      <c r="T105" s="1089"/>
    </row>
    <row r="106" spans="1:20" ht="16.5" customHeight="1">
      <c r="A106" s="1095">
        <v>104</v>
      </c>
      <c r="B106" s="2230" t="s">
        <v>916</v>
      </c>
      <c r="C106" s="2230"/>
      <c r="D106" s="1094" t="s">
        <v>522</v>
      </c>
      <c r="E106" s="1094" t="s">
        <v>467</v>
      </c>
      <c r="F106" s="1104">
        <f>EDU*2+MAX(STR*2,DEX*2)</f>
        <v>260</v>
      </c>
      <c r="G106" s="1105" t="s">
        <v>917</v>
      </c>
      <c r="K106" s="2231" t="s">
        <v>893</v>
      </c>
      <c r="L106" s="2231"/>
      <c r="M106" s="1117" t="s">
        <v>918</v>
      </c>
      <c r="N106" s="1149"/>
      <c r="O106" s="1089"/>
      <c r="P106" s="1089"/>
      <c r="R106" s="1089"/>
      <c r="S106" s="1089"/>
      <c r="T106" s="1089"/>
    </row>
    <row r="107" spans="1:20" ht="17.25" customHeight="1">
      <c r="A107" s="1106">
        <v>105</v>
      </c>
      <c r="B107" s="2232" t="s">
        <v>919</v>
      </c>
      <c r="C107" s="2232"/>
      <c r="D107" s="1108" t="s">
        <v>621</v>
      </c>
      <c r="E107" s="1109" t="s">
        <v>626</v>
      </c>
      <c r="F107" s="1109">
        <f>EDU*2+MAX(DEX*2,APP*2)</f>
        <v>260</v>
      </c>
      <c r="G107" s="1110" t="s">
        <v>920</v>
      </c>
      <c r="K107" s="2231" t="s">
        <v>921</v>
      </c>
      <c r="L107" s="2231"/>
      <c r="M107" s="1117" t="s">
        <v>922</v>
      </c>
      <c r="N107" s="1149"/>
      <c r="O107" s="1089"/>
      <c r="P107" s="1089"/>
      <c r="R107" s="1089"/>
      <c r="S107" s="1089"/>
      <c r="T107" s="1089"/>
    </row>
    <row r="108" spans="1:20">
      <c r="A108" s="1095">
        <v>106</v>
      </c>
      <c r="B108" s="2230" t="s">
        <v>923</v>
      </c>
      <c r="C108" s="2230"/>
      <c r="D108" s="1094" t="s">
        <v>924</v>
      </c>
      <c r="E108" s="1094" t="s">
        <v>473</v>
      </c>
      <c r="F108" s="1104">
        <f>EDU*4</f>
        <v>240</v>
      </c>
      <c r="G108" s="1105" t="s">
        <v>925</v>
      </c>
      <c r="K108" s="2231" t="s">
        <v>926</v>
      </c>
      <c r="L108" s="2231"/>
      <c r="M108" s="1117" t="s">
        <v>927</v>
      </c>
      <c r="N108" s="1149"/>
      <c r="O108" s="1089"/>
      <c r="P108" s="1089"/>
      <c r="R108" s="1089"/>
      <c r="S108" s="1089"/>
      <c r="T108" s="1089"/>
    </row>
    <row r="109" spans="1:20" ht="16.5" customHeight="1">
      <c r="A109" s="1106">
        <v>107</v>
      </c>
      <c r="B109" s="2232" t="s">
        <v>928</v>
      </c>
      <c r="C109" s="2232"/>
      <c r="D109" s="1108" t="s">
        <v>929</v>
      </c>
      <c r="E109" s="1109" t="s">
        <v>467</v>
      </c>
      <c r="F109" s="1109">
        <f>EDU*2+MAX(STR*2,DEX*2)</f>
        <v>260</v>
      </c>
      <c r="G109" s="1110" t="s">
        <v>930</v>
      </c>
      <c r="K109" s="2231" t="s">
        <v>931</v>
      </c>
      <c r="L109" s="2231"/>
      <c r="M109" s="1117" t="s">
        <v>932</v>
      </c>
      <c r="N109" s="1149"/>
      <c r="O109" s="1089"/>
      <c r="P109" s="1089"/>
      <c r="R109" s="1089"/>
      <c r="S109" s="1089"/>
      <c r="T109" s="1089"/>
    </row>
    <row r="110" spans="1:20" ht="16.5" customHeight="1">
      <c r="A110" s="1095">
        <v>108</v>
      </c>
      <c r="B110" s="2230" t="s">
        <v>933</v>
      </c>
      <c r="C110" s="2230"/>
      <c r="D110" s="1094" t="s">
        <v>934</v>
      </c>
      <c r="E110" s="1094" t="s">
        <v>467</v>
      </c>
      <c r="F110" s="1104">
        <f>EDU*2+MAX(STR*2,DEX*2)</f>
        <v>260</v>
      </c>
      <c r="G110" s="1105" t="s">
        <v>935</v>
      </c>
      <c r="K110" s="2231" t="s">
        <v>936</v>
      </c>
      <c r="L110" s="2231"/>
      <c r="M110" s="1117" t="s">
        <v>937</v>
      </c>
      <c r="N110" s="1149"/>
      <c r="O110" s="1089"/>
      <c r="P110" s="1089"/>
      <c r="R110" s="1089"/>
      <c r="S110" s="1089"/>
      <c r="T110" s="1089"/>
    </row>
    <row r="111" spans="1:20">
      <c r="A111" s="1106">
        <v>109</v>
      </c>
      <c r="B111" s="2232" t="s">
        <v>938</v>
      </c>
      <c r="C111" s="2232"/>
      <c r="D111" s="1108" t="s">
        <v>537</v>
      </c>
      <c r="E111" s="1109" t="s">
        <v>473</v>
      </c>
      <c r="F111" s="1109">
        <f>EDU*4</f>
        <v>240</v>
      </c>
      <c r="G111" s="1110" t="s">
        <v>939</v>
      </c>
      <c r="K111" s="2231" t="s">
        <v>940</v>
      </c>
      <c r="L111" s="2231"/>
      <c r="M111" s="1117" t="s">
        <v>941</v>
      </c>
      <c r="N111" s="1149"/>
      <c r="O111" s="1089"/>
      <c r="P111" s="1089"/>
      <c r="R111" s="1089"/>
      <c r="S111" s="1089"/>
      <c r="T111" s="1089"/>
    </row>
    <row r="112" spans="1:20">
      <c r="A112" s="1095">
        <v>110</v>
      </c>
      <c r="B112" s="2230" t="s">
        <v>942</v>
      </c>
      <c r="C112" s="2230"/>
      <c r="D112" s="1094" t="s">
        <v>875</v>
      </c>
      <c r="E112" s="1094" t="s">
        <v>473</v>
      </c>
      <c r="F112" s="1104">
        <f>EDU*4</f>
        <v>240</v>
      </c>
      <c r="G112" s="1105" t="s">
        <v>943</v>
      </c>
      <c r="K112" s="2231" t="s">
        <v>944</v>
      </c>
      <c r="L112" s="2231"/>
      <c r="M112" s="1117" t="s">
        <v>945</v>
      </c>
      <c r="N112" s="1149"/>
      <c r="O112" s="1089"/>
      <c r="P112" s="1089"/>
      <c r="R112" s="1089"/>
      <c r="S112" s="1089"/>
      <c r="T112" s="1089"/>
    </row>
    <row r="113" spans="1:20" ht="17.25" customHeight="1">
      <c r="A113" s="1106">
        <v>111</v>
      </c>
      <c r="B113" s="2232" t="s">
        <v>946</v>
      </c>
      <c r="C113" s="2232"/>
      <c r="D113" s="1108" t="s">
        <v>450</v>
      </c>
      <c r="E113" s="1109" t="s">
        <v>743</v>
      </c>
      <c r="F113" s="1109">
        <f>EDU*2+MAX(DEX*2,APP*2)</f>
        <v>260</v>
      </c>
      <c r="G113" s="1110" t="s">
        <v>947</v>
      </c>
      <c r="K113" s="2231" t="s">
        <v>948</v>
      </c>
      <c r="L113" s="2231"/>
      <c r="M113" s="1117" t="s">
        <v>949</v>
      </c>
      <c r="N113" s="1149"/>
      <c r="O113" s="1089"/>
      <c r="P113" s="1089"/>
      <c r="R113" s="1089"/>
      <c r="S113" s="1089"/>
      <c r="T113" s="1089"/>
    </row>
    <row r="114" spans="1:20">
      <c r="A114" s="1095">
        <v>112</v>
      </c>
      <c r="B114" s="2230" t="s">
        <v>950</v>
      </c>
      <c r="C114" s="2230"/>
      <c r="D114" s="1094" t="s">
        <v>450</v>
      </c>
      <c r="E114" s="1094" t="s">
        <v>473</v>
      </c>
      <c r="F114" s="1104">
        <f>EDU*4</f>
        <v>240</v>
      </c>
      <c r="G114" s="1105" t="s">
        <v>951</v>
      </c>
      <c r="K114" s="2231" t="s">
        <v>952</v>
      </c>
      <c r="L114" s="2231"/>
      <c r="M114" s="1117" t="s">
        <v>953</v>
      </c>
      <c r="N114" s="1149"/>
      <c r="O114" s="1089"/>
      <c r="P114" s="1089"/>
      <c r="R114" s="1089"/>
      <c r="S114" s="1089"/>
      <c r="T114" s="1089"/>
    </row>
    <row r="115" spans="1:20">
      <c r="A115" s="1106">
        <v>113</v>
      </c>
      <c r="B115" s="2232" t="s">
        <v>954</v>
      </c>
      <c r="C115" s="2232"/>
      <c r="D115" s="1108" t="s">
        <v>955</v>
      </c>
      <c r="E115" s="1109" t="s">
        <v>473</v>
      </c>
      <c r="F115" s="1109">
        <f>EDU*4</f>
        <v>240</v>
      </c>
      <c r="G115" s="1110" t="s">
        <v>956</v>
      </c>
      <c r="K115" s="2231" t="s">
        <v>957</v>
      </c>
      <c r="L115" s="2231"/>
      <c r="M115" s="1117" t="s">
        <v>958</v>
      </c>
      <c r="N115" s="1149"/>
      <c r="O115" s="1089"/>
      <c r="P115" s="1089"/>
      <c r="R115" s="1089"/>
      <c r="S115" s="1089"/>
      <c r="T115" s="1089"/>
    </row>
    <row r="116" spans="1:20" ht="16.5" customHeight="1">
      <c r="A116" s="1095">
        <v>114</v>
      </c>
      <c r="B116" s="2230" t="s">
        <v>959</v>
      </c>
      <c r="C116" s="2230"/>
      <c r="D116" s="1094" t="s">
        <v>799</v>
      </c>
      <c r="E116" s="1094" t="s">
        <v>479</v>
      </c>
      <c r="F116" s="1104">
        <f>EDU*2+MAX(APP*2,POW*2)</f>
        <v>280</v>
      </c>
      <c r="G116" s="1105" t="s">
        <v>960</v>
      </c>
      <c r="K116" s="2231" t="s">
        <v>961</v>
      </c>
      <c r="L116" s="2231"/>
      <c r="M116" s="1117" t="s">
        <v>962</v>
      </c>
      <c r="N116" s="1149"/>
      <c r="O116" s="1089"/>
      <c r="P116" s="1089"/>
      <c r="R116" s="1089"/>
      <c r="S116" s="1089"/>
      <c r="T116" s="1089"/>
    </row>
    <row r="117" spans="1:20">
      <c r="A117" s="1132">
        <v>115</v>
      </c>
      <c r="B117" s="2233" t="s">
        <v>963</v>
      </c>
      <c r="C117" s="2233"/>
      <c r="D117" s="1133" t="s">
        <v>456</v>
      </c>
      <c r="E117" s="1134" t="s">
        <v>473</v>
      </c>
      <c r="F117" s="1134">
        <f>EDU*4</f>
        <v>240</v>
      </c>
      <c r="G117" s="1135" t="s">
        <v>964</v>
      </c>
      <c r="K117" s="2231" t="s">
        <v>965</v>
      </c>
      <c r="L117" s="2231"/>
      <c r="M117" s="1117" t="s">
        <v>966</v>
      </c>
      <c r="N117" s="1149"/>
      <c r="O117" s="1089"/>
      <c r="P117" s="1089"/>
      <c r="R117" s="1089"/>
      <c r="S117" s="1089"/>
      <c r="T117" s="1089"/>
    </row>
    <row r="118" spans="1:20">
      <c r="A118" s="1136">
        <v>116</v>
      </c>
      <c r="B118" s="2234" t="s">
        <v>967</v>
      </c>
      <c r="C118" s="2234"/>
      <c r="D118" s="1137" t="s">
        <v>685</v>
      </c>
      <c r="E118" s="1138" t="s">
        <v>602</v>
      </c>
      <c r="F118" s="1137">
        <f>EDU*2+APP*2</f>
        <v>260</v>
      </c>
      <c r="G118" s="1139" t="s">
        <v>968</v>
      </c>
      <c r="H118" s="2208" t="s">
        <v>969</v>
      </c>
      <c r="I118" s="2208"/>
      <c r="K118" s="1150" t="s">
        <v>970</v>
      </c>
      <c r="L118" s="1089"/>
      <c r="M118" s="742" t="s">
        <v>971</v>
      </c>
      <c r="N118" s="1089"/>
      <c r="O118" s="1089"/>
      <c r="P118" s="1089"/>
      <c r="R118" s="1089"/>
      <c r="S118" s="1089"/>
      <c r="T118" s="1089"/>
    </row>
    <row r="119" spans="1:20">
      <c r="A119" s="1140">
        <v>117</v>
      </c>
      <c r="B119" s="2217" t="s">
        <v>972</v>
      </c>
      <c r="C119" s="2217"/>
      <c r="D119" s="1141" t="s">
        <v>450</v>
      </c>
      <c r="E119" s="1142" t="s">
        <v>467</v>
      </c>
      <c r="F119" s="1143">
        <f>EDU*2+MAX(STR*2,DEX*2)</f>
        <v>260</v>
      </c>
      <c r="G119" s="1144" t="s">
        <v>973</v>
      </c>
      <c r="H119" s="2208"/>
      <c r="I119" s="2208"/>
      <c r="K119" s="1150" t="s">
        <v>519</v>
      </c>
      <c r="L119" s="1089"/>
      <c r="M119" s="742" t="s">
        <v>971</v>
      </c>
      <c r="N119" s="1089"/>
      <c r="O119" s="1089"/>
      <c r="P119" s="1089"/>
      <c r="R119" s="1089"/>
      <c r="S119" s="1089"/>
      <c r="T119" s="1089"/>
    </row>
    <row r="120" spans="1:20">
      <c r="A120" s="1145">
        <v>118</v>
      </c>
      <c r="B120" s="2216" t="s">
        <v>974</v>
      </c>
      <c r="C120" s="2216"/>
      <c r="D120" s="1146" t="s">
        <v>975</v>
      </c>
      <c r="E120" s="1147" t="s">
        <v>467</v>
      </c>
      <c r="F120" s="1146">
        <f>EDU*2+MAX(STR*2,DEX*2)</f>
        <v>260</v>
      </c>
      <c r="G120" s="1148" t="s">
        <v>976</v>
      </c>
      <c r="H120" s="2208"/>
      <c r="I120" s="2208"/>
      <c r="K120" s="1150" t="s">
        <v>977</v>
      </c>
      <c r="L120" s="1089"/>
      <c r="M120" s="1150" t="s">
        <v>978</v>
      </c>
      <c r="N120" s="1089"/>
      <c r="O120" s="1089"/>
      <c r="P120" s="1089"/>
      <c r="R120" s="1089"/>
      <c r="S120" s="1089"/>
      <c r="T120" s="1089"/>
    </row>
    <row r="121" spans="1:20">
      <c r="A121" s="1140">
        <v>119</v>
      </c>
      <c r="B121" s="2217" t="s">
        <v>979</v>
      </c>
      <c r="C121" s="2217"/>
      <c r="D121" s="1141" t="s">
        <v>444</v>
      </c>
      <c r="E121" s="1142" t="s">
        <v>467</v>
      </c>
      <c r="F121" s="1143">
        <f>EDU*2+MAX(STR*2,DEX*2)</f>
        <v>260</v>
      </c>
      <c r="G121" s="1144" t="s">
        <v>980</v>
      </c>
      <c r="H121" s="2208"/>
      <c r="I121" s="2208"/>
      <c r="K121" s="1150" t="s">
        <v>981</v>
      </c>
      <c r="L121" s="1089"/>
      <c r="M121" s="742" t="s">
        <v>971</v>
      </c>
      <c r="N121" s="1089"/>
      <c r="O121" s="1089"/>
      <c r="P121" s="1089"/>
      <c r="R121" s="1089"/>
      <c r="S121" s="1089"/>
      <c r="T121" s="1089"/>
    </row>
    <row r="122" spans="1:20">
      <c r="A122" s="1145">
        <v>120</v>
      </c>
      <c r="B122" s="2216" t="s">
        <v>982</v>
      </c>
      <c r="C122" s="2216"/>
      <c r="D122" s="1146" t="s">
        <v>450</v>
      </c>
      <c r="E122" s="1147" t="s">
        <v>467</v>
      </c>
      <c r="F122" s="1146">
        <f>EDU*2+MAX(STR*2,DEX*2)</f>
        <v>260</v>
      </c>
      <c r="G122" s="1148" t="s">
        <v>983</v>
      </c>
      <c r="H122" s="2208"/>
      <c r="I122" s="2208"/>
      <c r="K122" s="1150" t="s">
        <v>984</v>
      </c>
      <c r="L122" s="1089"/>
      <c r="M122" s="1150" t="s">
        <v>978</v>
      </c>
      <c r="N122" s="1089"/>
      <c r="O122" s="1089"/>
      <c r="P122" s="1089"/>
      <c r="R122" s="1089"/>
      <c r="S122" s="1089"/>
      <c r="T122" s="1089"/>
    </row>
    <row r="123" spans="1:20">
      <c r="A123" s="1140">
        <v>121</v>
      </c>
      <c r="B123" s="2217" t="s">
        <v>985</v>
      </c>
      <c r="C123" s="2217"/>
      <c r="D123" s="1141" t="s">
        <v>762</v>
      </c>
      <c r="E123" s="1142" t="s">
        <v>473</v>
      </c>
      <c r="F123" s="1143">
        <f t="shared" ref="F123:F128" si="1">EDU*4</f>
        <v>240</v>
      </c>
      <c r="G123" s="1144" t="s">
        <v>986</v>
      </c>
      <c r="H123" s="2208"/>
      <c r="I123" s="2208"/>
      <c r="K123" s="1150" t="s">
        <v>987</v>
      </c>
      <c r="L123" s="1089"/>
      <c r="M123" s="1150" t="s">
        <v>978</v>
      </c>
      <c r="N123" s="1089"/>
      <c r="O123" s="1089"/>
      <c r="P123" s="1089"/>
      <c r="R123" s="1089"/>
      <c r="S123" s="1089"/>
      <c r="T123" s="1089"/>
    </row>
    <row r="124" spans="1:20">
      <c r="A124" s="1145">
        <v>122</v>
      </c>
      <c r="B124" s="2216" t="s">
        <v>988</v>
      </c>
      <c r="C124" s="2216"/>
      <c r="D124" s="1146" t="s">
        <v>762</v>
      </c>
      <c r="E124" s="1147" t="s">
        <v>473</v>
      </c>
      <c r="F124" s="1146">
        <f t="shared" si="1"/>
        <v>240</v>
      </c>
      <c r="G124" s="1148" t="s">
        <v>989</v>
      </c>
      <c r="H124" s="2209" t="s">
        <v>990</v>
      </c>
      <c r="I124" s="2209"/>
      <c r="K124" s="1150" t="s">
        <v>991</v>
      </c>
      <c r="L124" s="1089"/>
      <c r="M124" s="1150" t="s">
        <v>978</v>
      </c>
      <c r="N124" s="1089"/>
      <c r="O124" s="1089"/>
      <c r="P124" s="1089"/>
      <c r="R124" s="1089"/>
      <c r="S124" s="1089"/>
      <c r="T124" s="1089"/>
    </row>
    <row r="125" spans="1:20">
      <c r="A125" s="1140">
        <v>123</v>
      </c>
      <c r="B125" s="2217" t="s">
        <v>992</v>
      </c>
      <c r="C125" s="2217"/>
      <c r="D125" s="1141" t="s">
        <v>794</v>
      </c>
      <c r="E125" s="1142" t="s">
        <v>473</v>
      </c>
      <c r="F125" s="1143">
        <f t="shared" si="1"/>
        <v>240</v>
      </c>
      <c r="G125" s="1144" t="s">
        <v>993</v>
      </c>
      <c r="H125" s="2209" t="s">
        <v>994</v>
      </c>
      <c r="I125" s="2209"/>
      <c r="K125" s="1150" t="s">
        <v>558</v>
      </c>
      <c r="L125" s="1089"/>
      <c r="M125" s="1150" t="s">
        <v>978</v>
      </c>
      <c r="N125" s="1089"/>
      <c r="O125" s="1089"/>
      <c r="P125" s="1089"/>
      <c r="R125" s="1089"/>
      <c r="S125" s="1089"/>
      <c r="T125" s="1089"/>
    </row>
    <row r="126" spans="1:20">
      <c r="A126" s="1145">
        <v>124</v>
      </c>
      <c r="B126" s="2216" t="s">
        <v>995</v>
      </c>
      <c r="C126" s="2216"/>
      <c r="D126" s="1146" t="s">
        <v>547</v>
      </c>
      <c r="E126" s="1147" t="s">
        <v>473</v>
      </c>
      <c r="F126" s="1146">
        <f t="shared" si="1"/>
        <v>240</v>
      </c>
      <c r="G126" s="1148" t="s">
        <v>556</v>
      </c>
      <c r="K126" s="1150" t="s">
        <v>558</v>
      </c>
      <c r="L126" s="1089"/>
      <c r="M126" s="1150" t="s">
        <v>978</v>
      </c>
      <c r="N126" s="1089"/>
      <c r="O126" s="1089"/>
      <c r="P126" s="1089"/>
      <c r="R126" s="1089"/>
      <c r="S126" s="1089"/>
      <c r="T126" s="1089"/>
    </row>
    <row r="127" spans="1:20">
      <c r="A127" s="1140">
        <v>125</v>
      </c>
      <c r="B127" s="2217" t="s">
        <v>996</v>
      </c>
      <c r="C127" s="2217"/>
      <c r="D127" s="1141" t="s">
        <v>547</v>
      </c>
      <c r="E127" s="1142" t="s">
        <v>473</v>
      </c>
      <c r="F127" s="1143">
        <f t="shared" si="1"/>
        <v>240</v>
      </c>
      <c r="G127" s="1144" t="s">
        <v>997</v>
      </c>
      <c r="K127" s="1150" t="s">
        <v>998</v>
      </c>
      <c r="L127" s="1089"/>
      <c r="M127" s="1150" t="s">
        <v>978</v>
      </c>
      <c r="N127" s="1089"/>
      <c r="O127" s="1089"/>
      <c r="P127" s="1089"/>
      <c r="R127" s="1089"/>
      <c r="S127" s="1089"/>
      <c r="T127" s="1089"/>
    </row>
    <row r="128" spans="1:20">
      <c r="A128" s="1145">
        <v>126</v>
      </c>
      <c r="B128" s="2216" t="s">
        <v>999</v>
      </c>
      <c r="C128" s="2216"/>
      <c r="D128" s="1146" t="s">
        <v>444</v>
      </c>
      <c r="E128" s="1147" t="s">
        <v>473</v>
      </c>
      <c r="F128" s="1146">
        <f t="shared" si="1"/>
        <v>240</v>
      </c>
      <c r="G128" s="1148" t="s">
        <v>1000</v>
      </c>
      <c r="K128" s="1150" t="s">
        <v>1001</v>
      </c>
      <c r="L128" s="1089"/>
      <c r="M128" s="1150" t="s">
        <v>978</v>
      </c>
      <c r="N128" s="1089"/>
      <c r="O128" s="1089"/>
      <c r="P128" s="1089"/>
      <c r="R128" s="1089"/>
      <c r="S128" s="1089"/>
      <c r="T128" s="1089"/>
    </row>
    <row r="129" spans="1:20">
      <c r="A129" s="1140">
        <v>127</v>
      </c>
      <c r="B129" s="2217" t="s">
        <v>1002</v>
      </c>
      <c r="C129" s="2217"/>
      <c r="D129" s="1141" t="s">
        <v>799</v>
      </c>
      <c r="E129" s="1142" t="s">
        <v>479</v>
      </c>
      <c r="F129" s="1143">
        <f>EDU*2+MAX(APP*2,POW*2)</f>
        <v>280</v>
      </c>
      <c r="G129" s="1144" t="s">
        <v>1003</v>
      </c>
      <c r="K129" s="1150" t="s">
        <v>1004</v>
      </c>
      <c r="L129" s="1089"/>
      <c r="M129" s="1150" t="s">
        <v>978</v>
      </c>
      <c r="N129" s="1089"/>
      <c r="O129" s="1089"/>
      <c r="P129" s="1089"/>
      <c r="R129" s="1089"/>
      <c r="S129" s="1089"/>
      <c r="T129" s="1089"/>
    </row>
    <row r="130" spans="1:20">
      <c r="A130" s="1145">
        <v>128</v>
      </c>
      <c r="B130" s="2216" t="s">
        <v>1005</v>
      </c>
      <c r="C130" s="2216"/>
      <c r="D130" s="1146" t="s">
        <v>621</v>
      </c>
      <c r="E130" s="1147" t="s">
        <v>473</v>
      </c>
      <c r="F130" s="1146">
        <f>EDU*4</f>
        <v>240</v>
      </c>
      <c r="G130" s="1148" t="s">
        <v>1006</v>
      </c>
      <c r="K130" s="1150" t="s">
        <v>1007</v>
      </c>
      <c r="L130" s="1089"/>
      <c r="M130" s="1150" t="s">
        <v>978</v>
      </c>
      <c r="N130" s="1089"/>
      <c r="O130" s="1089"/>
      <c r="P130" s="1089"/>
      <c r="R130" s="1089"/>
      <c r="S130" s="1089"/>
      <c r="T130" s="1089"/>
    </row>
    <row r="131" spans="1:20">
      <c r="A131" s="1140">
        <v>129</v>
      </c>
      <c r="B131" s="2217" t="s">
        <v>1008</v>
      </c>
      <c r="C131" s="2217"/>
      <c r="D131" s="1141" t="s">
        <v>762</v>
      </c>
      <c r="E131" s="1151" t="s">
        <v>908</v>
      </c>
      <c r="F131" s="1143">
        <f>EDU*2+MAX(DEX*2,APP*2)</f>
        <v>260</v>
      </c>
      <c r="G131" s="1144" t="s">
        <v>1009</v>
      </c>
      <c r="K131" s="1150" t="s">
        <v>1010</v>
      </c>
      <c r="L131" s="1089"/>
      <c r="M131" s="1150" t="s">
        <v>978</v>
      </c>
      <c r="N131" s="1089"/>
      <c r="O131" s="1089"/>
      <c r="P131" s="1089"/>
      <c r="R131" s="1089"/>
      <c r="S131" s="1089"/>
      <c r="T131" s="1089"/>
    </row>
    <row r="132" spans="1:20">
      <c r="A132" s="1145">
        <v>130</v>
      </c>
      <c r="B132" s="2216" t="s">
        <v>1011</v>
      </c>
      <c r="C132" s="2216"/>
      <c r="D132" s="1146" t="s">
        <v>762</v>
      </c>
      <c r="E132" s="1086" t="s">
        <v>908</v>
      </c>
      <c r="F132" s="1146">
        <f>EDU*2+MAX(DEX*2,APP*2)</f>
        <v>260</v>
      </c>
      <c r="G132" s="1148" t="s">
        <v>1012</v>
      </c>
      <c r="K132" s="1150" t="s">
        <v>1013</v>
      </c>
      <c r="L132" s="1089"/>
      <c r="M132" s="1150" t="s">
        <v>978</v>
      </c>
      <c r="N132" s="1089"/>
      <c r="O132" s="1089"/>
      <c r="P132" s="1089"/>
      <c r="R132" s="1089"/>
      <c r="S132" s="1089"/>
      <c r="T132" s="1089"/>
    </row>
    <row r="133" spans="1:20">
      <c r="A133" s="1140">
        <v>131</v>
      </c>
      <c r="B133" s="2217" t="s">
        <v>1014</v>
      </c>
      <c r="C133" s="2217"/>
      <c r="D133" s="1141" t="s">
        <v>522</v>
      </c>
      <c r="E133" s="1142" t="s">
        <v>574</v>
      </c>
      <c r="F133" s="1143">
        <f>EDU*2+DEX*2</f>
        <v>260</v>
      </c>
      <c r="G133" s="1144" t="s">
        <v>1015</v>
      </c>
      <c r="K133" s="1150" t="s">
        <v>1016</v>
      </c>
      <c r="L133" s="1089"/>
      <c r="M133" s="1150" t="s">
        <v>978</v>
      </c>
      <c r="N133" s="1089"/>
      <c r="O133" s="1089"/>
      <c r="P133" s="1089"/>
      <c r="R133" s="1089"/>
      <c r="S133" s="1089"/>
      <c r="T133" s="1089"/>
    </row>
    <row r="134" spans="1:20">
      <c r="A134" s="1145">
        <v>132</v>
      </c>
      <c r="B134" s="2216" t="s">
        <v>1017</v>
      </c>
      <c r="C134" s="2216"/>
      <c r="D134" s="1146" t="s">
        <v>444</v>
      </c>
      <c r="E134" s="1086" t="s">
        <v>445</v>
      </c>
      <c r="F134" s="1146">
        <f>EDU*4</f>
        <v>240</v>
      </c>
      <c r="G134" s="1148" t="s">
        <v>1018</v>
      </c>
      <c r="K134" s="1150" t="s">
        <v>1019</v>
      </c>
      <c r="L134" s="1089"/>
      <c r="M134" s="1150" t="s">
        <v>978</v>
      </c>
      <c r="N134" s="1089"/>
      <c r="O134" s="1089"/>
      <c r="P134" s="1089"/>
      <c r="R134" s="1089"/>
      <c r="S134" s="1089"/>
      <c r="T134" s="1089"/>
    </row>
    <row r="135" spans="1:20">
      <c r="A135" s="1140">
        <v>133</v>
      </c>
      <c r="B135" s="2217" t="s">
        <v>1020</v>
      </c>
      <c r="C135" s="2217"/>
      <c r="D135" s="1141" t="s">
        <v>657</v>
      </c>
      <c r="E135" s="1142" t="s">
        <v>473</v>
      </c>
      <c r="F135" s="1143">
        <f>EDU*4</f>
        <v>240</v>
      </c>
      <c r="G135" s="1144" t="s">
        <v>781</v>
      </c>
      <c r="K135" s="1150" t="s">
        <v>1019</v>
      </c>
      <c r="L135" s="1089"/>
      <c r="M135" s="1150" t="s">
        <v>978</v>
      </c>
      <c r="N135" s="1089"/>
      <c r="O135" s="1089"/>
      <c r="P135" s="1089"/>
      <c r="R135" s="1089"/>
      <c r="S135" s="1089"/>
      <c r="T135" s="1089"/>
    </row>
    <row r="136" spans="1:20">
      <c r="A136" s="1145">
        <v>134</v>
      </c>
      <c r="B136" s="2216" t="s">
        <v>1021</v>
      </c>
      <c r="C136" s="2216"/>
      <c r="D136" s="1146" t="s">
        <v>444</v>
      </c>
      <c r="E136" s="1147" t="s">
        <v>473</v>
      </c>
      <c r="F136" s="1146">
        <f>EDU*4</f>
        <v>240</v>
      </c>
      <c r="G136" s="1148" t="s">
        <v>658</v>
      </c>
      <c r="K136" s="1150" t="s">
        <v>659</v>
      </c>
      <c r="L136" s="1089"/>
      <c r="M136" s="1150" t="s">
        <v>978</v>
      </c>
      <c r="N136" s="1089"/>
      <c r="O136" s="1089"/>
      <c r="P136" s="1089"/>
      <c r="R136" s="1089"/>
      <c r="S136" s="1089"/>
      <c r="T136" s="1089"/>
    </row>
    <row r="137" spans="1:20">
      <c r="A137" s="1140">
        <v>135</v>
      </c>
      <c r="B137" s="2217" t="s">
        <v>1022</v>
      </c>
      <c r="C137" s="2217"/>
      <c r="D137" s="1141" t="s">
        <v>762</v>
      </c>
      <c r="E137" s="1142" t="s">
        <v>473</v>
      </c>
      <c r="F137" s="1143">
        <f>EDU*4</f>
        <v>240</v>
      </c>
      <c r="G137" s="1144" t="s">
        <v>658</v>
      </c>
      <c r="K137" s="1150" t="s">
        <v>659</v>
      </c>
      <c r="L137" s="1089"/>
      <c r="M137" s="1150" t="s">
        <v>978</v>
      </c>
      <c r="N137" s="1089"/>
      <c r="O137" s="1089"/>
      <c r="P137" s="1089"/>
      <c r="R137" s="1089"/>
      <c r="S137" s="1089"/>
      <c r="T137" s="1089"/>
    </row>
    <row r="138" spans="1:20">
      <c r="A138" s="1145">
        <v>136</v>
      </c>
      <c r="B138" s="2216" t="s">
        <v>1023</v>
      </c>
      <c r="C138" s="2216"/>
      <c r="D138" s="1146" t="s">
        <v>657</v>
      </c>
      <c r="E138" s="1147" t="s">
        <v>473</v>
      </c>
      <c r="F138" s="1146">
        <f>EDU*4</f>
        <v>240</v>
      </c>
      <c r="G138" s="1148" t="s">
        <v>658</v>
      </c>
      <c r="K138" s="1150" t="s">
        <v>1024</v>
      </c>
      <c r="L138" s="1089"/>
      <c r="M138" s="1150" t="s">
        <v>978</v>
      </c>
      <c r="N138" s="1089"/>
      <c r="O138" s="1089"/>
      <c r="P138" s="1089"/>
      <c r="R138" s="1089"/>
      <c r="S138" s="1089"/>
      <c r="T138" s="1089"/>
    </row>
    <row r="139" spans="1:20">
      <c r="A139" s="1140">
        <v>137</v>
      </c>
      <c r="B139" s="2217" t="s">
        <v>1025</v>
      </c>
      <c r="C139" s="2217"/>
      <c r="D139" s="1141" t="s">
        <v>489</v>
      </c>
      <c r="E139" s="1151" t="s">
        <v>597</v>
      </c>
      <c r="F139" s="1143">
        <f>EDU*2+DEX*2</f>
        <v>260</v>
      </c>
      <c r="G139" s="1144" t="s">
        <v>1026</v>
      </c>
      <c r="K139" s="1150" t="s">
        <v>1027</v>
      </c>
      <c r="L139" s="1089"/>
      <c r="M139" s="1150" t="s">
        <v>978</v>
      </c>
      <c r="N139" s="1089"/>
      <c r="O139" s="1089"/>
      <c r="P139" s="1089"/>
      <c r="R139" s="1089"/>
      <c r="S139" s="1089"/>
      <c r="T139" s="1089"/>
    </row>
    <row r="140" spans="1:20">
      <c r="A140" s="1145">
        <v>138</v>
      </c>
      <c r="B140" s="2216" t="s">
        <v>1028</v>
      </c>
      <c r="C140" s="2216"/>
      <c r="D140" s="1146" t="s">
        <v>522</v>
      </c>
      <c r="E140" s="1147" t="s">
        <v>473</v>
      </c>
      <c r="F140" s="1146">
        <f>EDU*4</f>
        <v>240</v>
      </c>
      <c r="G140" s="1148" t="s">
        <v>1029</v>
      </c>
      <c r="K140" s="1150" t="s">
        <v>1030</v>
      </c>
      <c r="L140" s="1089"/>
      <c r="M140" s="1150" t="s">
        <v>978</v>
      </c>
      <c r="N140" s="1089"/>
      <c r="O140" s="1089"/>
      <c r="P140" s="1089"/>
      <c r="R140" s="1089"/>
      <c r="S140" s="1089"/>
      <c r="T140" s="1089"/>
    </row>
    <row r="141" spans="1:20">
      <c r="A141" s="1140">
        <v>139</v>
      </c>
      <c r="B141" s="2217" t="s">
        <v>1031</v>
      </c>
      <c r="C141" s="2217"/>
      <c r="D141" s="1141" t="s">
        <v>522</v>
      </c>
      <c r="E141" s="1142" t="s">
        <v>811</v>
      </c>
      <c r="F141" s="1143">
        <f>EDU*2+MAX(DEX*2,POW*2)</f>
        <v>280</v>
      </c>
      <c r="G141" s="1144" t="s">
        <v>1032</v>
      </c>
      <c r="K141" s="1150" t="s">
        <v>1033</v>
      </c>
      <c r="L141" s="1089"/>
      <c r="M141" s="1150" t="s">
        <v>978</v>
      </c>
      <c r="N141" s="1089"/>
      <c r="O141" s="1089"/>
      <c r="P141" s="1089"/>
      <c r="R141" s="1089"/>
      <c r="S141" s="1089"/>
      <c r="T141" s="1089"/>
    </row>
    <row r="142" spans="1:20">
      <c r="A142" s="1145">
        <v>140</v>
      </c>
      <c r="B142" s="2216" t="s">
        <v>1034</v>
      </c>
      <c r="C142" s="2216"/>
      <c r="D142" s="1146" t="s">
        <v>489</v>
      </c>
      <c r="E142" s="1147" t="s">
        <v>473</v>
      </c>
      <c r="F142" s="1146">
        <f>EDU*4</f>
        <v>240</v>
      </c>
      <c r="G142" s="1148" t="s">
        <v>1035</v>
      </c>
      <c r="K142" s="1150" t="s">
        <v>1036</v>
      </c>
      <c r="L142" s="1089"/>
      <c r="M142" s="1150" t="s">
        <v>978</v>
      </c>
      <c r="N142" s="1089"/>
      <c r="O142" s="1089"/>
      <c r="P142" s="1089"/>
      <c r="R142" s="1089"/>
      <c r="S142" s="1089"/>
      <c r="T142" s="1089"/>
    </row>
    <row r="143" spans="1:20">
      <c r="A143" s="1140">
        <v>141</v>
      </c>
      <c r="B143" s="2217" t="s">
        <v>1037</v>
      </c>
      <c r="C143" s="2217"/>
      <c r="D143" s="1141" t="s">
        <v>794</v>
      </c>
      <c r="E143" s="1142" t="s">
        <v>467</v>
      </c>
      <c r="F143" s="1143">
        <f>EDU*2+MAX(STR*2,DEX*2)</f>
        <v>260</v>
      </c>
      <c r="G143" s="1144" t="s">
        <v>1038</v>
      </c>
      <c r="K143" s="1150" t="s">
        <v>1039</v>
      </c>
      <c r="L143" s="1089"/>
      <c r="M143" s="1150" t="s">
        <v>978</v>
      </c>
      <c r="N143" s="1089"/>
      <c r="O143" s="1089"/>
      <c r="P143" s="1089"/>
      <c r="R143" s="1089"/>
      <c r="S143" s="1089"/>
      <c r="T143" s="1089"/>
    </row>
    <row r="144" spans="1:20">
      <c r="A144" s="1145">
        <v>142</v>
      </c>
      <c r="B144" s="2216" t="s">
        <v>1040</v>
      </c>
      <c r="C144" s="2216"/>
      <c r="D144" s="1146" t="s">
        <v>1041</v>
      </c>
      <c r="E144" s="1147" t="s">
        <v>467</v>
      </c>
      <c r="F144" s="1146">
        <f>EDU*2+MAX(STR*2,DEX*2)</f>
        <v>260</v>
      </c>
      <c r="G144" s="1148" t="s">
        <v>1042</v>
      </c>
      <c r="K144" s="1150" t="s">
        <v>1043</v>
      </c>
      <c r="L144" s="1089"/>
      <c r="M144" s="1150" t="s">
        <v>978</v>
      </c>
      <c r="N144" s="1089"/>
      <c r="O144" s="1089"/>
      <c r="P144" s="1089"/>
      <c r="R144" s="1089"/>
      <c r="S144" s="1089"/>
      <c r="T144" s="1089"/>
    </row>
    <row r="145" spans="1:20">
      <c r="A145" s="1140">
        <v>143</v>
      </c>
      <c r="B145" s="2217" t="s">
        <v>1044</v>
      </c>
      <c r="C145" s="2217"/>
      <c r="D145" s="1141" t="s">
        <v>522</v>
      </c>
      <c r="E145" s="1142" t="s">
        <v>811</v>
      </c>
      <c r="F145" s="1143">
        <f>EDU*2+MAX(POW*2,DEX*2)</f>
        <v>280</v>
      </c>
      <c r="G145" s="1144" t="s">
        <v>1045</v>
      </c>
      <c r="K145" s="1150" t="s">
        <v>1046</v>
      </c>
      <c r="L145" s="1089"/>
      <c r="M145" s="1150" t="s">
        <v>978</v>
      </c>
      <c r="N145" s="1089"/>
      <c r="O145" s="1089"/>
      <c r="P145" s="1089"/>
      <c r="R145" s="1089"/>
      <c r="S145" s="1089"/>
      <c r="T145" s="1089"/>
    </row>
    <row r="146" spans="1:20">
      <c r="A146" s="1145">
        <v>144</v>
      </c>
      <c r="B146" s="2216" t="s">
        <v>1047</v>
      </c>
      <c r="C146" s="2216"/>
      <c r="D146" s="1146" t="s">
        <v>444</v>
      </c>
      <c r="E146" s="1086" t="s">
        <v>597</v>
      </c>
      <c r="F146" s="1146">
        <f>EDU*2+DEX*2</f>
        <v>260</v>
      </c>
      <c r="G146" s="1148" t="s">
        <v>1048</v>
      </c>
      <c r="K146" s="1150" t="s">
        <v>1049</v>
      </c>
      <c r="L146" s="1089"/>
      <c r="M146" s="1150" t="s">
        <v>978</v>
      </c>
      <c r="N146" s="1089"/>
      <c r="O146" s="1089"/>
      <c r="P146" s="1089"/>
      <c r="R146" s="1089"/>
      <c r="S146" s="1089"/>
      <c r="T146" s="1089"/>
    </row>
    <row r="147" spans="1:20">
      <c r="A147" s="1140">
        <v>145</v>
      </c>
      <c r="B147" s="2217" t="s">
        <v>1050</v>
      </c>
      <c r="C147" s="2217"/>
      <c r="D147" s="1141" t="s">
        <v>762</v>
      </c>
      <c r="E147" s="1142" t="s">
        <v>473</v>
      </c>
      <c r="F147" s="1143">
        <f>EDU*4</f>
        <v>240</v>
      </c>
      <c r="G147" s="1144" t="s">
        <v>1051</v>
      </c>
      <c r="K147" s="1150" t="s">
        <v>1052</v>
      </c>
      <c r="L147" s="1089"/>
      <c r="M147" s="1150" t="s">
        <v>978</v>
      </c>
      <c r="N147" s="1089"/>
      <c r="O147" s="1089"/>
      <c r="P147" s="1089"/>
      <c r="R147" s="1089"/>
      <c r="S147" s="1089"/>
      <c r="T147" s="1089"/>
    </row>
    <row r="148" spans="1:20">
      <c r="A148" s="1145">
        <v>146</v>
      </c>
      <c r="B148" s="2216" t="s">
        <v>1053</v>
      </c>
      <c r="C148" s="2216"/>
      <c r="D148" s="1146" t="s">
        <v>456</v>
      </c>
      <c r="E148" s="1086" t="s">
        <v>602</v>
      </c>
      <c r="F148" s="1146">
        <f>EDU*2+APP*2</f>
        <v>260</v>
      </c>
      <c r="G148" s="1148" t="s">
        <v>900</v>
      </c>
      <c r="K148" s="1150" t="s">
        <v>1054</v>
      </c>
      <c r="L148" s="1089"/>
      <c r="M148" s="1150" t="s">
        <v>978</v>
      </c>
      <c r="N148" s="1089"/>
      <c r="O148" s="1089"/>
      <c r="P148" s="1089"/>
      <c r="R148" s="1089"/>
      <c r="S148" s="1089"/>
      <c r="T148" s="1089"/>
    </row>
    <row r="149" spans="1:20">
      <c r="A149" s="1140">
        <v>147</v>
      </c>
      <c r="B149" s="2217" t="s">
        <v>1055</v>
      </c>
      <c r="C149" s="2217"/>
      <c r="D149" s="1141" t="s">
        <v>522</v>
      </c>
      <c r="E149" s="1151" t="s">
        <v>602</v>
      </c>
      <c r="F149" s="1143">
        <f>EDU*2+APP*2</f>
        <v>260</v>
      </c>
      <c r="G149" s="1144" t="s">
        <v>1056</v>
      </c>
      <c r="K149" s="1150" t="s">
        <v>1027</v>
      </c>
      <c r="L149" s="1089"/>
      <c r="M149" s="1150" t="s">
        <v>978</v>
      </c>
      <c r="N149" s="1089"/>
      <c r="O149" s="1089"/>
      <c r="P149" s="1089"/>
      <c r="R149" s="1089"/>
      <c r="S149" s="1089"/>
      <c r="T149" s="1089"/>
    </row>
    <row r="150" spans="1:20">
      <c r="A150" s="1145">
        <v>148</v>
      </c>
      <c r="B150" s="2216" t="s">
        <v>1057</v>
      </c>
      <c r="C150" s="2216"/>
      <c r="D150" s="1146" t="s">
        <v>975</v>
      </c>
      <c r="E150" s="1147" t="s">
        <v>473</v>
      </c>
      <c r="F150" s="1146">
        <f>EDU*4</f>
        <v>240</v>
      </c>
      <c r="G150" s="1148" t="s">
        <v>1058</v>
      </c>
      <c r="K150" s="1150" t="s">
        <v>1059</v>
      </c>
      <c r="L150" s="1089"/>
      <c r="M150" s="1150" t="s">
        <v>978</v>
      </c>
      <c r="N150" s="1089"/>
      <c r="O150" s="1089"/>
      <c r="P150" s="1089"/>
      <c r="R150" s="1089"/>
      <c r="S150" s="1089"/>
      <c r="T150" s="1089"/>
    </row>
    <row r="151" spans="1:20">
      <c r="A151" s="1140">
        <v>149</v>
      </c>
      <c r="B151" s="2217" t="s">
        <v>1060</v>
      </c>
      <c r="C151" s="2217"/>
      <c r="D151" s="1141" t="s">
        <v>450</v>
      </c>
      <c r="E151" s="1142" t="s">
        <v>467</v>
      </c>
      <c r="F151" s="1143">
        <f>EDU*2+MAX(STR*2,DEX*2)</f>
        <v>260</v>
      </c>
      <c r="G151" s="1144" t="s">
        <v>1061</v>
      </c>
      <c r="K151" s="1150" t="s">
        <v>1062</v>
      </c>
      <c r="L151" s="1089"/>
      <c r="M151" s="1150" t="s">
        <v>978</v>
      </c>
      <c r="N151" s="1089"/>
      <c r="O151" s="1089"/>
      <c r="P151" s="1089"/>
      <c r="R151" s="1089"/>
      <c r="S151" s="1089"/>
      <c r="T151" s="1089"/>
    </row>
    <row r="152" spans="1:20">
      <c r="A152" s="1145">
        <v>150</v>
      </c>
      <c r="B152" s="2216" t="s">
        <v>1063</v>
      </c>
      <c r="C152" s="2216"/>
      <c r="D152" s="1146" t="s">
        <v>1064</v>
      </c>
      <c r="E152" s="1147" t="s">
        <v>473</v>
      </c>
      <c r="F152" s="1146">
        <f t="shared" ref="F152:F157" si="2">EDU*4</f>
        <v>240</v>
      </c>
      <c r="G152" s="1148" t="s">
        <v>1065</v>
      </c>
      <c r="K152" s="1150" t="s">
        <v>1066</v>
      </c>
      <c r="L152" s="1089"/>
      <c r="M152" s="1150" t="s">
        <v>978</v>
      </c>
      <c r="N152" s="1089"/>
      <c r="O152" s="1089"/>
      <c r="P152" s="1089"/>
      <c r="R152" s="1089"/>
      <c r="S152" s="1089"/>
      <c r="T152" s="1089"/>
    </row>
    <row r="153" spans="1:20">
      <c r="A153" s="1140">
        <v>151</v>
      </c>
      <c r="B153" s="2217" t="s">
        <v>1067</v>
      </c>
      <c r="C153" s="2217"/>
      <c r="D153" s="1141" t="s">
        <v>621</v>
      </c>
      <c r="E153" s="1142" t="s">
        <v>473</v>
      </c>
      <c r="F153" s="1143">
        <f t="shared" si="2"/>
        <v>240</v>
      </c>
      <c r="G153" s="1144" t="s">
        <v>1068</v>
      </c>
      <c r="K153" s="1150" t="s">
        <v>1069</v>
      </c>
      <c r="L153" s="1089"/>
      <c r="M153" s="1150" t="s">
        <v>978</v>
      </c>
      <c r="N153" s="1089"/>
      <c r="O153" s="1089"/>
      <c r="P153" s="1089"/>
      <c r="R153" s="1089"/>
      <c r="S153" s="1089"/>
      <c r="T153" s="1089"/>
    </row>
    <row r="154" spans="1:20">
      <c r="A154" s="1145">
        <v>152</v>
      </c>
      <c r="B154" s="2216" t="s">
        <v>1070</v>
      </c>
      <c r="C154" s="2216"/>
      <c r="D154" s="1146" t="s">
        <v>532</v>
      </c>
      <c r="E154" s="1147" t="s">
        <v>473</v>
      </c>
      <c r="F154" s="1146">
        <f t="shared" si="2"/>
        <v>240</v>
      </c>
      <c r="G154" s="1148" t="s">
        <v>1071</v>
      </c>
      <c r="K154" s="1150" t="s">
        <v>1072</v>
      </c>
      <c r="L154" s="1089"/>
      <c r="M154" s="1150" t="s">
        <v>978</v>
      </c>
      <c r="N154" s="1089"/>
      <c r="O154" s="1089"/>
      <c r="P154" s="1089"/>
      <c r="R154" s="1089"/>
      <c r="S154" s="1089"/>
      <c r="T154" s="1089"/>
    </row>
    <row r="155" spans="1:20">
      <c r="A155" s="1140">
        <v>153</v>
      </c>
      <c r="B155" s="2217" t="s">
        <v>1073</v>
      </c>
      <c r="C155" s="2217"/>
      <c r="D155" s="1141" t="s">
        <v>522</v>
      </c>
      <c r="E155" s="1142" t="s">
        <v>473</v>
      </c>
      <c r="F155" s="1143">
        <f t="shared" si="2"/>
        <v>240</v>
      </c>
      <c r="G155" s="1144" t="s">
        <v>1074</v>
      </c>
      <c r="K155" s="1150" t="s">
        <v>1075</v>
      </c>
      <c r="L155" s="1089"/>
      <c r="M155" s="1150" t="s">
        <v>978</v>
      </c>
      <c r="N155" s="1089"/>
      <c r="O155" s="1089"/>
      <c r="P155" s="1089"/>
      <c r="R155" s="1089"/>
      <c r="S155" s="1089"/>
      <c r="T155" s="1089"/>
    </row>
    <row r="156" spans="1:20" ht="13.95" customHeight="1">
      <c r="A156" s="1145">
        <v>154</v>
      </c>
      <c r="B156" s="2216" t="s">
        <v>1076</v>
      </c>
      <c r="C156" s="2216"/>
      <c r="D156" s="1146" t="s">
        <v>579</v>
      </c>
      <c r="E156" s="1147" t="s">
        <v>473</v>
      </c>
      <c r="F156" s="1146">
        <f t="shared" si="2"/>
        <v>240</v>
      </c>
      <c r="G156" s="1148" t="s">
        <v>1077</v>
      </c>
      <c r="K156" s="1167" t="s">
        <v>1078</v>
      </c>
      <c r="L156" s="1089"/>
      <c r="M156" s="1150" t="s">
        <v>978</v>
      </c>
      <c r="N156" s="1089"/>
      <c r="O156" s="1089"/>
      <c r="P156" s="1089"/>
      <c r="R156" s="1089"/>
      <c r="S156" s="1089"/>
      <c r="T156" s="1089"/>
    </row>
    <row r="157" spans="1:20">
      <c r="A157" s="1140">
        <v>155</v>
      </c>
      <c r="B157" s="2217" t="s">
        <v>1079</v>
      </c>
      <c r="C157" s="2217"/>
      <c r="D157" s="1141" t="s">
        <v>522</v>
      </c>
      <c r="E157" s="1142" t="s">
        <v>473</v>
      </c>
      <c r="F157" s="1143">
        <f t="shared" si="2"/>
        <v>240</v>
      </c>
      <c r="G157" s="1144" t="s">
        <v>1080</v>
      </c>
      <c r="K157" s="1150" t="s">
        <v>1081</v>
      </c>
      <c r="L157" s="1089"/>
      <c r="M157" s="1150" t="s">
        <v>978</v>
      </c>
      <c r="N157" s="1089"/>
      <c r="O157" s="2227" t="s">
        <v>1082</v>
      </c>
      <c r="P157" s="2228"/>
      <c r="Q157" s="1174" t="s">
        <v>1083</v>
      </c>
      <c r="R157" s="1089"/>
      <c r="S157" s="1089"/>
      <c r="T157" s="1089"/>
    </row>
    <row r="158" spans="1:20">
      <c r="A158" s="1152">
        <v>156</v>
      </c>
      <c r="B158" s="2219" t="s">
        <v>1084</v>
      </c>
      <c r="C158" s="2219"/>
      <c r="D158" s="1153" t="s">
        <v>522</v>
      </c>
      <c r="E158" s="1154" t="s">
        <v>467</v>
      </c>
      <c r="F158" s="1153">
        <f>EDU*2+MAX(STR*2,DEX*2)</f>
        <v>260</v>
      </c>
      <c r="G158" s="1155" t="s">
        <v>1085</v>
      </c>
      <c r="K158" s="1150" t="s">
        <v>1086</v>
      </c>
      <c r="L158" s="1089"/>
      <c r="M158" s="1150" t="s">
        <v>978</v>
      </c>
      <c r="N158" s="1089"/>
      <c r="O158" s="2223" t="s">
        <v>1087</v>
      </c>
      <c r="P158" s="2224"/>
      <c r="Q158" s="1175" t="s">
        <v>1088</v>
      </c>
      <c r="R158" s="1089"/>
      <c r="S158" s="1089"/>
      <c r="T158" s="1089"/>
    </row>
    <row r="159" spans="1:20">
      <c r="A159" s="1156">
        <v>157</v>
      </c>
      <c r="B159" s="2229" t="s">
        <v>1089</v>
      </c>
      <c r="C159" s="2229"/>
      <c r="D159" s="1157" t="s">
        <v>532</v>
      </c>
      <c r="E159" s="1158" t="s">
        <v>467</v>
      </c>
      <c r="F159" s="1159">
        <f>EDU*2+MAX(STR*2,DEX*2)</f>
        <v>260</v>
      </c>
      <c r="G159" s="1160" t="s">
        <v>1090</v>
      </c>
      <c r="H159" s="2208" t="s">
        <v>1091</v>
      </c>
      <c r="I159" s="2208"/>
      <c r="J159" s="787"/>
      <c r="K159" s="1168" t="s">
        <v>1092</v>
      </c>
      <c r="L159" s="1169"/>
      <c r="M159" s="1168" t="s">
        <v>1093</v>
      </c>
      <c r="N159" s="1170"/>
      <c r="O159" s="2225" t="s">
        <v>1094</v>
      </c>
      <c r="P159" s="2226"/>
      <c r="Q159" s="1176" t="s">
        <v>1095</v>
      </c>
      <c r="R159" s="1089"/>
      <c r="S159" s="1089"/>
      <c r="T159" s="1089"/>
    </row>
    <row r="160" spans="1:20">
      <c r="A160" s="1145">
        <v>158</v>
      </c>
      <c r="B160" s="2216" t="s">
        <v>1096</v>
      </c>
      <c r="C160" s="2216"/>
      <c r="D160" s="1146" t="s">
        <v>924</v>
      </c>
      <c r="E160" s="1147" t="s">
        <v>467</v>
      </c>
      <c r="F160" s="1146">
        <f>EDU*2+MAX(STR*2,DEX*2)</f>
        <v>260</v>
      </c>
      <c r="G160" s="1148" t="s">
        <v>1097</v>
      </c>
      <c r="H160" s="2208"/>
      <c r="I160" s="2208"/>
      <c r="J160" s="787"/>
      <c r="K160" s="1168" t="s">
        <v>1098</v>
      </c>
      <c r="L160" s="1169"/>
      <c r="M160" s="1168" t="s">
        <v>1093</v>
      </c>
      <c r="N160" s="1170"/>
      <c r="O160" s="2223" t="s">
        <v>1099</v>
      </c>
      <c r="P160" s="2224"/>
      <c r="Q160" s="1175" t="s">
        <v>1088</v>
      </c>
      <c r="R160" s="1089"/>
      <c r="S160" s="1089"/>
      <c r="T160" s="1089"/>
    </row>
    <row r="161" spans="1:20" ht="31.2">
      <c r="A161" s="1140">
        <v>159</v>
      </c>
      <c r="B161" s="2217" t="s">
        <v>1100</v>
      </c>
      <c r="C161" s="2217"/>
      <c r="D161" s="1141" t="s">
        <v>1101</v>
      </c>
      <c r="E161" s="1142" t="s">
        <v>473</v>
      </c>
      <c r="F161" s="1143">
        <f>EDU*4</f>
        <v>240</v>
      </c>
      <c r="G161" s="1144" t="s">
        <v>1102</v>
      </c>
      <c r="H161" s="2208"/>
      <c r="I161" s="2208"/>
      <c r="J161" s="787"/>
      <c r="K161" s="1168" t="s">
        <v>1103</v>
      </c>
      <c r="L161" s="1169"/>
      <c r="M161" s="1168" t="s">
        <v>1093</v>
      </c>
      <c r="N161" s="1170"/>
      <c r="O161" s="2225" t="s">
        <v>1104</v>
      </c>
      <c r="P161" s="2226"/>
      <c r="Q161" s="1176" t="s">
        <v>1088</v>
      </c>
      <c r="R161" s="1089"/>
      <c r="S161" s="1089"/>
      <c r="T161" s="1089"/>
    </row>
    <row r="162" spans="1:20">
      <c r="A162" s="1145">
        <v>160</v>
      </c>
      <c r="B162" s="2216" t="s">
        <v>1105</v>
      </c>
      <c r="C162" s="2216"/>
      <c r="D162" s="1146" t="s">
        <v>621</v>
      </c>
      <c r="E162" s="1147" t="s">
        <v>473</v>
      </c>
      <c r="F162" s="1146">
        <f>EDU*4</f>
        <v>240</v>
      </c>
      <c r="G162" s="1148" t="s">
        <v>1106</v>
      </c>
      <c r="H162" s="2208"/>
      <c r="I162" s="2208"/>
      <c r="J162" s="787"/>
      <c r="K162" s="1168" t="s">
        <v>558</v>
      </c>
      <c r="L162" s="1169"/>
      <c r="M162" s="1168" t="s">
        <v>1093</v>
      </c>
      <c r="N162" s="1170"/>
      <c r="O162" s="2223" t="s">
        <v>1107</v>
      </c>
      <c r="P162" s="2224"/>
      <c r="Q162" s="1175" t="s">
        <v>1108</v>
      </c>
      <c r="R162" s="1089"/>
      <c r="S162" s="1089"/>
      <c r="T162" s="1089"/>
    </row>
    <row r="163" spans="1:20">
      <c r="A163" s="1140">
        <v>161</v>
      </c>
      <c r="B163" s="2217" t="s">
        <v>1109</v>
      </c>
      <c r="C163" s="2217"/>
      <c r="D163" s="1141" t="s">
        <v>532</v>
      </c>
      <c r="E163" s="1142" t="s">
        <v>473</v>
      </c>
      <c r="F163" s="1143">
        <f>EDU*4</f>
        <v>240</v>
      </c>
      <c r="G163" s="1144" t="s">
        <v>1110</v>
      </c>
      <c r="H163" s="2208"/>
      <c r="I163" s="2208"/>
      <c r="J163" s="787"/>
      <c r="K163" s="1168"/>
      <c r="L163" s="1169"/>
      <c r="M163" s="1168" t="s">
        <v>1093</v>
      </c>
      <c r="N163" s="1170"/>
      <c r="O163" s="2225" t="s">
        <v>1111</v>
      </c>
      <c r="P163" s="2226"/>
      <c r="Q163" s="1176" t="s">
        <v>1095</v>
      </c>
      <c r="R163" s="1089"/>
      <c r="S163" s="1089"/>
      <c r="T163" s="1089"/>
    </row>
    <row r="164" spans="1:20">
      <c r="A164" s="1145">
        <v>162</v>
      </c>
      <c r="B164" s="2216" t="s">
        <v>1112</v>
      </c>
      <c r="C164" s="2216"/>
      <c r="D164" s="1146" t="s">
        <v>450</v>
      </c>
      <c r="E164" s="1147" t="s">
        <v>467</v>
      </c>
      <c r="F164" s="1146">
        <f>EDU*2+MAX(STR*2,DEX*2)</f>
        <v>260</v>
      </c>
      <c r="G164" s="1148" t="s">
        <v>1113</v>
      </c>
      <c r="H164" s="2208"/>
      <c r="I164" s="2208"/>
      <c r="J164" s="787"/>
      <c r="K164" s="1168"/>
      <c r="L164" s="1169"/>
      <c r="M164" s="1168" t="s">
        <v>1093</v>
      </c>
      <c r="N164" s="1170"/>
      <c r="O164" s="2223" t="s">
        <v>1114</v>
      </c>
      <c r="P164" s="2224"/>
      <c r="Q164" s="1175" t="s">
        <v>1115</v>
      </c>
      <c r="R164" s="1089"/>
      <c r="S164" s="1089"/>
      <c r="T164" s="1089"/>
    </row>
    <row r="165" spans="1:20">
      <c r="A165" s="1140">
        <v>163</v>
      </c>
      <c r="B165" s="2217" t="s">
        <v>1116</v>
      </c>
      <c r="C165" s="2217"/>
      <c r="D165" s="1141" t="s">
        <v>924</v>
      </c>
      <c r="E165" s="1142" t="s">
        <v>473</v>
      </c>
      <c r="F165" s="1143">
        <f>EDU*4</f>
        <v>240</v>
      </c>
      <c r="G165" s="1144" t="s">
        <v>1117</v>
      </c>
      <c r="H165" s="2209" t="s">
        <v>990</v>
      </c>
      <c r="I165" s="2209"/>
      <c r="J165" s="787"/>
      <c r="K165" s="1168" t="s">
        <v>1118</v>
      </c>
      <c r="L165" s="1169"/>
      <c r="M165" s="1168" t="s">
        <v>1093</v>
      </c>
      <c r="N165" s="1170"/>
      <c r="O165" s="2220" t="s">
        <v>1119</v>
      </c>
      <c r="P165" s="2221"/>
      <c r="Q165" s="1177" t="s">
        <v>1088</v>
      </c>
      <c r="R165" s="1089"/>
      <c r="S165" s="1089"/>
      <c r="T165" s="1089"/>
    </row>
    <row r="166" spans="1:20" ht="18" customHeight="1">
      <c r="A166" s="1145">
        <v>164</v>
      </c>
      <c r="B166" s="2216" t="s">
        <v>1120</v>
      </c>
      <c r="C166" s="2216"/>
      <c r="D166" s="1146" t="s">
        <v>590</v>
      </c>
      <c r="E166" s="1147" t="s">
        <v>473</v>
      </c>
      <c r="F166" s="1146">
        <f>EDU*4</f>
        <v>240</v>
      </c>
      <c r="G166" s="1161" t="s">
        <v>1121</v>
      </c>
      <c r="J166" s="787"/>
      <c r="K166" s="1168"/>
      <c r="L166" s="1169"/>
      <c r="M166" s="1168" t="s">
        <v>1093</v>
      </c>
      <c r="N166" s="1169"/>
      <c r="O166" s="2206" t="s">
        <v>1122</v>
      </c>
      <c r="P166" s="2206"/>
      <c r="Q166" s="2206"/>
      <c r="R166" s="1089"/>
      <c r="S166" s="1089"/>
      <c r="T166" s="1089"/>
    </row>
    <row r="167" spans="1:20">
      <c r="A167" s="1140">
        <v>165</v>
      </c>
      <c r="B167" s="2217" t="s">
        <v>1123</v>
      </c>
      <c r="C167" s="2217"/>
      <c r="D167" s="1141" t="s">
        <v>450</v>
      </c>
      <c r="E167" s="1142" t="s">
        <v>473</v>
      </c>
      <c r="F167" s="1143">
        <f>EDU*4</f>
        <v>240</v>
      </c>
      <c r="G167" s="1144" t="s">
        <v>1124</v>
      </c>
      <c r="J167" s="787"/>
      <c r="K167" s="1171"/>
      <c r="L167" s="1172"/>
      <c r="M167" s="1171" t="s">
        <v>1093</v>
      </c>
      <c r="N167" s="1172"/>
      <c r="O167" s="2206"/>
      <c r="P167" s="2206"/>
      <c r="Q167" s="2206"/>
      <c r="R167" s="1089"/>
      <c r="S167" s="1089"/>
      <c r="T167" s="1089"/>
    </row>
    <row r="168" spans="1:20">
      <c r="A168" s="1145">
        <v>166</v>
      </c>
      <c r="B168" s="2216" t="s">
        <v>1125</v>
      </c>
      <c r="C168" s="2216"/>
      <c r="D168" s="1146" t="s">
        <v>489</v>
      </c>
      <c r="E168" s="1147" t="s">
        <v>473</v>
      </c>
      <c r="F168" s="1146">
        <f>EDU*4</f>
        <v>240</v>
      </c>
      <c r="G168" s="1148" t="s">
        <v>1126</v>
      </c>
      <c r="J168" s="1094"/>
      <c r="K168" s="1173"/>
      <c r="L168" s="1116"/>
      <c r="M168" s="1173" t="s">
        <v>1093</v>
      </c>
      <c r="N168" s="1116"/>
      <c r="O168" s="2206"/>
      <c r="P168" s="2206"/>
      <c r="Q168" s="2206"/>
      <c r="R168" s="1089"/>
      <c r="S168" s="1089"/>
      <c r="T168" s="1089"/>
    </row>
    <row r="169" spans="1:20">
      <c r="A169" s="1140">
        <v>167</v>
      </c>
      <c r="B169" s="2217" t="s">
        <v>1127</v>
      </c>
      <c r="C169" s="2217"/>
      <c r="D169" s="1141" t="s">
        <v>579</v>
      </c>
      <c r="E169" s="1142" t="s">
        <v>473</v>
      </c>
      <c r="F169" s="1143">
        <f>EDU*4</f>
        <v>240</v>
      </c>
      <c r="G169" s="1144" t="s">
        <v>1128</v>
      </c>
      <c r="J169" s="1094"/>
      <c r="K169" s="1173" t="s">
        <v>1129</v>
      </c>
      <c r="L169" s="1116"/>
      <c r="M169" s="1173" t="s">
        <v>1093</v>
      </c>
      <c r="N169" s="1116"/>
      <c r="O169" s="2207" t="s">
        <v>1130</v>
      </c>
      <c r="P169" s="2207"/>
      <c r="Q169" s="2207"/>
      <c r="R169" s="1089"/>
      <c r="S169" s="1089"/>
      <c r="T169" s="1089"/>
    </row>
    <row r="170" spans="1:20">
      <c r="A170" s="1145">
        <v>168</v>
      </c>
      <c r="B170" s="2216" t="s">
        <v>1131</v>
      </c>
      <c r="C170" s="2216"/>
      <c r="D170" s="1146" t="s">
        <v>662</v>
      </c>
      <c r="E170" s="1147" t="s">
        <v>467</v>
      </c>
      <c r="F170" s="1146">
        <f>EDU*2+MAX(STR*2,DEX*2)</f>
        <v>260</v>
      </c>
      <c r="G170" s="1148" t="s">
        <v>1132</v>
      </c>
      <c r="J170" s="1094"/>
      <c r="K170" s="1173" t="s">
        <v>1133</v>
      </c>
      <c r="L170" s="1116"/>
      <c r="M170" s="1173" t="s">
        <v>1093</v>
      </c>
      <c r="N170" s="1116"/>
      <c r="O170" s="2207"/>
      <c r="P170" s="2207"/>
      <c r="Q170" s="2207"/>
      <c r="R170" s="1089"/>
      <c r="S170" s="1089"/>
      <c r="T170" s="1089"/>
    </row>
    <row r="171" spans="1:20">
      <c r="A171" s="1162">
        <v>169</v>
      </c>
      <c r="B171" s="2222" t="s">
        <v>1134</v>
      </c>
      <c r="C171" s="2222"/>
      <c r="D171" s="1163" t="s">
        <v>547</v>
      </c>
      <c r="E171" s="1164" t="s">
        <v>548</v>
      </c>
      <c r="F171" s="1165">
        <f>EDU*2+STR*2</f>
        <v>220</v>
      </c>
      <c r="G171" s="1166" t="s">
        <v>1135</v>
      </c>
      <c r="J171" s="1094"/>
      <c r="K171" s="1173"/>
      <c r="L171" s="1116"/>
      <c r="M171" s="1173" t="s">
        <v>1093</v>
      </c>
      <c r="N171" s="1116"/>
      <c r="O171" s="2207" t="s">
        <v>1136</v>
      </c>
      <c r="P171" s="2207"/>
      <c r="Q171" s="2207"/>
      <c r="R171" s="1089"/>
      <c r="S171" s="1089"/>
      <c r="T171" s="1089"/>
    </row>
    <row r="172" spans="1:20">
      <c r="A172" s="1145">
        <v>170</v>
      </c>
      <c r="B172" s="2216" t="s">
        <v>1137</v>
      </c>
      <c r="C172" s="2216"/>
      <c r="D172" s="1146" t="s">
        <v>522</v>
      </c>
      <c r="E172" s="1147" t="s">
        <v>467</v>
      </c>
      <c r="F172" s="1146">
        <f>EDU*2+MAX(STR*2,DEX*2)</f>
        <v>260</v>
      </c>
      <c r="G172" s="1148" t="s">
        <v>1138</v>
      </c>
      <c r="H172" s="2208" t="s">
        <v>1139</v>
      </c>
      <c r="I172" s="2208"/>
      <c r="K172" s="1150" t="s">
        <v>1140</v>
      </c>
      <c r="L172" s="1089"/>
      <c r="M172" s="1150" t="s">
        <v>1141</v>
      </c>
      <c r="N172" s="1089"/>
      <c r="O172" s="2207"/>
      <c r="P172" s="2207"/>
      <c r="Q172" s="2207"/>
      <c r="R172" s="1089"/>
      <c r="S172" s="1089"/>
      <c r="T172" s="1089"/>
    </row>
    <row r="173" spans="1:20">
      <c r="A173" s="1140">
        <v>171</v>
      </c>
      <c r="B173" s="2217" t="s">
        <v>1142</v>
      </c>
      <c r="C173" s="2217"/>
      <c r="D173" s="1141" t="s">
        <v>489</v>
      </c>
      <c r="E173" s="1142" t="s">
        <v>473</v>
      </c>
      <c r="F173" s="1143">
        <f>EDU*4</f>
        <v>240</v>
      </c>
      <c r="G173" s="1144" t="s">
        <v>1143</v>
      </c>
      <c r="H173" s="2208"/>
      <c r="I173" s="2208"/>
      <c r="K173" s="1150" t="s">
        <v>1144</v>
      </c>
      <c r="L173" s="1089"/>
      <c r="M173" s="1150" t="s">
        <v>1141</v>
      </c>
      <c r="N173" s="1089"/>
      <c r="Q173" s="787"/>
      <c r="R173" s="1089"/>
      <c r="S173" s="1089"/>
      <c r="T173" s="1089"/>
    </row>
    <row r="174" spans="1:20">
      <c r="A174" s="1145">
        <v>172</v>
      </c>
      <c r="B174" s="2216" t="s">
        <v>1145</v>
      </c>
      <c r="C174" s="2216"/>
      <c r="D174" s="1146" t="s">
        <v>924</v>
      </c>
      <c r="E174" s="1147" t="s">
        <v>473</v>
      </c>
      <c r="F174" s="1146">
        <f>EDU*4</f>
        <v>240</v>
      </c>
      <c r="G174" s="1148" t="s">
        <v>1146</v>
      </c>
      <c r="H174" s="2208"/>
      <c r="I174" s="2208"/>
      <c r="K174" s="1150"/>
      <c r="L174" s="1089"/>
      <c r="M174" s="1150" t="s">
        <v>1147</v>
      </c>
      <c r="N174" s="1089"/>
      <c r="Q174" s="787"/>
      <c r="R174" s="1089"/>
      <c r="S174" s="1089"/>
      <c r="T174" s="1089"/>
    </row>
    <row r="175" spans="1:20">
      <c r="A175" s="1140">
        <v>173</v>
      </c>
      <c r="B175" s="2217" t="s">
        <v>1148</v>
      </c>
      <c r="C175" s="2217"/>
      <c r="D175" s="1141" t="s">
        <v>924</v>
      </c>
      <c r="E175" s="1142" t="s">
        <v>473</v>
      </c>
      <c r="F175" s="1143">
        <f>EDU*4</f>
        <v>240</v>
      </c>
      <c r="G175" s="1144" t="s">
        <v>1149</v>
      </c>
      <c r="H175" s="2208"/>
      <c r="I175" s="2208"/>
      <c r="K175" s="1150" t="s">
        <v>1150</v>
      </c>
      <c r="L175" s="1089"/>
      <c r="M175" s="1150" t="s">
        <v>1147</v>
      </c>
      <c r="N175" s="1089"/>
      <c r="O175" s="1089"/>
      <c r="P175" s="1089"/>
      <c r="R175" s="1089"/>
      <c r="S175" s="1089"/>
      <c r="T175" s="1089"/>
    </row>
    <row r="176" spans="1:20">
      <c r="A176" s="1145">
        <v>174</v>
      </c>
      <c r="B176" s="2216" t="s">
        <v>1151</v>
      </c>
      <c r="C176" s="2216"/>
      <c r="D176" s="1146" t="s">
        <v>489</v>
      </c>
      <c r="E176" s="1147" t="s">
        <v>479</v>
      </c>
      <c r="F176" s="1146">
        <f>EDU*2+MAX(APP*2,POW*2)</f>
        <v>280</v>
      </c>
      <c r="G176" s="1148" t="s">
        <v>1152</v>
      </c>
      <c r="H176" s="2208"/>
      <c r="I176" s="2208"/>
      <c r="K176" s="1150"/>
      <c r="L176" s="1089"/>
      <c r="M176" s="1150" t="s">
        <v>1153</v>
      </c>
      <c r="N176" s="1089"/>
      <c r="O176" s="2210" t="s">
        <v>1154</v>
      </c>
      <c r="P176" s="2210"/>
      <c r="Q176" s="2210"/>
      <c r="R176" s="1089"/>
      <c r="S176" s="1089"/>
      <c r="T176" s="1089"/>
    </row>
    <row r="177" spans="1:20">
      <c r="A177" s="1140">
        <v>175</v>
      </c>
      <c r="B177" s="2217" t="s">
        <v>1155</v>
      </c>
      <c r="C177" s="2217"/>
      <c r="D177" s="1141" t="s">
        <v>929</v>
      </c>
      <c r="E177" s="1142" t="s">
        <v>473</v>
      </c>
      <c r="F177" s="1143">
        <f>EDU*4</f>
        <v>240</v>
      </c>
      <c r="G177" s="1144" t="s">
        <v>1156</v>
      </c>
      <c r="H177" s="2208"/>
      <c r="I177" s="2208"/>
      <c r="K177" s="1150"/>
      <c r="L177" s="1089"/>
      <c r="M177" s="1150" t="s">
        <v>1153</v>
      </c>
      <c r="N177" s="1089"/>
      <c r="O177" s="2210"/>
      <c r="P177" s="2210"/>
      <c r="Q177" s="2210"/>
      <c r="R177" s="1089"/>
      <c r="S177" s="1089"/>
      <c r="T177" s="1089"/>
    </row>
    <row r="178" spans="1:20">
      <c r="A178" s="1145">
        <v>176</v>
      </c>
      <c r="B178" s="2216" t="s">
        <v>1157</v>
      </c>
      <c r="C178" s="2216"/>
      <c r="D178" s="1146" t="s">
        <v>561</v>
      </c>
      <c r="E178" s="1147" t="s">
        <v>473</v>
      </c>
      <c r="F178" s="1146">
        <f>EDU*4</f>
        <v>240</v>
      </c>
      <c r="G178" s="1148" t="s">
        <v>1158</v>
      </c>
      <c r="H178" s="2209" t="s">
        <v>990</v>
      </c>
      <c r="I178" s="2209"/>
      <c r="K178" s="1150"/>
      <c r="L178" s="1089"/>
      <c r="M178" s="1150" t="s">
        <v>1153</v>
      </c>
      <c r="N178" s="1089"/>
      <c r="O178" s="2210"/>
      <c r="P178" s="2210"/>
      <c r="Q178" s="2210"/>
      <c r="R178" s="1089"/>
      <c r="S178" s="1089"/>
      <c r="T178" s="1089"/>
    </row>
    <row r="179" spans="1:20">
      <c r="A179" s="1140">
        <v>177</v>
      </c>
      <c r="B179" s="2217" t="s">
        <v>1159</v>
      </c>
      <c r="C179" s="2217"/>
      <c r="D179" s="1141" t="s">
        <v>489</v>
      </c>
      <c r="E179" s="1143" t="s">
        <v>473</v>
      </c>
      <c r="F179" s="1143">
        <f>EDU*4</f>
        <v>240</v>
      </c>
      <c r="G179" s="1144" t="s">
        <v>1035</v>
      </c>
      <c r="H179" s="787"/>
      <c r="I179" s="787"/>
      <c r="K179" s="1150" t="s">
        <v>1036</v>
      </c>
      <c r="L179" s="1089"/>
      <c r="M179" s="1150" t="s">
        <v>1153</v>
      </c>
      <c r="N179" s="1089"/>
      <c r="O179" s="2210"/>
      <c r="P179" s="2210"/>
      <c r="Q179" s="2210"/>
      <c r="R179" s="1089"/>
      <c r="S179" s="1089"/>
      <c r="T179" s="1089"/>
    </row>
    <row r="180" spans="1:20">
      <c r="A180" s="1145">
        <v>178</v>
      </c>
      <c r="B180" s="2216" t="s">
        <v>1160</v>
      </c>
      <c r="C180" s="2216"/>
      <c r="D180" s="1146" t="s">
        <v>929</v>
      </c>
      <c r="E180" s="1147" t="s">
        <v>467</v>
      </c>
      <c r="F180" s="1146">
        <f>EDU*2+MAX(STR*2,DEX*2)</f>
        <v>260</v>
      </c>
      <c r="G180" s="1148" t="s">
        <v>1161</v>
      </c>
      <c r="H180" s="2209" t="s">
        <v>1162</v>
      </c>
      <c r="I180" s="2209"/>
      <c r="K180" s="1150"/>
      <c r="L180" s="1089"/>
      <c r="M180" s="1150" t="s">
        <v>1153</v>
      </c>
      <c r="N180" s="1089"/>
      <c r="O180" s="1089"/>
      <c r="P180" s="1089"/>
      <c r="R180" s="1089"/>
      <c r="S180" s="1089"/>
      <c r="T180" s="1089"/>
    </row>
    <row r="181" spans="1:20">
      <c r="A181" s="1140">
        <v>179</v>
      </c>
      <c r="B181" s="2217" t="s">
        <v>1163</v>
      </c>
      <c r="C181" s="2217"/>
      <c r="D181" s="1141" t="s">
        <v>517</v>
      </c>
      <c r="E181" s="1142" t="s">
        <v>457</v>
      </c>
      <c r="F181" s="1143">
        <f>EDU*2+APP*2</f>
        <v>260</v>
      </c>
      <c r="G181" s="1144" t="s">
        <v>694</v>
      </c>
      <c r="H181" s="2209"/>
      <c r="I181" s="2209"/>
      <c r="K181" s="1150"/>
      <c r="L181" s="1089"/>
      <c r="M181" s="1150" t="s">
        <v>1153</v>
      </c>
      <c r="N181" s="1089"/>
      <c r="O181" s="1089"/>
      <c r="P181" s="1089"/>
      <c r="R181" s="1089"/>
      <c r="S181" s="1089"/>
      <c r="T181" s="1089"/>
    </row>
    <row r="182" spans="1:20" ht="15" customHeight="1">
      <c r="A182" s="1145">
        <v>180</v>
      </c>
      <c r="B182" s="2216" t="s">
        <v>1164</v>
      </c>
      <c r="C182" s="2216"/>
      <c r="D182" s="1146" t="s">
        <v>621</v>
      </c>
      <c r="E182" s="1147" t="s">
        <v>473</v>
      </c>
      <c r="F182" s="1146">
        <f>EDU*4</f>
        <v>240</v>
      </c>
      <c r="G182" s="1161" t="s">
        <v>1165</v>
      </c>
      <c r="H182" s="2209"/>
      <c r="I182" s="2209"/>
      <c r="K182" s="1150"/>
      <c r="L182" s="1089"/>
      <c r="M182" s="1150" t="s">
        <v>1153</v>
      </c>
      <c r="N182" s="1089"/>
      <c r="O182" s="1089"/>
      <c r="P182" s="1089"/>
      <c r="R182" s="1089"/>
      <c r="S182" s="1089"/>
      <c r="T182" s="1089"/>
    </row>
    <row r="183" spans="1:20">
      <c r="A183" s="1140">
        <v>181</v>
      </c>
      <c r="B183" s="2217" t="s">
        <v>1166</v>
      </c>
      <c r="C183" s="2217"/>
      <c r="D183" s="1141" t="s">
        <v>522</v>
      </c>
      <c r="E183" s="1142" t="s">
        <v>473</v>
      </c>
      <c r="F183" s="1143">
        <f>EDU*4</f>
        <v>240</v>
      </c>
      <c r="G183" s="1144" t="s">
        <v>1167</v>
      </c>
      <c r="H183" s="2209"/>
      <c r="I183" s="2209"/>
      <c r="K183" s="1150"/>
      <c r="L183" s="1089"/>
      <c r="M183" s="1150" t="s">
        <v>1153</v>
      </c>
      <c r="N183" s="1089"/>
      <c r="O183" s="1089"/>
      <c r="P183" s="1089"/>
      <c r="R183" s="1089"/>
      <c r="S183" s="1089"/>
      <c r="T183" s="1089"/>
    </row>
    <row r="184" spans="1:20">
      <c r="A184" s="1145">
        <v>182</v>
      </c>
      <c r="B184" s="2216" t="s">
        <v>1168</v>
      </c>
      <c r="C184" s="2216"/>
      <c r="D184" s="1146" t="s">
        <v>537</v>
      </c>
      <c r="E184" s="1147" t="s">
        <v>473</v>
      </c>
      <c r="F184" s="1146">
        <f>EDU*4</f>
        <v>240</v>
      </c>
      <c r="G184" s="1148" t="s">
        <v>1169</v>
      </c>
      <c r="K184" s="1150"/>
      <c r="L184" s="1089"/>
      <c r="M184" s="1150" t="s">
        <v>1153</v>
      </c>
      <c r="N184" s="1089"/>
      <c r="O184" s="1089"/>
      <c r="P184" s="1089"/>
      <c r="R184" s="1089"/>
      <c r="S184" s="1089"/>
      <c r="T184" s="1089"/>
    </row>
    <row r="185" spans="1:20">
      <c r="A185" s="1140">
        <v>183</v>
      </c>
      <c r="B185" s="2217" t="s">
        <v>1170</v>
      </c>
      <c r="C185" s="2217"/>
      <c r="D185" s="1141" t="s">
        <v>522</v>
      </c>
      <c r="E185" s="1142" t="s">
        <v>467</v>
      </c>
      <c r="F185" s="1143">
        <f>EDU*2+MAX(STR*2,DEX*2)</f>
        <v>260</v>
      </c>
      <c r="G185" s="1144" t="s">
        <v>917</v>
      </c>
      <c r="K185" s="1150"/>
      <c r="L185" s="1089"/>
      <c r="M185" s="1150" t="s">
        <v>1153</v>
      </c>
      <c r="N185" s="1089"/>
      <c r="R185" s="1089"/>
      <c r="S185" s="1089"/>
      <c r="T185" s="1089"/>
    </row>
    <row r="186" spans="1:20">
      <c r="A186" s="1145">
        <v>184</v>
      </c>
      <c r="B186" s="2216" t="s">
        <v>1171</v>
      </c>
      <c r="C186" s="2216"/>
      <c r="D186" s="1146" t="s">
        <v>522</v>
      </c>
      <c r="E186" s="1147" t="s">
        <v>467</v>
      </c>
      <c r="F186" s="1146">
        <f>EDU*2+MAX(STR*2,DEX*2)</f>
        <v>260</v>
      </c>
      <c r="G186" s="1148" t="s">
        <v>917</v>
      </c>
      <c r="K186" s="1150"/>
      <c r="L186" s="1089"/>
      <c r="M186" s="1150" t="s">
        <v>1153</v>
      </c>
      <c r="N186" s="1089"/>
      <c r="R186" s="1089"/>
      <c r="S186" s="1089"/>
      <c r="T186" s="1089"/>
    </row>
    <row r="187" spans="1:20" ht="13.05" customHeight="1">
      <c r="A187" s="1140">
        <v>185</v>
      </c>
      <c r="B187" s="2217" t="s">
        <v>1172</v>
      </c>
      <c r="C187" s="2217"/>
      <c r="D187" s="1141" t="s">
        <v>698</v>
      </c>
      <c r="E187" s="1142" t="s">
        <v>663</v>
      </c>
      <c r="F187" s="1143">
        <f>EDU*2+MAX(DEX*2,APP*2,STR*2)</f>
        <v>260</v>
      </c>
      <c r="G187" s="1144" t="s">
        <v>1173</v>
      </c>
      <c r="K187" s="1150"/>
      <c r="L187" s="1089"/>
      <c r="M187" s="1150" t="s">
        <v>1153</v>
      </c>
      <c r="N187" s="1089"/>
      <c r="R187" s="1089"/>
      <c r="S187" s="1089"/>
      <c r="T187" s="1089"/>
    </row>
    <row r="188" spans="1:20">
      <c r="A188" s="1145">
        <v>186</v>
      </c>
      <c r="B188" s="2216" t="s">
        <v>1174</v>
      </c>
      <c r="C188" s="2216"/>
      <c r="D188" s="1146" t="s">
        <v>444</v>
      </c>
      <c r="E188" s="1147" t="s">
        <v>473</v>
      </c>
      <c r="F188" s="1146">
        <f>EDU*4</f>
        <v>240</v>
      </c>
      <c r="G188" s="1148" t="s">
        <v>1000</v>
      </c>
      <c r="K188" s="1150"/>
      <c r="L188" s="1089"/>
      <c r="M188" s="1150" t="s">
        <v>1153</v>
      </c>
      <c r="N188" s="1089"/>
      <c r="O188" s="1089"/>
      <c r="P188" s="1089"/>
      <c r="R188" s="1089"/>
      <c r="S188" s="1089"/>
      <c r="T188" s="1089"/>
    </row>
    <row r="189" spans="1:20">
      <c r="A189" s="1140">
        <v>187</v>
      </c>
      <c r="B189" s="2217" t="s">
        <v>1175</v>
      </c>
      <c r="C189" s="2217"/>
      <c r="D189" s="1141" t="s">
        <v>517</v>
      </c>
      <c r="E189" s="1142" t="s">
        <v>457</v>
      </c>
      <c r="F189" s="1143">
        <f>EDU*2+APP*2</f>
        <v>260</v>
      </c>
      <c r="G189" s="1144" t="s">
        <v>1176</v>
      </c>
      <c r="K189" s="1150"/>
      <c r="L189" s="1089"/>
      <c r="M189" s="1150" t="s">
        <v>1153</v>
      </c>
      <c r="N189" s="1089"/>
      <c r="O189" s="1089"/>
      <c r="P189" s="1089"/>
      <c r="R189" s="1089"/>
      <c r="S189" s="1089"/>
      <c r="T189" s="1089"/>
    </row>
    <row r="190" spans="1:20">
      <c r="A190" s="1145">
        <v>188</v>
      </c>
      <c r="B190" s="2216" t="s">
        <v>1177</v>
      </c>
      <c r="C190" s="2216"/>
      <c r="D190" s="1146" t="s">
        <v>517</v>
      </c>
      <c r="E190" s="1147" t="s">
        <v>457</v>
      </c>
      <c r="F190" s="1146">
        <f>EDU*2+APP*2</f>
        <v>260</v>
      </c>
      <c r="G190" s="1148" t="s">
        <v>1178</v>
      </c>
      <c r="K190" s="1150"/>
      <c r="L190" s="1089"/>
      <c r="M190" s="1150" t="s">
        <v>1153</v>
      </c>
      <c r="N190" s="1089"/>
      <c r="O190" s="1089"/>
      <c r="P190" s="1089"/>
      <c r="R190" s="1089"/>
      <c r="S190" s="1089"/>
      <c r="T190" s="1089"/>
    </row>
    <row r="191" spans="1:20">
      <c r="A191" s="1140">
        <v>189</v>
      </c>
      <c r="B191" s="2217" t="s">
        <v>1179</v>
      </c>
      <c r="C191" s="2217"/>
      <c r="D191" s="1141" t="s">
        <v>517</v>
      </c>
      <c r="E191" s="1142" t="s">
        <v>457</v>
      </c>
      <c r="F191" s="1143">
        <f>EDU*2+APP*2</f>
        <v>260</v>
      </c>
      <c r="G191" s="1144" t="s">
        <v>1180</v>
      </c>
      <c r="K191" s="1150"/>
      <c r="L191" s="1089"/>
      <c r="M191" s="1150" t="s">
        <v>1153</v>
      </c>
      <c r="N191" s="1089"/>
      <c r="O191" s="1089"/>
      <c r="P191" s="1089"/>
      <c r="R191" s="1089"/>
      <c r="S191" s="1089"/>
      <c r="T191" s="1089"/>
    </row>
    <row r="192" spans="1:20">
      <c r="A192" s="1145">
        <v>190</v>
      </c>
      <c r="B192" s="2216" t="s">
        <v>1181</v>
      </c>
      <c r="C192" s="2216"/>
      <c r="D192" s="1146" t="s">
        <v>450</v>
      </c>
      <c r="E192" s="1086" t="s">
        <v>597</v>
      </c>
      <c r="F192" s="1146">
        <f>EDU*2+DEX*2</f>
        <v>260</v>
      </c>
      <c r="G192" s="1148" t="s">
        <v>1182</v>
      </c>
      <c r="K192" s="1150"/>
      <c r="L192" s="1089"/>
      <c r="M192" s="1150" t="s">
        <v>1153</v>
      </c>
      <c r="N192" s="1089"/>
      <c r="O192" s="1089"/>
      <c r="P192" s="1089"/>
      <c r="R192" s="1089"/>
      <c r="S192" s="1089"/>
      <c r="T192" s="1089"/>
    </row>
    <row r="193" spans="1:20">
      <c r="A193" s="1140">
        <v>191</v>
      </c>
      <c r="B193" s="2217" t="s">
        <v>1183</v>
      </c>
      <c r="C193" s="2217"/>
      <c r="D193" s="1141" t="s">
        <v>762</v>
      </c>
      <c r="E193" s="1142" t="s">
        <v>473</v>
      </c>
      <c r="F193" s="1143">
        <f>EDU*4</f>
        <v>240</v>
      </c>
      <c r="G193" s="1144" t="s">
        <v>1051</v>
      </c>
      <c r="K193" s="1150"/>
      <c r="L193" s="1089"/>
      <c r="M193" s="1150" t="s">
        <v>1153</v>
      </c>
      <c r="N193" s="1089"/>
      <c r="O193" s="1089"/>
      <c r="P193" s="1089"/>
      <c r="R193" s="1089"/>
      <c r="S193" s="1089"/>
      <c r="T193" s="1089"/>
    </row>
    <row r="194" spans="1:20">
      <c r="A194" s="1145">
        <v>192</v>
      </c>
      <c r="B194" s="2216" t="s">
        <v>1184</v>
      </c>
      <c r="C194" s="2216"/>
      <c r="D194" s="1146" t="s">
        <v>762</v>
      </c>
      <c r="E194" s="1147" t="s">
        <v>473</v>
      </c>
      <c r="F194" s="1146">
        <f>EDU*4</f>
        <v>240</v>
      </c>
      <c r="G194" s="1148" t="s">
        <v>1051</v>
      </c>
      <c r="K194" s="1150"/>
      <c r="L194" s="1089"/>
      <c r="M194" s="1150" t="s">
        <v>1153</v>
      </c>
      <c r="N194" s="1089"/>
      <c r="O194" s="1089"/>
      <c r="P194" s="1089"/>
      <c r="R194" s="1089"/>
      <c r="S194" s="1089"/>
      <c r="T194" s="1089"/>
    </row>
    <row r="195" spans="1:20">
      <c r="A195" s="1140">
        <v>193</v>
      </c>
      <c r="B195" s="2217" t="s">
        <v>1185</v>
      </c>
      <c r="C195" s="2217"/>
      <c r="D195" s="1141" t="s">
        <v>762</v>
      </c>
      <c r="E195" s="1142" t="s">
        <v>473</v>
      </c>
      <c r="F195" s="1143">
        <f>EDU*4</f>
        <v>240</v>
      </c>
      <c r="G195" s="1144" t="s">
        <v>1051</v>
      </c>
      <c r="K195" s="1150"/>
      <c r="L195" s="1089"/>
      <c r="M195" s="1150" t="s">
        <v>1153</v>
      </c>
      <c r="N195" s="1089"/>
      <c r="O195" s="1089"/>
      <c r="P195" s="1089"/>
      <c r="R195" s="1089"/>
      <c r="S195" s="1089"/>
      <c r="T195" s="1089"/>
    </row>
    <row r="196" spans="1:20">
      <c r="A196" s="1145">
        <v>194</v>
      </c>
      <c r="B196" s="2216" t="s">
        <v>1186</v>
      </c>
      <c r="C196" s="2216"/>
      <c r="D196" s="1146" t="s">
        <v>517</v>
      </c>
      <c r="E196" s="1147" t="s">
        <v>457</v>
      </c>
      <c r="F196" s="1178">
        <f>EDU*2+APP*2</f>
        <v>260</v>
      </c>
      <c r="G196" s="1148" t="s">
        <v>1187</v>
      </c>
      <c r="K196" s="1150"/>
      <c r="L196" s="1089"/>
      <c r="M196" s="1150" t="s">
        <v>1153</v>
      </c>
      <c r="N196" s="1089"/>
      <c r="O196" s="1089"/>
      <c r="P196" s="1089"/>
      <c r="R196" s="1089"/>
      <c r="S196" s="1089"/>
      <c r="T196" s="1089"/>
    </row>
    <row r="197" spans="1:20">
      <c r="A197" s="1140">
        <v>195</v>
      </c>
      <c r="B197" s="2217" t="s">
        <v>1188</v>
      </c>
      <c r="C197" s="2217"/>
      <c r="D197" s="1141" t="s">
        <v>444</v>
      </c>
      <c r="E197" s="1142" t="s">
        <v>473</v>
      </c>
      <c r="F197" s="1143">
        <f>EDU*4</f>
        <v>240</v>
      </c>
      <c r="G197" s="1144" t="s">
        <v>1189</v>
      </c>
      <c r="K197" s="1150"/>
      <c r="L197" s="1089"/>
      <c r="M197" s="1150" t="s">
        <v>1153</v>
      </c>
      <c r="N197" s="1089"/>
      <c r="O197" s="1089"/>
      <c r="P197" s="1089"/>
      <c r="R197" s="1089"/>
      <c r="S197" s="1089"/>
      <c r="T197" s="1089"/>
    </row>
    <row r="198" spans="1:20">
      <c r="A198" s="1145">
        <v>196</v>
      </c>
      <c r="B198" s="2216" t="s">
        <v>1190</v>
      </c>
      <c r="C198" s="2216"/>
      <c r="D198" s="1146" t="s">
        <v>522</v>
      </c>
      <c r="E198" s="1086" t="s">
        <v>597</v>
      </c>
      <c r="F198" s="1146">
        <f>EDU*2+DEX*2</f>
        <v>260</v>
      </c>
      <c r="G198" s="1148" t="s">
        <v>1191</v>
      </c>
      <c r="K198" s="1150"/>
      <c r="L198" s="1089"/>
      <c r="M198" s="1150" t="s">
        <v>1153</v>
      </c>
      <c r="N198" s="1089"/>
      <c r="O198" s="1089"/>
      <c r="P198" s="1089"/>
      <c r="R198" s="1089"/>
      <c r="S198" s="1089"/>
      <c r="T198" s="1089"/>
    </row>
    <row r="199" spans="1:20">
      <c r="A199" s="1140">
        <v>197</v>
      </c>
      <c r="B199" s="2217" t="s">
        <v>1192</v>
      </c>
      <c r="C199" s="2217"/>
      <c r="D199" s="1141" t="s">
        <v>522</v>
      </c>
      <c r="E199" s="1151" t="s">
        <v>1193</v>
      </c>
      <c r="F199" s="1143">
        <f>EDU*2+MAX(EDU*2,APP*2)</f>
        <v>260</v>
      </c>
      <c r="G199" s="1144" t="s">
        <v>1194</v>
      </c>
      <c r="K199" s="1150"/>
      <c r="L199" s="1089"/>
      <c r="M199" s="1150" t="s">
        <v>1153</v>
      </c>
      <c r="N199" s="1089"/>
      <c r="O199" s="1089"/>
      <c r="P199" s="1089"/>
      <c r="R199" s="1089"/>
      <c r="S199" s="1089"/>
      <c r="T199" s="1089"/>
    </row>
    <row r="200" spans="1:20">
      <c r="A200" s="1145">
        <v>198</v>
      </c>
      <c r="B200" s="2216" t="s">
        <v>1195</v>
      </c>
      <c r="C200" s="2216"/>
      <c r="D200" s="1146" t="s">
        <v>456</v>
      </c>
      <c r="E200" s="1147" t="s">
        <v>473</v>
      </c>
      <c r="F200" s="1146">
        <f>EDU*4</f>
        <v>240</v>
      </c>
      <c r="G200" s="1148" t="s">
        <v>790</v>
      </c>
      <c r="K200" s="1150"/>
      <c r="L200" s="1089"/>
      <c r="M200" s="1150" t="s">
        <v>1153</v>
      </c>
      <c r="N200" s="1089"/>
      <c r="O200" s="1089"/>
      <c r="P200" s="1089"/>
      <c r="R200" s="1089"/>
      <c r="S200" s="1089"/>
      <c r="T200" s="1089"/>
    </row>
    <row r="201" spans="1:20">
      <c r="A201" s="1140">
        <v>199</v>
      </c>
      <c r="B201" s="2217" t="s">
        <v>1196</v>
      </c>
      <c r="C201" s="2217"/>
      <c r="D201" s="1141" t="s">
        <v>522</v>
      </c>
      <c r="E201" s="1151" t="s">
        <v>574</v>
      </c>
      <c r="F201" s="1143">
        <f>EDU*2+DEX*2</f>
        <v>260</v>
      </c>
      <c r="G201" s="1144" t="s">
        <v>1197</v>
      </c>
      <c r="K201" s="1150"/>
      <c r="L201" s="1089"/>
      <c r="M201" s="1150" t="s">
        <v>1153</v>
      </c>
      <c r="N201" s="1089"/>
      <c r="O201" s="1089"/>
      <c r="P201" s="1089"/>
      <c r="R201" s="1089"/>
      <c r="S201" s="1089"/>
      <c r="T201" s="1089"/>
    </row>
    <row r="202" spans="1:20">
      <c r="A202" s="1145">
        <v>200</v>
      </c>
      <c r="B202" s="2216" t="s">
        <v>1198</v>
      </c>
      <c r="C202" s="2216"/>
      <c r="D202" s="1146" t="s">
        <v>561</v>
      </c>
      <c r="E202" s="1147" t="s">
        <v>473</v>
      </c>
      <c r="F202" s="1146">
        <f>EDU*4</f>
        <v>240</v>
      </c>
      <c r="G202" s="1148" t="s">
        <v>1199</v>
      </c>
      <c r="K202" s="1150"/>
      <c r="L202" s="1089"/>
      <c r="M202" s="1150" t="s">
        <v>1153</v>
      </c>
      <c r="N202" s="1089"/>
      <c r="O202" s="1089"/>
      <c r="P202" s="1089"/>
      <c r="R202" s="1089"/>
      <c r="S202" s="1089"/>
      <c r="T202" s="1089"/>
    </row>
    <row r="203" spans="1:20">
      <c r="A203" s="1140">
        <v>201</v>
      </c>
      <c r="B203" s="2217" t="s">
        <v>1200</v>
      </c>
      <c r="C203" s="2217"/>
      <c r="D203" s="1141" t="s">
        <v>522</v>
      </c>
      <c r="E203" s="1142" t="s">
        <v>467</v>
      </c>
      <c r="F203" s="1143">
        <f>EDU*2+MAX(STR*2,DEX*2)</f>
        <v>260</v>
      </c>
      <c r="G203" s="1144" t="s">
        <v>917</v>
      </c>
      <c r="K203" s="1150"/>
      <c r="L203" s="1089"/>
      <c r="M203" s="1150" t="s">
        <v>1153</v>
      </c>
      <c r="N203" s="1089"/>
      <c r="O203" s="1089"/>
      <c r="P203" s="1089"/>
      <c r="R203" s="1089"/>
      <c r="S203" s="1089"/>
      <c r="T203" s="1089"/>
    </row>
    <row r="204" spans="1:20">
      <c r="A204" s="1145">
        <v>202</v>
      </c>
      <c r="B204" s="2216" t="s">
        <v>1201</v>
      </c>
      <c r="C204" s="2216"/>
      <c r="D204" s="1146" t="s">
        <v>1202</v>
      </c>
      <c r="E204" s="1147" t="s">
        <v>473</v>
      </c>
      <c r="F204" s="1146">
        <f>EDU*4</f>
        <v>240</v>
      </c>
      <c r="G204" s="1148" t="s">
        <v>1203</v>
      </c>
      <c r="K204" s="1150"/>
      <c r="L204" s="1089"/>
      <c r="M204" s="1150" t="s">
        <v>1153</v>
      </c>
      <c r="N204" s="1089"/>
      <c r="O204" s="1089"/>
      <c r="P204" s="1089"/>
      <c r="R204" s="1089"/>
      <c r="S204" s="1089"/>
      <c r="T204" s="1089"/>
    </row>
    <row r="205" spans="1:20">
      <c r="A205" s="1140">
        <v>203</v>
      </c>
      <c r="B205" s="2218" t="s">
        <v>1204</v>
      </c>
      <c r="C205" s="2218"/>
      <c r="D205" s="1141" t="s">
        <v>522</v>
      </c>
      <c r="E205" s="1142" t="s">
        <v>467</v>
      </c>
      <c r="F205" s="1143">
        <f>EDU*2+MAX(STR*2,DEX*2)</f>
        <v>260</v>
      </c>
      <c r="G205" s="1144" t="s">
        <v>1205</v>
      </c>
      <c r="K205" s="1150"/>
      <c r="L205" s="1089"/>
      <c r="M205" s="1150" t="s">
        <v>1153</v>
      </c>
      <c r="N205" s="1089"/>
      <c r="O205" s="1089"/>
      <c r="P205" s="1089"/>
      <c r="R205" s="1089"/>
      <c r="S205" s="1089"/>
      <c r="T205" s="1089"/>
    </row>
    <row r="206" spans="1:20">
      <c r="A206" s="1152">
        <v>204</v>
      </c>
      <c r="B206" s="2219" t="s">
        <v>1206</v>
      </c>
      <c r="C206" s="2219"/>
      <c r="D206" s="1153" t="s">
        <v>450</v>
      </c>
      <c r="E206" s="1154" t="s">
        <v>473</v>
      </c>
      <c r="F206" s="1153">
        <f>EDU*4</f>
        <v>240</v>
      </c>
      <c r="G206" s="1155" t="s">
        <v>1207</v>
      </c>
      <c r="K206" s="1150"/>
      <c r="L206" s="1089"/>
      <c r="M206" s="1150" t="s">
        <v>1153</v>
      </c>
      <c r="N206" s="1089"/>
      <c r="O206" s="1089"/>
      <c r="P206" s="1089"/>
      <c r="R206" s="1089"/>
      <c r="S206" s="1089"/>
      <c r="T206" s="1089"/>
    </row>
    <row r="207" spans="1:20" ht="31.2">
      <c r="A207" s="1179">
        <v>205</v>
      </c>
      <c r="B207" s="2215" t="s">
        <v>1208</v>
      </c>
      <c r="C207" s="2215"/>
      <c r="D207" s="1180" t="s">
        <v>522</v>
      </c>
      <c r="E207" s="1181" t="s">
        <v>457</v>
      </c>
      <c r="F207" s="1182">
        <f>EDU*2+APP*2</f>
        <v>260</v>
      </c>
      <c r="G207" s="1183" t="s">
        <v>1209</v>
      </c>
      <c r="H207" s="2208" t="s">
        <v>1210</v>
      </c>
      <c r="I207" s="2208"/>
      <c r="K207" s="1150"/>
      <c r="L207" s="1089"/>
      <c r="M207" s="742" t="s">
        <v>1211</v>
      </c>
      <c r="N207" s="1089"/>
      <c r="O207" s="1089"/>
      <c r="P207" s="1089"/>
      <c r="R207" s="1089"/>
      <c r="S207" s="1089"/>
      <c r="T207" s="1089"/>
    </row>
    <row r="208" spans="1:20" ht="31.2">
      <c r="A208" s="1184">
        <v>206</v>
      </c>
      <c r="B208" s="2212" t="s">
        <v>1212</v>
      </c>
      <c r="C208" s="2212"/>
      <c r="D208" s="1141" t="s">
        <v>579</v>
      </c>
      <c r="E208" s="1185" t="s">
        <v>473</v>
      </c>
      <c r="F208" s="1186">
        <f>EDU*4</f>
        <v>240</v>
      </c>
      <c r="G208" s="1187" t="s">
        <v>1213</v>
      </c>
      <c r="H208" s="2208"/>
      <c r="I208" s="2208"/>
      <c r="K208" s="1150"/>
      <c r="L208" s="1089"/>
      <c r="M208" s="742" t="s">
        <v>1211</v>
      </c>
      <c r="N208" s="1089"/>
      <c r="O208" s="1089"/>
      <c r="P208" s="1089"/>
      <c r="R208" s="1089"/>
      <c r="S208" s="1089"/>
      <c r="T208" s="1089"/>
    </row>
    <row r="209" spans="1:20">
      <c r="A209" s="1188">
        <v>207</v>
      </c>
      <c r="B209" s="2213" t="s">
        <v>1214</v>
      </c>
      <c r="C209" s="2213"/>
      <c r="D209" s="1189" t="s">
        <v>1215</v>
      </c>
      <c r="E209" s="1190" t="s">
        <v>1193</v>
      </c>
      <c r="F209" s="1191">
        <f>EDU*2+MAX(EDU*2,APP*2)</f>
        <v>260</v>
      </c>
      <c r="G209" s="1192" t="s">
        <v>1216</v>
      </c>
      <c r="H209" s="2208"/>
      <c r="I209" s="2208"/>
      <c r="K209" s="1150"/>
      <c r="L209" s="1089"/>
      <c r="M209" s="742" t="s">
        <v>1211</v>
      </c>
      <c r="N209" s="1089"/>
      <c r="O209" s="1089"/>
      <c r="P209" s="1089"/>
      <c r="R209" s="1089"/>
      <c r="S209" s="1089"/>
      <c r="T209" s="1089"/>
    </row>
    <row r="210" spans="1:20">
      <c r="A210" s="1184">
        <v>208</v>
      </c>
      <c r="B210" s="2212" t="s">
        <v>505</v>
      </c>
      <c r="C210" s="2212"/>
      <c r="D210" s="1141" t="s">
        <v>478</v>
      </c>
      <c r="E210" s="1185" t="s">
        <v>507</v>
      </c>
      <c r="F210" s="1186">
        <f>EDU*2+MAX(DEX*2,POW*2)</f>
        <v>280</v>
      </c>
      <c r="G210" s="1187" t="s">
        <v>1217</v>
      </c>
      <c r="H210" s="2208"/>
      <c r="I210" s="2208"/>
      <c r="K210" s="1150"/>
      <c r="L210" s="1089"/>
      <c r="M210" s="742" t="s">
        <v>1211</v>
      </c>
      <c r="N210" s="1089"/>
      <c r="O210" s="1089"/>
      <c r="P210" s="1089"/>
      <c r="R210" s="1089"/>
      <c r="S210" s="1089"/>
      <c r="T210" s="1089"/>
    </row>
    <row r="211" spans="1:20">
      <c r="A211" s="1188">
        <v>209</v>
      </c>
      <c r="B211" s="2213" t="s">
        <v>1218</v>
      </c>
      <c r="C211" s="2213"/>
      <c r="D211" s="1189" t="s">
        <v>478</v>
      </c>
      <c r="E211" s="1190" t="s">
        <v>473</v>
      </c>
      <c r="F211" s="1191">
        <f>EDU*4</f>
        <v>240</v>
      </c>
      <c r="G211" s="1192" t="s">
        <v>1219</v>
      </c>
      <c r="H211" s="2208"/>
      <c r="I211" s="2208"/>
      <c r="K211" s="1150"/>
      <c r="L211" s="1089"/>
      <c r="M211" s="742" t="s">
        <v>1211</v>
      </c>
      <c r="N211" s="1089"/>
      <c r="O211" s="1089"/>
      <c r="P211" s="1089"/>
      <c r="R211" s="1089"/>
      <c r="S211" s="1089"/>
      <c r="T211" s="1089"/>
    </row>
    <row r="212" spans="1:20">
      <c r="A212" s="1184">
        <v>210</v>
      </c>
      <c r="B212" s="2212" t="s">
        <v>1220</v>
      </c>
      <c r="C212" s="2212"/>
      <c r="D212" s="1141" t="s">
        <v>631</v>
      </c>
      <c r="E212" s="1185" t="s">
        <v>574</v>
      </c>
      <c r="F212" s="1186">
        <f>EDU*2+DEX*2</f>
        <v>260</v>
      </c>
      <c r="G212" s="1187" t="s">
        <v>1221</v>
      </c>
      <c r="H212" s="2208"/>
      <c r="I212" s="2208"/>
      <c r="K212" s="1150"/>
      <c r="L212" s="1089"/>
      <c r="M212" s="742" t="s">
        <v>1211</v>
      </c>
      <c r="N212" s="1089"/>
      <c r="O212" s="1089"/>
      <c r="P212" s="1089"/>
      <c r="R212" s="1089"/>
      <c r="S212" s="1089"/>
      <c r="T212" s="1089"/>
    </row>
    <row r="213" spans="1:20">
      <c r="A213" s="1188">
        <v>211</v>
      </c>
      <c r="B213" s="2213" t="s">
        <v>1222</v>
      </c>
      <c r="C213" s="2213"/>
      <c r="D213" s="1189" t="s">
        <v>1223</v>
      </c>
      <c r="E213" s="1190" t="s">
        <v>479</v>
      </c>
      <c r="F213" s="1191">
        <f>EDU*2+MAX(APP*2,POW*2)</f>
        <v>280</v>
      </c>
      <c r="G213" s="1192" t="s">
        <v>1224</v>
      </c>
      <c r="H213" s="2209" t="s">
        <v>990</v>
      </c>
      <c r="I213" s="2209"/>
      <c r="K213" s="1150"/>
      <c r="L213" s="1089"/>
      <c r="M213" s="742" t="s">
        <v>1211</v>
      </c>
      <c r="N213" s="1089"/>
      <c r="O213" s="1089"/>
      <c r="P213" s="1089"/>
      <c r="R213" s="1089"/>
      <c r="S213" s="1089"/>
      <c r="T213" s="1089"/>
    </row>
    <row r="214" spans="1:20">
      <c r="A214" s="1184">
        <v>212</v>
      </c>
      <c r="B214" s="2212" t="s">
        <v>1225</v>
      </c>
      <c r="C214" s="2212"/>
      <c r="D214" s="1141" t="s">
        <v>472</v>
      </c>
      <c r="E214" s="1185" t="s">
        <v>473</v>
      </c>
      <c r="F214" s="1186">
        <f>EDU*4</f>
        <v>240</v>
      </c>
      <c r="G214" s="1187" t="s">
        <v>1226</v>
      </c>
      <c r="H214" s="2209" t="s">
        <v>1227</v>
      </c>
      <c r="I214" s="2209"/>
      <c r="K214" s="1150"/>
      <c r="L214" s="1089"/>
      <c r="M214" s="742" t="s">
        <v>1211</v>
      </c>
      <c r="N214" s="1089"/>
      <c r="O214" s="1089"/>
      <c r="P214" s="1089"/>
      <c r="R214" s="1089"/>
      <c r="S214" s="1089"/>
      <c r="T214" s="1089"/>
    </row>
    <row r="215" spans="1:20">
      <c r="A215" s="1188">
        <v>213</v>
      </c>
      <c r="B215" s="2213" t="s">
        <v>573</v>
      </c>
      <c r="C215" s="2213"/>
      <c r="D215" s="1189" t="s">
        <v>785</v>
      </c>
      <c r="E215" s="1190" t="s">
        <v>467</v>
      </c>
      <c r="F215" s="1191">
        <f>EDU*2+MAX(STR*2,DEX*2)</f>
        <v>260</v>
      </c>
      <c r="G215" s="1192" t="s">
        <v>1228</v>
      </c>
      <c r="K215" s="1150"/>
      <c r="L215" s="1089"/>
      <c r="M215" s="742" t="s">
        <v>1211</v>
      </c>
      <c r="N215" s="1089"/>
      <c r="O215" s="1089"/>
      <c r="P215" s="1089"/>
      <c r="R215" s="1089"/>
      <c r="S215" s="1089"/>
      <c r="T215" s="1089"/>
    </row>
    <row r="216" spans="1:20" ht="31.2">
      <c r="A216" s="1184">
        <v>214</v>
      </c>
      <c r="B216" s="2212" t="s">
        <v>1229</v>
      </c>
      <c r="C216" s="2212"/>
      <c r="D216" s="1141" t="s">
        <v>522</v>
      </c>
      <c r="E216" s="1185" t="s">
        <v>663</v>
      </c>
      <c r="F216" s="1186">
        <f>EDU*2+MAX(DEX*2,APP*2,STR*2)</f>
        <v>260</v>
      </c>
      <c r="G216" s="1187" t="s">
        <v>1230</v>
      </c>
      <c r="K216" s="1150"/>
      <c r="L216" s="1089"/>
      <c r="M216" s="742" t="s">
        <v>1211</v>
      </c>
      <c r="N216" s="1089"/>
      <c r="O216" s="1089"/>
      <c r="P216" s="1089"/>
      <c r="R216" s="1089"/>
      <c r="S216" s="1089"/>
      <c r="T216" s="1089"/>
    </row>
    <row r="217" spans="1:20">
      <c r="A217" s="1188">
        <v>215</v>
      </c>
      <c r="B217" s="2213" t="s">
        <v>1231</v>
      </c>
      <c r="C217" s="2213"/>
      <c r="D217" s="1189" t="s">
        <v>561</v>
      </c>
      <c r="E217" s="1190" t="s">
        <v>457</v>
      </c>
      <c r="F217" s="1191">
        <f>EDU*2+APP*2</f>
        <v>260</v>
      </c>
      <c r="G217" s="1192" t="s">
        <v>1232</v>
      </c>
      <c r="K217" s="1150"/>
      <c r="L217" s="1089"/>
      <c r="M217" s="742" t="s">
        <v>1211</v>
      </c>
      <c r="N217" s="1089"/>
      <c r="O217" s="1089"/>
      <c r="P217" s="1089"/>
      <c r="R217" s="1089"/>
      <c r="S217" s="1089"/>
      <c r="T217" s="1089"/>
    </row>
    <row r="218" spans="1:20">
      <c r="A218" s="1184">
        <v>216</v>
      </c>
      <c r="B218" s="2212" t="s">
        <v>693</v>
      </c>
      <c r="C218" s="2212"/>
      <c r="D218" s="1141" t="s">
        <v>478</v>
      </c>
      <c r="E218" s="1185" t="s">
        <v>479</v>
      </c>
      <c r="F218" s="1186">
        <f>EDU*2+MAX(APP*2,POW*2)</f>
        <v>280</v>
      </c>
      <c r="G218" s="1187" t="s">
        <v>1233</v>
      </c>
      <c r="K218" s="1150"/>
      <c r="L218" s="1089"/>
      <c r="M218" s="742" t="s">
        <v>1211</v>
      </c>
      <c r="N218" s="1089"/>
      <c r="O218" s="1089"/>
      <c r="P218" s="1089"/>
      <c r="R218" s="1089"/>
      <c r="S218" s="1089"/>
      <c r="T218" s="1089"/>
    </row>
    <row r="219" spans="1:20">
      <c r="A219" s="1188">
        <v>217</v>
      </c>
      <c r="B219" s="2213" t="s">
        <v>1234</v>
      </c>
      <c r="C219" s="2213"/>
      <c r="D219" s="1189" t="s">
        <v>1235</v>
      </c>
      <c r="E219" s="1190" t="s">
        <v>473</v>
      </c>
      <c r="F219" s="1191">
        <f>EDU*4</f>
        <v>240</v>
      </c>
      <c r="G219" s="1192" t="s">
        <v>1236</v>
      </c>
      <c r="K219" s="1150"/>
      <c r="L219" s="1089"/>
      <c r="M219" s="742" t="s">
        <v>1211</v>
      </c>
      <c r="N219" s="1089"/>
      <c r="O219" s="1089"/>
      <c r="P219" s="1089"/>
      <c r="R219" s="1089"/>
      <c r="S219" s="1089"/>
      <c r="T219" s="1089"/>
    </row>
    <row r="220" spans="1:20" ht="31.2">
      <c r="A220" s="1184">
        <v>218</v>
      </c>
      <c r="B220" s="2212" t="s">
        <v>1237</v>
      </c>
      <c r="C220" s="2212"/>
      <c r="D220" s="1141" t="s">
        <v>1238</v>
      </c>
      <c r="E220" s="1185" t="s">
        <v>663</v>
      </c>
      <c r="F220" s="1186">
        <f>EDU*2+MAX(DEX*2,APP*2,STR*2)</f>
        <v>260</v>
      </c>
      <c r="G220" s="1187" t="s">
        <v>1239</v>
      </c>
      <c r="K220" s="1150"/>
      <c r="L220" s="1089"/>
      <c r="M220" s="742" t="s">
        <v>1211</v>
      </c>
      <c r="N220" s="1089"/>
      <c r="O220" s="1089"/>
      <c r="P220" s="1089"/>
      <c r="R220" s="1089"/>
      <c r="S220" s="1089"/>
      <c r="T220" s="1089"/>
    </row>
    <row r="221" spans="1:20">
      <c r="A221" s="1188">
        <v>219</v>
      </c>
      <c r="B221" s="2213" t="s">
        <v>861</v>
      </c>
      <c r="C221" s="2213"/>
      <c r="D221" s="1189" t="s">
        <v>456</v>
      </c>
      <c r="E221" s="1088" t="s">
        <v>743</v>
      </c>
      <c r="F221" s="1191">
        <f>EDU*2+MAX(DEX*2,APP*2)</f>
        <v>260</v>
      </c>
      <c r="G221" s="1192" t="s">
        <v>1240</v>
      </c>
      <c r="K221" s="1150"/>
      <c r="L221" s="1089"/>
      <c r="M221" s="742" t="s">
        <v>1211</v>
      </c>
      <c r="N221" s="1089"/>
      <c r="O221" s="1089"/>
      <c r="P221" s="1089"/>
      <c r="R221" s="1089"/>
      <c r="S221" s="1089"/>
      <c r="T221" s="1089"/>
    </row>
    <row r="222" spans="1:20">
      <c r="A222" s="1184">
        <v>220</v>
      </c>
      <c r="B222" s="2212" t="s">
        <v>1241</v>
      </c>
      <c r="C222" s="2212"/>
      <c r="D222" s="1141" t="s">
        <v>522</v>
      </c>
      <c r="E222" s="1185" t="s">
        <v>743</v>
      </c>
      <c r="F222" s="1186">
        <f>EDU*2+MAX(DEX*2,APP*2)</f>
        <v>260</v>
      </c>
      <c r="G222" s="1187" t="s">
        <v>1242</v>
      </c>
      <c r="K222" s="1150"/>
      <c r="L222" s="1089"/>
      <c r="M222" s="742" t="s">
        <v>1211</v>
      </c>
      <c r="N222" s="1089"/>
      <c r="O222" s="1089"/>
      <c r="P222" s="1089"/>
      <c r="R222" s="1089"/>
      <c r="S222" s="1089"/>
      <c r="T222" s="1089"/>
    </row>
    <row r="223" spans="1:20" ht="31.2">
      <c r="A223" s="1188">
        <v>221</v>
      </c>
      <c r="B223" s="2213" t="s">
        <v>1243</v>
      </c>
      <c r="C223" s="2213"/>
      <c r="D223" s="1189" t="s">
        <v>870</v>
      </c>
      <c r="E223" s="1190" t="s">
        <v>548</v>
      </c>
      <c r="F223" s="1191">
        <f>EDU*2+STR*2</f>
        <v>220</v>
      </c>
      <c r="G223" s="1193" t="s">
        <v>1244</v>
      </c>
      <c r="K223" s="1150"/>
      <c r="L223" s="1089"/>
      <c r="M223" s="742" t="s">
        <v>1211</v>
      </c>
      <c r="N223" s="1089"/>
      <c r="O223" s="2211"/>
      <c r="P223" s="2211"/>
      <c r="Q223" s="2211"/>
      <c r="R223" s="1089"/>
      <c r="S223" s="1089"/>
      <c r="T223" s="1089"/>
    </row>
    <row r="224" spans="1:20">
      <c r="A224" s="1184">
        <v>222</v>
      </c>
      <c r="B224" s="2212" t="s">
        <v>780</v>
      </c>
      <c r="C224" s="2212"/>
      <c r="D224" s="1141" t="s">
        <v>955</v>
      </c>
      <c r="E224" s="1185" t="s">
        <v>473</v>
      </c>
      <c r="F224" s="1186">
        <f>EDU*4</f>
        <v>240</v>
      </c>
      <c r="G224" s="1187" t="s">
        <v>1245</v>
      </c>
      <c r="K224" s="1150"/>
      <c r="L224" s="1089"/>
      <c r="M224" s="742" t="s">
        <v>1211</v>
      </c>
      <c r="N224" s="1089"/>
      <c r="O224" s="2211"/>
      <c r="P224" s="2211"/>
      <c r="Q224" s="2211"/>
      <c r="R224" s="1089"/>
      <c r="S224" s="1089"/>
      <c r="T224" s="1089"/>
    </row>
    <row r="225" spans="1:20">
      <c r="A225" s="1188">
        <v>223</v>
      </c>
      <c r="B225" s="2213" t="s">
        <v>1246</v>
      </c>
      <c r="C225" s="2213"/>
      <c r="D225" s="1189" t="s">
        <v>444</v>
      </c>
      <c r="E225" s="1190" t="s">
        <v>473</v>
      </c>
      <c r="F225" s="1191">
        <f>EDU*4</f>
        <v>240</v>
      </c>
      <c r="G225" s="1192" t="s">
        <v>1247</v>
      </c>
      <c r="K225" s="1150"/>
      <c r="L225" s="1089"/>
      <c r="M225" s="742" t="s">
        <v>1211</v>
      </c>
      <c r="N225" s="1089"/>
      <c r="O225" s="1089"/>
      <c r="P225" s="1089"/>
      <c r="R225" s="1089"/>
      <c r="S225" s="1089"/>
      <c r="T225" s="1089"/>
    </row>
    <row r="226" spans="1:20">
      <c r="A226" s="1184">
        <v>224</v>
      </c>
      <c r="B226" s="2212" t="s">
        <v>1248</v>
      </c>
      <c r="C226" s="2212"/>
      <c r="D226" s="1141" t="s">
        <v>522</v>
      </c>
      <c r="E226" s="1185" t="s">
        <v>467</v>
      </c>
      <c r="F226" s="1186">
        <f>EDU*2+MAX(STR*2,DEX*2)</f>
        <v>260</v>
      </c>
      <c r="G226" s="1187" t="s">
        <v>1249</v>
      </c>
      <c r="K226" s="1150"/>
      <c r="L226" s="1089"/>
      <c r="M226" s="742" t="s">
        <v>1211</v>
      </c>
      <c r="N226" s="1089"/>
      <c r="O226" s="1089"/>
      <c r="P226" s="1089"/>
      <c r="R226" s="1089"/>
      <c r="S226" s="1089"/>
      <c r="T226" s="1089"/>
    </row>
    <row r="227" spans="1:20">
      <c r="A227" s="1188">
        <v>225</v>
      </c>
      <c r="B227" s="2213" t="s">
        <v>1250</v>
      </c>
      <c r="C227" s="2213"/>
      <c r="D227" s="1189" t="s">
        <v>532</v>
      </c>
      <c r="E227" s="1190" t="s">
        <v>473</v>
      </c>
      <c r="F227" s="1191">
        <f>EDU*4</f>
        <v>240</v>
      </c>
      <c r="G227" s="1192" t="s">
        <v>1251</v>
      </c>
      <c r="K227" s="1150"/>
      <c r="L227" s="1089"/>
      <c r="M227" s="742" t="s">
        <v>1211</v>
      </c>
      <c r="N227" s="1089"/>
      <c r="O227" s="1089"/>
      <c r="P227" s="1089"/>
      <c r="R227" s="1089"/>
      <c r="S227" s="1089"/>
      <c r="T227" s="1089"/>
    </row>
    <row r="228" spans="1:20">
      <c r="A228" s="1184">
        <v>226</v>
      </c>
      <c r="B228" s="2212" t="s">
        <v>903</v>
      </c>
      <c r="C228" s="2212"/>
      <c r="D228" s="1141" t="s">
        <v>472</v>
      </c>
      <c r="E228" s="1185" t="s">
        <v>473</v>
      </c>
      <c r="F228" s="1186">
        <f>EDU*4</f>
        <v>240</v>
      </c>
      <c r="G228" s="1187" t="s">
        <v>1252</v>
      </c>
      <c r="K228" s="1150"/>
      <c r="L228" s="1089"/>
      <c r="M228" s="742" t="s">
        <v>1211</v>
      </c>
      <c r="N228" s="1089"/>
      <c r="O228" s="1089"/>
      <c r="P228" s="1089"/>
      <c r="R228" s="1089"/>
      <c r="S228" s="1089"/>
      <c r="T228" s="1089"/>
    </row>
    <row r="229" spans="1:20">
      <c r="A229" s="1188">
        <v>227</v>
      </c>
      <c r="B229" s="2213" t="s">
        <v>1253</v>
      </c>
      <c r="C229" s="2213"/>
      <c r="D229" s="1189" t="s">
        <v>870</v>
      </c>
      <c r="E229" s="1190" t="s">
        <v>743</v>
      </c>
      <c r="F229" s="1191">
        <f>EDU*2+MAX(APP*2,DEX*2)</f>
        <v>260</v>
      </c>
      <c r="G229" s="1192" t="s">
        <v>1254</v>
      </c>
      <c r="K229" s="1150"/>
      <c r="L229" s="1089"/>
      <c r="M229" s="742" t="s">
        <v>1211</v>
      </c>
      <c r="N229" s="1089"/>
      <c r="O229" s="1089"/>
      <c r="P229" s="1089"/>
      <c r="R229" s="1089"/>
      <c r="S229" s="1089"/>
      <c r="T229" s="1089"/>
    </row>
    <row r="230" spans="1:20">
      <c r="A230" s="1184">
        <v>228</v>
      </c>
      <c r="B230" s="2212" t="s">
        <v>1255</v>
      </c>
      <c r="C230" s="2212"/>
      <c r="D230" s="1141" t="s">
        <v>522</v>
      </c>
      <c r="E230" s="1185" t="s">
        <v>743</v>
      </c>
      <c r="F230" s="1186">
        <f>EDU*2+MAX(APP*2,DEX*2)</f>
        <v>260</v>
      </c>
      <c r="G230" s="1187" t="s">
        <v>1256</v>
      </c>
      <c r="K230" s="1150"/>
      <c r="L230" s="1089"/>
      <c r="M230" s="742" t="s">
        <v>1211</v>
      </c>
      <c r="N230" s="1089"/>
      <c r="O230" s="1089"/>
      <c r="P230" s="1089"/>
      <c r="R230" s="1089"/>
      <c r="S230" s="1089"/>
      <c r="T230" s="1089"/>
    </row>
    <row r="231" spans="1:20">
      <c r="A231" s="1188">
        <v>229</v>
      </c>
      <c r="B231" s="2213" t="s">
        <v>1257</v>
      </c>
      <c r="C231" s="2213"/>
      <c r="D231" s="1189" t="s">
        <v>522</v>
      </c>
      <c r="E231" s="1190" t="s">
        <v>467</v>
      </c>
      <c r="F231" s="1191">
        <f>EDU*2+MAX(STR*2,DEX*2)</f>
        <v>260</v>
      </c>
      <c r="G231" s="1192" t="s">
        <v>1258</v>
      </c>
      <c r="K231" s="1150"/>
      <c r="L231" s="1089"/>
      <c r="M231" s="742" t="s">
        <v>1211</v>
      </c>
      <c r="N231" s="1089"/>
      <c r="O231" s="1089"/>
      <c r="P231" s="1089"/>
      <c r="R231" s="1089"/>
      <c r="S231" s="1089"/>
      <c r="T231" s="1089"/>
    </row>
    <row r="232" spans="1:20">
      <c r="A232" s="1194">
        <v>230</v>
      </c>
      <c r="B232" s="2214" t="s">
        <v>1259</v>
      </c>
      <c r="C232" s="2214"/>
      <c r="D232" s="1163" t="s">
        <v>444</v>
      </c>
      <c r="E232" s="1133" t="s">
        <v>626</v>
      </c>
      <c r="F232" s="1195">
        <f>EDU*2+MAX(APP*2,DEX*2)</f>
        <v>260</v>
      </c>
      <c r="G232" s="1196" t="s">
        <v>1260</v>
      </c>
      <c r="K232" s="1150"/>
      <c r="L232" s="1089"/>
      <c r="M232" s="742" t="s">
        <v>1211</v>
      </c>
      <c r="N232" s="1089"/>
      <c r="O232" s="1089"/>
      <c r="P232" s="1089"/>
      <c r="R232" s="1089"/>
      <c r="S232" s="1089"/>
      <c r="T232" s="1089"/>
    </row>
    <row r="233" spans="1:20">
      <c r="A233" s="1197"/>
      <c r="B233" s="2203"/>
      <c r="C233" s="2203"/>
      <c r="D233" s="1197"/>
      <c r="E233" s="1199"/>
      <c r="F233" s="1197"/>
      <c r="G233" s="1198"/>
      <c r="H233" s="1200"/>
      <c r="I233" s="1205"/>
      <c r="J233" s="1205"/>
      <c r="K233" s="1207"/>
      <c r="L233" s="1116"/>
      <c r="M233" s="742"/>
      <c r="N233" s="1089"/>
      <c r="O233" s="1089"/>
      <c r="P233" s="1089"/>
      <c r="R233" s="1089"/>
      <c r="S233" s="1089"/>
      <c r="T233" s="1089"/>
    </row>
    <row r="234" spans="1:20">
      <c r="A234" s="1201"/>
      <c r="B234" s="2204"/>
      <c r="C234" s="2204"/>
      <c r="D234" s="1197"/>
      <c r="E234" s="1203"/>
      <c r="F234" s="1201"/>
      <c r="G234" s="1204"/>
      <c r="H234" s="1200"/>
      <c r="I234" s="1205"/>
      <c r="J234" s="1205"/>
      <c r="K234" s="1207"/>
      <c r="L234" s="1116"/>
      <c r="M234" s="742"/>
      <c r="N234" s="1089"/>
      <c r="O234" s="1089"/>
      <c r="P234" s="1089"/>
      <c r="R234" s="1089"/>
      <c r="S234" s="1089"/>
      <c r="T234" s="1089"/>
    </row>
    <row r="235" spans="1:20">
      <c r="A235" s="1201"/>
      <c r="B235" s="2204"/>
      <c r="C235" s="2204"/>
      <c r="D235" s="1201"/>
      <c r="E235" s="1203"/>
      <c r="F235" s="1201"/>
      <c r="G235" s="1202"/>
      <c r="H235" s="1200"/>
      <c r="I235" s="1205"/>
      <c r="J235" s="1205"/>
      <c r="K235" s="1207"/>
      <c r="L235" s="1116"/>
      <c r="M235" s="742"/>
      <c r="N235" s="1089"/>
      <c r="O235" s="1089"/>
      <c r="P235" s="1089"/>
      <c r="R235" s="1089"/>
      <c r="S235" s="1089"/>
      <c r="T235" s="1089"/>
    </row>
    <row r="236" spans="1:20">
      <c r="A236" s="1201"/>
      <c r="B236" s="2204"/>
      <c r="C236" s="2204"/>
      <c r="D236" s="1197"/>
      <c r="E236" s="1203"/>
      <c r="F236" s="1201"/>
      <c r="G236" s="1204"/>
      <c r="H236" s="1200"/>
      <c r="I236" s="1205"/>
      <c r="J236" s="1205"/>
      <c r="K236" s="1207"/>
      <c r="L236" s="1116"/>
      <c r="M236" s="742"/>
      <c r="N236" s="1089"/>
      <c r="O236" s="1089"/>
      <c r="P236" s="1089"/>
      <c r="R236" s="1089"/>
      <c r="S236" s="1089"/>
      <c r="T236" s="1089"/>
    </row>
    <row r="237" spans="1:20">
      <c r="A237" s="1201"/>
      <c r="B237" s="2204"/>
      <c r="C237" s="2204"/>
      <c r="D237" s="1201"/>
      <c r="E237" s="1203"/>
      <c r="F237" s="1201"/>
      <c r="G237" s="1202"/>
      <c r="H237" s="1200"/>
      <c r="I237" s="1205"/>
      <c r="J237" s="1205"/>
      <c r="K237" s="1207"/>
      <c r="L237" s="1116"/>
      <c r="M237" s="742"/>
      <c r="N237" s="1089"/>
      <c r="O237" s="1089"/>
      <c r="P237" s="1089"/>
      <c r="R237" s="1089"/>
      <c r="S237" s="1089"/>
      <c r="T237" s="1089"/>
    </row>
    <row r="238" spans="1:20">
      <c r="A238" s="1205"/>
      <c r="B238" s="1200"/>
      <c r="C238" s="1200"/>
      <c r="D238" s="1206"/>
      <c r="E238" s="1205"/>
      <c r="F238" s="1205"/>
      <c r="G238" s="1205"/>
      <c r="H238" s="1200"/>
      <c r="I238" s="1205"/>
      <c r="J238" s="1205"/>
      <c r="K238" s="1205"/>
      <c r="L238" s="1116"/>
      <c r="M238" s="1089"/>
      <c r="N238" s="1089"/>
      <c r="O238" s="1089"/>
      <c r="P238" s="1089"/>
      <c r="R238" s="1089"/>
      <c r="S238" s="1089"/>
      <c r="T238" s="1089"/>
    </row>
    <row r="239" spans="1:20">
      <c r="A239" s="1205"/>
      <c r="B239" s="1200"/>
      <c r="C239" s="1200"/>
      <c r="D239" s="1206"/>
      <c r="E239" s="1205"/>
      <c r="F239" s="1205"/>
      <c r="G239" s="1205"/>
      <c r="H239" s="1200"/>
      <c r="I239" s="1205"/>
      <c r="J239" s="1205"/>
      <c r="K239" s="1205"/>
      <c r="L239" s="1116"/>
      <c r="M239" s="1089"/>
      <c r="N239" s="1089"/>
      <c r="O239" s="1089"/>
      <c r="P239" s="1089"/>
      <c r="R239" s="1089"/>
      <c r="S239" s="1089"/>
      <c r="T239" s="1089"/>
    </row>
    <row r="240" spans="1:20">
      <c r="A240" s="1205"/>
      <c r="B240" s="1200"/>
      <c r="C240" s="1200"/>
      <c r="D240" s="1206"/>
      <c r="E240" s="1205"/>
      <c r="F240" s="1205"/>
      <c r="G240" s="1205"/>
      <c r="H240" s="1200"/>
      <c r="I240" s="1205"/>
      <c r="J240" s="1205"/>
      <c r="K240" s="1205"/>
      <c r="L240" s="1116"/>
      <c r="M240" s="1089"/>
      <c r="N240" s="1089"/>
      <c r="O240" s="1089"/>
      <c r="P240" s="1089"/>
      <c r="R240" s="1089"/>
      <c r="S240" s="1089"/>
      <c r="T240" s="1089"/>
    </row>
    <row r="241" spans="1:20">
      <c r="A241" s="1205"/>
      <c r="B241" s="1200"/>
      <c r="C241" s="1200"/>
      <c r="D241" s="1206"/>
      <c r="E241" s="1205"/>
      <c r="F241" s="1205"/>
      <c r="G241" s="1205"/>
      <c r="H241" s="1200"/>
      <c r="I241" s="1205"/>
      <c r="J241" s="1205"/>
      <c r="K241" s="1205"/>
      <c r="L241" s="1116"/>
      <c r="M241" s="1089"/>
      <c r="N241" s="1089"/>
      <c r="O241" s="1089"/>
      <c r="P241" s="1089"/>
      <c r="R241" s="1089"/>
      <c r="S241" s="1089"/>
      <c r="T241" s="1089"/>
    </row>
    <row r="242" spans="1:20">
      <c r="K242" s="1208"/>
      <c r="L242" s="1089"/>
      <c r="M242" s="1089"/>
      <c r="N242" s="1089"/>
      <c r="O242" s="1089"/>
      <c r="P242" s="1089"/>
      <c r="R242" s="1089"/>
      <c r="S242" s="1089"/>
      <c r="T242" s="1089"/>
    </row>
    <row r="243" spans="1:20">
      <c r="K243" s="1208"/>
      <c r="L243" s="1089"/>
      <c r="M243" s="1089"/>
      <c r="N243" s="1089"/>
      <c r="O243" s="1089"/>
      <c r="P243" s="1089"/>
      <c r="R243" s="1089"/>
      <c r="S243" s="1089"/>
      <c r="T243" s="1089"/>
    </row>
    <row r="244" spans="1:20">
      <c r="K244" s="1208"/>
      <c r="L244" s="1089"/>
      <c r="M244" s="1089"/>
      <c r="N244" s="1089"/>
      <c r="O244" s="1089"/>
      <c r="P244" s="1089"/>
      <c r="R244" s="1089"/>
      <c r="S244" s="1089"/>
      <c r="T244" s="1089"/>
    </row>
    <row r="245" spans="1:20">
      <c r="K245" s="1208"/>
      <c r="L245" s="1089"/>
      <c r="M245" s="1089"/>
      <c r="N245" s="1089"/>
      <c r="O245" s="1089"/>
      <c r="P245" s="1089"/>
      <c r="R245" s="1089"/>
      <c r="S245" s="1089"/>
      <c r="T245" s="1089"/>
    </row>
    <row r="246" spans="1:20">
      <c r="K246" s="1208"/>
      <c r="L246" s="1089"/>
      <c r="M246" s="1089"/>
      <c r="N246" s="1089"/>
      <c r="O246" s="1089"/>
      <c r="P246" s="1089"/>
      <c r="R246" s="1089"/>
      <c r="S246" s="1089"/>
      <c r="T246" s="1089"/>
    </row>
    <row r="247" spans="1:20">
      <c r="K247" s="1208"/>
      <c r="L247" s="1089"/>
      <c r="M247" s="1089"/>
      <c r="N247" s="1089"/>
      <c r="O247" s="1089"/>
      <c r="P247" s="1089"/>
      <c r="R247" s="1089"/>
      <c r="S247" s="1089"/>
      <c r="T247" s="1089"/>
    </row>
    <row r="248" spans="1:20">
      <c r="K248" s="1208"/>
      <c r="L248" s="1089"/>
      <c r="M248" s="1089"/>
      <c r="N248" s="1089"/>
      <c r="O248" s="1089"/>
      <c r="P248" s="1089"/>
      <c r="R248" s="1089"/>
      <c r="S248" s="1089"/>
      <c r="T248" s="1089"/>
    </row>
    <row r="249" spans="1:20">
      <c r="K249" s="1208"/>
      <c r="L249" s="1089"/>
      <c r="M249" s="1089"/>
      <c r="N249" s="1089"/>
      <c r="O249" s="1089"/>
      <c r="P249" s="1089"/>
      <c r="R249" s="1089"/>
      <c r="S249" s="1089"/>
      <c r="T249" s="1089"/>
    </row>
    <row r="250" spans="1:20">
      <c r="K250" s="1208"/>
      <c r="L250" s="1089"/>
      <c r="M250" s="1089"/>
      <c r="N250" s="1089"/>
      <c r="O250" s="1089"/>
      <c r="P250" s="1089"/>
      <c r="R250" s="1089"/>
      <c r="S250" s="1089"/>
      <c r="T250" s="1089"/>
    </row>
    <row r="251" spans="1:20">
      <c r="K251" s="1208"/>
      <c r="L251" s="1089"/>
      <c r="M251" s="1089"/>
      <c r="N251" s="1089"/>
      <c r="O251" s="1089"/>
      <c r="P251" s="1089"/>
      <c r="R251" s="1089"/>
      <c r="S251" s="1089"/>
      <c r="T251" s="1089"/>
    </row>
    <row r="252" spans="1:20">
      <c r="K252" s="1208"/>
      <c r="L252" s="1089"/>
      <c r="M252" s="1089"/>
      <c r="N252" s="1089"/>
      <c r="O252" s="1089"/>
      <c r="P252" s="1089"/>
      <c r="R252" s="1089"/>
      <c r="S252" s="1089"/>
      <c r="T252" s="1089"/>
    </row>
    <row r="253" spans="1:20">
      <c r="K253" s="1208"/>
      <c r="L253" s="1089"/>
      <c r="M253" s="1089"/>
      <c r="N253" s="1089"/>
      <c r="O253" s="1089"/>
      <c r="P253" s="1089"/>
      <c r="R253" s="1089"/>
      <c r="S253" s="1089"/>
      <c r="T253" s="1089"/>
    </row>
    <row r="254" spans="1:20">
      <c r="K254" s="1208"/>
      <c r="L254" s="1089"/>
      <c r="M254" s="1089"/>
      <c r="N254" s="1089"/>
      <c r="O254" s="1089"/>
      <c r="P254" s="1089"/>
      <c r="R254" s="1089"/>
      <c r="S254" s="1089"/>
      <c r="T254" s="1089"/>
    </row>
    <row r="255" spans="1:20">
      <c r="K255" s="1208"/>
      <c r="L255" s="1089"/>
      <c r="M255" s="1089"/>
      <c r="N255" s="1089"/>
      <c r="O255" s="1089"/>
      <c r="P255" s="1089"/>
      <c r="R255" s="1089"/>
      <c r="S255" s="1089"/>
      <c r="T255" s="1089"/>
    </row>
    <row r="256" spans="1:20">
      <c r="K256" s="1208"/>
      <c r="L256" s="1089"/>
      <c r="M256" s="1089"/>
      <c r="N256" s="1089"/>
      <c r="O256" s="1089"/>
      <c r="P256" s="1089"/>
      <c r="R256" s="1089"/>
      <c r="S256" s="1089"/>
      <c r="T256" s="1089"/>
    </row>
    <row r="257" spans="11:20">
      <c r="K257" s="1208"/>
      <c r="L257" s="1089"/>
      <c r="M257" s="1089"/>
      <c r="N257" s="1089"/>
      <c r="O257" s="1089"/>
      <c r="P257" s="1089"/>
      <c r="R257" s="1089"/>
      <c r="S257" s="1089"/>
      <c r="T257" s="1089"/>
    </row>
    <row r="258" spans="11:20">
      <c r="K258" s="1208"/>
      <c r="L258" s="1089"/>
      <c r="M258" s="1089"/>
      <c r="N258" s="1089"/>
      <c r="O258" s="1089"/>
      <c r="P258" s="1089"/>
      <c r="R258" s="1089"/>
      <c r="S258" s="1089"/>
      <c r="T258" s="1089"/>
    </row>
    <row r="259" spans="11:20">
      <c r="K259" s="1208"/>
      <c r="L259" s="1089"/>
      <c r="M259" s="1089"/>
      <c r="N259" s="1089"/>
      <c r="O259" s="1089"/>
      <c r="P259" s="1089"/>
      <c r="R259" s="1089"/>
      <c r="S259" s="1089"/>
      <c r="T259" s="1089"/>
    </row>
    <row r="260" spans="11:20">
      <c r="K260" s="1208"/>
      <c r="L260" s="1089"/>
      <c r="M260" s="1089"/>
      <c r="N260" s="1089"/>
      <c r="O260" s="1089"/>
      <c r="P260" s="1089"/>
      <c r="R260" s="1089"/>
      <c r="S260" s="1089"/>
      <c r="T260" s="1089"/>
    </row>
    <row r="261" spans="11:20">
      <c r="K261" s="1208"/>
      <c r="L261" s="1089"/>
      <c r="M261" s="1089"/>
      <c r="N261" s="1089"/>
      <c r="O261" s="1089"/>
      <c r="P261" s="1089"/>
      <c r="R261" s="1089"/>
      <c r="S261" s="1089"/>
      <c r="T261" s="1089"/>
    </row>
    <row r="262" spans="11:20">
      <c r="K262" s="1208"/>
      <c r="L262" s="1089"/>
      <c r="M262" s="1089"/>
      <c r="N262" s="1089"/>
      <c r="O262" s="1089"/>
      <c r="P262" s="1089"/>
      <c r="R262" s="1089"/>
      <c r="S262" s="1089"/>
      <c r="T262" s="1089"/>
    </row>
    <row r="263" spans="11:20">
      <c r="K263" s="1208"/>
      <c r="L263" s="1089"/>
      <c r="M263" s="1089"/>
      <c r="N263" s="1089"/>
      <c r="O263" s="1089"/>
      <c r="P263" s="1089"/>
      <c r="R263" s="1089"/>
      <c r="S263" s="1089"/>
      <c r="T263" s="1089"/>
    </row>
    <row r="264" spans="11:20">
      <c r="K264" s="1208"/>
      <c r="L264" s="1089"/>
      <c r="M264" s="1089"/>
      <c r="N264" s="1089"/>
      <c r="O264" s="1089"/>
      <c r="P264" s="1089"/>
      <c r="R264" s="1089"/>
      <c r="S264" s="1089"/>
      <c r="T264" s="1089"/>
    </row>
    <row r="265" spans="11:20">
      <c r="K265" s="1208"/>
      <c r="L265" s="1089"/>
      <c r="M265" s="1089"/>
      <c r="N265" s="1089"/>
      <c r="O265" s="1089"/>
      <c r="P265" s="1089"/>
      <c r="R265" s="1089"/>
      <c r="S265" s="1089"/>
      <c r="T265" s="1089"/>
    </row>
    <row r="266" spans="11:20">
      <c r="K266" s="1208"/>
      <c r="L266" s="1089"/>
      <c r="M266" s="1089"/>
      <c r="N266" s="1089"/>
      <c r="O266" s="1089"/>
      <c r="P266" s="1089"/>
      <c r="R266" s="1089"/>
      <c r="S266" s="1089"/>
      <c r="T266" s="1089"/>
    </row>
    <row r="267" spans="11:20">
      <c r="K267" s="1208"/>
      <c r="L267" s="1089"/>
      <c r="M267" s="1089"/>
      <c r="N267" s="1089"/>
      <c r="O267" s="1089"/>
      <c r="P267" s="1089"/>
      <c r="R267" s="1089"/>
      <c r="S267" s="1089"/>
      <c r="T267" s="1089"/>
    </row>
    <row r="268" spans="11:20">
      <c r="K268" s="1208"/>
      <c r="L268" s="1089"/>
      <c r="M268" s="1089"/>
      <c r="N268" s="1089"/>
      <c r="O268" s="1089"/>
      <c r="P268" s="1089"/>
      <c r="R268" s="1089"/>
      <c r="S268" s="1089"/>
      <c r="T268" s="1089"/>
    </row>
    <row r="269" spans="11:20">
      <c r="K269" s="1208"/>
      <c r="L269" s="1089"/>
      <c r="M269" s="1089"/>
      <c r="N269" s="1089"/>
      <c r="O269" s="1089"/>
      <c r="P269" s="1089"/>
      <c r="R269" s="1089"/>
      <c r="S269" s="1089"/>
      <c r="T269" s="1089"/>
    </row>
    <row r="270" spans="11:20">
      <c r="K270" s="1208"/>
      <c r="L270" s="1089"/>
      <c r="M270" s="1089"/>
      <c r="N270" s="1089"/>
      <c r="O270" s="1089"/>
      <c r="P270" s="1089"/>
      <c r="R270" s="1089"/>
      <c r="S270" s="1089"/>
      <c r="T270" s="1089"/>
    </row>
    <row r="271" spans="11:20">
      <c r="K271" s="1208"/>
      <c r="L271" s="1089"/>
      <c r="M271" s="1089"/>
      <c r="N271" s="1089"/>
      <c r="O271" s="1089"/>
      <c r="P271" s="1089"/>
      <c r="R271" s="1089"/>
      <c r="S271" s="1089"/>
      <c r="T271" s="1089"/>
    </row>
    <row r="272" spans="11:20">
      <c r="K272" s="1208"/>
      <c r="L272" s="1089"/>
      <c r="M272" s="1089"/>
      <c r="N272" s="1089"/>
      <c r="O272" s="1089"/>
      <c r="P272" s="1089"/>
      <c r="R272" s="1089"/>
      <c r="S272" s="1089"/>
      <c r="T272" s="1089"/>
    </row>
    <row r="273" spans="11:20">
      <c r="K273" s="1208"/>
      <c r="L273" s="1089"/>
      <c r="M273" s="1089"/>
      <c r="N273" s="1089"/>
      <c r="O273" s="1089"/>
      <c r="P273" s="1089"/>
      <c r="R273" s="1089"/>
      <c r="S273" s="1089"/>
      <c r="T273" s="1089"/>
    </row>
    <row r="274" spans="11:20">
      <c r="K274" s="1208"/>
      <c r="L274" s="1089"/>
      <c r="M274" s="1089"/>
      <c r="N274" s="1089"/>
      <c r="O274" s="1089"/>
      <c r="P274" s="1089"/>
      <c r="R274" s="1089"/>
      <c r="S274" s="1089"/>
      <c r="T274" s="1089"/>
    </row>
    <row r="275" spans="11:20">
      <c r="K275" s="1208"/>
      <c r="L275" s="1089"/>
      <c r="M275" s="1089"/>
      <c r="N275" s="1089"/>
      <c r="O275" s="1089"/>
      <c r="P275" s="1089"/>
      <c r="R275" s="1089"/>
      <c r="S275" s="1089"/>
      <c r="T275" s="1089"/>
    </row>
    <row r="276" spans="11:20">
      <c r="K276" s="1208"/>
      <c r="L276" s="1089"/>
      <c r="M276" s="1089"/>
      <c r="N276" s="1089"/>
      <c r="O276" s="1089"/>
      <c r="P276" s="1089"/>
      <c r="R276" s="1089"/>
      <c r="S276" s="1089"/>
      <c r="T276" s="1089"/>
    </row>
    <row r="277" spans="11:20">
      <c r="K277" s="1208"/>
      <c r="L277" s="1089"/>
      <c r="M277" s="1089"/>
      <c r="N277" s="1089"/>
      <c r="O277" s="1089"/>
      <c r="P277" s="1089"/>
      <c r="R277" s="1089"/>
      <c r="S277" s="1089"/>
      <c r="T277" s="1089"/>
    </row>
    <row r="278" spans="11:20">
      <c r="K278" s="1208"/>
      <c r="L278" s="1089"/>
      <c r="M278" s="1089"/>
      <c r="N278" s="1089"/>
      <c r="O278" s="1089"/>
      <c r="P278" s="1089"/>
      <c r="R278" s="1089"/>
      <c r="S278" s="1089"/>
      <c r="T278" s="1089"/>
    </row>
    <row r="279" spans="11:20">
      <c r="K279" s="1208"/>
      <c r="L279" s="1089"/>
      <c r="M279" s="1089"/>
      <c r="N279" s="1089"/>
      <c r="O279" s="1089"/>
      <c r="P279" s="1089"/>
      <c r="R279" s="1089"/>
      <c r="S279" s="1089"/>
      <c r="T279" s="1089"/>
    </row>
    <row r="280" spans="11:20">
      <c r="K280" s="1208"/>
      <c r="L280" s="1089"/>
      <c r="M280" s="1089"/>
      <c r="N280" s="1089"/>
      <c r="O280" s="1089"/>
      <c r="P280" s="1089"/>
      <c r="R280" s="1089"/>
      <c r="S280" s="1089"/>
      <c r="T280" s="1089"/>
    </row>
    <row r="281" spans="11:20">
      <c r="K281" s="1208"/>
      <c r="L281" s="1089"/>
      <c r="M281" s="1089"/>
      <c r="N281" s="1089"/>
      <c r="O281" s="1089"/>
      <c r="P281" s="1089"/>
      <c r="R281" s="1089"/>
      <c r="S281" s="1089"/>
      <c r="T281" s="1089"/>
    </row>
    <row r="282" spans="11:20">
      <c r="K282" s="1208"/>
      <c r="L282" s="1089"/>
      <c r="M282" s="1089"/>
      <c r="N282" s="1089"/>
      <c r="O282" s="1089"/>
      <c r="P282" s="1089"/>
      <c r="R282" s="1089"/>
      <c r="S282" s="1089"/>
      <c r="T282" s="1089"/>
    </row>
    <row r="283" spans="11:20">
      <c r="K283" s="1208"/>
      <c r="L283" s="1089"/>
      <c r="M283" s="1089"/>
      <c r="N283" s="1089"/>
      <c r="O283" s="1089"/>
      <c r="P283" s="1089"/>
      <c r="R283" s="1089"/>
      <c r="S283" s="1089"/>
      <c r="T283" s="1089"/>
    </row>
    <row r="284" spans="11:20">
      <c r="K284" s="1208"/>
      <c r="L284" s="1089"/>
      <c r="M284" s="1089"/>
      <c r="N284" s="1089"/>
      <c r="O284" s="1089"/>
      <c r="P284" s="1089"/>
      <c r="R284" s="1089"/>
      <c r="S284" s="1089"/>
      <c r="T284" s="1089"/>
    </row>
  </sheetData>
  <sheetProtection sheet="1" selectLockedCells="1"/>
  <mergeCells count="390">
    <mergeCell ref="B1:C1"/>
    <mergeCell ref="K1:L1"/>
    <mergeCell ref="M1:N1"/>
    <mergeCell ref="B2:G2"/>
    <mergeCell ref="I2:J2"/>
    <mergeCell ref="I3:J3"/>
    <mergeCell ref="K3:L3"/>
    <mergeCell ref="B4:C4"/>
    <mergeCell ref="I4:J4"/>
    <mergeCell ref="K4:L4"/>
    <mergeCell ref="B5:C5"/>
    <mergeCell ref="I5:J5"/>
    <mergeCell ref="K5:L5"/>
    <mergeCell ref="B6:C6"/>
    <mergeCell ref="I6:J6"/>
    <mergeCell ref="K6:L6"/>
    <mergeCell ref="B7:C7"/>
    <mergeCell ref="I7:J7"/>
    <mergeCell ref="K7:L7"/>
    <mergeCell ref="B8:C8"/>
    <mergeCell ref="I8:J8"/>
    <mergeCell ref="K8:L8"/>
    <mergeCell ref="B9:C9"/>
    <mergeCell ref="I9:J9"/>
    <mergeCell ref="K9:L9"/>
    <mergeCell ref="B10:C10"/>
    <mergeCell ref="I10:J10"/>
    <mergeCell ref="K10:L10"/>
    <mergeCell ref="B11:C11"/>
    <mergeCell ref="K11:L11"/>
    <mergeCell ref="B12:C12"/>
    <mergeCell ref="K12:L12"/>
    <mergeCell ref="B13:C13"/>
    <mergeCell ref="H13:J13"/>
    <mergeCell ref="K13:L13"/>
    <mergeCell ref="B14:C14"/>
    <mergeCell ref="K14:L14"/>
    <mergeCell ref="B15:C15"/>
    <mergeCell ref="K15:L15"/>
    <mergeCell ref="B16:C16"/>
    <mergeCell ref="K16:L16"/>
    <mergeCell ref="B17:C17"/>
    <mergeCell ref="K17:L17"/>
    <mergeCell ref="B18:C18"/>
    <mergeCell ref="K18:L18"/>
    <mergeCell ref="B19:C19"/>
    <mergeCell ref="K19:L19"/>
    <mergeCell ref="B20:C20"/>
    <mergeCell ref="K20:L20"/>
    <mergeCell ref="B21:C21"/>
    <mergeCell ref="K21:L21"/>
    <mergeCell ref="B22:C22"/>
    <mergeCell ref="K22:L22"/>
    <mergeCell ref="B23:C23"/>
    <mergeCell ref="K23:L23"/>
    <mergeCell ref="B24:C24"/>
    <mergeCell ref="H24:J24"/>
    <mergeCell ref="B25:C25"/>
    <mergeCell ref="H25:J25"/>
    <mergeCell ref="K25:L25"/>
    <mergeCell ref="B26:C26"/>
    <mergeCell ref="K26:L26"/>
    <mergeCell ref="B27:C27"/>
    <mergeCell ref="K27:L27"/>
    <mergeCell ref="B28:C28"/>
    <mergeCell ref="K28:L28"/>
    <mergeCell ref="B29:C29"/>
    <mergeCell ref="K29:L29"/>
    <mergeCell ref="B30:C30"/>
    <mergeCell ref="K30:L30"/>
    <mergeCell ref="B31:C31"/>
    <mergeCell ref="K31:L31"/>
    <mergeCell ref="B32:C32"/>
    <mergeCell ref="K32:L32"/>
    <mergeCell ref="B33:C33"/>
    <mergeCell ref="K33:L33"/>
    <mergeCell ref="B34:C34"/>
    <mergeCell ref="K34:L34"/>
    <mergeCell ref="B35:C35"/>
    <mergeCell ref="K35:L35"/>
    <mergeCell ref="B36:C36"/>
    <mergeCell ref="K36:L36"/>
    <mergeCell ref="B37:C37"/>
    <mergeCell ref="K37:L37"/>
    <mergeCell ref="B38:C38"/>
    <mergeCell ref="K38:L38"/>
    <mergeCell ref="B39:C39"/>
    <mergeCell ref="K39:L39"/>
    <mergeCell ref="B40:C40"/>
    <mergeCell ref="K40:L40"/>
    <mergeCell ref="B41:C41"/>
    <mergeCell ref="K41:L41"/>
    <mergeCell ref="B42:C42"/>
    <mergeCell ref="K42:L42"/>
    <mergeCell ref="B43:C43"/>
    <mergeCell ref="K43:L43"/>
    <mergeCell ref="B44:C44"/>
    <mergeCell ref="K44:L44"/>
    <mergeCell ref="B45:C45"/>
    <mergeCell ref="K45:L45"/>
    <mergeCell ref="B46:C46"/>
    <mergeCell ref="K46:L46"/>
    <mergeCell ref="B47:C47"/>
    <mergeCell ref="K47:L47"/>
    <mergeCell ref="B48:C48"/>
    <mergeCell ref="K48:L48"/>
    <mergeCell ref="B49:C49"/>
    <mergeCell ref="K49:L49"/>
    <mergeCell ref="B50:C50"/>
    <mergeCell ref="K50:L50"/>
    <mergeCell ref="B51:C51"/>
    <mergeCell ref="K51:L51"/>
    <mergeCell ref="B52:C52"/>
    <mergeCell ref="K52:L52"/>
    <mergeCell ref="B53:C53"/>
    <mergeCell ref="K53:L53"/>
    <mergeCell ref="B54:C54"/>
    <mergeCell ref="K54:L54"/>
    <mergeCell ref="B55:C55"/>
    <mergeCell ref="K55:L55"/>
    <mergeCell ref="B56:C56"/>
    <mergeCell ref="K56:L56"/>
    <mergeCell ref="B57:C57"/>
    <mergeCell ref="K57:L57"/>
    <mergeCell ref="B58:C58"/>
    <mergeCell ref="K58:L58"/>
    <mergeCell ref="B59:C59"/>
    <mergeCell ref="K59:L59"/>
    <mergeCell ref="B60:C60"/>
    <mergeCell ref="K60:L60"/>
    <mergeCell ref="B61:C61"/>
    <mergeCell ref="K61:L61"/>
    <mergeCell ref="B62:C62"/>
    <mergeCell ref="K62:L62"/>
    <mergeCell ref="B63:C63"/>
    <mergeCell ref="K63:L63"/>
    <mergeCell ref="B64:C64"/>
    <mergeCell ref="K64:L64"/>
    <mergeCell ref="B65:C65"/>
    <mergeCell ref="K65:L65"/>
    <mergeCell ref="B66:C66"/>
    <mergeCell ref="K66:L66"/>
    <mergeCell ref="B67:C67"/>
    <mergeCell ref="K67:L67"/>
    <mergeCell ref="B68:C68"/>
    <mergeCell ref="K68:L68"/>
    <mergeCell ref="B69:C69"/>
    <mergeCell ref="K69:L69"/>
    <mergeCell ref="B70:C70"/>
    <mergeCell ref="K70:L70"/>
    <mergeCell ref="B71:C71"/>
    <mergeCell ref="K71:L71"/>
    <mergeCell ref="B72:C72"/>
    <mergeCell ref="K72:L72"/>
    <mergeCell ref="B73:C73"/>
    <mergeCell ref="K73:L73"/>
    <mergeCell ref="B74:C74"/>
    <mergeCell ref="K74:L74"/>
    <mergeCell ref="B75:C75"/>
    <mergeCell ref="K75:L75"/>
    <mergeCell ref="B76:C76"/>
    <mergeCell ref="K76:L76"/>
    <mergeCell ref="B77:C77"/>
    <mergeCell ref="K77:L77"/>
    <mergeCell ref="B78:C78"/>
    <mergeCell ref="K78:L78"/>
    <mergeCell ref="B79:C79"/>
    <mergeCell ref="K79:L79"/>
    <mergeCell ref="B80:C80"/>
    <mergeCell ref="K80:L80"/>
    <mergeCell ref="B81:C81"/>
    <mergeCell ref="K81:L81"/>
    <mergeCell ref="B82:C82"/>
    <mergeCell ref="K82:L82"/>
    <mergeCell ref="B83:C83"/>
    <mergeCell ref="K83:L83"/>
    <mergeCell ref="B84:C84"/>
    <mergeCell ref="K84:L84"/>
    <mergeCell ref="B85:C85"/>
    <mergeCell ref="K85:L85"/>
    <mergeCell ref="B86:C86"/>
    <mergeCell ref="K86:L86"/>
    <mergeCell ref="B87:C87"/>
    <mergeCell ref="K87:L87"/>
    <mergeCell ref="B88:C88"/>
    <mergeCell ref="K88:L88"/>
    <mergeCell ref="B89:C89"/>
    <mergeCell ref="K89:L89"/>
    <mergeCell ref="B90:C90"/>
    <mergeCell ref="K90:L90"/>
    <mergeCell ref="B91:C91"/>
    <mergeCell ref="K91:L91"/>
    <mergeCell ref="B92:C92"/>
    <mergeCell ref="K92:L92"/>
    <mergeCell ref="B93:C93"/>
    <mergeCell ref="K93:L93"/>
    <mergeCell ref="B94:C94"/>
    <mergeCell ref="K94:L94"/>
    <mergeCell ref="B95:C95"/>
    <mergeCell ref="K95:L95"/>
    <mergeCell ref="B96:C96"/>
    <mergeCell ref="K96:L96"/>
    <mergeCell ref="B97:C97"/>
    <mergeCell ref="K97:L97"/>
    <mergeCell ref="B98:C98"/>
    <mergeCell ref="K98:L98"/>
    <mergeCell ref="B99:C99"/>
    <mergeCell ref="K99:L99"/>
    <mergeCell ref="B100:C100"/>
    <mergeCell ref="K100:L100"/>
    <mergeCell ref="B101:C101"/>
    <mergeCell ref="K101:L101"/>
    <mergeCell ref="B102:C102"/>
    <mergeCell ref="K102:L102"/>
    <mergeCell ref="B103:C103"/>
    <mergeCell ref="K103:L103"/>
    <mergeCell ref="B104:C104"/>
    <mergeCell ref="K104:L104"/>
    <mergeCell ref="B105:C105"/>
    <mergeCell ref="K105:L105"/>
    <mergeCell ref="B106:C106"/>
    <mergeCell ref="K106:L106"/>
    <mergeCell ref="B107:C107"/>
    <mergeCell ref="K107:L107"/>
    <mergeCell ref="B108:C108"/>
    <mergeCell ref="K108:L108"/>
    <mergeCell ref="B109:C109"/>
    <mergeCell ref="K109:L109"/>
    <mergeCell ref="B110:C110"/>
    <mergeCell ref="K110:L110"/>
    <mergeCell ref="B111:C111"/>
    <mergeCell ref="K111:L111"/>
    <mergeCell ref="B112:C112"/>
    <mergeCell ref="K112:L112"/>
    <mergeCell ref="B113:C113"/>
    <mergeCell ref="K113:L113"/>
    <mergeCell ref="B114:C114"/>
    <mergeCell ref="K114:L114"/>
    <mergeCell ref="B115:C115"/>
    <mergeCell ref="K115:L115"/>
    <mergeCell ref="B116:C116"/>
    <mergeCell ref="K116:L116"/>
    <mergeCell ref="B117:C117"/>
    <mergeCell ref="K117:L117"/>
    <mergeCell ref="B118:C118"/>
    <mergeCell ref="B119:C119"/>
    <mergeCell ref="B120:C120"/>
    <mergeCell ref="B121:C121"/>
    <mergeCell ref="B122:C122"/>
    <mergeCell ref="B123:C123"/>
    <mergeCell ref="B124:C124"/>
    <mergeCell ref="H124:I124"/>
    <mergeCell ref="B125:C125"/>
    <mergeCell ref="H125:I125"/>
    <mergeCell ref="B126:C126"/>
    <mergeCell ref="B127:C127"/>
    <mergeCell ref="B128:C128"/>
    <mergeCell ref="B129:C129"/>
    <mergeCell ref="B130:C130"/>
    <mergeCell ref="B131:C131"/>
    <mergeCell ref="B132:C132"/>
    <mergeCell ref="B133:C133"/>
    <mergeCell ref="B134:C134"/>
    <mergeCell ref="B135:C135"/>
    <mergeCell ref="B136:C136"/>
    <mergeCell ref="B137:C137"/>
    <mergeCell ref="B138:C138"/>
    <mergeCell ref="B139:C139"/>
    <mergeCell ref="B140:C140"/>
    <mergeCell ref="B141:C141"/>
    <mergeCell ref="B142:C142"/>
    <mergeCell ref="B143:C143"/>
    <mergeCell ref="B144:C144"/>
    <mergeCell ref="B145:C145"/>
    <mergeCell ref="B146:C146"/>
    <mergeCell ref="B147:C147"/>
    <mergeCell ref="B148:C148"/>
    <mergeCell ref="B149:C149"/>
    <mergeCell ref="B150:C150"/>
    <mergeCell ref="B151:C151"/>
    <mergeCell ref="B152:C152"/>
    <mergeCell ref="B153:C153"/>
    <mergeCell ref="B154:C154"/>
    <mergeCell ref="B155:C155"/>
    <mergeCell ref="B156:C156"/>
    <mergeCell ref="B157:C157"/>
    <mergeCell ref="O157:P157"/>
    <mergeCell ref="B158:C158"/>
    <mergeCell ref="O158:P158"/>
    <mergeCell ref="B159:C159"/>
    <mergeCell ref="O159:P159"/>
    <mergeCell ref="B160:C160"/>
    <mergeCell ref="O160:P160"/>
    <mergeCell ref="B161:C161"/>
    <mergeCell ref="O161:P161"/>
    <mergeCell ref="B162:C162"/>
    <mergeCell ref="O162:P162"/>
    <mergeCell ref="B163:C163"/>
    <mergeCell ref="O163:P163"/>
    <mergeCell ref="B164:C164"/>
    <mergeCell ref="O164:P164"/>
    <mergeCell ref="B165:C165"/>
    <mergeCell ref="H165:I165"/>
    <mergeCell ref="O165:P165"/>
    <mergeCell ref="B166:C166"/>
    <mergeCell ref="B167:C167"/>
    <mergeCell ref="B168:C168"/>
    <mergeCell ref="B169:C169"/>
    <mergeCell ref="B170:C170"/>
    <mergeCell ref="B171:C171"/>
    <mergeCell ref="B172:C172"/>
    <mergeCell ref="B173:C173"/>
    <mergeCell ref="B174:C174"/>
    <mergeCell ref="B175:C175"/>
    <mergeCell ref="B176:C176"/>
    <mergeCell ref="B177:C177"/>
    <mergeCell ref="B178:C178"/>
    <mergeCell ref="H178:I178"/>
    <mergeCell ref="B179:C179"/>
    <mergeCell ref="B180:C180"/>
    <mergeCell ref="B181:C181"/>
    <mergeCell ref="B182:C182"/>
    <mergeCell ref="B183:C183"/>
    <mergeCell ref="B184:C184"/>
    <mergeCell ref="B185:C185"/>
    <mergeCell ref="B186:C186"/>
    <mergeCell ref="B187:C187"/>
    <mergeCell ref="B188:C188"/>
    <mergeCell ref="B189:C189"/>
    <mergeCell ref="B190:C190"/>
    <mergeCell ref="B191:C191"/>
    <mergeCell ref="B192:C192"/>
    <mergeCell ref="B193:C193"/>
    <mergeCell ref="B194:C194"/>
    <mergeCell ref="B195:C195"/>
    <mergeCell ref="B196:C196"/>
    <mergeCell ref="B197:C197"/>
    <mergeCell ref="B198:C198"/>
    <mergeCell ref="B199:C199"/>
    <mergeCell ref="B200:C200"/>
    <mergeCell ref="B201:C201"/>
    <mergeCell ref="B202:C202"/>
    <mergeCell ref="B203:C203"/>
    <mergeCell ref="B204:C204"/>
    <mergeCell ref="B205:C205"/>
    <mergeCell ref="B206:C206"/>
    <mergeCell ref="B207:C207"/>
    <mergeCell ref="B208:C208"/>
    <mergeCell ref="B209:C209"/>
    <mergeCell ref="B210:C210"/>
    <mergeCell ref="B211:C211"/>
    <mergeCell ref="B212:C212"/>
    <mergeCell ref="B213:C213"/>
    <mergeCell ref="H213:I213"/>
    <mergeCell ref="B214:C214"/>
    <mergeCell ref="H214:I214"/>
    <mergeCell ref="B232:C232"/>
    <mergeCell ref="B215:C215"/>
    <mergeCell ref="B216:C216"/>
    <mergeCell ref="B217:C217"/>
    <mergeCell ref="B218:C218"/>
    <mergeCell ref="B219:C219"/>
    <mergeCell ref="B220:C220"/>
    <mergeCell ref="B221:C221"/>
    <mergeCell ref="B222:C222"/>
    <mergeCell ref="B223:C223"/>
    <mergeCell ref="B233:C233"/>
    <mergeCell ref="B234:C234"/>
    <mergeCell ref="B235:C235"/>
    <mergeCell ref="B236:C236"/>
    <mergeCell ref="B237:C237"/>
    <mergeCell ref="H2:H10"/>
    <mergeCell ref="O166:Q168"/>
    <mergeCell ref="O169:Q170"/>
    <mergeCell ref="H118:I123"/>
    <mergeCell ref="H207:I212"/>
    <mergeCell ref="H159:I164"/>
    <mergeCell ref="H180:I183"/>
    <mergeCell ref="H172:I177"/>
    <mergeCell ref="O176:Q179"/>
    <mergeCell ref="O223:Q224"/>
    <mergeCell ref="O171:Q172"/>
    <mergeCell ref="B224:C224"/>
    <mergeCell ref="B225:C225"/>
    <mergeCell ref="B226:C226"/>
    <mergeCell ref="B227:C227"/>
    <mergeCell ref="B228:C228"/>
    <mergeCell ref="B229:C229"/>
    <mergeCell ref="B230:C230"/>
    <mergeCell ref="B231:C231"/>
  </mergeCells>
  <phoneticPr fontId="188" type="noConversion"/>
  <conditionalFormatting sqref="I11:J11">
    <cfRule type="expression" dxfId="20" priority="14">
      <formula>"人物卡!$F$5=1"</formula>
    </cfRule>
  </conditionalFormatting>
  <conditionalFormatting sqref="I15">
    <cfRule type="expression" dxfId="19" priority="12">
      <formula>"人物卡!$F$5=1"</formula>
    </cfRule>
  </conditionalFormatting>
  <conditionalFormatting sqref="J15">
    <cfRule type="expression" dxfId="18" priority="10">
      <formula>"人物卡!$F$5=1"</formula>
    </cfRule>
  </conditionalFormatting>
  <conditionalFormatting sqref="J16">
    <cfRule type="expression" dxfId="17" priority="9">
      <formula>"人物卡!$F$5=1"</formula>
    </cfRule>
  </conditionalFormatting>
  <conditionalFormatting sqref="J17">
    <cfRule type="expression" dxfId="16" priority="8">
      <formula>"人物卡!$F$5=1"</formula>
    </cfRule>
  </conditionalFormatting>
  <conditionalFormatting sqref="J18">
    <cfRule type="expression" dxfId="15" priority="7">
      <formula>"人物卡!$F$5=1"</formula>
    </cfRule>
  </conditionalFormatting>
  <conditionalFormatting sqref="J19">
    <cfRule type="expression" dxfId="14" priority="6">
      <formula>"人物卡!$F$5=1"</formula>
    </cfRule>
  </conditionalFormatting>
  <conditionalFormatting sqref="J20">
    <cfRule type="expression" dxfId="13" priority="5">
      <formula>"人物卡!$F$5=1"</formula>
    </cfRule>
  </conditionalFormatting>
  <conditionalFormatting sqref="H21">
    <cfRule type="expression" dxfId="12" priority="13">
      <formula>"人物卡!$F$5=1"</formula>
    </cfRule>
  </conditionalFormatting>
  <conditionalFormatting sqref="J21">
    <cfRule type="expression" dxfId="11" priority="11">
      <formula>"人物卡!$F$5=1"</formula>
    </cfRule>
  </conditionalFormatting>
  <conditionalFormatting sqref="J22">
    <cfRule type="expression" dxfId="10" priority="4">
      <formula>"人物卡!$F$5=1"</formula>
    </cfRule>
  </conditionalFormatting>
  <conditionalFormatting sqref="H23">
    <cfRule type="expression" dxfId="9" priority="3">
      <formula>"人物卡!$F$5=1"</formula>
    </cfRule>
  </conditionalFormatting>
  <conditionalFormatting sqref="I23">
    <cfRule type="expression" dxfId="8" priority="2">
      <formula>"人物卡!$F$5=1"</formula>
    </cfRule>
  </conditionalFormatting>
  <conditionalFormatting sqref="J23">
    <cfRule type="expression" dxfId="7" priority="1">
      <formula>"人物卡!$F$5=1"</formula>
    </cfRule>
  </conditionalFormatting>
  <conditionalFormatting sqref="I2:J10">
    <cfRule type="expression" dxfId="6" priority="16">
      <formula>"人物卡!$F$5=1"</formula>
    </cfRule>
  </conditionalFormatting>
  <conditionalFormatting sqref="H22 H13 H15:H20 I16:I22">
    <cfRule type="expression" dxfId="5" priority="15">
      <formula>"人物卡!$F$5=1"</formula>
    </cfRule>
  </conditionalFormatting>
  <dataValidations count="143">
    <dataValidation allowBlank="1" showInputMessage="1" showErrorMessage="1" promptTitle="Anthropology (01%)" prompt="- 使使用者能够通过观察来辨认和理解一个人的生活方式。_x000a_- 如果技能使用者持续观察一个其他的文化一段时间，或者在有着关于某种已消失文化的正确资料环境下工作，那么他可以对文化方式以及道德习惯进行简单的预测，即使证据可能并不完整。_x000a_- 通过学习文化一个月或者更久，人类学家开始理解这种文化是如何运作的以及，如果结合心理学，可以预测那些研究文化的行为和信仰。" sqref="R3" xr:uid="{00000000-0002-0000-0200-000000000000}"/>
    <dataValidation type="list" allowBlank="1" showInputMessage="1" showErrorMessage="1" sqref="R21 R22" xr:uid="{00000000-0002-0000-0200-000001000000}">
      <formula1>"鞭子,电锯,斧,剑,绞具,链枷,矛"</formula1>
    </dataValidation>
    <dataValidation allowBlank="1" showInputMessage="1" showErrorMessage="1" promptTitle="Accounting (05%)" prompt="- 使你理解会计工作的流程以及一个企业或者个人的金融职务。_x000a_- 通过检查账簿，你可以发现做假账的员工，对资金的偷偷挪用，对行贿或者敲诈的款项支付，以及经济状况是否比表面陈述的更好或者更差。_x000a_- 通过仔细检查旧账户，你可以了解过去的资金的得与失（谷物，奴隶贸易，威士忌酒的运营等）以及这些资金是付给了谁以及为了什么款项而支付。" sqref="R2" xr:uid="{00000000-0002-0000-0200-000002000000}"/>
    <dataValidation allowBlank="1" showInputMessage="1" promptTitle="介绍" prompt="勤杂护工在医院的工作包括倒垃圾、打扫房间、运送病人，还有一些其他乱七八糟的工作。总之对他们的要求不比对看门人多多少。" sqref="B66:C66" xr:uid="{00000000-0002-0000-0200-000003000000}"/>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M2" xr:uid="{00000000-0002-0000-0200-000004000000}"/>
    <dataValidation allowBlank="1" showInputMessage="1" promptTitle="介绍" prompt="会计师可能在企业工作或作为自由会计师，为个体经营者和企业客户担任顾问。他们是优秀的研究者，既勤奋又关注细节，能够通过仔细分析个人和企业交易记录、财务报表和其他记录支援其他调查员。" sqref="B4" xr:uid="{00000000-0002-0000-0200-000005000000}"/>
    <dataValidation allowBlank="1" showInputMessage="1" promptTitle="介绍" prompt="杂技演员可能是参加各级比赛（甚至奥运会）的业余运动员，也可能是专业的演员，在马戏团、嘉年华、歌舞团之类的地方作为娱乐业从业者工作。" sqref="B5" xr:uid="{00000000-0002-0000-0200-000006000000}"/>
    <dataValidation allowBlank="1" showInputMessage="1" promptTitle="介绍" prompt="有些则组成分工明确，会详细调查并制定计划的犯罪组织。" sqref="B31:C31" xr:uid="{00000000-0002-0000-0200-000007000000}"/>
    <dataValidation allowBlank="1" showInputMessage="1" promptTitle="介绍" prompt="酒保虽然不一定是酒吧的掌柜，却一定是所有客人的朋友。对客人们的好声气，一部分来说是出于他们的职业或者业务，而更多的来说则是达到目的的一种手段。1920年代，由于禁酒令的存在，酒保变成了非法的职业；但是遍地开花的黑酒吧又不能没有酒保，结果就是酒保仍然不愁找不到活干。" sqref="B19:C19" xr:uid="{00000000-0002-0000-0200-000008000000}"/>
    <dataValidation allowBlank="1" showInputMessage="1" showErrorMessage="1" promptTitle="Appraise (05%)" prompt="- 用来估计某种物品的价值，包括质量，使用的材料以及工艺。_x000a_- 相关的，技能使用者可以准确地辨认出物品的年龄，评估它的历史关联性以及发现赝品。" sqref="R4" xr:uid="{00000000-0002-0000-0200-000009000000}"/>
    <dataValidation allowBlank="1" showInputMessage="1" showErrorMessage="1" promptTitle="Archaeology (01%)" prompt="- 允许从过去的文化中鉴定一件古董的年代以及辨别它，以及可以用来发现赝品。_x000a_- 使获得建立以及开掘一个挖掘遗址的专业知识。_x000a_通过对遗址的勘察，使用者可以推断留下这遗址的生物的目的和生活方式。_x000a_- 人类学可能对此会有所帮助。_x000a_- 考古学还有助于辨认已消失的人类语言的书面形式。" sqref="R5" xr:uid="{00000000-0002-0000-0200-00000A000000}"/>
    <dataValidation allowBlank="1" showInputMessage="1" promptTitle="介绍" prompt="动物训练师可能在电影工作室巡回马戏团马厩工作或自由工作。不管是训练导盲犬狮子钻火圈，他们工作时基本要独自一人长时间近距离地照看这些动物。动物训练师可以像对人一样对动物使用「心理学」技能。" sqref="B10:C10" xr:uid="{00000000-0002-0000-0200-00000B000000}"/>
    <dataValidation allowBlank="1" showInputMessage="1" promptTitle="介绍" prompt="在1920年代，虽然全国都有大型剧院，美国的戏剧中心仍然是纽约城。英国的情况与之相近，戏剧的中心在伦敦，其他的剧团则在各郡作巡回演出。巡回剧团乘火车旅行，演出内容既包括新编剧目，也包括莎士比亚和其他人的传统剧目。有些剧团也会花时间去国外采风，通常是去加拿大夏威夷澳大利亚和欧洲大陆。" sqref="B6:C6" xr:uid="{00000000-0002-0000-0200-00000C000000}"/>
    <dataValidation allowBlank="1" showInputMessage="1" promptTitle="介绍" prompt="罪犯的体格和相貌形形色色，有些是纯粹碰运气伺机行事，比如扒手." sqref="B33:C33" xr:uid="{00000000-0002-0000-0200-00000D000000}"/>
    <dataValidation allowBlank="1" showInputMessage="1" showErrorMessage="1" promptTitle="First Aid (30%)" prompt="- 使用者可以提供紧急的医疗处理。这包括：对摔断了的腿用夹板进行处理，止血，处理烧伤，溺水复苏，包扎以及清理伤口等等。急救不能用于治疗疾病（这需要医学技能）。_x000a_- 急救必须在一小时内进行，在这种情况能回复 1 生命值的损伤。_x000a_- 这项技能可以尝试一次，后续的尝试将为进行孤注一掷。_x000a_- 两个人可以合作进行急救，只要其中一人成功便可以让生命值回复。_x000a_- 成功的急救可以将一名昏迷的角色唤醒过来。_x000a_- 一名角色只能进行一次成功的急救或者医学，直到受到其他伤害。" sqref="R28" xr:uid="{00000000-0002-0000-0200-00000E000000}"/>
    <dataValidation allowBlank="1" showInputMessage="1" promptTitle="介绍" prompt="许多演员有相当深厚的文化素养，认为自己才是“正统”的，倾向于轻视电影业的商业活动。直到 20 世纪后期电影业的地位提高，电影演员的薪酬增加，这种情况才发生改变。电影业和电影明星一直是世界人民关注的焦点。许多明星一夜成名，在媒体的聚光灯下过着光鲜亮丽的生活。" sqref="B7:C7" xr:uid="{00000000-0002-0000-0200-00000F000000}"/>
    <dataValidation allowBlank="1" showInputMessage="1" showErrorMessage="1" promptTitle="Charm (15%)" prompt="- 魅惑允许通过许多形式来使用，包括肉体魅力、诱惑、奉承或是单纯令人感到温暖的人格魅力。_x000a_- 魅惑可能可以被用于迫使某人进行特定的行动，但是不会是与个人日常举止完全相反的行为。_x000a_- 魅惑或是心理学技能可以用于对抗魅惑技能。_x000a_- 魅惑技能可以被用于讨价还价来使一件物品或者服务的价格降低。_x000a_- 如果成功，使用者得到了卖家的赞同，并且他们可能乐意降低一点价格。" sqref="R9" xr:uid="{00000000-0002-0000-0200-000010000000}"/>
    <dataValidation allowBlank="1" showInputMessage="1" promptTitle="介绍" prompt="世界上有许多著名的侦探机构，其中最著名的是平克顿和伯恩斯调查局（后来合并成一家公司）。这样的公司一般有两类工作人员：安保人员和调查人员。企业或个人雇用安保人员来保护自己的资产和人员免受盗贼刺客和绑匪的威胁。这些安保人员角色使用巡警的职业模板。调查人员则是便衣侦探，负责为公司客户解决各种异常事件阻止谋杀事件寻找失踪的人员等等。" sqref="B8:C8" xr:uid="{00000000-0002-0000-0200-000011000000}"/>
    <dataValidation allowBlank="1" showInputMessage="1" promptTitle="介绍" prompt="律师或法律顾问精通他们所在地区的法律，擅长把抽象的法学理论知识联系起来，为客户解决法律方面的疑难，担任辩护代理、法律顾问的工作，为客户提供解决办法。可能受托处理个人案件、接受法院指定，也可能专门为某个富裕客户或公司服务。在美国，“律师”一词一般只指辩护律师。在英国，“律师”一词则包括高级律师、初级律师还有一些执法机构。" sqref="B74:C74" xr:uid="{00000000-0002-0000-0200-000012000000}"/>
    <dataValidation allowBlank="1" showInputMessage="1" promptTitle="介绍" prompt="杀手是地下世界的冷血夺命者。这是一项严谨的活计，他们从外地受雇杀人，接近目标，果断下手，又迅速离开。杀手通常很难融入社会，因为很多杀手行为总是很刻板，其他人很容易以为他们不近人情。但是另一方面，他们也会结婚生子，在其他方面和普通人没有什么不同。" sqref="B30:C30" xr:uid="{00000000-0002-0000-0200-000013000000}"/>
    <dataValidation allowBlank="1" showInputMessage="1" promptTitle="介绍" prompt="在1920年代，“精神病医生”这个词专用来称呼治疗精神失常的医生（也就是早期的精神科医生）。精神分析在当时的美国鲜为人知，而且它的基本内容都是性生活和如厕训练之类令大众不齿的东西。精神病学，一种正规的从行为主义发展来的医学理论则要普及得多。精神病医生精神科医生和神经科医生还经常爆发激烈的论战。" sqref="B9:C9" xr:uid="{00000000-0002-0000-0200-000014000000}"/>
    <dataValidation allowBlank="1" showInputMessage="1" promptTitle="介绍" prompt="超心理学家从不打算欣赏超常现象。相反，他们试图去观察，记录并研究这些实例。被叫做“捉鬼人”的他们利用技术手段来获取某人或某地点的超自然活动的证据，当然比起收集到实在的证据，更多的时候他们是在揭穿假冒和误认的超常现象。选择研究这个的人往往对不可视的神秘力量抱有相当的同情态度，并希望其他的科学家也能满意地点头肯定。" sqref="B85:C85" xr:uid="{00000000-0002-0000-0200-000015000000}"/>
    <dataValidation allowBlank="1" showInputMessage="1" showErrorMessage="1" sqref="I9:J9 I10:J10 I11:J11 H21 H22 H23 R23 R27 H15:H20" xr:uid="{00000000-0002-0000-0200-000016000000}"/>
    <dataValidation allowBlank="1" showInputMessage="1" showErrorMessage="1" promptTitle="Climb (20%)" prompt="- 这项技能允许一名角色借助或者不借助绳索或者登山工具进行爬树、墙以及其他垂直表面。_x000a_- 这项技能也同样包括用绳索下降。攀爬表面是否坚固，是否有可以用手握住的地方，风力，可见度，雨等等坏境状况都可能会影响难度等级。_x000a_- 第一次在这个技能上失败可能意味着这攀爬超出了调查员的能力范围。在孤注一掷上失败则可能意味着摔落了下来，同时因此受到伤害。_x000a_- 一个成功的攀爬检定应当允许调查员在任何场合下完成攀爬（而不是进行反复检定）。_x000a_- 一次富有挑战性或者长距离的攀爬则应当增加难度等级。" sqref="R10" xr:uid="{00000000-0002-0000-0200-000017000000}"/>
    <dataValidation allowBlank="1" showInputMessage="1" promptTitle="介绍" prompt="文物学家也许是调查员可以从事的最具有洛夫克拉夫特风格的职业：那些历久弥新的的卓越作品湮没在古代传说中的神奇力量，总能使他们乐在其中。独立的收入使文物学家能够研究古旧晦涩的文物，或者根据自己的兴趣爱好集中探寻特别的种类。他们通常有着欣赏的眼光敏锐的头脑，和讽刺无知自大贪婪者的愚蠢时尖酸刻薄的幽默。" sqref="B11:C11" xr:uid="{00000000-0002-0000-0200-000018000000}"/>
    <dataValidation allowBlank="1" showInputMessage="1" promptTitle="介绍" prompt="工匠也可能被人叫做师傅或大师，是擅长对各种材料进行手工加工的人。通常都是才能出众的人，有的凭借自己的艺术作品出名，有的则会服务于自己的社区。" sqref="B29:C29" xr:uid="{00000000-0002-0000-0200-000019000000}"/>
    <dataValidation allowBlank="1" showInputMessage="1" promptTitle="介绍" prompt="考古学家研究探索历史的痕迹。主要来说，是对人类历史相关的物质资料进行各种鉴识检查分析。这项工作包含辛苦细致的研究，更不必提情愿亲自下斗铲土的决心。在1920年代，成功的考古学家会被当成著名冒险家与探险家，名利双收。有人运用科学方法考古，不过更多的人对付老祖宗的秘密时喜好暴力破解的办法，甚至祭出炸药，这种碉堡了的办法现代人可是很难看得惯的。" sqref="B13:C13" xr:uid="{00000000-0002-0000-0200-00001A000000}"/>
    <dataValidation allowBlank="1" showInputMessage="1" showErrorMessage="1" promptTitle="Computer Use (05%)" prompt="- 这项技能允许调查员用各种不同的电脑语言进行编程；恢复或者分析隐藏的数据；解除被加了保护的系统；探索一个复杂的网络；或者发现别人的骇入、后门程序、病毒。对电脑系统的特殊操作可能会需要这个检定。_x000a_- 互联网将大量的信息放置在了调查员的指尖上。_x000a_- 使用互联网来找到高度详细以及/或模糊不清的咨询可能会需要一个计算机使用和图书馆使用的组合检定。_x000a_- 这项技能在用电脑上网，检查电子邮件，或者运行一般的商品化软件时不需要使用。_x000a_- 仅在现代可用。" sqref="R11" xr:uid="{00000000-0002-0000-0200-00001B000000}"/>
    <dataValidation allowBlank="1" showInputMessage="1" promptTitle="介绍" prompt="古董商通常自己开店，从自己所在的地方转卖物品，或继续扩展业务范围，通过倒卖物品到城市商店赚取利润。" sqref="B12:C12" xr:uid="{00000000-0002-0000-0200-00001C000000}"/>
    <dataValidation allowBlank="1" showInputMessage="1" showErrorMessage="1" promptTitle="Beast Training(05%)" prompt="用于命令、训练驯服动物进行简单任务的技能。这技能最常用在狗身上，但也不排除鸟、猫、猴子，或是其他（由Keeper 判定）。" sqref="N59" xr:uid="{00000000-0002-0000-0200-00001D000000}"/>
    <dataValidation allowBlank="1" showInputMessage="1" showErrorMessage="1" promptTitle="Credit Rating (00%)" prompt="- 衡量了调查员表现出来的富裕程度以及经济上的_x000a_自信度。_x000a_- 钱是敲门砖；如果调查员尝试用他的经济地位来达成某个目标，那么也许使用信用评级技能会比较合适。_x000a_- 信用评级可以被用来取代 APP 来评估第一印_x000a_象。_x000a_- 信用评级并不是一个被用于评估经济富裕度的技能，也不应该与其他技能挂钩。一个高信用评级在游戏中将会是一个有用的资源，并且应当在创造调查员时加上一定的点数。" sqref="R12" xr:uid="{00000000-0002-0000-0200-00001E000000}"/>
    <dataValidation allowBlank="1" showInputMessage="1" promptTitle="介绍" prompt="建筑师掌握设计和营造建筑的知识，不论是个人房屋的改造还是造价数百万美元的地标工程。建筑师与项目经理紧密合作，负责监督施工全程。建筑师必须了解当地的规划法律，健康和安全法规，和基础的公众安全原则。他们既可以在大公司工作，也可以自由工作，这在很大程度上取决于信誉。在1920年代，许多人尝试在自家或小办公室单干。" sqref="B14:C14" xr:uid="{00000000-0002-0000-0200-00001F000000}"/>
    <dataValidation allowBlank="1" showInputMessage="1" showErrorMessage="1" promptTitle="History (05%)" prompt="- 让一名调查员能够记住一个国家，城市，区域或_x000a_者个人及其相关的重要情报。_x000a_- 一个成功的检定可以用来帮助辨认先祖所熟悉的工具，科技，或者想法，但是对当下的所知甚少。" sqref="R29" xr:uid="{00000000-0002-0000-0200-000020000000}"/>
    <dataValidation allowBlank="1" showInputMessage="1" showErrorMessage="1" promptTitle="Disguise (05%)" prompt="- 使用在当你想要演出除你自己外的别人时。_x000a_- 使用者改变了态度，习惯，以及/或声音来进行一个乔装，以另一个人或者另一类人的形象出现。_x000a_- 戏剧化妆品可能会有所帮助，还有伪造的身份证。" sqref="R14" xr:uid="{00000000-0002-0000-0200-000021000000}"/>
    <dataValidation allowBlank="1" showInputMessage="1" promptTitle="介绍" prompt="罪犯可能为别人工作，后者通常是“匪帮”或罪犯家族。自由犯罪者则往往被称为抢劫犯打手罪组织豢养，不过团伙上层出事的时候，倒霉的往往是他们这些喽啰。对于他们来说，嘴紧和忠心属于职业道德。" sqref="B32:C32" xr:uid="{00000000-0002-0000-0200-000022000000}"/>
    <dataValidation allowBlank="1" showInputMessage="1" showErrorMessage="1" promptTitle="Fast Talk (05%) 也译作“快速交谈”" prompt="- 话术特别限定于言语上的哄骗，欺骗以及误导，例如迷惑一名门卫来让你进入一间俱乐部，误导警察看向另一边，以及诸如此类的。_x000a_- 这项技能的对立技能为心理学或者话术。_x000a_- 经过一段时间的相信期后（通常在使用话术的人离开场景之后），对方会意识到自己被欺骗了。如果达成了更高的难度等级可能会使这个时间更加长一点。_x000a_- 可以被用来对一件物品或者服务的价格进行砍价。如果成功，卖家会暂时性地觉得这是一场不错得交易；然而，如果买家打算归还或者试图购买别的物品，卖家可能会拒绝继续降价，并且甚至可能会提高价格为了补回他们的损失" sqref="R19" xr:uid="{00000000-0002-0000-0200-000023000000}"/>
    <dataValidation allowBlank="1" showInputMessage="1" promptTitle="介绍" prompt="艺术家在这里可以是画家，雕塑家等等。他们有时沉浸于自己虚幻的想象当中，有时又沐浴在激发热情和理解的灵感之下。不论是否天资优秀，艺术家的内心必须足够强大，这样才能战胜生涯起步时的障碍和挑剔的眼光，并且在自己小有名气以后继续努力。有些艺术家对物质生活是否丰富并不在乎，而有些则有着强烈的创业倾向。" sqref="B15:C15" xr:uid="{00000000-0002-0000-0200-000024000000}"/>
    <dataValidation allowBlank="1" showInputMessage="1" promptTitle="介绍" prompt="除魅师的工作是说服（或者强迫）一个人放弃自己的信仰或是对宗教团体他们一般受雇于深陷教团之类组织的人的亲属，任务就是解救对方（通常靠绑架），并通过心理学手段使他们割断与原来教团的联系（“控制”）。也有不那么激烈的除魅师，他们的工作对象则是那些自愿离开教团的人，为他们完全地退出教团进行有效的指导。" sqref="B42:C42" xr:uid="{00000000-0002-0000-0200-000025000000}"/>
    <dataValidation type="list" allowBlank="1" showInputMessage="1" showErrorMessage="1" sqref="I15 I23 I16:I22" xr:uid="{00000000-0002-0000-0200-000026000000}">
      <formula1>"×,√"</formula1>
    </dataValidation>
    <dataValidation allowBlank="1" showErrorMessage="1" errorTitle="提示" error="请输入大于等于1的整数_x000a_且不需要输入乘号或其他符号" sqref="J15 J16 J17 J18 J19 J20 J21 J22 J23" xr:uid="{00000000-0002-0000-0200-000027000000}"/>
    <dataValidation allowBlank="1" showInputMessage="1" showErrorMessage="1" promptTitle="Dodge (DEX/2) [无法孤注一骰]" prompt="- 允许调查员本能地闪避攻击，投掷过来的投射物以及诸如此类的。_x000a_- 一名角色可以尝试在一场战斗轮中使用任何次数的闪避（但是对抗一次特定的攻击只能一次）。_x000a_- 闪避可以通过经验来提升，就像其他的技能一样。_x000a_- 如果一次攻击可以被看见，一名角色可以尝试闪避开它。_x000a_- 想要闪避子弹是不可能的，因为运动中的它们是不可能被看见的；一名角色所能做到的最好的是做逃避的行动来造成自己更难被命中（“寻找掩体（可以在武器列表的可选规则里看见）“）。" sqref="R15" xr:uid="{00000000-0002-0000-0200-000028000000}"/>
    <dataValidation allowBlank="1" showInputMessage="1" promptTitle="介绍" prompt="尽管少数富有的人会选择私人疗养院，大多精神病患者最终会被安置到州县设置的定点医院。这些地方除了医生护士以外，还会有一支看护队伍。选聘看护的时候，力量和体格往往比医学知识更被看重。" sqref="B16:C16" xr:uid="{00000000-0002-0000-0200-000029000000}"/>
    <dataValidation allowBlank="1" showInputMessage="1" promptTitle="介绍" prompt="女飞贼是名为专业大盗的女人。大部分都是独立行动，也有对自己的男伴言听计从的时候。不过这也不一定，实际上情况可能完全相反，她完全可以在干了某一票以后就卷走所有现金和皮草溜之大吉。" sqref="B36:C36" xr:uid="{00000000-0002-0000-0200-00002A000000}"/>
    <dataValidation allowBlank="1" showInputMessage="1" showErrorMessage="1" promptTitle="Drive Auto (20%)" prompt="- 任何有着这项技能的人都可以驾驶一辆汽车或者_x000a_轻型卡车，进行常规的移动，并且处理机动车的一般毛病。_x000a_- 如果调查员想要甩掉一名追踪者或者追踪某人，则需要一个汽车驾驶检定。_x000a_- 一些其他的文化可能用相似的事物来取代这个技_x000a_能；因纽特人可能使用狗撬驾驶，或者维多利亚人可能使用四轮马车驾驶。" sqref="R16" xr:uid="{00000000-0002-0000-0200-00002B000000}"/>
    <dataValidation allowBlank="1" showInputMessage="1" promptTitle="介绍" prompt="服务业人员。管家通常为一个大家庭打理家事。传统上，他负责的范围包括厨房仆人中位置最高。一般男管家还要负责管理其他的男仆（女管家类似）。更多的职责则听候主人差遣。男仆和女仆则为主人提供贴身服务，包括管理主人的服装准备浴室和担任私人助理。助理的工作则包括安排旅行日程财等。" sqref="B24:C24" xr:uid="{00000000-0002-0000-0200-00002C000000}"/>
    <dataValidation allowBlank="1" showInputMessage="1" promptTitle="介绍" prompt="运动员可能效力于职业的棒球足球板球或者篮球队伍。这支队伍也许是大联盟队伍，有着稳定工资，参加的比赛万人瞩目；或者是众多小联盟队伍之一，尤其是在1920年代的棒球界。这些队伍往往寄于大联盟队伍篱下，各方面都受其管理，工资更是刚够运动员糊口又不至于让他们跳槽的水平。成功的运动员在自己的专业领域也会拥有相当的声誉。" sqref="B17:C17" xr:uid="{00000000-0002-0000-0200-00002D000000}"/>
    <dataValidation allowBlank="1" showInputMessage="1" promptTitle="介绍" prompt="也可能单打独斗，如果成功的报酬值得去费力冒险，才会和别人搭伙。" sqref="B35:C35" xr:uid="{00000000-0002-0000-0200-00002E000000}"/>
    <dataValidation allowBlank="1" showInputMessage="1" promptTitle="介绍" prompt="秘书的范围是从高薪的私人管理助理到普通的打字员。这份工作的重点在于以自己各种沟通协调能力，支持主管和经理人员。因为身处企业流程的中心，许多秘书比老板对企业的内部运作和经营还要熟悉。在1920年代，秘书工作主要是通信工作，例如听写打印信件，整理文档系统，并为老板安排会议时间。有的情况下，秘书还会负责老板的生活，比如安排假期、为老板和家人置办礼物，还有保护老板的安全。" sqref="B104:C104" xr:uid="{00000000-0002-0000-0200-00002F000000}"/>
    <dataValidation allowBlank="1" showInputMessage="1" promptTitle="介绍" prompt="拳击手和摔跤手各分为职业和业余两种。职业拳击手和职业摔角手的活动由外部利益支持的赞助人安排，并有合同约束。他们还要进行全日制的工作和训练。业余拳击的竞赛种类非常丰富，同时它也是那些想成为职业拳手的人的训练场。不过也有业余和准职业的选手靠参加黑市拳击赛谋生，举办这些比赛的通常是本地的黑社会或者是从中渔利的庄家。" sqref="B23:C23" xr:uid="{00000000-0002-0000-0200-000030000000}"/>
    <dataValidation allowBlank="1" showInputMessage="1" promptTitle="介绍" prompt="职员被扣工资是家常便饭，工作也往往单调乏味。不过如果在工作中展现出了天分，那也会被看上，将来会得到提拔。中高层管理人员的工资比较高，当然责任也比较重，要负责管理公司的日常事务。虽然未婚的白领并不少见，但很多管理人员还是很顾家，家里一般会有配偶和孩子——家庭通常是他们的期望。" sqref="B115:C115" xr:uid="{00000000-0002-0000-0200-000031000000}"/>
    <dataValidation allowBlank="1" showInputMessage="1" showErrorMessage="1" promptTitle="Electrical Repair (10%)" prompt="- 使调查员能够修理或者改装电气设备，例如自动点火装置，电动机，保险丝盒，以及防盗自动警铃。_x000a_- 在现代，这项技能对现代电子器件几乎做不到什么。_x000a_- 为了维修电气设备，可能需要特殊的部件或者工具。_x000a_- 在 1920 年代的职业可能会需要这个技能，并且需要机械维修技能作为组合。_x000a_- 电气维修也可能在现代的爆破上被使用，例如雷管，C-4 塑料炸弹，以及地雷。_x000a_- 这些武器被设计得简单易用；只有一个大失败的结果才会造成不启动（记住这检定可以使用孤注一掷）。_x000a_- 拆除爆炸物是远远更为复杂的，因为它们可能被安装了反" sqref="R17" xr:uid="{00000000-0002-0000-0200-000032000000}"/>
    <dataValidation allowBlank="1" showInputMessage="1" promptTitle="介绍" prompt="作家不同于记者，他们用文字定义和探讨人们的社会生活，尤其是人们的情感变化。他们的劳动通常孤立而又自我中心：虽然以前写作是个能稳拿工资的行当，但如今只靠写作发大财的人屈指可数。作家的工作习惯相差极大。通常作家们会花费数月乃至数年的时间调查取材，为新书的创作做准备；然后闭门谢客，投入紧张的创作。" sqref="B18:C18" xr:uid="{00000000-0002-0000-0200-000033000000}"/>
    <dataValidation allowBlank="1" showInputMessage="1" promptTitle="介绍" prompt="走私一直是一个有利可图的高风险行当。走私者往往有一个合法的表面职业，比如船长飞行员或商人，以掩盖他们非法运输的行为。" sqref="B39:C39" xr:uid="{00000000-0002-0000-0200-000034000000}"/>
    <dataValidation allowBlank="1" showInputMessage="1" promptTitle="介绍" prompt="赝造者是地下世界的艺术家，专门从事伪造官方文件契约转让书，并提供伪造的签名。初学者只能做做小贼的假身份证，而顶级的赝造者连印假币的铸模都能做。" sqref="B38:C38" xr:uid="{00000000-0002-0000-0200-000035000000}"/>
    <dataValidation allowBlank="1" showInputMessage="1" showErrorMessage="1" promptTitle="Electronics (01%)" prompt="- 用来发现并对电子设备的故障进行维修。_x000a_- 允许制作简单的电子设备。_x000a_- 这是个现代技能——在 1920 年代则是使用物理学以及电气维修来应对电子设备。_x000a_- 不像电气维修技能，电子学工作的部件通常是不_x000a_能临时配备的：它们通过精密的工作被设计出来通_x000a_常如果没有正确的微晶片或者电路板，技能的使用者就无法进行工作，除非他们可以策划出一些形式的应急方案。" sqref="R18" xr:uid="{00000000-0002-0000-0200-000036000000}"/>
    <dataValidation allowBlank="1" showInputMessage="1" promptTitle="介绍" prompt="美国的新兴宗教层出不穷。直到现在，也还有从新英格兰超验主义到“天父的儿女”等等许多种类。教团首领有的创立了严格的教条并且对信徒推行，另一些则仅仅是垂涎于信徒的金钱和权势。在1920年代，各种诱惑性的新兴宗教团体纷纷涌现。有些采取基督教的形式，有些则混杂了东方的神秘主义和神秘学的仪式。" sqref="B41:C41" xr:uid="{00000000-0002-0000-0200-000037000000}"/>
    <dataValidation allowBlank="1" showInputMessage="1" promptTitle="介绍" prompt="传教士云游到世界的各个角落，传播神的旨意，在文明的地方拯救“不幸的原始人”和“迷途的灵魂”。他们可能属于天主教、新教、伊斯兰教或者其他信仰系统，比如后期圣徒教会（摩门教）在欧美就有专门的传道所。有的传教士只凭自己的意志独立行动，有的则可能有教会以外的组织支持。基督教、伊斯兰教的传教者，佛教、印度教的法师，在全世界各个时代都能遇到。" sqref="B78:C78" xr:uid="{00000000-0002-0000-0200-000038000000}"/>
    <dataValidation allowBlank="1" showInputMessage="1" promptTitle="介绍" prompt="猎人是优秀的追踪者和狩猎者，通常靠为富裕的客户捕猎为生。绝大多数猎人会对地球上某一个部分的情况烂熟于心，比如加拿大森林非洲草原等等。有些人可能从事盗猎活动，例如为私人收藏家捕捉珍稀动物，或者贩卖受保护的动物和违反道德的动物制品，如兽皮象牙之类." sqref="B20:C20" xr:uid="{00000000-0002-0000-0200-000039000000}"/>
    <dataValidation allowBlank="1" showInputMessage="1" promptTitle="介绍" prompt="书商可能拥有自己的店面或者利基（小众）邮购服务，也可能辗转全国甚至海外专门经销书籍。许多人拥有富有的，能提供利润丰厚又稀罕的工作的固定客户。" sqref="B21:C21" xr:uid="{00000000-0002-0000-0200-00003A000000}"/>
    <dataValidation allowBlank="1" showInputMessage="1" promptTitle="介绍" prompt="赏金猎人捉拿罪犯并将他们交给正义去审判。最常见的情况是受保释人的委托去缉捕逃狱者。赏金猎人们为了自己的猎物可以不择手段，几乎不会考虑其他人的正当权益之类细枝末节的东西。非法闯入威胁肢体暴力，都是赏金猎人屡试不爽的秘技。现在这些秘技还包括了电话窃听黑客操作和其他的秘密监控。" sqref="B22:C22" xr:uid="{00000000-0002-0000-0200-00003B000000}"/>
    <dataValidation allowBlank="1" showInputMessage="1" promptTitle="介绍" prompt="饲养员负责动物的喂养和看护，场地管理员和服务员管理其他杂务。通常饲养员会专门照看某一种动物，可以对动物使用「医学」技能。" sqref="B117:C117" xr:uid="{00000000-0002-0000-0200-00003C000000}"/>
    <dataValidation allowBlank="1" showInputMessage="1" promptTitle="介绍" prompt="神职人员通常担任一个教区的牧师，或是经过分配外出传教，尤其是去国外（见传教士）。不同的教会工作的侧重点和组织结构各不相同，如天主教会的牧师可能上升到主教大主教和红衣主教，而一个卫理公会的牧师则会升职到教区主管和主教。有些教职人员在教堂接受医生律师学者的专业培训。这样的调查员应该选择最符合自己工作的职业模板。" sqref="B25:C25" xr:uid="{00000000-0002-0000-0200-00003D000000}"/>
    <dataValidation allowBlank="1" showInputMessage="1" promptTitle="介绍" prompt="替身演员在电影和电视剧工业中活跃，专门模拟坠楼、车祸等灾难场景。他们通常会接受格斗技巧和舞台格斗的训练。任何的替身特技表演都是有风险的。在现代，替身演员基本都是工会的成员，想要加入工会，他们必须有证明自己能力的证书。而且，所有的特技场景还要有特技总监负责指导动作。但是在1920年代，行业规范没有成型，所以事故率和死亡率居高不下。" sqref="B109:C109" xr:uid="{00000000-0002-0000-0200-00003E000000}"/>
    <dataValidation allowBlank="1" showInputMessage="1" promptTitle="介绍" prompt="欺诈师通常都是油嘴滑舌的人物。他们或单独或集体出没在富裕的人家和社区周边，诈取他们来之不易的钱财。许多骗局复杂精妙，诈骗团伙会倾巢出动乃至租用建筑；有些则不需要这么麻烦，只要一个骗子几分钟就能搞定。" sqref="B34:C34" xr:uid="{00000000-0002-0000-0200-00003F000000}"/>
    <dataValidation allowBlank="1" showInputMessage="1" promptTitle="介绍" prompt="艺人包括小丑歌手舞蹈演员喜剧演员杂耍艺人魔术师，各种以在人前表演谋生的人。他们乐于向更多的人表现自己的能力，并期待观众回报的掌声。在1920年代，这一职业并不受人尊重。不过1920 年代好莱坞明星的高薪彻底改变了很多人的想法，现在这个职业背景已经通常被视作是优势了。" sqref="B54:C54" xr:uid="{00000000-0002-0000-0200-000040000000}"/>
    <dataValidation allowBlank="1" showInputMessage="1" promptTitle="介绍" prompt="（现代）计算机程序员通常是设计编写测试调试和维护计算机程序源代码的职业。他们精通从形式逻辑到系统平台（程序运行环境）的各种知识，可能是自由工作者，也可能供职于软件开发部门。计算机技术人员负责计算机系统和网络的开发和维护工作，经常与其他人员（如项目经理）合作来保证系统的完整稳定和正常提供所需功能。" sqref="B26:C26" xr:uid="{00000000-0002-0000-0200-000041000000}"/>
    <dataValidation allowBlank="1" showInputMessage="1" promptTitle="介绍" prompt="街头混混一般都是些小年轻，弄不好还在寻觅加入真正黑帮的契机。不过他们的本事也就限于偷车，盗窃商店货物，抢钱或者夜盗。" sqref="B40:C40" xr:uid="{00000000-0002-0000-0200-000042000000}"/>
    <dataValidation allowBlank="1" showInputMessage="1" promptTitle="介绍" prompt="计算机黑客则利用计算机和计算机网络为手段，进行干扰或破坏以达成政治目的（有时被称为“政治黑客”）或获取非法利益。达成目标的手段主要是非法入侵计算机和其他用户帐户，目的则可能包括篡改网页垃圾邮件炸弹。" sqref="B27:C27" xr:uid="{00000000-0002-0000-0200-000043000000}"/>
    <dataValidation allowBlank="1" showInputMessage="1" promptTitle="介绍" prompt="在20世纪早期，这世界还有许多地区尚未有人涉足，而探索这些地方正是探险家的工作。这种令人兴奋不已的生活方式，其经济来源则是科学界的赞助私人的捐赠博物馆的委托和报纸杂志图书电影的版权等等。黑非洲的大部分仍然不为人知，同样的地方还包括了南美的马托格罗索高原，澳大利亚的大沙沙漠，撒哈拉和阿拉伯沙漠，和亚洲的茫茫戈壁。尽管南北极点已经被探险家征服了。" sqref="B55:C55" xr:uid="{00000000-0002-0000-0200-000044000000}"/>
    <dataValidation allowBlank="1" showInputMessage="1" promptTitle="介绍" prompt="牛仔在西部的牧区和牧场工作。有些人拥有自己的牧场，更多的则是在各处打工为生。想赚大钱的牛仔会去冒着丢胳膊少腿乃至送命的危险参加牛仔巡回赛，通过旅行获取名誉。在1920年代，一些牛仔能在好莱坞找到西部片替身演员和群众演员的工作，例如怀特•厄普就曾为西部电影担任顾问。在现代，有些牧场也对想要体验一把牛仔生活的游客开放。" sqref="B28:C28" xr:uid="{00000000-0002-0000-0200-000045000000}"/>
    <dataValidation allowBlank="1" showInputMessage="1" showErrorMessage="1" promptTitle="Intimidate (15%)" prompt="- 恐吓可以以许多形式使用，包括武力威慑，心理操控，以及威胁。这通常被用来使某人害怕，并迫使其进行某种特定的行为。_x000a_- 恐吓的对抗技能为恐吓或者心理学。_x000a_- 携带武器或者其他的有力的威胁或诱因来协助恐吓可能可以降低难度等级。_x000a_- 当在恐吓上使用孤注一掷时，失败的可能结果之一是对目标进行了远远超过本身意图的恐吓。_x000a_- 恐吓可以被用于降低一件物品或者服务的价格。如果成功，卖家可能会降低价格，或者免费交出，但是根据情况，对方可能会将这事情举报给警察或者当地犯罪组织的成员。" sqref="R30" xr:uid="{00000000-0002-0000-0200-000046000000}"/>
    <dataValidation allowBlank="1" showInputMessage="1" showErrorMessage="1" promptTitle="Jump (20%)" prompt="- 如果成功，调查员可以在垂直方向上跳起或跳下，或者从一个站立点或起步点水平向外跳。_x000a_- 为了分辨哪些算在正常跳跃，困难跳跃以及极难跳跃，必须对判断进行训练。_x000a_- 作为指导，当调查员想要安全地从垂直等同于其自身高度的地方跳下来时，需要一个常规难度的成功，或者水平地从其站立点跳过长度等同于他自身高度的坑，或者助跑后跳过两倍于其自身高度的距离。_x000a_- 如果要达成两倍距离的跳跃，则需要一个极难难度的成功，牢记，最长跳跃的世界纪录为大约 8.95米。_x000a_- 如果从高处摔落下来，一个成功的跳跃检定可以使对坠落有所准备，" sqref="R31" xr:uid="{00000000-0002-0000-0200-000047000000}"/>
    <dataValidation allowBlank="1" showErrorMessage="1" sqref="N33 R35" xr:uid="{00000000-0002-0000-0200-000048000000}"/>
    <dataValidation allowBlank="1" showInputMessage="1" promptTitle="介绍" prompt="店老板经营小店、市场摊位或者是小饭馆。这种店往往都是小本自营，不过也有为其他东家照顾生意的。不少店是家族式管理，工作人员大部分都有亲属关系，其他的雇员即便有也很少。在1920年代，还有不少的老板娘开起了自己的理发店和帽店。" sqref="B105:C105" xr:uid="{00000000-0002-0000-0200-000049000000}"/>
    <dataValidation allowBlank="1" showInputMessage="1" promptTitle="介绍" prompt="赃物贩子，顾名思义是买卖偷抢来的财产，通常是收购赃物并转手卖给其他罪犯或（无意中）守法的顾客。主要来说，他们是小偷和买家的中间人，有时也会从交易中收取提成；不过更常见的还是以极低的价格直接收购赃物。" sqref="B37:C37" xr:uid="{00000000-0002-0000-0200-00004A000000}"/>
    <dataValidation allowBlank="1" showInputMessage="1" promptTitle="介绍" prompt="设计师的工作包括许多方面，从时装到家具或是其他任何东西。他们自由工作，为设计工作室和企业设计产品流程法律游戏图像等等。调查员特定的设计方向也会影响他们对专业技能的选择，如果需要的话要进行调整。" sqref="B43:C43" xr:uid="{00000000-0002-0000-0200-00004B000000}"/>
    <dataValidation allowBlank="1" showInputMessage="1" promptTitle="介绍" prompt="业余艺术爱好者靠经济自立遗产继承信托基金或者其他各种来源保障自己的生活开支，没有必要自己工作。如果经济条件足够好，他们甚至可以雇佣专业的经济顾问来打理自己的产业。他们可能有很高的学历，但不一定是真才实学；优越的经济条件使得他们性情古怪，口无遮拦。在1920年代，这些人可能会被时人称为“摩登女郎”或者“公子哥儿”。" sqref="B44:C44" xr:uid="{00000000-0002-0000-0200-00004C000000}"/>
    <dataValidation allowBlank="1" showInputMessage="1" promptTitle="介绍" prompt="至少，从家族忠诚来说，部落文化无处不在。在部落中，亲属关系和传统习俗的首要地位是不言而喻的。一个部落通常来说是一个相对较小的群体。相比起法律和个人权利，部落更加依据个人荣耀而裁定行为。崇拜，复仇，嘉奖，以及荣耀——所有的一切都是部落成员个人所有的，而如果领袖或是仇敌被视为有荣耀的人，那么他们个人也必然在某种程度上十分有名。" sqref="B110:C110" xr:uid="{00000000-0002-0000-0200-00004D000000}"/>
    <dataValidation allowBlank="1" showInputMessage="1" promptTitle="介绍" prompt="潜水员可能在军队执法机构或海绵采集海上救援环境保护甚至水下寻宝的民间机构工作。" sqref="B45:C45" xr:uid="{00000000-0002-0000-0200-00004E000000}"/>
    <dataValidation allowBlank="1" showInputMessage="1" promptTitle="介绍" prompt="医生这里可能是指全科医生外科医生其他专科医生或者独立医学研究员。除去个人的目标以外，救死扶伤获得财富和荣誉提升公众的理性意识和科学素养也常常是医生的理想。农村和小城镇的卫生院是全科医生的舞台，而大城市的各大医院则是高手如云，集聚了众多专攻病理学毒理学整形外科脑外科等领域的专家。有些医生也可能担任全职或兼职的法医，进行尸检。" sqref="B46:C46" xr:uid="{00000000-0002-0000-0200-00004F000000}"/>
    <dataValidation allowBlank="1" showInputMessage="1" promptTitle="介绍" prompt="相对于那些因贫困而苦恼的人，流浪者选择四处漂泊的生活，可能是出于社会哲学经济的原因，或只是渴望摆脱社会的约束。流浪汉需要工作，有时几天或几个月，但他们应对问题时往往选择流动和孤立，而不是舒适和亲近。在美国，这种情况尤其常见，只要旅行本身没有什么危险，就会有人选择漂泊为生。" sqref="B47:C47" xr:uid="{00000000-0002-0000-0200-000050000000}"/>
    <dataValidation allowBlank="1" showInputMessage="1" promptTitle="介绍" prompt="人司机则是直接受雇于个人或企业，或者是专门提供连人带车的私人司机业务的中介机构。" sqref="B48:C48" xr:uid="{00000000-0002-0000-0200-000051000000}"/>
    <dataValidation allowBlank="1" showInputMessage="1" promptTitle="介绍" prompt="专职司机可能为企业个人工作，也可能拥有自己的出租车或货车。" sqref="B49:C49" xr:uid="{00000000-0002-0000-0200-000052000000}"/>
    <dataValidation allowBlank="1" showInputMessage="1" promptTitle="介绍" prompt="出租车司机可能属于大大小小的出租车公司，也可能靠自己的车和证件运营（在美国，需要出租车牌照）。出租车公司负责为出租车司机登记车辆并分配调度，方便司机自由揽客。出租车上必须统一安装计价器，并由出租车协会进行定期检查。通常司机还要通过警方的背景调查，获得特殊的驾驶许可证。" sqref="B50:C50" xr:uid="{00000000-0002-0000-0200-000053000000}"/>
    <dataValidation allowBlank="1" showInputMessage="1" promptTitle="介绍" prompt="编辑的工作包括审核记者的稿件，撰写报刊社论，应对各种突发事件到了截稿时间要催稿，编辑工作只好偶尔为之啦。大型报社的编辑数量众多，包括比起新闻编辑更多参与业务运营的主编。其他编辑专门负责时尚体育或者其他板块。许多小报可能就只有一个编辑，他甚至有可能就是报社的业主或者唯一的全职员工。" sqref="B51:C51" xr:uid="{00000000-0002-0000-0200-000054000000}"/>
    <dataValidation allowBlank="1" showInputMessage="1" promptTitle="介绍" prompt="以民选方式选举出来的政府官员享有与他们的职位相符的声望。小城市的市长和城镇的镇长之类，他们的影响力基本出不了城镇的范围，而且这样的职务基本上是兼职的，报酬也很少。大城市的市长，工资就相当可观了，而且还能把自己的城市管理得像小王国一样，影响力和权力比所在州的州长还要大。州议会的众参两院议员是相当有面子的职位。" sqref="B52:C52" xr:uid="{00000000-0002-0000-0200-000055000000}"/>
    <dataValidation allowBlank="1" showInputMessage="1" promptTitle="介绍" prompt="热情而有动力、鄙视安逸的生活，狂热者们为人类更好的生活或者为人类中最精华部分的利益而躁动不安。一些狂热者通过暴力推进他们的信仰，但是并不能说采取和平方式的就比他们好说话，他们每个人都梦想着为自己的理想辩护。" sqref="B116:C116" xr:uid="{00000000-0002-0000-0200-000056000000}"/>
    <dataValidation allowBlank="1" showInputMessage="1" promptTitle="介绍" prompt="工程师精通机械和电气设备，可能在民间或军工企业工作，也可能是个发明家。他们擅长应用科学、数学知识和丰富的创造思维，解决各种技术问题。" sqref="B53:C53" xr:uid="{00000000-0002-0000-0200-000057000000}"/>
    <dataValidation allowBlank="1" showInputMessage="1" promptTitle="介绍" prompt="农民可能自己拥有土地，自己从事农牧业，也可能是受雇在农场工作。农业劳动繁重而枯燥，特别适合那些喜欢户外体力劳动的人。1920年代是美国城镇人口超过农村人口的首个十年。从这时起一直到现在，自耕农民都在受到规模化农业企业和剧烈波动的农产品市场的双重冲击。" sqref="B56:C56" xr:uid="{00000000-0002-0000-0200-000058000000}"/>
    <dataValidation allowBlank="1" showInputMessage="1" promptTitle="介绍" prompt="联邦执法机构和特工种类各异。有些身着制服，比如美国司法部的人员；另外一些则穿便服，工作内容也类似警探，比如联邦调查局的人员。" sqref="B57:C57" xr:uid="{00000000-0002-0000-0200-000059000000}"/>
    <dataValidation allowBlank="1" showInputMessage="1" promptTitle="介绍" prompt="摄影师大部分是自由工作者，可能制作广告电影或者在照相馆做肖像拍摄。其他一些摄像师则在报纸、电视和电影产业工作。摄影作为一种艺术形式已经产生相当长的时间了，精英的摄影师可以从艺术、新闻报道、野生动物保护等多种角度出发创作他们的作品。不管是哪种立意，他们都能获得名誉和报酬。" sqref="B87:C87" xr:uid="{00000000-0002-0000-0200-00005A000000}"/>
    <dataValidation allowBlank="1" showInputMessage="1" promptTitle="介绍" prompt="消防员是公职人员，通常为所管辖的社区服务。他们夜以继日地工作，或者连续几天的倒班工作，吃住包括娱乐活动都要局限在消防局里。消防员的管理结构类似军队，职位包括中尉上尉和局长等等。" sqref="B58:C58" xr:uid="{00000000-0002-0000-0200-00005B000000}"/>
    <dataValidation allowBlank="1" showInputMessage="1" promptTitle="介绍" prompt="驻外记者是新闻界的精英人才。他们拿着固定工资，靠报销单环游全世界。在1920年代，驻外记者通常供职于大型报社广播电台或者国家级通讯社。当代的驻外记者也可能自由撰稿或者为电视台网络通讯社和国际新闻通讯社工作。这个职业的工作内容五花八门，经常能激动人心。不过自然灾害政治动荡和战争也会成为驻外记者报道的主要内容，工作也不总是一帆风顺。" sqref="B59:C59" xr:uid="{00000000-0002-0000-0200-00005C000000}"/>
    <dataValidation allowBlank="1" showInputMessage="1" promptTitle="介绍" prompt="法医是一个高度专门化的职业，大多数法医为市县或州执法机构工作。工作内容包括尸体解剖，推定死因，并为公诉人提供建议。法医也常常会在刑事审判中出庭提供证言。" sqref="B60:C60" xr:uid="{00000000-0002-0000-0200-00005D000000}"/>
    <dataValidation type="list" allowBlank="1" showInputMessage="1" showErrorMessage="1" promptTitle="Diving (01%)" prompt="使用者接受过在深海游泳的使用以及维持潜水设备的训练，水下导航，合适的下潜配重，以及应对紧急情况的方法。" sqref="N60" xr:uid="{00000000-0002-0000-0200-00005E000000}">
      <formula1>#REF!</formula1>
    </dataValidation>
    <dataValidation allowBlank="1" showInputMessage="1" promptTitle="介绍" prompt="赌徒是罪犯世界里最花哨的一群人。他们衣着光鲜，不论朴实还是华丽都魅力四射。不论是靠赛马、纸牌游戏还是其他赌博方式，他们总是要凭自己的运气过活。老练的赌徒会频繁地光顾犯罪组织开设的地下赌场。低级的赌徒则出入于狭窄的小巷，在骰子房耍弄灌铅的骰子，或者是挤坐在阴暗的台球室里。" sqref="B61:C61" xr:uid="{00000000-0002-0000-0200-00005F000000}"/>
    <dataValidation type="list"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sqref="N61" xr:uid="{00000000-0002-0000-0200-000060000000}">
      <formula1>#REF!</formula1>
    </dataValidation>
    <dataValidation allowBlank="1" showInputMessage="1" promptTitle="介绍" prompt="黑帮可能是整个城市、一部分城市的大佬，老板总管业务，负责交易，并要就各种各样的问题给马仔们拿主意。更重要的是，老板可以各种高人一等，只要能找到马仔或者小弟去干的事，他基本是不肯污了自己的手去做的。黑社会在1920年代上升为突出的社会问题。现在的黑帮老大也需要大量的小弟来负责保卫、推广、在街道里推行自己的业务。" sqref="B62:C62" xr:uid="{00000000-0002-0000-0200-000061000000}"/>
    <dataValidation allowBlank="1" showInputMessage="1" promptTitle="介绍" prompt="也可能只是给这些大佬打工的马仔。马仔们通常有自己的保护范围，比如监管非法运输和收取保护费等等。虽然大部分黑帮是按来源的民族划分——如爱尔兰裔、意大利裔、非洲裔和犹太裔，黑帮的成员仍然可能是任何民族。除去贩私酒和贩毒以外，卖淫、保护、赌博、腐败等等都是这些犯罪组织的业务范围。" sqref="B63:C63" xr:uid="{00000000-0002-0000-0200-000062000000}"/>
    <dataValidation allowBlank="1" showInputMessage="1" promptTitle="介绍" prompt="绅士淑女指的是有良好的教养品行、举止彬彬有礼的人。通常用来称呼上流社会（通过继承或津贴）拥有相当财富的人。_x000a_在上世纪20年代，这样的人至少要有一个仆人（管家、男仆、女仆、私人司机），还要有城市或乡村的宅第。家庭的富有并重要，因为家庭的社会地位往往比财产更被上流社会所看重。" sqref="B64:C64" xr:uid="{00000000-0002-0000-0200-000063000000}"/>
    <dataValidation allowBlank="1" showInputMessage="1" promptTitle="介绍" prompt="游民只有少数的人愿意去当，虽然失业的人、醉倒在阴沟里的醉鬼到处都是。和流浪者只会在必需时才工作不同，游民的工作本身就是流浪。他们不断地坐火车旅行，从一个城市辗转到另一个城市，他们是身无分文的诗人、漂泊者，铁路上的探索者、冒险者和盗贼。但是铁路上的生活一样充满危险。且不说穷困潦倒、无家可归，还要面对来自警察、周围居民和铁路员工的敌意。" sqref="B65:C65" xr:uid="{00000000-0002-0000-0200-000064000000}"/>
    <dataValidation allowBlank="1" showInputMessage="1" promptTitle="介绍" prompt="记者用文字对当天的新闻事件进行报导与评论，一天之内就要完成一个作家一周的工作量。他们通常为报纸、杂志、广播电台、电视台或者新闻网站撰稿。优秀的调查记者在报道事件的同时，即使面对丑恶，也能保持自身的清廉正直。恶心的记者则被现实所压倒，最终丧失自己的节操，肆意操纵文字歪曲真相。" sqref="B67:C67" xr:uid="{00000000-0002-0000-0200-000065000000}"/>
    <dataValidation allowBlank="1" showInputMessage="1" promptTitle="介绍" prompt="通讯记者则是新闻传媒行业大军中的一员。大部分记者从事实地工作，包括走访见证人、查看记录、收集叙述。有些记者被安排专门追踪警界、体育界或商界的热点新闻，其他人则是负责社会事件乃至园艺俱乐部之类的事情。通讯记者都会携带记者证，不过记者证除了各通讯社用来识别自己的雇员以外没有太大的作用。" sqref="B68:C68" xr:uid="{00000000-0002-0000-0200-000066000000}"/>
    <dataValidation allowBlank="1" showInputMessage="1" promptTitle="介绍" prompt="教授是受聘于高等院校的学者。大公司也可能聘请他们以开展学术研究与产品开发。独立的学者也靠开办业余课程作为经济来源。最重要的一点，这一职业代表了 PhD（博士）的荣誉称号，意味着可以在世界各地的大学任终身教职。教授的专长是教学和专业研究，往往在自己的专业领域内有着可圈可点的学术成就。" sqref="B94:C94" xr:uid="{00000000-0002-0000-0200-000067000000}"/>
    <dataValidation allowBlank="1" showInputMessage="1" promptTitle="介绍" prompt="法官是主持审判全过程的人，可能单独工作或是和同事组成合议庭。一般是推选或任命制，工作年限也分定期和终身。有的人是初出茅庐就当了法官，而其余的绝大多数，不论是在联邦最高法院还是遥远西部小镇的法官，其实至少都是经过注册的律师。" sqref="B69:C69" xr:uid="{00000000-0002-0000-0200-000068000000}"/>
    <dataValidation allowBlank="1" showInputMessage="1" promptTitle="介绍" prompt="实验室助理在科研环境中工作，在首席科学家的监督下进行实验和行政工作。研究内容可能依首席科学家的研究学科而变化。但基本都包括取样、测试、记录和分析数据、调整和进行实验、制备标本和样品、管理实验室的日常工作，和保护工作人员的健康与安全。" sqref="B70:C70" xr:uid="{00000000-0002-0000-0200-000069000000}"/>
    <dataValidation allowBlank="1" showInputMessage="1" promptTitle="介绍" prompt="图书馆管理员在公共机构和图书馆工作，负责管理图书目录和书库，并处理图书借阅等。在现代，图书馆管理员还要负责管理视听资料、电子书库。一些大公司可能聘用图书馆管理员管理书库，偶尔还会有富有的图书藏家招收他们管理自己的私人藏书。" sqref="B75:C75" xr:uid="{00000000-0002-0000-0200-00006A000000}"/>
    <dataValidation allowBlank="1" showInputMessage="1" promptTitle="介绍" prompt="巡警则属于市、城镇、县治安部门或州、地区的警察机关。他们工作时可能步行、驾驶巡逻车，或者干脆坐办公室。" sqref="B92:C92" xr:uid="{00000000-0002-0000-0200-00006B000000}"/>
    <dataValidation allowBlank="1" showInputMessage="1" promptTitle="介绍" prompt="技师包括所有需要专业训练和作为学徒或实习生工作经验的职业，例如木工、石工、管道工、电工、设备安装工人、机修工人等等这些需要技术资质的职业。通常这些工人有自己的工会组织，会和承包人和雇主争取自己的权益。" sqref="B76:C76" xr:uid="{00000000-0002-0000-0200-00006C000000}"/>
    <dataValidation allowBlank="1" showInputMessage="1" promptTitle="介绍" prompt="军官有严格的等级，许多等级还需要高等教育学历。各国武装部队都建立了人才培养系统，其中包括大学教育。在美国，许多大学开设军校生训练项目，可以让学员同时接受文化教育和军事训练。毕业的学员可以授以陆军或海军少尉军衔，并分派到各驻地。他们通常会为国家服役四年，之后可以退役复员。许多人有专门的任命，作为医生、律师和工程师工作。" sqref="B77:C77" xr:uid="{00000000-0002-0000-0200-00006D000000}"/>
    <dataValidation allowBlank="1" showInputMessage="1" promptTitle="介绍" prompt="登山家一般都是利用业余时间和假期的运动员，只有少数攀登著名高山的人才会去寻找财力和设备的赞助。19世纪登山运动开始兴起，到了1920年代，所有美洲和阿尔卑斯地区的主要山峰都被一一征服。经过与西藏人的冗长谈判之后，外国登山队终于获准进入喜马拉雅高峰地区。到了现代，登山可以是休闲运动或职业选择。如果是后者，则工作内容包括教练、向导、运动员或救生员等。" sqref="B79:C79" xr:uid="{00000000-0002-0000-0200-00006E000000}"/>
    <dataValidation allowBlank="1" showInputMessage="1" promptTitle="介绍" prompt="博物馆管理员可能负责大学或其他公共机构的大型设施，也可能负责小一些的博物馆，往往对本地的地质或者其他的内容颇有研究。" sqref="B80:C80" xr:uid="{00000000-0002-0000-0200-00006F000000}"/>
    <dataValidation allowBlank="1" showInputMessage="1" promptTitle="介绍" prompt="音乐家可能加入乐团、乐队或者独奏，演奏的乐器则可以是任何你能想象的种类。音乐家想出人头地十分困难，签约发布唱片就更难了。所以绝大多数音乐家都贫穷又无人关注，只靠街头卖艺勉强维持生计。少数幸运儿可以找到固定工作，比如在酒吧、宾馆或者市交响乐团弹钢琴。对更少的人来说，在正确的时间出现在正确的地点，再加上一点点天赋，就能获得巨大的成功和可观的财富。" sqref="B81:C81" xr:uid="{00000000-0002-0000-0200-000070000000}"/>
    <dataValidation allowBlank="1" showInputMessage="1" promptTitle="介绍" prompt="护士是专业的医疗助理，通常在医院和疗养院之类的地方工作，或者和全科医生一起合作。一般来说，护士会协助健康人或病人进行保健或康复活动（或者临终关怀），虽然其他人若是有足够的力量、意志或者知识，完全不需要护士帮助的康复也是可能的。" sqref="B82:C82" xr:uid="{00000000-0002-0000-0200-000071000000}"/>
    <dataValidation allowBlank="1" showInputMessage="1" promptTitle="介绍" prompt="神秘学家是钻研深奥秘密和神秘魔法的人。他们对超自然能力深信不疑，并竭尽所能靠他们的能力去了解这些东西。许多人对不同神秘哲学和魔法理论的知识面都相当广泛，有些甚至相信自己专注研究三十年真的成为了魔法师。需要指出的是，神秘学家熟知的基本上是“表面的魔法”——克苏鲁神话魔法的秘密对他们仍然是未知的，或者不过是古书上描述那些诱人的线索而已。" sqref="B83:C83" xr:uid="{00000000-0002-0000-0200-000072000000}"/>
    <dataValidation allowBlank="1" showInputMessage="1" promptTitle="介绍" prompt="旅行家爱好户外，他们一年中大部分时间都呆在户外，并且一出门就是相当长的时间；通常有相当的捕鱼和狩猎技术，能在最恶劣的环境之中幸存下来。擅长的技术可能包括登山、捕鱼、滑雪、皮划艇、攀登和露营。旅行家可能在国家公园或素质拓展中心做野外向导和护林员，也可能是有其他经济来源能让他们不用工作就能以这种方式生活，也说不定只有在需要的时候才会回到文明社会。" sqref="B84:C84" xr:uid="{00000000-0002-0000-0200-000073000000}"/>
    <dataValidation allowBlank="1" showInputMessage="1" promptTitle="介绍" prompt="药剂师的管理一直以来都比医生更严格。所有的药剂师都要在各州注册，注册的条件则是高中毕业并至少在药学院学习三年。他们可能在医院或者药房工作，也可能自己开药房。" sqref="B86:C86" xr:uid="{00000000-0002-0000-0200-000074000000}"/>
    <dataValidation allowBlank="1" showInputMessage="1" promptTitle="介绍" prompt="摄影记者本质上就是拿照相机，为拍摄的照片写配文的记者。在1920年代，新闻短片走上历史舞台。笨重的35mm摄像装备走遍全球各地，搜寻有价值的新闻轶事、体育赛事和泳装选美比赛。新闻片制作人员一般分为三类：一类是画面中的记者，另两个人则负责摄像和灯光等等。新闻中的声音则是在新闻稿完成以后在录音棚中录入完成的。" sqref="B88:C88" xr:uid="{00000000-0002-0000-0200-000075000000}"/>
    <dataValidation allowBlank="1" showInputMessage="1" promptTitle="介绍" prompt="所有应征人员首先要在“训练营（新兵连）”接受基本训练，在训练营中新兵将学习如何行军、射击和敬礼。结束训练营的训练后，大部分的新兵会分配到步兵营，虽然也有分配到炮兵营和坦克营的。少部分会接受非战斗的训练，例如通风系统、机械装备、文职甚至军官接待。海军陆战队名义上属于海军，但是和陆军士兵在背景、训练方式和技能方面都很相近。" sqref="B106:C106" xr:uid="{00000000-0002-0000-0200-000076000000}"/>
    <dataValidation allowBlank="1" showInputMessage="1" promptTitle="介绍" prompt="飞行员可以在美国邮政这样的企业工作，也可以在大大小小的民航公司做飞行人员。美国1926年之前没有对飞行员的职业要求,1926年航空商业法案通过之后才要求有执照。这个时代的多数飞行员从事嘉年华表演、特技飞行表演、乘飞机游玩或是小机场的空中的士等服务。也有飞行员在部队服现役。许多特技飞行员是在服役期间学会的驾驶飞机，有时仍然会被军队委派任务。" sqref="B89:C89" xr:uid="{00000000-0002-0000-0200-000077000000}"/>
    <dataValidation allowBlank="1" showInputMessage="1" promptTitle="介绍" prompt="特技飞行员在嘉年华工作或者为大胆的消费者进行休闲飞行服务。参加有组织的飞行表演赛，不论是固定路线还是越野赛，往往都可以增加自己的知名度。在1920年代，好莱坞常常使用特技飞行员，飞机制造商也会录用一些飞行员为新机作测试。许多特技飞行员是在一次大战中掌握的飞行技术，所以许多人仍然在陆海空军或海岸警卫队服役；年轻的飞行员则基本上是在和平时期接受的训练或是自学成才。" sqref="B90:C90" xr:uid="{00000000-0002-0000-0200-000078000000}"/>
    <dataValidation allowBlank="1" showInputMessage="1" promptTitle="介绍" prompt="警探可能指挥他的下属进行详尽的调查，但是很难有机会集中精力对付单独一个事件，在美国他们很可能要同时处理数十乃至上百的案件。警探工作最关键的部分是通过梳理证词、重建现场情况，摒弃伪证，从而收集足够逮捕嫌疑人的证据，进而促成成功的刑事审判。警探和检察官的职责是分开的，这样可以保证证据在审判之前被独立地对待。" sqref="B91:C91" xr:uid="{00000000-0002-0000-0200-000079000000}"/>
    <dataValidation allowBlank="1" showInputMessage="1" promptTitle="介绍" prompt="私家侦探通常在警察不出手的地方活跃，包括收集证据为客户准备民事诉讼，追查跑路的配偶或生意伙伴，或者代理刑事案件的私人辩护。他们和任何专业人员一样，私家侦探从不顾及自己的私人情感，只要付钱，不管是有罪还是无罪的一方的委托他们都乐得接受。私家侦探过去可能在警察队伍里工作，利用以前的业务关系为现在工作谋求优势；然而事实并非总是如此。" sqref="B93:C93" xr:uid="{00000000-0002-0000-0200-00007A000000}"/>
    <dataValidation allowBlank="1" showInputMessage="1" promptTitle="介绍" prompt="推销员是商务工作的必需一环，他们的工作就是推广和销售公司的产品或服务。大部分推销员的时间要用来旅行、开会、和客户应酬。有些则主要坐办公室用电话联系潜在客户，还有的会在各社区巡回，挨家挨户上门推销。1920年代是企业家的年代，旅行推销成了一种日常生活方式。有些推销员在固定的地区工作，有些则可以自由漫游，寻找任何地方可能出现的商机。" sqref="B102:C102" xr:uid="{00000000-0002-0000-0200-00007B000000}"/>
    <dataValidation allowBlank="1" showInputMessage="1" promptTitle="介绍" prompt="淘金客一直是美国西部的特色，即便在加利福尼亚淘金热和内华达康姆斯塔克发现金银矿的日子早已经过去的现在。他们无休止地在山间漫游，寻找能使自己一夜暴富的矿脉。而且现在发现石油和发现金子一样给力。" sqref="B95:C95" xr:uid="{00000000-0002-0000-0200-00007C000000}"/>
    <dataValidation allowBlank="1" showInputMessage="1" promptTitle="介绍" prompt="性工作者根据场合、背景和教养，从超级值钱的应召小姐到牛郎再到站街女都有可能。往往入这一行都是权宜之计，许多人梦想有朝一日能够脱身。少数人能够自己接客，不过绝大多数人基本都是被只认钱不认人的老鸨和皮条客逼迫着工作。" sqref="B96:C96" xr:uid="{00000000-0002-0000-0200-00007D000000}"/>
    <dataValidation allowBlank="1" showInputMessage="1" promptTitle="介绍" prompt="精神病学家是在现代专门从事精神失常诊断和治疗的医生。精神病学家掌握着精神药理学的治疗方法，使用精神类药物的资质，还能整理脑电图并对其进行计算机分析。到1930年代，任何一个医生都可以以精神病学家的身份进入美国医学协会名录中了。" sqref="B97:C97" xr:uid="{00000000-0002-0000-0200-00007E000000}"/>
    <dataValidation allowBlank="1" showInputMessage="1" promptTitle="介绍" prompt="心理学家虽然也经常被叫做心理治疗师和心理咨询师，不过这些工作都只是心理学的分支。临床心理学家可能实际接触病人，并且运用各种可能的心理治疗方法。注意心理学家和专业的精神病学家的区别，后者本质上还是医生。在1920年代，对人类行为的研究还是一个新兴的领域，主要的理论还是弗洛伊德心理学。" sqref="B98:C98" xr:uid="{00000000-0002-0000-0200-00007F000000}"/>
    <dataValidation allowBlank="1" showInputMessage="1" promptTitle="介绍" prompt="学术界的研究课题不计其数，尤其是在天文学、物理学和其他理论领域。私人或企业也雇用了成千上万的研究员，重点在化学、制药和工程领域。石油公司则会聘用专业的地质学家，不一而足。研究员大部分的时间都在室内工作和写作，不过有的则会经常外出考察。考察研究员通常经验丰富，思想独立又足智多谋，可能受雇于私人或者为大学进行学术研究。" sqref="B99:C99" xr:uid="{00000000-0002-0000-0200-000080000000}"/>
    <dataValidation allowBlank="1" showInputMessage="1" promptTitle="介绍" prompt="新入伍的海员像陆军的同行一样，开始时需要接受基本的训练。这之后他们获得军衔，并被分配到各镇守府。虽然很多海员担任像水手长副手和司炉工（管理引擎）这样的传统角色，但是也有很多经过专门训练的机械师、无线电操作员、通风管理员之类。在美国，海员通常要服四年的现役和后两年的后备役，即在国家发布动员令时有应召服役的义务。" sqref="B100:C100" xr:uid="{00000000-0002-0000-0200-000081000000}"/>
    <dataValidation allowBlank="1" showInputMessage="1" promptTitle="介绍" prompt="民用船海员可能在渔船、客船，或运输原油或商品的运输船上工作。在美国，客船活跃在东西海岸和五大湖，运送渔民和游客。目前佛罗里达州在墨西哥湾和大西洋海岸拥有最多数量的客船。在禁酒令期间，许多客船船长发现把急切想喝酒的顾客运到3海里外，外国船只允许卖酒的地方是一桩赚钱的买卖。当然走私酒也报酬丰厚，但是危险就高多了。" sqref="B101:C101" xr:uid="{00000000-0002-0000-0200-000082000000}"/>
    <dataValidation allowBlank="1" showInputMessage="1" promptTitle="介绍" prompt="科学家是在追求知识的过程中挖掘真理的人。如果想要利用科学知识制造有用的物品，需要的是工程师；而如果想要扩展“可能”这个概念的范围，那就是科学家的工作了。科学家们通常在企业和大学工作，以进行他们的研究。虽然主攻一个科学领域，但是真正称职的科学家一般也能达到通晓其他数个科学领域的水平。他们对自己的母语也能使用自如，学历也相当高，甚至拥有博士学位。" sqref="B103:C103" xr:uid="{00000000-0002-0000-0200-000083000000}"/>
    <dataValidation allowBlank="1" showInputMessage="1" promptTitle="介绍" prompt="间谍为国家和组织的情报部门卖命。他们能以从大使到厨房清洁工的任何职业身份作为掩饰，刺探他们所需的情报。有些间谍数年如一日的持续着卧底工作，另一些穿个马甲就换一个身份。在本国委任的间谍通常会去往外国工作。间谍除了情报收集和反情报收集的主要工作，也会被委派其他任务，例如招募新间谍和国家批准的暗杀等。" sqref="B107:C107" xr:uid="{00000000-0002-0000-0200-000084000000}"/>
    <dataValidation allowBlank="1" showInputMessage="1" promptTitle="介绍" prompt="学生可能在大学或学院学习，实习生则是正在接受宝贵的入职培训，获得最低报酬的公司员工。" sqref="B108:C108" xr:uid="{00000000-0002-0000-0200-000085000000}"/>
    <dataValidation allowBlank="1" showInputMessage="1" promptTitle="介绍" prompt="殡葬师又叫殡葬业者或葬礼主持人，是负责运行丧葬仪式的职业。工作也包含土葬和火化等内容。在葬礼上，殡葬师要进行防腐、裹衣、入殓、遗体美容等等工作。殡葬师的执照由各州发放。他们可能自己拥有殡仪馆，或者在别人的殡仪馆工作" sqref="B111:C111" xr:uid="{00000000-0002-0000-0200-000086000000}"/>
    <dataValidation allowBlank="1" showInputMessage="1" promptTitle="介绍" prompt="工会活动家是组织者、领导者，有时也是空想者或者别有用心的抗议者，通常是工人的伙伴、老板的对头。各行各业都有工会，不论是码头工人、建筑工人、矿工还是演员。在20世纪早期，工会活动家所在的工会面临着诸多危险。大企业想要毁掉它，政治家在支持它和谴责它之间摇摆不定，社会主义者和共产主义者试图影响它，还有犯罪组织试图夺取它。" sqref="B112:C112" xr:uid="{00000000-0002-0000-0200-000087000000}"/>
    <dataValidation allowBlank="1" showInputMessage="1" promptTitle="介绍" prompt="服务生在酒店、酒吧或者其他餐饮业场所服务顾客。通常薪酬很低，不过通过对顾客良好服务，可以得到他们给的小费。在禁酒令时期，售酒场所的服务员是非法职业。不过犯罪组织把控的地下酒吧中仍然存在许多工作机会。" sqref="B113:C113" xr:uid="{00000000-0002-0000-0200-000088000000}"/>
    <dataValidation allowBlank="1" showInputMessage="1" promptTitle="介绍" prompt="白领工人可能是从最低等级的白领职员到中层或高层的管理人员。所属单位则可能从小型中型的本地企业直到大型的国家级甚至跨国公司。职员被扣工资是家常便饭，工作也往往单调乏味。不过如果在工作中展现出了天分，那也会被看上，将来会得到提拔。中高层管理人员的工资比较高，当然责任也比较重，要负责管理公司的日常事务。" sqref="B114:C114" xr:uid="{00000000-0002-0000-0200-000089000000}"/>
    <dataValidation type="list" allowBlank="1" showInputMessage="1" showErrorMessage="1" sqref="N6:N7 N21:N22 N24:N25 N49:N50" xr:uid="{00000000-0002-0000-0200-00008A000000}">
      <formula1>#REF!</formula1>
    </dataValidation>
    <dataValidation allowBlank="1" showInputMessage="1" showErrorMessage="1" promptTitle="语言水平" prompt="05%：正确辨认语言的种类_x000a_10%：可以沟通简单的概念_x000a_30%：可以了解事务上的需求_x000a_50%：可以流利使用语言_x000a_75%：可以像是当地人一样使用语言_x000a_辨认现代语言： Know掷骰_x000a_辨认灭绝人类语言：考古学或历史掷骰_x000a_辨认外星语言：克苏鲁神话或神秘学掷骰" sqref="N30:N32" xr:uid="{00000000-0002-0000-0200-00008B000000}"/>
    <dataValidation type="list" allowBlank="1" showInputMessage="1" showErrorMessage="1" sqref="R25:R26" xr:uid="{00000000-0002-0000-0200-00008C000000}">
      <formula1>"步枪/霰弹枪,冲锋枪,弓,喷射器,机枪,重武器"</formula1>
    </dataValidation>
    <dataValidation allowBlank="1" showInputMessage="1" showErrorMessage="1" promptTitle="语言水平" prompt="05%：正确辨认语言的种类_x000a_10%：可以沟通简单的想法_x000a_30%：可以对社交上的需求进行理解_x000a_50%：可以进行流畅的交流_x000a_75%：可以像是当地人一样使用语言_x000a_辨认现代语言： 投掷教育（知识）_x000a_辨认灭绝人类语言：考古学或历史_x000a_辨认外星语言：克苏鲁神话或神秘学" sqref="R32:R34" xr:uid="{00000000-0002-0000-0200-00008D000000}"/>
    <dataValidation allowBlank="1" showInputMessage="1" showErrorMessage="1" promptTitle="介绍" prompt="工人这一大类职业包括工厂工人、纺织工人、码头工人、养路工人、矿工、建筑工人等等。工人分为两种类型：熟练工和非熟练工。普通的工人虽然技术不熟练，但是仍然长于使用电动工具、起重机和其他工厂设备。" sqref="B71:C73" xr:uid="{00000000-0002-0000-0200-00008E000000}"/>
  </dataValidations>
  <pageMargins left="0.75" right="0.75" top="1" bottom="1" header="0.50902777777777797" footer="0.50902777777777797"/>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8F000000}">
          <x14:formula1>
            <xm:f>附表!$AB$10:$AB$12</xm:f>
          </x14:formula1>
          <xm:sqref>H25:I25</xm:sqref>
        </x14:dataValidation>
        <x14:dataValidation type="list" allowBlank="1" showInputMessage="1" showErrorMessage="1" xr:uid="{00000000-0002-0000-0200-000090000000}">
          <x14:formula1>
            <xm:f>附表!$AP$53:$AP$79</xm:f>
          </x14:formula1>
          <xm:sqref>R6:R7</xm:sqref>
        </x14:dataValidation>
        <x14:dataValidation type="list" allowBlank="1" showInputMessage="1" showErrorMessage="1" xr:uid="{00000000-0002-0000-0200-000091000000}">
          <x14:formula1>
            <xm:f>附表!$X$25:$X$92</xm:f>
          </x14:formula1>
          <xm:sqref>I3:J8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Y100"/>
  <sheetViews>
    <sheetView workbookViewId="0">
      <pane xSplit="1" topLeftCell="B1" activePane="topRight" state="frozen"/>
      <selection pane="topRight" activeCell="D9" sqref="D9"/>
    </sheetView>
  </sheetViews>
  <sheetFormatPr defaultColWidth="10" defaultRowHeight="14.4"/>
  <cols>
    <col min="1" max="1" width="12.77734375" customWidth="1"/>
    <col min="2" max="3" width="8.77734375" customWidth="1"/>
    <col min="4" max="103" width="18" customWidth="1"/>
  </cols>
  <sheetData>
    <row r="1" spans="1:103" ht="25.8">
      <c r="A1" s="1076"/>
      <c r="B1" s="2252" t="s">
        <v>1261</v>
      </c>
      <c r="C1" s="2252"/>
      <c r="D1" s="2252"/>
      <c r="E1" s="1077"/>
      <c r="F1" s="1078"/>
      <c r="G1" s="1078"/>
      <c r="H1" s="1078"/>
      <c r="I1" s="1078"/>
      <c r="J1" s="1078"/>
      <c r="K1" s="1078"/>
      <c r="L1" s="1078"/>
      <c r="M1" s="1078"/>
      <c r="N1" s="1078"/>
      <c r="O1" s="1078"/>
      <c r="P1" s="1078"/>
      <c r="Q1" s="1078"/>
      <c r="R1" s="1078"/>
      <c r="S1" s="1078"/>
      <c r="T1" s="1078"/>
      <c r="U1" s="1078"/>
      <c r="V1" s="1078"/>
      <c r="W1" s="1078"/>
      <c r="X1" s="1078"/>
      <c r="Y1" s="1078"/>
      <c r="Z1" s="1078"/>
      <c r="AA1" s="1078"/>
      <c r="AB1" s="1078"/>
      <c r="AC1" s="1078"/>
      <c r="AD1" s="1078"/>
      <c r="AE1" s="1078"/>
      <c r="AF1" s="1078"/>
      <c r="AG1" s="1078"/>
      <c r="AH1" s="1078"/>
      <c r="AI1" s="1078"/>
      <c r="AJ1" s="1078"/>
      <c r="AK1" s="1078"/>
      <c r="AL1" s="1078"/>
      <c r="AM1" s="1078"/>
      <c r="AN1" s="1078"/>
      <c r="AO1" s="1078"/>
      <c r="AP1" s="1078"/>
      <c r="AQ1" s="1078"/>
      <c r="AR1" s="1078"/>
      <c r="AS1" s="1078"/>
      <c r="AT1" s="1078"/>
      <c r="AU1" s="1078"/>
      <c r="AV1" s="1078"/>
      <c r="AW1" s="1078"/>
      <c r="AX1" s="1078"/>
      <c r="AY1" s="1078"/>
      <c r="AZ1" s="1078"/>
      <c r="BA1" s="1078"/>
      <c r="BB1" s="1078"/>
      <c r="BC1" s="1078"/>
      <c r="BD1" s="1078"/>
      <c r="BE1" s="1078"/>
      <c r="BF1" s="1078"/>
      <c r="BG1" s="1078"/>
      <c r="BH1" s="1078"/>
      <c r="BI1" s="1078"/>
      <c r="BJ1" s="1078"/>
      <c r="BK1" s="1078"/>
      <c r="BL1" s="1078"/>
      <c r="BM1" s="1078"/>
      <c r="BN1" s="1078"/>
      <c r="BO1" s="1078"/>
      <c r="BP1" s="1078"/>
      <c r="BQ1" s="1078"/>
      <c r="BR1" s="1078"/>
      <c r="BS1" s="1078"/>
      <c r="BT1" s="1078"/>
      <c r="BU1" s="1078"/>
      <c r="BV1" s="1078"/>
      <c r="BW1" s="1078"/>
      <c r="BX1" s="1078"/>
      <c r="BY1" s="1078"/>
      <c r="BZ1" s="1078"/>
      <c r="CA1" s="1078"/>
      <c r="CB1" s="1078"/>
      <c r="CC1" s="1078"/>
      <c r="CD1" s="1078"/>
      <c r="CE1" s="1078"/>
      <c r="CF1" s="1078"/>
      <c r="CG1" s="1078"/>
      <c r="CH1" s="1078"/>
      <c r="CI1" s="1078"/>
      <c r="CJ1" s="1078"/>
      <c r="CK1" s="1078"/>
      <c r="CL1" s="1078"/>
      <c r="CM1" s="1078"/>
      <c r="CN1" s="1078"/>
      <c r="CO1" s="1078"/>
      <c r="CP1" s="1078"/>
      <c r="CQ1" s="1078"/>
      <c r="CR1" s="1078"/>
      <c r="CS1" s="1078"/>
      <c r="CT1" s="1078"/>
      <c r="CU1" s="1078"/>
      <c r="CV1" s="1078"/>
      <c r="CW1" s="1078"/>
      <c r="CX1" s="1078"/>
      <c r="CY1" s="1078"/>
    </row>
    <row r="2" spans="1:103" ht="15.6">
      <c r="A2" s="1079" t="s">
        <v>330</v>
      </c>
      <c r="B2" s="1080" t="s">
        <v>1262</v>
      </c>
      <c r="C2" s="1080" t="s">
        <v>60</v>
      </c>
      <c r="D2" s="1080" t="s">
        <v>1263</v>
      </c>
      <c r="E2" s="1080" t="s">
        <v>1264</v>
      </c>
      <c r="F2" s="1080" t="s">
        <v>1265</v>
      </c>
      <c r="G2" s="1080" t="s">
        <v>1266</v>
      </c>
      <c r="H2" s="1080" t="s">
        <v>1267</v>
      </c>
      <c r="I2" s="1080" t="s">
        <v>1268</v>
      </c>
      <c r="J2" s="1080" t="s">
        <v>1269</v>
      </c>
      <c r="K2" s="1080" t="s">
        <v>1270</v>
      </c>
      <c r="L2" s="1080" t="s">
        <v>1271</v>
      </c>
      <c r="M2" s="1080" t="s">
        <v>1272</v>
      </c>
      <c r="N2" s="1080" t="s">
        <v>1273</v>
      </c>
      <c r="O2" s="1080" t="s">
        <v>1274</v>
      </c>
      <c r="P2" s="1080" t="s">
        <v>1275</v>
      </c>
      <c r="Q2" s="1080" t="s">
        <v>1276</v>
      </c>
      <c r="R2" s="1080" t="s">
        <v>1277</v>
      </c>
      <c r="S2" s="1080" t="s">
        <v>1278</v>
      </c>
      <c r="T2" s="1080" t="s">
        <v>1279</v>
      </c>
      <c r="U2" s="1080" t="s">
        <v>1280</v>
      </c>
      <c r="V2" s="1080" t="s">
        <v>1281</v>
      </c>
      <c r="W2" s="1080" t="s">
        <v>1282</v>
      </c>
      <c r="X2" s="1080" t="s">
        <v>1283</v>
      </c>
      <c r="Y2" s="1080" t="s">
        <v>1284</v>
      </c>
      <c r="Z2" s="1080" t="s">
        <v>1285</v>
      </c>
      <c r="AA2" s="1080" t="s">
        <v>1286</v>
      </c>
      <c r="AB2" s="1080" t="s">
        <v>1287</v>
      </c>
      <c r="AC2" s="1080" t="s">
        <v>1288</v>
      </c>
      <c r="AD2" s="1080" t="s">
        <v>1289</v>
      </c>
      <c r="AE2" s="1080" t="s">
        <v>1290</v>
      </c>
      <c r="AF2" s="1080" t="s">
        <v>1291</v>
      </c>
      <c r="AG2" s="1080" t="s">
        <v>1292</v>
      </c>
      <c r="AH2" s="1080" t="s">
        <v>1293</v>
      </c>
      <c r="AI2" s="1080" t="s">
        <v>1294</v>
      </c>
      <c r="AJ2" s="1080" t="s">
        <v>1295</v>
      </c>
      <c r="AK2" s="1080" t="s">
        <v>1296</v>
      </c>
      <c r="AL2" s="1080" t="s">
        <v>1297</v>
      </c>
      <c r="AM2" s="1080" t="s">
        <v>1298</v>
      </c>
      <c r="AN2" s="1080" t="s">
        <v>1299</v>
      </c>
      <c r="AO2" s="1080" t="s">
        <v>1300</v>
      </c>
      <c r="AP2" s="1080" t="s">
        <v>1301</v>
      </c>
      <c r="AQ2" s="1080" t="s">
        <v>1302</v>
      </c>
      <c r="AR2" s="1080" t="s">
        <v>1303</v>
      </c>
      <c r="AS2" s="1080" t="s">
        <v>1304</v>
      </c>
      <c r="AT2" s="1080" t="s">
        <v>1305</v>
      </c>
      <c r="AU2" s="1080" t="s">
        <v>1306</v>
      </c>
      <c r="AV2" s="1080" t="s">
        <v>1307</v>
      </c>
      <c r="AW2" s="1080" t="s">
        <v>1308</v>
      </c>
      <c r="AX2" s="1080" t="s">
        <v>1309</v>
      </c>
      <c r="AY2" s="1080" t="s">
        <v>1310</v>
      </c>
      <c r="AZ2" s="1080" t="s">
        <v>1311</v>
      </c>
      <c r="BA2" s="1080" t="s">
        <v>1312</v>
      </c>
      <c r="BB2" s="1080" t="s">
        <v>1313</v>
      </c>
      <c r="BC2" s="1080" t="s">
        <v>1314</v>
      </c>
      <c r="BD2" s="1080" t="s">
        <v>1315</v>
      </c>
      <c r="BE2" s="1080" t="s">
        <v>1316</v>
      </c>
      <c r="BF2" s="1080" t="s">
        <v>1317</v>
      </c>
      <c r="BG2" s="1080" t="s">
        <v>1318</v>
      </c>
      <c r="BH2" s="1080" t="s">
        <v>1319</v>
      </c>
      <c r="BI2" s="1080" t="s">
        <v>1320</v>
      </c>
      <c r="BJ2" s="1080" t="s">
        <v>1321</v>
      </c>
      <c r="BK2" s="1080" t="s">
        <v>1322</v>
      </c>
      <c r="BL2" s="1080" t="s">
        <v>1323</v>
      </c>
      <c r="BM2" s="1080" t="s">
        <v>1324</v>
      </c>
      <c r="BN2" s="1080" t="s">
        <v>1325</v>
      </c>
      <c r="BO2" s="1080" t="s">
        <v>1326</v>
      </c>
      <c r="BP2" s="1080" t="s">
        <v>1327</v>
      </c>
      <c r="BQ2" s="1080" t="s">
        <v>1328</v>
      </c>
      <c r="BR2" s="1080" t="s">
        <v>1329</v>
      </c>
      <c r="BS2" s="1080" t="s">
        <v>1330</v>
      </c>
      <c r="BT2" s="1080" t="s">
        <v>1331</v>
      </c>
      <c r="BU2" s="1080" t="s">
        <v>1332</v>
      </c>
      <c r="BV2" s="1080" t="s">
        <v>1333</v>
      </c>
      <c r="BW2" s="1080" t="s">
        <v>1334</v>
      </c>
      <c r="BX2" s="1080" t="s">
        <v>1335</v>
      </c>
      <c r="BY2" s="1080" t="s">
        <v>1336</v>
      </c>
      <c r="BZ2" s="1080" t="s">
        <v>1337</v>
      </c>
      <c r="CA2" s="1080" t="s">
        <v>1338</v>
      </c>
      <c r="CB2" s="1080" t="s">
        <v>1339</v>
      </c>
      <c r="CC2" s="1080" t="s">
        <v>1340</v>
      </c>
      <c r="CD2" s="1080" t="s">
        <v>1341</v>
      </c>
      <c r="CE2" s="1080" t="s">
        <v>1342</v>
      </c>
      <c r="CF2" s="1080" t="s">
        <v>1343</v>
      </c>
      <c r="CG2" s="1080" t="s">
        <v>1344</v>
      </c>
      <c r="CH2" s="1080" t="s">
        <v>1345</v>
      </c>
      <c r="CI2" s="1080" t="s">
        <v>1346</v>
      </c>
      <c r="CJ2" s="1080" t="s">
        <v>1347</v>
      </c>
      <c r="CK2" s="1080" t="s">
        <v>1348</v>
      </c>
      <c r="CL2" s="1080" t="s">
        <v>1349</v>
      </c>
      <c r="CM2" s="1080" t="s">
        <v>1350</v>
      </c>
      <c r="CN2" s="1080" t="s">
        <v>1351</v>
      </c>
      <c r="CO2" s="1080" t="s">
        <v>1352</v>
      </c>
      <c r="CP2" s="1080" t="s">
        <v>1353</v>
      </c>
      <c r="CQ2" s="1080" t="s">
        <v>1354</v>
      </c>
      <c r="CR2" s="1080" t="s">
        <v>1355</v>
      </c>
      <c r="CS2" s="1080" t="s">
        <v>1356</v>
      </c>
      <c r="CT2" s="1080" t="s">
        <v>1357</v>
      </c>
      <c r="CU2" s="1080" t="s">
        <v>1358</v>
      </c>
      <c r="CV2" s="1080" t="s">
        <v>1359</v>
      </c>
      <c r="CW2" s="1080" t="s">
        <v>1360</v>
      </c>
      <c r="CX2" s="1080" t="s">
        <v>1361</v>
      </c>
      <c r="CY2" s="1080" t="s">
        <v>1362</v>
      </c>
    </row>
    <row r="3" spans="1:103" ht="15.6">
      <c r="A3" s="1081" t="s">
        <v>65</v>
      </c>
      <c r="B3" s="1082">
        <f t="shared" ref="B3:B66" si="0">SUM(D3:CY3)</f>
        <v>0</v>
      </c>
      <c r="C3" s="1083">
        <v>5</v>
      </c>
      <c r="D3" s="1084" t="s">
        <v>1363</v>
      </c>
      <c r="E3" s="1085"/>
      <c r="F3" s="1085"/>
      <c r="G3" s="1085"/>
      <c r="H3" s="1085"/>
      <c r="I3" s="1085"/>
      <c r="J3" s="1085"/>
      <c r="K3" s="1085"/>
      <c r="L3" s="1085"/>
      <c r="M3" s="1085"/>
      <c r="N3" s="1085"/>
      <c r="O3" s="1085"/>
      <c r="P3" s="1085"/>
      <c r="Q3" s="1085"/>
      <c r="R3" s="1085"/>
      <c r="S3" s="1085"/>
      <c r="T3" s="1085"/>
      <c r="U3" s="1085"/>
      <c r="V3" s="1085"/>
      <c r="W3" s="1085"/>
      <c r="X3" s="1085"/>
      <c r="Y3" s="1085"/>
      <c r="Z3" s="1085"/>
      <c r="AA3" s="1085"/>
      <c r="AB3" s="1085"/>
      <c r="AC3" s="1085"/>
      <c r="AD3" s="1085"/>
      <c r="AE3" s="1085"/>
      <c r="AF3" s="1085"/>
      <c r="AG3" s="1085"/>
      <c r="AH3" s="1085"/>
      <c r="AI3" s="1085"/>
      <c r="AJ3" s="1085"/>
      <c r="AK3" s="1085"/>
      <c r="AL3" s="1085"/>
      <c r="AM3" s="1085"/>
      <c r="AN3" s="1085"/>
      <c r="AO3" s="1085"/>
      <c r="AP3" s="1085"/>
      <c r="AQ3" s="1085"/>
      <c r="AR3" s="1085"/>
      <c r="AS3" s="1085"/>
      <c r="AT3" s="1085"/>
      <c r="AU3" s="1085"/>
      <c r="AV3" s="1085"/>
      <c r="AW3" s="1085"/>
      <c r="AX3" s="1085"/>
      <c r="AY3" s="1085"/>
      <c r="AZ3" s="1085"/>
      <c r="BA3" s="1085"/>
      <c r="BB3" s="1085"/>
      <c r="BC3" s="1085"/>
      <c r="BD3" s="1085"/>
      <c r="BE3" s="1085"/>
      <c r="BF3" s="1085"/>
      <c r="BG3" s="1085"/>
      <c r="BH3" s="1085"/>
      <c r="BI3" s="1085"/>
      <c r="BJ3" s="1085"/>
      <c r="BK3" s="1085"/>
      <c r="BL3" s="1085"/>
      <c r="BM3" s="1085"/>
      <c r="BN3" s="1085"/>
      <c r="BO3" s="1085"/>
      <c r="BP3" s="1085"/>
      <c r="BQ3" s="1085"/>
      <c r="BR3" s="1085"/>
      <c r="BS3" s="1085"/>
      <c r="BT3" s="1085"/>
      <c r="BU3" s="1085"/>
      <c r="BV3" s="1085"/>
      <c r="BW3" s="1085"/>
      <c r="BX3" s="1085"/>
      <c r="BY3" s="1085"/>
      <c r="BZ3" s="1085"/>
      <c r="CA3" s="1085"/>
      <c r="CB3" s="1085"/>
      <c r="CC3" s="1085"/>
      <c r="CD3" s="1085"/>
      <c r="CE3" s="1085"/>
      <c r="CF3" s="1085"/>
      <c r="CG3" s="1085"/>
      <c r="CH3" s="1085"/>
      <c r="CI3" s="1085"/>
      <c r="CJ3" s="1085"/>
      <c r="CK3" s="1085"/>
      <c r="CL3" s="1085"/>
      <c r="CM3" s="1085"/>
      <c r="CN3" s="1085"/>
      <c r="CO3" s="1085"/>
      <c r="CP3" s="1085"/>
      <c r="CQ3" s="1085"/>
      <c r="CR3" s="1085"/>
      <c r="CS3" s="1085"/>
      <c r="CT3" s="1085"/>
      <c r="CU3" s="1085"/>
      <c r="CV3" s="1085"/>
      <c r="CW3" s="1085"/>
      <c r="CX3" s="1085"/>
      <c r="CY3" s="1085"/>
    </row>
    <row r="4" spans="1:103" ht="15.6">
      <c r="A4" s="1081" t="s">
        <v>67</v>
      </c>
      <c r="B4" s="1082">
        <f t="shared" si="0"/>
        <v>0</v>
      </c>
      <c r="C4" s="1083">
        <v>1</v>
      </c>
      <c r="D4" s="1084" t="s">
        <v>1364</v>
      </c>
      <c r="E4" s="1085"/>
      <c r="F4" s="1085"/>
      <c r="G4" s="1085"/>
      <c r="H4" s="1085"/>
      <c r="I4" s="1085"/>
      <c r="J4" s="1085"/>
      <c r="K4" s="1085"/>
      <c r="L4" s="1085"/>
      <c r="M4" s="1085"/>
      <c r="N4" s="1085"/>
      <c r="O4" s="1085"/>
      <c r="P4" s="1085"/>
      <c r="Q4" s="1085"/>
      <c r="R4" s="1085"/>
      <c r="S4" s="1085"/>
      <c r="T4" s="1085"/>
      <c r="U4" s="1085"/>
      <c r="V4" s="1085"/>
      <c r="W4" s="1085"/>
      <c r="X4" s="1085"/>
      <c r="Y4" s="1085"/>
      <c r="Z4" s="1085"/>
      <c r="AA4" s="1085"/>
      <c r="AB4" s="1085"/>
      <c r="AC4" s="1085"/>
      <c r="AD4" s="1085"/>
      <c r="AE4" s="1085"/>
      <c r="AF4" s="1085"/>
      <c r="AG4" s="1085"/>
      <c r="AH4" s="1085"/>
      <c r="AI4" s="1085"/>
      <c r="AJ4" s="1085"/>
      <c r="AK4" s="1085"/>
      <c r="AL4" s="1085"/>
      <c r="AM4" s="1085"/>
      <c r="AN4" s="1085"/>
      <c r="AO4" s="1085"/>
      <c r="AP4" s="1085"/>
      <c r="AQ4" s="1085"/>
      <c r="AR4" s="1085"/>
      <c r="AS4" s="1085"/>
      <c r="AT4" s="1085"/>
      <c r="AU4" s="1085"/>
      <c r="AV4" s="1085"/>
      <c r="AW4" s="1085"/>
      <c r="AX4" s="1085"/>
      <c r="AY4" s="1085"/>
      <c r="AZ4" s="1085"/>
      <c r="BA4" s="1085"/>
      <c r="BB4" s="1085"/>
      <c r="BC4" s="1085"/>
      <c r="BD4" s="1085"/>
      <c r="BE4" s="1085"/>
      <c r="BF4" s="1085"/>
      <c r="BG4" s="1085"/>
      <c r="BH4" s="1085"/>
      <c r="BI4" s="1085"/>
      <c r="BJ4" s="1085"/>
      <c r="BK4" s="1085"/>
      <c r="BL4" s="1085"/>
      <c r="BM4" s="1085"/>
      <c r="BN4" s="1085"/>
      <c r="BO4" s="1085"/>
      <c r="BP4" s="1085"/>
      <c r="BQ4" s="1085"/>
      <c r="BR4" s="1085"/>
      <c r="BS4" s="1085"/>
      <c r="BT4" s="1085"/>
      <c r="BU4" s="1085"/>
      <c r="BV4" s="1085"/>
      <c r="BW4" s="1085"/>
      <c r="BX4" s="1085"/>
      <c r="BY4" s="1085"/>
      <c r="BZ4" s="1085"/>
      <c r="CA4" s="1085"/>
      <c r="CB4" s="1085"/>
      <c r="CC4" s="1085"/>
      <c r="CD4" s="1085"/>
      <c r="CE4" s="1085"/>
      <c r="CF4" s="1085"/>
      <c r="CG4" s="1085"/>
      <c r="CH4" s="1085"/>
      <c r="CI4" s="1085"/>
      <c r="CJ4" s="1085"/>
      <c r="CK4" s="1085"/>
      <c r="CL4" s="1085"/>
      <c r="CM4" s="1085"/>
      <c r="CN4" s="1085"/>
      <c r="CO4" s="1085"/>
      <c r="CP4" s="1085"/>
      <c r="CQ4" s="1085"/>
      <c r="CR4" s="1085"/>
      <c r="CS4" s="1085"/>
      <c r="CT4" s="1085"/>
      <c r="CU4" s="1085"/>
      <c r="CV4" s="1085"/>
      <c r="CW4" s="1085"/>
      <c r="CX4" s="1085"/>
      <c r="CY4" s="1085"/>
    </row>
    <row r="5" spans="1:103" ht="15.6">
      <c r="A5" s="1081" t="s">
        <v>71</v>
      </c>
      <c r="B5" s="1082">
        <f t="shared" si="0"/>
        <v>0</v>
      </c>
      <c r="C5" s="1083">
        <v>5</v>
      </c>
      <c r="D5" s="1084">
        <v>0</v>
      </c>
      <c r="E5" s="1085"/>
      <c r="F5" s="1085"/>
      <c r="G5" s="1085"/>
      <c r="H5" s="1085"/>
      <c r="I5" s="1085"/>
      <c r="J5" s="1085"/>
      <c r="K5" s="1085"/>
      <c r="L5" s="1085"/>
      <c r="M5" s="1085"/>
      <c r="N5" s="1085"/>
      <c r="O5" s="1085"/>
      <c r="P5" s="1085"/>
      <c r="Q5" s="1085"/>
      <c r="R5" s="1085"/>
      <c r="S5" s="1085"/>
      <c r="T5" s="1085"/>
      <c r="U5" s="1085"/>
      <c r="V5" s="1085"/>
      <c r="W5" s="1085"/>
      <c r="X5" s="1085"/>
      <c r="Y5" s="1085"/>
      <c r="Z5" s="1085"/>
      <c r="AA5" s="1085"/>
      <c r="AB5" s="1085"/>
      <c r="AC5" s="1085"/>
      <c r="AD5" s="1085"/>
      <c r="AE5" s="1085"/>
      <c r="AF5" s="1085"/>
      <c r="AG5" s="1085"/>
      <c r="AH5" s="1085"/>
      <c r="AI5" s="1085"/>
      <c r="AJ5" s="1085"/>
      <c r="AK5" s="1085"/>
      <c r="AL5" s="1085"/>
      <c r="AM5" s="1085"/>
      <c r="AN5" s="1085"/>
      <c r="AO5" s="1085"/>
      <c r="AP5" s="1085"/>
      <c r="AQ5" s="1085"/>
      <c r="AR5" s="1085"/>
      <c r="AS5" s="1085"/>
      <c r="AT5" s="1085"/>
      <c r="AU5" s="1085"/>
      <c r="AV5" s="1085"/>
      <c r="AW5" s="1085"/>
      <c r="AX5" s="1085"/>
      <c r="AY5" s="1085"/>
      <c r="AZ5" s="1085"/>
      <c r="BA5" s="1085"/>
      <c r="BB5" s="1085"/>
      <c r="BC5" s="1085"/>
      <c r="BD5" s="1085"/>
      <c r="BE5" s="1085"/>
      <c r="BF5" s="1085"/>
      <c r="BG5" s="1085"/>
      <c r="BH5" s="1085"/>
      <c r="BI5" s="1085"/>
      <c r="BJ5" s="1085"/>
      <c r="BK5" s="1085"/>
      <c r="BL5" s="1085"/>
      <c r="BM5" s="1085"/>
      <c r="BN5" s="1085"/>
      <c r="BO5" s="1085"/>
      <c r="BP5" s="1085"/>
      <c r="BQ5" s="1085"/>
      <c r="BR5" s="1085"/>
      <c r="BS5" s="1085"/>
      <c r="BT5" s="1085"/>
      <c r="BU5" s="1085"/>
      <c r="BV5" s="1085"/>
      <c r="BW5" s="1085"/>
      <c r="BX5" s="1085"/>
      <c r="BY5" s="1085"/>
      <c r="BZ5" s="1085"/>
      <c r="CA5" s="1085"/>
      <c r="CB5" s="1085"/>
      <c r="CC5" s="1085"/>
      <c r="CD5" s="1085"/>
      <c r="CE5" s="1085"/>
      <c r="CF5" s="1085"/>
      <c r="CG5" s="1085"/>
      <c r="CH5" s="1085"/>
      <c r="CI5" s="1085"/>
      <c r="CJ5" s="1085"/>
      <c r="CK5" s="1085"/>
      <c r="CL5" s="1085"/>
      <c r="CM5" s="1085"/>
      <c r="CN5" s="1085"/>
      <c r="CO5" s="1085"/>
      <c r="CP5" s="1085"/>
      <c r="CQ5" s="1085"/>
      <c r="CR5" s="1085"/>
      <c r="CS5" s="1085"/>
      <c r="CT5" s="1085"/>
      <c r="CU5" s="1085"/>
      <c r="CV5" s="1085"/>
      <c r="CW5" s="1085"/>
      <c r="CX5" s="1085"/>
      <c r="CY5" s="1085"/>
    </row>
    <row r="6" spans="1:103" ht="15.6">
      <c r="A6" s="1081" t="s">
        <v>75</v>
      </c>
      <c r="B6" s="1082">
        <f t="shared" si="0"/>
        <v>1</v>
      </c>
      <c r="C6" s="1083">
        <v>1</v>
      </c>
      <c r="D6" s="1084">
        <v>1</v>
      </c>
      <c r="E6" s="1085"/>
      <c r="F6" s="1085"/>
      <c r="G6" s="1085"/>
      <c r="H6" s="1085"/>
      <c r="I6" s="1085"/>
      <c r="J6" s="1085"/>
      <c r="K6" s="1085"/>
      <c r="L6" s="1085"/>
      <c r="M6" s="1085"/>
      <c r="N6" s="1085"/>
      <c r="O6" s="1085"/>
      <c r="P6" s="1085"/>
      <c r="Q6" s="1085"/>
      <c r="R6" s="1085"/>
      <c r="S6" s="1085"/>
      <c r="T6" s="1085"/>
      <c r="U6" s="1085"/>
      <c r="V6" s="1085"/>
      <c r="W6" s="1085"/>
      <c r="X6" s="1085"/>
      <c r="Y6" s="1085"/>
      <c r="Z6" s="1085"/>
      <c r="AA6" s="1085"/>
      <c r="AB6" s="1085"/>
      <c r="AC6" s="1085"/>
      <c r="AD6" s="1085"/>
      <c r="AE6" s="1085"/>
      <c r="AF6" s="1085"/>
      <c r="AG6" s="1085"/>
      <c r="AH6" s="1085"/>
      <c r="AI6" s="1085"/>
      <c r="AJ6" s="1085"/>
      <c r="AK6" s="1085"/>
      <c r="AL6" s="1085"/>
      <c r="AM6" s="1085"/>
      <c r="AN6" s="1085"/>
      <c r="AO6" s="1085"/>
      <c r="AP6" s="1085"/>
      <c r="AQ6" s="1085"/>
      <c r="AR6" s="1085"/>
      <c r="AS6" s="1085"/>
      <c r="AT6" s="1085"/>
      <c r="AU6" s="1085"/>
      <c r="AV6" s="1085"/>
      <c r="AW6" s="1085"/>
      <c r="AX6" s="1085"/>
      <c r="AY6" s="1085"/>
      <c r="AZ6" s="1085"/>
      <c r="BA6" s="1085"/>
      <c r="BB6" s="1085"/>
      <c r="BC6" s="1085"/>
      <c r="BD6" s="1085"/>
      <c r="BE6" s="1085"/>
      <c r="BF6" s="1085"/>
      <c r="BG6" s="1085"/>
      <c r="BH6" s="1085"/>
      <c r="BI6" s="1085"/>
      <c r="BJ6" s="1085"/>
      <c r="BK6" s="1085"/>
      <c r="BL6" s="1085"/>
      <c r="BM6" s="1085"/>
      <c r="BN6" s="1085"/>
      <c r="BO6" s="1085"/>
      <c r="BP6" s="1085"/>
      <c r="BQ6" s="1085"/>
      <c r="BR6" s="1085"/>
      <c r="BS6" s="1085"/>
      <c r="BT6" s="1085"/>
      <c r="BU6" s="1085"/>
      <c r="BV6" s="1085"/>
      <c r="BW6" s="1085"/>
      <c r="BX6" s="1085"/>
      <c r="BY6" s="1085"/>
      <c r="BZ6" s="1085"/>
      <c r="CA6" s="1085"/>
      <c r="CB6" s="1085"/>
      <c r="CC6" s="1085"/>
      <c r="CD6" s="1085"/>
      <c r="CE6" s="1085"/>
      <c r="CF6" s="1085"/>
      <c r="CG6" s="1085"/>
      <c r="CH6" s="1085"/>
      <c r="CI6" s="1085"/>
      <c r="CJ6" s="1085"/>
      <c r="CK6" s="1085"/>
      <c r="CL6" s="1085"/>
      <c r="CM6" s="1085"/>
      <c r="CN6" s="1085"/>
      <c r="CO6" s="1085"/>
      <c r="CP6" s="1085"/>
      <c r="CQ6" s="1085"/>
      <c r="CR6" s="1085"/>
      <c r="CS6" s="1085"/>
      <c r="CT6" s="1085"/>
      <c r="CU6" s="1085"/>
      <c r="CV6" s="1085"/>
      <c r="CW6" s="1085"/>
      <c r="CX6" s="1085"/>
      <c r="CY6" s="1085"/>
    </row>
    <row r="7" spans="1:103" ht="15.6">
      <c r="A7" s="1081" t="s">
        <v>78</v>
      </c>
      <c r="B7" s="1082">
        <f t="shared" si="0"/>
        <v>2</v>
      </c>
      <c r="C7" s="1083">
        <v>5</v>
      </c>
      <c r="D7" s="1084">
        <v>2</v>
      </c>
      <c r="E7" s="1085"/>
      <c r="F7" s="1085"/>
      <c r="G7" s="1085"/>
      <c r="H7" s="1085"/>
      <c r="I7" s="1085"/>
      <c r="J7" s="1085"/>
      <c r="K7" s="1085"/>
      <c r="L7" s="1085"/>
      <c r="M7" s="1085"/>
      <c r="N7" s="1085"/>
      <c r="O7" s="1085"/>
      <c r="P7" s="1085"/>
      <c r="Q7" s="1085"/>
      <c r="R7" s="1085"/>
      <c r="S7" s="1085"/>
      <c r="T7" s="1085"/>
      <c r="U7" s="1085"/>
      <c r="V7" s="1085"/>
      <c r="W7" s="1085"/>
      <c r="X7" s="1085"/>
      <c r="Y7" s="1085"/>
      <c r="Z7" s="1085"/>
      <c r="AA7" s="1085"/>
      <c r="AB7" s="1085"/>
      <c r="AC7" s="1085"/>
      <c r="AD7" s="1085"/>
      <c r="AE7" s="1085"/>
      <c r="AF7" s="1085"/>
      <c r="AG7" s="1085"/>
      <c r="AH7" s="1085"/>
      <c r="AI7" s="1085"/>
      <c r="AJ7" s="1085"/>
      <c r="AK7" s="1085"/>
      <c r="AL7" s="1085"/>
      <c r="AM7" s="1085"/>
      <c r="AN7" s="1085"/>
      <c r="AO7" s="1085"/>
      <c r="AP7" s="1085"/>
      <c r="AQ7" s="1085"/>
      <c r="AR7" s="1085"/>
      <c r="AS7" s="1085"/>
      <c r="AT7" s="1085"/>
      <c r="AU7" s="1085"/>
      <c r="AV7" s="1085"/>
      <c r="AW7" s="1085"/>
      <c r="AX7" s="1085"/>
      <c r="AY7" s="1085"/>
      <c r="AZ7" s="1085"/>
      <c r="BA7" s="1085"/>
      <c r="BB7" s="1085"/>
      <c r="BC7" s="1085"/>
      <c r="BD7" s="1085"/>
      <c r="BE7" s="1085"/>
      <c r="BF7" s="1085"/>
      <c r="BG7" s="1085"/>
      <c r="BH7" s="1085"/>
      <c r="BI7" s="1085"/>
      <c r="BJ7" s="1085"/>
      <c r="BK7" s="1085"/>
      <c r="BL7" s="1085"/>
      <c r="BM7" s="1085"/>
      <c r="BN7" s="1085"/>
      <c r="BO7" s="1085"/>
      <c r="BP7" s="1085"/>
      <c r="BQ7" s="1085"/>
      <c r="BR7" s="1085"/>
      <c r="BS7" s="1085"/>
      <c r="BT7" s="1085"/>
      <c r="BU7" s="1085"/>
      <c r="BV7" s="1085"/>
      <c r="BW7" s="1085"/>
      <c r="BX7" s="1085"/>
      <c r="BY7" s="1085"/>
      <c r="BZ7" s="1085"/>
      <c r="CA7" s="1085"/>
      <c r="CB7" s="1085"/>
      <c r="CC7" s="1085"/>
      <c r="CD7" s="1085"/>
      <c r="CE7" s="1085"/>
      <c r="CF7" s="1085"/>
      <c r="CG7" s="1085"/>
      <c r="CH7" s="1085"/>
      <c r="CI7" s="1085"/>
      <c r="CJ7" s="1085"/>
      <c r="CK7" s="1085"/>
      <c r="CL7" s="1085"/>
      <c r="CM7" s="1085"/>
      <c r="CN7" s="1085"/>
      <c r="CO7" s="1085"/>
      <c r="CP7" s="1085"/>
      <c r="CQ7" s="1085"/>
      <c r="CR7" s="1085"/>
      <c r="CS7" s="1085"/>
      <c r="CT7" s="1085"/>
      <c r="CU7" s="1085"/>
      <c r="CV7" s="1085"/>
      <c r="CW7" s="1085"/>
      <c r="CX7" s="1085"/>
      <c r="CY7" s="1085"/>
    </row>
    <row r="8" spans="1:103" ht="15.6">
      <c r="A8" s="1081" t="s">
        <v>81</v>
      </c>
      <c r="B8" s="1082">
        <f t="shared" si="0"/>
        <v>0</v>
      </c>
      <c r="C8" s="1083">
        <v>5</v>
      </c>
      <c r="D8" s="1084" t="s">
        <v>1365</v>
      </c>
      <c r="E8" s="1085"/>
      <c r="F8" s="1085"/>
      <c r="G8" s="1085"/>
      <c r="H8" s="1085"/>
      <c r="I8" s="1085"/>
      <c r="J8" s="1085"/>
      <c r="K8" s="1085"/>
      <c r="L8" s="1085"/>
      <c r="M8" s="1085"/>
      <c r="N8" s="1085"/>
      <c r="O8" s="1085"/>
      <c r="P8" s="1085"/>
      <c r="Q8" s="1085"/>
      <c r="R8" s="1085"/>
      <c r="S8" s="1085"/>
      <c r="T8" s="1085"/>
      <c r="U8" s="1085"/>
      <c r="V8" s="1085"/>
      <c r="W8" s="1085"/>
      <c r="X8" s="1085"/>
      <c r="Y8" s="1085"/>
      <c r="Z8" s="1085"/>
      <c r="AA8" s="1085"/>
      <c r="AB8" s="1085"/>
      <c r="AC8" s="1085"/>
      <c r="AD8" s="1085"/>
      <c r="AE8" s="1085"/>
      <c r="AF8" s="1085"/>
      <c r="AG8" s="1085"/>
      <c r="AH8" s="1085"/>
      <c r="AI8" s="1085"/>
      <c r="AJ8" s="1085"/>
      <c r="AK8" s="1085"/>
      <c r="AL8" s="1085"/>
      <c r="AM8" s="1085"/>
      <c r="AN8" s="1085"/>
      <c r="AO8" s="1085"/>
      <c r="AP8" s="1085"/>
      <c r="AQ8" s="1085"/>
      <c r="AR8" s="1085"/>
      <c r="AS8" s="1085"/>
      <c r="AT8" s="1085"/>
      <c r="AU8" s="1085"/>
      <c r="AV8" s="1085"/>
      <c r="AW8" s="1085"/>
      <c r="AX8" s="1085"/>
      <c r="AY8" s="1085"/>
      <c r="AZ8" s="1085"/>
      <c r="BA8" s="1085"/>
      <c r="BB8" s="1085"/>
      <c r="BC8" s="1085"/>
      <c r="BD8" s="1085"/>
      <c r="BE8" s="1085"/>
      <c r="BF8" s="1085"/>
      <c r="BG8" s="1085"/>
      <c r="BH8" s="1085"/>
      <c r="BI8" s="1085"/>
      <c r="BJ8" s="1085"/>
      <c r="BK8" s="1085"/>
      <c r="BL8" s="1085"/>
      <c r="BM8" s="1085"/>
      <c r="BN8" s="1085"/>
      <c r="BO8" s="1085"/>
      <c r="BP8" s="1085"/>
      <c r="BQ8" s="1085"/>
      <c r="BR8" s="1085"/>
      <c r="BS8" s="1085"/>
      <c r="BT8" s="1085"/>
      <c r="BU8" s="1085"/>
      <c r="BV8" s="1085"/>
      <c r="BW8" s="1085"/>
      <c r="BX8" s="1085"/>
      <c r="BY8" s="1085"/>
      <c r="BZ8" s="1085"/>
      <c r="CA8" s="1085"/>
      <c r="CB8" s="1085"/>
      <c r="CC8" s="1085"/>
      <c r="CD8" s="1085"/>
      <c r="CE8" s="1085"/>
      <c r="CF8" s="1085"/>
      <c r="CG8" s="1085"/>
      <c r="CH8" s="1085"/>
      <c r="CI8" s="1085"/>
      <c r="CJ8" s="1085"/>
      <c r="CK8" s="1085"/>
      <c r="CL8" s="1085"/>
      <c r="CM8" s="1085"/>
      <c r="CN8" s="1085"/>
      <c r="CO8" s="1085"/>
      <c r="CP8" s="1085"/>
      <c r="CQ8" s="1085"/>
      <c r="CR8" s="1085"/>
      <c r="CS8" s="1085"/>
      <c r="CT8" s="1085"/>
      <c r="CU8" s="1085"/>
      <c r="CV8" s="1085"/>
      <c r="CW8" s="1085"/>
      <c r="CX8" s="1085"/>
      <c r="CY8" s="1085"/>
    </row>
    <row r="9" spans="1:103" ht="15.6">
      <c r="A9" s="1081" t="s">
        <v>83</v>
      </c>
      <c r="B9" s="1082">
        <f t="shared" si="0"/>
        <v>0</v>
      </c>
      <c r="C9" s="1083">
        <v>5</v>
      </c>
      <c r="D9" s="1084"/>
      <c r="E9" s="1085"/>
      <c r="F9" s="1085"/>
      <c r="G9" s="1085"/>
      <c r="H9" s="1085"/>
      <c r="I9" s="1085"/>
      <c r="J9" s="1085"/>
      <c r="K9" s="1085"/>
      <c r="L9" s="1085"/>
      <c r="M9" s="1085"/>
      <c r="N9" s="1085"/>
      <c r="O9" s="1085"/>
      <c r="P9" s="1085"/>
      <c r="Q9" s="1085"/>
      <c r="R9" s="1085"/>
      <c r="S9" s="1085"/>
      <c r="T9" s="1085"/>
      <c r="U9" s="1085"/>
      <c r="V9" s="1085"/>
      <c r="W9" s="1085"/>
      <c r="X9" s="1085"/>
      <c r="Y9" s="1085"/>
      <c r="Z9" s="1085"/>
      <c r="AA9" s="1085"/>
      <c r="AB9" s="1085"/>
      <c r="AC9" s="1085"/>
      <c r="AD9" s="1085"/>
      <c r="AE9" s="1085"/>
      <c r="AF9" s="1085"/>
      <c r="AG9" s="1085"/>
      <c r="AH9" s="1085"/>
      <c r="AI9" s="1085"/>
      <c r="AJ9" s="1085"/>
      <c r="AK9" s="1085"/>
      <c r="AL9" s="1085"/>
      <c r="AM9" s="1085"/>
      <c r="AN9" s="1085"/>
      <c r="AO9" s="1085"/>
      <c r="AP9" s="1085"/>
      <c r="AQ9" s="1085"/>
      <c r="AR9" s="1085"/>
      <c r="AS9" s="1085"/>
      <c r="AT9" s="1085"/>
      <c r="AU9" s="1085"/>
      <c r="AV9" s="1085"/>
      <c r="AW9" s="1085"/>
      <c r="AX9" s="1085"/>
      <c r="AY9" s="1085"/>
      <c r="AZ9" s="1085"/>
      <c r="BA9" s="1085"/>
      <c r="BB9" s="1085"/>
      <c r="BC9" s="1085"/>
      <c r="BD9" s="1085"/>
      <c r="BE9" s="1085"/>
      <c r="BF9" s="1085"/>
      <c r="BG9" s="1085"/>
      <c r="BH9" s="1085"/>
      <c r="BI9" s="1085"/>
      <c r="BJ9" s="1085"/>
      <c r="BK9" s="1085"/>
      <c r="BL9" s="1085"/>
      <c r="BM9" s="1085"/>
      <c r="BN9" s="1085"/>
      <c r="BO9" s="1085"/>
      <c r="BP9" s="1085"/>
      <c r="BQ9" s="1085"/>
      <c r="BR9" s="1085"/>
      <c r="BS9" s="1085"/>
      <c r="BT9" s="1085"/>
      <c r="BU9" s="1085"/>
      <c r="BV9" s="1085"/>
      <c r="BW9" s="1085"/>
      <c r="BX9" s="1085"/>
      <c r="BY9" s="1085"/>
      <c r="BZ9" s="1085"/>
      <c r="CA9" s="1085"/>
      <c r="CB9" s="1085"/>
      <c r="CC9" s="1085"/>
      <c r="CD9" s="1085"/>
      <c r="CE9" s="1085"/>
      <c r="CF9" s="1085"/>
      <c r="CG9" s="1085"/>
      <c r="CH9" s="1085"/>
      <c r="CI9" s="1085"/>
      <c r="CJ9" s="1085"/>
      <c r="CK9" s="1085"/>
      <c r="CL9" s="1085"/>
      <c r="CM9" s="1085"/>
      <c r="CN9" s="1085"/>
      <c r="CO9" s="1085"/>
      <c r="CP9" s="1085"/>
      <c r="CQ9" s="1085"/>
      <c r="CR9" s="1085"/>
      <c r="CS9" s="1085"/>
      <c r="CT9" s="1085"/>
      <c r="CU9" s="1085"/>
      <c r="CV9" s="1085"/>
      <c r="CW9" s="1085"/>
      <c r="CX9" s="1085"/>
      <c r="CY9" s="1085"/>
    </row>
    <row r="10" spans="1:103" ht="15.6">
      <c r="A10" s="1081" t="s">
        <v>85</v>
      </c>
      <c r="B10" s="1082">
        <f t="shared" si="0"/>
        <v>0</v>
      </c>
      <c r="C10" s="1083">
        <v>15</v>
      </c>
      <c r="D10" s="1084"/>
      <c r="E10" s="1085"/>
      <c r="F10" s="1085"/>
      <c r="G10" s="1085"/>
      <c r="H10" s="1085"/>
      <c r="I10" s="1085"/>
      <c r="J10" s="1085"/>
      <c r="K10" s="1085"/>
      <c r="L10" s="1085"/>
      <c r="M10" s="1085"/>
      <c r="N10" s="1085"/>
      <c r="O10" s="1085"/>
      <c r="P10" s="1085"/>
      <c r="Q10" s="1085"/>
      <c r="R10" s="1085"/>
      <c r="S10" s="1085"/>
      <c r="T10" s="1085"/>
      <c r="U10" s="1085"/>
      <c r="V10" s="1085"/>
      <c r="W10" s="1085"/>
      <c r="X10" s="1085"/>
      <c r="Y10" s="1085"/>
      <c r="Z10" s="1085"/>
      <c r="AA10" s="1085"/>
      <c r="AB10" s="1085"/>
      <c r="AC10" s="1085"/>
      <c r="AD10" s="1085"/>
      <c r="AE10" s="1085"/>
      <c r="AF10" s="1085"/>
      <c r="AG10" s="1085"/>
      <c r="AH10" s="1085"/>
      <c r="AI10" s="1085"/>
      <c r="AJ10" s="1085"/>
      <c r="AK10" s="1085"/>
      <c r="AL10" s="1085"/>
      <c r="AM10" s="1085"/>
      <c r="AN10" s="1085"/>
      <c r="AO10" s="1085"/>
      <c r="AP10" s="1085"/>
      <c r="AQ10" s="1085"/>
      <c r="AR10" s="1085"/>
      <c r="AS10" s="1085"/>
      <c r="AT10" s="1085"/>
      <c r="AU10" s="1085"/>
      <c r="AV10" s="1085"/>
      <c r="AW10" s="1085"/>
      <c r="AX10" s="1085"/>
      <c r="AY10" s="1085"/>
      <c r="AZ10" s="1085"/>
      <c r="BA10" s="1085"/>
      <c r="BB10" s="1085"/>
      <c r="BC10" s="1085"/>
      <c r="BD10" s="1085"/>
      <c r="BE10" s="1085"/>
      <c r="BF10" s="1085"/>
      <c r="BG10" s="1085"/>
      <c r="BH10" s="1085"/>
      <c r="BI10" s="1085"/>
      <c r="BJ10" s="1085"/>
      <c r="BK10" s="1085"/>
      <c r="BL10" s="1085"/>
      <c r="BM10" s="1085"/>
      <c r="BN10" s="1085"/>
      <c r="BO10" s="1085"/>
      <c r="BP10" s="1085"/>
      <c r="BQ10" s="1085"/>
      <c r="BR10" s="1085"/>
      <c r="BS10" s="1085"/>
      <c r="BT10" s="1085"/>
      <c r="BU10" s="1085"/>
      <c r="BV10" s="1085"/>
      <c r="BW10" s="1085"/>
      <c r="BX10" s="1085"/>
      <c r="BY10" s="1085"/>
      <c r="BZ10" s="1085"/>
      <c r="CA10" s="1085"/>
      <c r="CB10" s="1085"/>
      <c r="CC10" s="1085"/>
      <c r="CD10" s="1085"/>
      <c r="CE10" s="1085"/>
      <c r="CF10" s="1085"/>
      <c r="CG10" s="1085"/>
      <c r="CH10" s="1085"/>
      <c r="CI10" s="1085"/>
      <c r="CJ10" s="1085"/>
      <c r="CK10" s="1085"/>
      <c r="CL10" s="1085"/>
      <c r="CM10" s="1085"/>
      <c r="CN10" s="1085"/>
      <c r="CO10" s="1085"/>
      <c r="CP10" s="1085"/>
      <c r="CQ10" s="1085"/>
      <c r="CR10" s="1085"/>
      <c r="CS10" s="1085"/>
      <c r="CT10" s="1085"/>
      <c r="CU10" s="1085"/>
      <c r="CV10" s="1085"/>
      <c r="CW10" s="1085"/>
      <c r="CX10" s="1085"/>
      <c r="CY10" s="1085"/>
    </row>
    <row r="11" spans="1:103" ht="15.6">
      <c r="A11" s="1081" t="s">
        <v>88</v>
      </c>
      <c r="B11" s="1082">
        <f t="shared" si="0"/>
        <v>0</v>
      </c>
      <c r="C11" s="1083">
        <v>20</v>
      </c>
      <c r="D11" s="1084"/>
      <c r="E11" s="1085"/>
      <c r="F11" s="1085"/>
      <c r="G11" s="1085"/>
      <c r="H11" s="1085"/>
      <c r="I11" s="1085"/>
      <c r="J11" s="1085"/>
      <c r="K11" s="1085"/>
      <c r="L11" s="1085"/>
      <c r="M11" s="1085"/>
      <c r="N11" s="1085"/>
      <c r="O11" s="1085"/>
      <c r="P11" s="1085"/>
      <c r="Q11" s="1085"/>
      <c r="R11" s="1085"/>
      <c r="S11" s="1085"/>
      <c r="T11" s="1085"/>
      <c r="U11" s="1085"/>
      <c r="V11" s="1085"/>
      <c r="W11" s="1085"/>
      <c r="X11" s="1085"/>
      <c r="Y11" s="1085"/>
      <c r="Z11" s="1085"/>
      <c r="AA11" s="1085"/>
      <c r="AB11" s="1085"/>
      <c r="AC11" s="1085"/>
      <c r="AD11" s="1085"/>
      <c r="AE11" s="1085"/>
      <c r="AF11" s="1085"/>
      <c r="AG11" s="1085"/>
      <c r="AH11" s="1085"/>
      <c r="AI11" s="1085"/>
      <c r="AJ11" s="1085"/>
      <c r="AK11" s="1085"/>
      <c r="AL11" s="1085"/>
      <c r="AM11" s="1085"/>
      <c r="AN11" s="1085"/>
      <c r="AO11" s="1085"/>
      <c r="AP11" s="1085"/>
      <c r="AQ11" s="1085"/>
      <c r="AR11" s="1085"/>
      <c r="AS11" s="1085"/>
      <c r="AT11" s="1085"/>
      <c r="AU11" s="1085"/>
      <c r="AV11" s="1085"/>
      <c r="AW11" s="1085"/>
      <c r="AX11" s="1085"/>
      <c r="AY11" s="1085"/>
      <c r="AZ11" s="1085"/>
      <c r="BA11" s="1085"/>
      <c r="BB11" s="1085"/>
      <c r="BC11" s="1085"/>
      <c r="BD11" s="1085"/>
      <c r="BE11" s="1085"/>
      <c r="BF11" s="1085"/>
      <c r="BG11" s="1085"/>
      <c r="BH11" s="1085"/>
      <c r="BI11" s="1085"/>
      <c r="BJ11" s="1085"/>
      <c r="BK11" s="1085"/>
      <c r="BL11" s="1085"/>
      <c r="BM11" s="1085"/>
      <c r="BN11" s="1085"/>
      <c r="BO11" s="1085"/>
      <c r="BP11" s="1085"/>
      <c r="BQ11" s="1085"/>
      <c r="BR11" s="1085"/>
      <c r="BS11" s="1085"/>
      <c r="BT11" s="1085"/>
      <c r="BU11" s="1085"/>
      <c r="BV11" s="1085"/>
      <c r="BW11" s="1085"/>
      <c r="BX11" s="1085"/>
      <c r="BY11" s="1085"/>
      <c r="BZ11" s="1085"/>
      <c r="CA11" s="1085"/>
      <c r="CB11" s="1085"/>
      <c r="CC11" s="1085"/>
      <c r="CD11" s="1085"/>
      <c r="CE11" s="1085"/>
      <c r="CF11" s="1085"/>
      <c r="CG11" s="1085"/>
      <c r="CH11" s="1085"/>
      <c r="CI11" s="1085"/>
      <c r="CJ11" s="1085"/>
      <c r="CK11" s="1085"/>
      <c r="CL11" s="1085"/>
      <c r="CM11" s="1085"/>
      <c r="CN11" s="1085"/>
      <c r="CO11" s="1085"/>
      <c r="CP11" s="1085"/>
      <c r="CQ11" s="1085"/>
      <c r="CR11" s="1085"/>
      <c r="CS11" s="1085"/>
      <c r="CT11" s="1085"/>
      <c r="CU11" s="1085"/>
      <c r="CV11" s="1085"/>
      <c r="CW11" s="1085"/>
      <c r="CX11" s="1085"/>
      <c r="CY11" s="1085"/>
    </row>
    <row r="12" spans="1:103" ht="15.6">
      <c r="A12" s="1081" t="s">
        <v>93</v>
      </c>
      <c r="B12" s="1082">
        <f t="shared" si="0"/>
        <v>0</v>
      </c>
      <c r="C12" s="1083">
        <v>5</v>
      </c>
      <c r="D12" s="1084"/>
      <c r="E12" s="1085"/>
      <c r="F12" s="1085"/>
      <c r="G12" s="1085"/>
      <c r="H12" s="1085"/>
      <c r="I12" s="1085"/>
      <c r="J12" s="1085"/>
      <c r="K12" s="1085"/>
      <c r="L12" s="1085"/>
      <c r="M12" s="1085"/>
      <c r="N12" s="1085"/>
      <c r="O12" s="1085"/>
      <c r="P12" s="1085"/>
      <c r="Q12" s="1085"/>
      <c r="R12" s="1085"/>
      <c r="S12" s="1085"/>
      <c r="T12" s="1085"/>
      <c r="U12" s="1085"/>
      <c r="V12" s="1085"/>
      <c r="W12" s="1085"/>
      <c r="X12" s="1085"/>
      <c r="Y12" s="1085"/>
      <c r="Z12" s="1085"/>
      <c r="AA12" s="1085"/>
      <c r="AB12" s="1085"/>
      <c r="AC12" s="1085"/>
      <c r="AD12" s="1085"/>
      <c r="AE12" s="1085"/>
      <c r="AF12" s="1085"/>
      <c r="AG12" s="1085"/>
      <c r="AH12" s="1085"/>
      <c r="AI12" s="1085"/>
      <c r="AJ12" s="1085"/>
      <c r="AK12" s="1085"/>
      <c r="AL12" s="1085"/>
      <c r="AM12" s="1085"/>
      <c r="AN12" s="1085"/>
      <c r="AO12" s="1085"/>
      <c r="AP12" s="1085"/>
      <c r="AQ12" s="1085"/>
      <c r="AR12" s="1085"/>
      <c r="AS12" s="1085"/>
      <c r="AT12" s="1085"/>
      <c r="AU12" s="1085"/>
      <c r="AV12" s="1085"/>
      <c r="AW12" s="1085"/>
      <c r="AX12" s="1085"/>
      <c r="AY12" s="1085"/>
      <c r="AZ12" s="1085"/>
      <c r="BA12" s="1085"/>
      <c r="BB12" s="1085"/>
      <c r="BC12" s="1085"/>
      <c r="BD12" s="1085"/>
      <c r="BE12" s="1085"/>
      <c r="BF12" s="1085"/>
      <c r="BG12" s="1085"/>
      <c r="BH12" s="1085"/>
      <c r="BI12" s="1085"/>
      <c r="BJ12" s="1085"/>
      <c r="BK12" s="1085"/>
      <c r="BL12" s="1085"/>
      <c r="BM12" s="1085"/>
      <c r="BN12" s="1085"/>
      <c r="BO12" s="1085"/>
      <c r="BP12" s="1085"/>
      <c r="BQ12" s="1085"/>
      <c r="BR12" s="1085"/>
      <c r="BS12" s="1085"/>
      <c r="BT12" s="1085"/>
      <c r="BU12" s="1085"/>
      <c r="BV12" s="1085"/>
      <c r="BW12" s="1085"/>
      <c r="BX12" s="1085"/>
      <c r="BY12" s="1085"/>
      <c r="BZ12" s="1085"/>
      <c r="CA12" s="1085"/>
      <c r="CB12" s="1085"/>
      <c r="CC12" s="1085"/>
      <c r="CD12" s="1085"/>
      <c r="CE12" s="1085"/>
      <c r="CF12" s="1085"/>
      <c r="CG12" s="1085"/>
      <c r="CH12" s="1085"/>
      <c r="CI12" s="1085"/>
      <c r="CJ12" s="1085"/>
      <c r="CK12" s="1085"/>
      <c r="CL12" s="1085"/>
      <c r="CM12" s="1085"/>
      <c r="CN12" s="1085"/>
      <c r="CO12" s="1085"/>
      <c r="CP12" s="1085"/>
      <c r="CQ12" s="1085"/>
      <c r="CR12" s="1085"/>
      <c r="CS12" s="1085"/>
      <c r="CT12" s="1085"/>
      <c r="CU12" s="1085"/>
      <c r="CV12" s="1085"/>
      <c r="CW12" s="1085"/>
      <c r="CX12" s="1085"/>
      <c r="CY12" s="1085"/>
    </row>
    <row r="13" spans="1:103" ht="15.6">
      <c r="A13" s="1081" t="s">
        <v>101</v>
      </c>
      <c r="B13" s="1082">
        <f t="shared" si="0"/>
        <v>0</v>
      </c>
      <c r="C13" s="1083">
        <v>0</v>
      </c>
      <c r="D13" s="1084"/>
      <c r="E13" s="1085"/>
      <c r="F13" s="1085"/>
      <c r="G13" s="1085"/>
      <c r="H13" s="1085"/>
      <c r="I13" s="1085"/>
      <c r="J13" s="1085"/>
      <c r="K13" s="1085"/>
      <c r="L13" s="1085"/>
      <c r="M13" s="1085"/>
      <c r="N13" s="1085"/>
      <c r="O13" s="1085"/>
      <c r="P13" s="1085"/>
      <c r="Q13" s="1085"/>
      <c r="R13" s="1085"/>
      <c r="S13" s="1085"/>
      <c r="T13" s="1085"/>
      <c r="U13" s="1085"/>
      <c r="V13" s="1085"/>
      <c r="W13" s="1085"/>
      <c r="X13" s="1085"/>
      <c r="Y13" s="1085"/>
      <c r="Z13" s="1085"/>
      <c r="AA13" s="1085"/>
      <c r="AB13" s="1085"/>
      <c r="AC13" s="1085"/>
      <c r="AD13" s="1085"/>
      <c r="AE13" s="1085"/>
      <c r="AF13" s="1085"/>
      <c r="AG13" s="1085"/>
      <c r="AH13" s="1085"/>
      <c r="AI13" s="1085"/>
      <c r="AJ13" s="1085"/>
      <c r="AK13" s="1085"/>
      <c r="AL13" s="1085"/>
      <c r="AM13" s="1085"/>
      <c r="AN13" s="1085"/>
      <c r="AO13" s="1085"/>
      <c r="AP13" s="1085"/>
      <c r="AQ13" s="1085"/>
      <c r="AR13" s="1085"/>
      <c r="AS13" s="1085"/>
      <c r="AT13" s="1085"/>
      <c r="AU13" s="1085"/>
      <c r="AV13" s="1085"/>
      <c r="AW13" s="1085"/>
      <c r="AX13" s="1085"/>
      <c r="AY13" s="1085"/>
      <c r="AZ13" s="1085"/>
      <c r="BA13" s="1085"/>
      <c r="BB13" s="1085"/>
      <c r="BC13" s="1085"/>
      <c r="BD13" s="1085"/>
      <c r="BE13" s="1085"/>
      <c r="BF13" s="1085"/>
      <c r="BG13" s="1085"/>
      <c r="BH13" s="1085"/>
      <c r="BI13" s="1085"/>
      <c r="BJ13" s="1085"/>
      <c r="BK13" s="1085"/>
      <c r="BL13" s="1085"/>
      <c r="BM13" s="1085"/>
      <c r="BN13" s="1085"/>
      <c r="BO13" s="1085"/>
      <c r="BP13" s="1085"/>
      <c r="BQ13" s="1085"/>
      <c r="BR13" s="1085"/>
      <c r="BS13" s="1085"/>
      <c r="BT13" s="1085"/>
      <c r="BU13" s="1085"/>
      <c r="BV13" s="1085"/>
      <c r="BW13" s="1085"/>
      <c r="BX13" s="1085"/>
      <c r="BY13" s="1085"/>
      <c r="BZ13" s="1085"/>
      <c r="CA13" s="1085"/>
      <c r="CB13" s="1085"/>
      <c r="CC13" s="1085"/>
      <c r="CD13" s="1085"/>
      <c r="CE13" s="1085"/>
      <c r="CF13" s="1085"/>
      <c r="CG13" s="1085"/>
      <c r="CH13" s="1085"/>
      <c r="CI13" s="1085"/>
      <c r="CJ13" s="1085"/>
      <c r="CK13" s="1085"/>
      <c r="CL13" s="1085"/>
      <c r="CM13" s="1085"/>
      <c r="CN13" s="1085"/>
      <c r="CO13" s="1085"/>
      <c r="CP13" s="1085"/>
      <c r="CQ13" s="1085"/>
      <c r="CR13" s="1085"/>
      <c r="CS13" s="1085"/>
      <c r="CT13" s="1085"/>
      <c r="CU13" s="1085"/>
      <c r="CV13" s="1085"/>
      <c r="CW13" s="1085"/>
      <c r="CX13" s="1085"/>
      <c r="CY13" s="1085"/>
    </row>
    <row r="14" spans="1:103" ht="15.6">
      <c r="A14" s="1081" t="s">
        <v>103</v>
      </c>
      <c r="B14" s="1082">
        <f t="shared" si="0"/>
        <v>0</v>
      </c>
      <c r="C14" s="1083">
        <v>0</v>
      </c>
      <c r="D14" s="1084"/>
      <c r="E14" s="1085"/>
      <c r="F14" s="1085"/>
      <c r="G14" s="1085"/>
      <c r="H14" s="1085"/>
      <c r="I14" s="1085"/>
      <c r="J14" s="1085"/>
      <c r="K14" s="1085"/>
      <c r="L14" s="1085"/>
      <c r="M14" s="1085"/>
      <c r="N14" s="1085"/>
      <c r="O14" s="1085"/>
      <c r="P14" s="1085"/>
      <c r="Q14" s="1085"/>
      <c r="R14" s="1085"/>
      <c r="S14" s="1085"/>
      <c r="T14" s="1085"/>
      <c r="U14" s="1085"/>
      <c r="V14" s="1085"/>
      <c r="W14" s="1085"/>
      <c r="X14" s="1085"/>
      <c r="Y14" s="1085"/>
      <c r="Z14" s="1085"/>
      <c r="AA14" s="1085"/>
      <c r="AB14" s="1085"/>
      <c r="AC14" s="1085"/>
      <c r="AD14" s="1085"/>
      <c r="AE14" s="1085"/>
      <c r="AF14" s="1085"/>
      <c r="AG14" s="1085"/>
      <c r="AH14" s="1085"/>
      <c r="AI14" s="1085"/>
      <c r="AJ14" s="1085"/>
      <c r="AK14" s="1085"/>
      <c r="AL14" s="1085"/>
      <c r="AM14" s="1085"/>
      <c r="AN14" s="1085"/>
      <c r="AO14" s="1085"/>
      <c r="AP14" s="1085"/>
      <c r="AQ14" s="1085"/>
      <c r="AR14" s="1085"/>
      <c r="AS14" s="1085"/>
      <c r="AT14" s="1085"/>
      <c r="AU14" s="1085"/>
      <c r="AV14" s="1085"/>
      <c r="AW14" s="1085"/>
      <c r="AX14" s="1085"/>
      <c r="AY14" s="1085"/>
      <c r="AZ14" s="1085"/>
      <c r="BA14" s="1085"/>
      <c r="BB14" s="1085"/>
      <c r="BC14" s="1085"/>
      <c r="BD14" s="1085"/>
      <c r="BE14" s="1085"/>
      <c r="BF14" s="1085"/>
      <c r="BG14" s="1085"/>
      <c r="BH14" s="1085"/>
      <c r="BI14" s="1085"/>
      <c r="BJ14" s="1085"/>
      <c r="BK14" s="1085"/>
      <c r="BL14" s="1085"/>
      <c r="BM14" s="1085"/>
      <c r="BN14" s="1085"/>
      <c r="BO14" s="1085"/>
      <c r="BP14" s="1085"/>
      <c r="BQ14" s="1085"/>
      <c r="BR14" s="1085"/>
      <c r="BS14" s="1085"/>
      <c r="BT14" s="1085"/>
      <c r="BU14" s="1085"/>
      <c r="BV14" s="1085"/>
      <c r="BW14" s="1085"/>
      <c r="BX14" s="1085"/>
      <c r="BY14" s="1085"/>
      <c r="BZ14" s="1085"/>
      <c r="CA14" s="1085"/>
      <c r="CB14" s="1085"/>
      <c r="CC14" s="1085"/>
      <c r="CD14" s="1085"/>
      <c r="CE14" s="1085"/>
      <c r="CF14" s="1085"/>
      <c r="CG14" s="1085"/>
      <c r="CH14" s="1085"/>
      <c r="CI14" s="1085"/>
      <c r="CJ14" s="1085"/>
      <c r="CK14" s="1085"/>
      <c r="CL14" s="1085"/>
      <c r="CM14" s="1085"/>
      <c r="CN14" s="1085"/>
      <c r="CO14" s="1085"/>
      <c r="CP14" s="1085"/>
      <c r="CQ14" s="1085"/>
      <c r="CR14" s="1085"/>
      <c r="CS14" s="1085"/>
      <c r="CT14" s="1085"/>
      <c r="CU14" s="1085"/>
      <c r="CV14" s="1085"/>
      <c r="CW14" s="1085"/>
      <c r="CX14" s="1085"/>
      <c r="CY14" s="1085"/>
    </row>
    <row r="15" spans="1:103" ht="15.6">
      <c r="A15" s="1081" t="s">
        <v>110</v>
      </c>
      <c r="B15" s="1082">
        <f t="shared" si="0"/>
        <v>0</v>
      </c>
      <c r="C15" s="1083">
        <v>5</v>
      </c>
      <c r="D15" s="1084"/>
      <c r="E15" s="1085"/>
      <c r="F15" s="1085"/>
      <c r="G15" s="1085"/>
      <c r="H15" s="1085"/>
      <c r="I15" s="1085"/>
      <c r="J15" s="1085"/>
      <c r="K15" s="1085"/>
      <c r="L15" s="1085"/>
      <c r="M15" s="1085"/>
      <c r="N15" s="1085"/>
      <c r="O15" s="1085"/>
      <c r="P15" s="1085"/>
      <c r="Q15" s="1085"/>
      <c r="R15" s="1085"/>
      <c r="S15" s="1085"/>
      <c r="T15" s="1085"/>
      <c r="U15" s="1085"/>
      <c r="V15" s="1085"/>
      <c r="W15" s="1085"/>
      <c r="X15" s="1085"/>
      <c r="Y15" s="1085"/>
      <c r="Z15" s="1085"/>
      <c r="AA15" s="1085"/>
      <c r="AB15" s="1085"/>
      <c r="AC15" s="1085"/>
      <c r="AD15" s="1085"/>
      <c r="AE15" s="1085"/>
      <c r="AF15" s="1085"/>
      <c r="AG15" s="1085"/>
      <c r="AH15" s="1085"/>
      <c r="AI15" s="1085"/>
      <c r="AJ15" s="1085"/>
      <c r="AK15" s="1085"/>
      <c r="AL15" s="1085"/>
      <c r="AM15" s="1085"/>
      <c r="AN15" s="1085"/>
      <c r="AO15" s="1085"/>
      <c r="AP15" s="1085"/>
      <c r="AQ15" s="1085"/>
      <c r="AR15" s="1085"/>
      <c r="AS15" s="1085"/>
      <c r="AT15" s="1085"/>
      <c r="AU15" s="1085"/>
      <c r="AV15" s="1085"/>
      <c r="AW15" s="1085"/>
      <c r="AX15" s="1085"/>
      <c r="AY15" s="1085"/>
      <c r="AZ15" s="1085"/>
      <c r="BA15" s="1085"/>
      <c r="BB15" s="1085"/>
      <c r="BC15" s="1085"/>
      <c r="BD15" s="1085"/>
      <c r="BE15" s="1085"/>
      <c r="BF15" s="1085"/>
      <c r="BG15" s="1085"/>
      <c r="BH15" s="1085"/>
      <c r="BI15" s="1085"/>
      <c r="BJ15" s="1085"/>
      <c r="BK15" s="1085"/>
      <c r="BL15" s="1085"/>
      <c r="BM15" s="1085"/>
      <c r="BN15" s="1085"/>
      <c r="BO15" s="1085"/>
      <c r="BP15" s="1085"/>
      <c r="BQ15" s="1085"/>
      <c r="BR15" s="1085"/>
      <c r="BS15" s="1085"/>
      <c r="BT15" s="1085"/>
      <c r="BU15" s="1085"/>
      <c r="BV15" s="1085"/>
      <c r="BW15" s="1085"/>
      <c r="BX15" s="1085"/>
      <c r="BY15" s="1085"/>
      <c r="BZ15" s="1085"/>
      <c r="CA15" s="1085"/>
      <c r="CB15" s="1085"/>
      <c r="CC15" s="1085"/>
      <c r="CD15" s="1085"/>
      <c r="CE15" s="1085"/>
      <c r="CF15" s="1085"/>
      <c r="CG15" s="1085"/>
      <c r="CH15" s="1085"/>
      <c r="CI15" s="1085"/>
      <c r="CJ15" s="1085"/>
      <c r="CK15" s="1085"/>
      <c r="CL15" s="1085"/>
      <c r="CM15" s="1085"/>
      <c r="CN15" s="1085"/>
      <c r="CO15" s="1085"/>
      <c r="CP15" s="1085"/>
      <c r="CQ15" s="1085"/>
      <c r="CR15" s="1085"/>
      <c r="CS15" s="1085"/>
      <c r="CT15" s="1085"/>
      <c r="CU15" s="1085"/>
      <c r="CV15" s="1085"/>
      <c r="CW15" s="1085"/>
      <c r="CX15" s="1085"/>
      <c r="CY15" s="1085"/>
    </row>
    <row r="16" spans="1:103" ht="15.6">
      <c r="A16" s="1081" t="s">
        <v>111</v>
      </c>
      <c r="B16" s="1082">
        <f t="shared" si="0"/>
        <v>0</v>
      </c>
      <c r="C16" s="1083">
        <v>0</v>
      </c>
      <c r="D16" s="1084"/>
      <c r="E16" s="1085"/>
      <c r="F16" s="1085"/>
      <c r="G16" s="1085"/>
      <c r="H16" s="1085"/>
      <c r="I16" s="1085"/>
      <c r="J16" s="1085"/>
      <c r="K16" s="1085"/>
      <c r="L16" s="1085"/>
      <c r="M16" s="1085"/>
      <c r="N16" s="1085"/>
      <c r="O16" s="1085"/>
      <c r="P16" s="1085"/>
      <c r="Q16" s="1085"/>
      <c r="R16" s="1085"/>
      <c r="S16" s="1085"/>
      <c r="T16" s="1085"/>
      <c r="U16" s="1085"/>
      <c r="V16" s="1085"/>
      <c r="W16" s="1085"/>
      <c r="X16" s="1085"/>
      <c r="Y16" s="1085"/>
      <c r="Z16" s="1085"/>
      <c r="AA16" s="1085"/>
      <c r="AB16" s="1085"/>
      <c r="AC16" s="1085"/>
      <c r="AD16" s="1085"/>
      <c r="AE16" s="1085"/>
      <c r="AF16" s="1085"/>
      <c r="AG16" s="1085"/>
      <c r="AH16" s="1085"/>
      <c r="AI16" s="1085"/>
      <c r="AJ16" s="1085"/>
      <c r="AK16" s="1085"/>
      <c r="AL16" s="1085"/>
      <c r="AM16" s="1085"/>
      <c r="AN16" s="1085"/>
      <c r="AO16" s="1085"/>
      <c r="AP16" s="1085"/>
      <c r="AQ16" s="1085"/>
      <c r="AR16" s="1085"/>
      <c r="AS16" s="1085"/>
      <c r="AT16" s="1085"/>
      <c r="AU16" s="1085"/>
      <c r="AV16" s="1085"/>
      <c r="AW16" s="1085"/>
      <c r="AX16" s="1085"/>
      <c r="AY16" s="1085"/>
      <c r="AZ16" s="1085"/>
      <c r="BA16" s="1085"/>
      <c r="BB16" s="1085"/>
      <c r="BC16" s="1085"/>
      <c r="BD16" s="1085"/>
      <c r="BE16" s="1085"/>
      <c r="BF16" s="1085"/>
      <c r="BG16" s="1085"/>
      <c r="BH16" s="1085"/>
      <c r="BI16" s="1085"/>
      <c r="BJ16" s="1085"/>
      <c r="BK16" s="1085"/>
      <c r="BL16" s="1085"/>
      <c r="BM16" s="1085"/>
      <c r="BN16" s="1085"/>
      <c r="BO16" s="1085"/>
      <c r="BP16" s="1085"/>
      <c r="BQ16" s="1085"/>
      <c r="BR16" s="1085"/>
      <c r="BS16" s="1085"/>
      <c r="BT16" s="1085"/>
      <c r="BU16" s="1085"/>
      <c r="BV16" s="1085"/>
      <c r="BW16" s="1085"/>
      <c r="BX16" s="1085"/>
      <c r="BY16" s="1085"/>
      <c r="BZ16" s="1085"/>
      <c r="CA16" s="1085"/>
      <c r="CB16" s="1085"/>
      <c r="CC16" s="1085"/>
      <c r="CD16" s="1085"/>
      <c r="CE16" s="1085"/>
      <c r="CF16" s="1085"/>
      <c r="CG16" s="1085"/>
      <c r="CH16" s="1085"/>
      <c r="CI16" s="1085"/>
      <c r="CJ16" s="1085"/>
      <c r="CK16" s="1085"/>
      <c r="CL16" s="1085"/>
      <c r="CM16" s="1085"/>
      <c r="CN16" s="1085"/>
      <c r="CO16" s="1085"/>
      <c r="CP16" s="1085"/>
      <c r="CQ16" s="1085"/>
      <c r="CR16" s="1085"/>
      <c r="CS16" s="1085"/>
      <c r="CT16" s="1085"/>
      <c r="CU16" s="1085"/>
      <c r="CV16" s="1085"/>
      <c r="CW16" s="1085"/>
      <c r="CX16" s="1085"/>
      <c r="CY16" s="1085"/>
    </row>
    <row r="17" spans="1:103" ht="15.6">
      <c r="A17" s="1081" t="s">
        <v>115</v>
      </c>
      <c r="B17" s="1082">
        <f t="shared" si="0"/>
        <v>0</v>
      </c>
      <c r="C17" s="1083">
        <v>20</v>
      </c>
      <c r="D17" s="1084"/>
      <c r="E17" s="1085"/>
      <c r="F17" s="1085"/>
      <c r="G17" s="1085"/>
      <c r="H17" s="1085"/>
      <c r="I17" s="1085"/>
      <c r="J17" s="1085"/>
      <c r="K17" s="1085"/>
      <c r="L17" s="1085"/>
      <c r="M17" s="1085"/>
      <c r="N17" s="1085"/>
      <c r="O17" s="1085"/>
      <c r="P17" s="1085"/>
      <c r="Q17" s="1085"/>
      <c r="R17" s="1085"/>
      <c r="S17" s="1085"/>
      <c r="T17" s="1085"/>
      <c r="U17" s="1085"/>
      <c r="V17" s="1085"/>
      <c r="W17" s="1085"/>
      <c r="X17" s="1085"/>
      <c r="Y17" s="1085"/>
      <c r="Z17" s="1085"/>
      <c r="AA17" s="1085"/>
      <c r="AB17" s="1085"/>
      <c r="AC17" s="1085"/>
      <c r="AD17" s="1085"/>
      <c r="AE17" s="1085"/>
      <c r="AF17" s="1085"/>
      <c r="AG17" s="1085"/>
      <c r="AH17" s="1085"/>
      <c r="AI17" s="1085"/>
      <c r="AJ17" s="1085"/>
      <c r="AK17" s="1085"/>
      <c r="AL17" s="1085"/>
      <c r="AM17" s="1085"/>
      <c r="AN17" s="1085"/>
      <c r="AO17" s="1085"/>
      <c r="AP17" s="1085"/>
      <c r="AQ17" s="1085"/>
      <c r="AR17" s="1085"/>
      <c r="AS17" s="1085"/>
      <c r="AT17" s="1085"/>
      <c r="AU17" s="1085"/>
      <c r="AV17" s="1085"/>
      <c r="AW17" s="1085"/>
      <c r="AX17" s="1085"/>
      <c r="AY17" s="1085"/>
      <c r="AZ17" s="1085"/>
      <c r="BA17" s="1085"/>
      <c r="BB17" s="1085"/>
      <c r="BC17" s="1085"/>
      <c r="BD17" s="1085"/>
      <c r="BE17" s="1085"/>
      <c r="BF17" s="1085"/>
      <c r="BG17" s="1085"/>
      <c r="BH17" s="1085"/>
      <c r="BI17" s="1085"/>
      <c r="BJ17" s="1085"/>
      <c r="BK17" s="1085"/>
      <c r="BL17" s="1085"/>
      <c r="BM17" s="1085"/>
      <c r="BN17" s="1085"/>
      <c r="BO17" s="1085"/>
      <c r="BP17" s="1085"/>
      <c r="BQ17" s="1085"/>
      <c r="BR17" s="1085"/>
      <c r="BS17" s="1085"/>
      <c r="BT17" s="1085"/>
      <c r="BU17" s="1085"/>
      <c r="BV17" s="1085"/>
      <c r="BW17" s="1085"/>
      <c r="BX17" s="1085"/>
      <c r="BY17" s="1085"/>
      <c r="BZ17" s="1085"/>
      <c r="CA17" s="1085"/>
      <c r="CB17" s="1085"/>
      <c r="CC17" s="1085"/>
      <c r="CD17" s="1085"/>
      <c r="CE17" s="1085"/>
      <c r="CF17" s="1085"/>
      <c r="CG17" s="1085"/>
      <c r="CH17" s="1085"/>
      <c r="CI17" s="1085"/>
      <c r="CJ17" s="1085"/>
      <c r="CK17" s="1085"/>
      <c r="CL17" s="1085"/>
      <c r="CM17" s="1085"/>
      <c r="CN17" s="1085"/>
      <c r="CO17" s="1085"/>
      <c r="CP17" s="1085"/>
      <c r="CQ17" s="1085"/>
      <c r="CR17" s="1085"/>
      <c r="CS17" s="1085"/>
      <c r="CT17" s="1085"/>
      <c r="CU17" s="1085"/>
      <c r="CV17" s="1085"/>
      <c r="CW17" s="1085"/>
      <c r="CX17" s="1085"/>
      <c r="CY17" s="1085"/>
    </row>
    <row r="18" spans="1:103" ht="15.6">
      <c r="A18" s="1081" t="s">
        <v>117</v>
      </c>
      <c r="B18" s="1082">
        <f t="shared" si="0"/>
        <v>0</v>
      </c>
      <c r="C18" s="1083">
        <v>10</v>
      </c>
      <c r="D18" s="1084"/>
      <c r="E18" s="1085"/>
      <c r="F18" s="1085"/>
      <c r="G18" s="1085"/>
      <c r="H18" s="1085"/>
      <c r="I18" s="1085"/>
      <c r="J18" s="1085"/>
      <c r="K18" s="1085"/>
      <c r="L18" s="1085"/>
      <c r="M18" s="1085"/>
      <c r="N18" s="1085"/>
      <c r="O18" s="1085"/>
      <c r="P18" s="1085"/>
      <c r="Q18" s="1085"/>
      <c r="R18" s="1085"/>
      <c r="S18" s="1085"/>
      <c r="T18" s="1085"/>
      <c r="U18" s="1085"/>
      <c r="V18" s="1085"/>
      <c r="W18" s="1085"/>
      <c r="X18" s="1085"/>
      <c r="Y18" s="1085"/>
      <c r="Z18" s="1085"/>
      <c r="AA18" s="1085"/>
      <c r="AB18" s="1085"/>
      <c r="AC18" s="1085"/>
      <c r="AD18" s="1085"/>
      <c r="AE18" s="1085"/>
      <c r="AF18" s="1085"/>
      <c r="AG18" s="1085"/>
      <c r="AH18" s="1085"/>
      <c r="AI18" s="1085"/>
      <c r="AJ18" s="1085"/>
      <c r="AK18" s="1085"/>
      <c r="AL18" s="1085"/>
      <c r="AM18" s="1085"/>
      <c r="AN18" s="1085"/>
      <c r="AO18" s="1085"/>
      <c r="AP18" s="1085"/>
      <c r="AQ18" s="1085"/>
      <c r="AR18" s="1085"/>
      <c r="AS18" s="1085"/>
      <c r="AT18" s="1085"/>
      <c r="AU18" s="1085"/>
      <c r="AV18" s="1085"/>
      <c r="AW18" s="1085"/>
      <c r="AX18" s="1085"/>
      <c r="AY18" s="1085"/>
      <c r="AZ18" s="1085"/>
      <c r="BA18" s="1085"/>
      <c r="BB18" s="1085"/>
      <c r="BC18" s="1085"/>
      <c r="BD18" s="1085"/>
      <c r="BE18" s="1085"/>
      <c r="BF18" s="1085"/>
      <c r="BG18" s="1085"/>
      <c r="BH18" s="1085"/>
      <c r="BI18" s="1085"/>
      <c r="BJ18" s="1085"/>
      <c r="BK18" s="1085"/>
      <c r="BL18" s="1085"/>
      <c r="BM18" s="1085"/>
      <c r="BN18" s="1085"/>
      <c r="BO18" s="1085"/>
      <c r="BP18" s="1085"/>
      <c r="BQ18" s="1085"/>
      <c r="BR18" s="1085"/>
      <c r="BS18" s="1085"/>
      <c r="BT18" s="1085"/>
      <c r="BU18" s="1085"/>
      <c r="BV18" s="1085"/>
      <c r="BW18" s="1085"/>
      <c r="BX18" s="1085"/>
      <c r="BY18" s="1085"/>
      <c r="BZ18" s="1085"/>
      <c r="CA18" s="1085"/>
      <c r="CB18" s="1085"/>
      <c r="CC18" s="1085"/>
      <c r="CD18" s="1085"/>
      <c r="CE18" s="1085"/>
      <c r="CF18" s="1085"/>
      <c r="CG18" s="1085"/>
      <c r="CH18" s="1085"/>
      <c r="CI18" s="1085"/>
      <c r="CJ18" s="1085"/>
      <c r="CK18" s="1085"/>
      <c r="CL18" s="1085"/>
      <c r="CM18" s="1085"/>
      <c r="CN18" s="1085"/>
      <c r="CO18" s="1085"/>
      <c r="CP18" s="1085"/>
      <c r="CQ18" s="1085"/>
      <c r="CR18" s="1085"/>
      <c r="CS18" s="1085"/>
      <c r="CT18" s="1085"/>
      <c r="CU18" s="1085"/>
      <c r="CV18" s="1085"/>
      <c r="CW18" s="1085"/>
      <c r="CX18" s="1085"/>
      <c r="CY18" s="1085"/>
    </row>
    <row r="19" spans="1:103" ht="15.6">
      <c r="A19" s="1081" t="s">
        <v>120</v>
      </c>
      <c r="B19" s="1082">
        <f t="shared" si="0"/>
        <v>0</v>
      </c>
      <c r="C19" s="1083">
        <v>1</v>
      </c>
      <c r="D19" s="1084"/>
      <c r="E19" s="1085"/>
      <c r="F19" s="1085"/>
      <c r="G19" s="1085"/>
      <c r="H19" s="1085"/>
      <c r="I19" s="1085"/>
      <c r="J19" s="1085"/>
      <c r="K19" s="1085"/>
      <c r="L19" s="1085"/>
      <c r="M19" s="1085"/>
      <c r="N19" s="1085"/>
      <c r="O19" s="1085"/>
      <c r="P19" s="1085"/>
      <c r="Q19" s="1085"/>
      <c r="R19" s="1085"/>
      <c r="S19" s="1085"/>
      <c r="T19" s="1085"/>
      <c r="U19" s="1085"/>
      <c r="V19" s="1085"/>
      <c r="W19" s="1085"/>
      <c r="X19" s="1085"/>
      <c r="Y19" s="1085"/>
      <c r="Z19" s="1085"/>
      <c r="AA19" s="1085"/>
      <c r="AB19" s="1085"/>
      <c r="AC19" s="1085"/>
      <c r="AD19" s="1085"/>
      <c r="AE19" s="1085"/>
      <c r="AF19" s="1085"/>
      <c r="AG19" s="1085"/>
      <c r="AH19" s="1085"/>
      <c r="AI19" s="1085"/>
      <c r="AJ19" s="1085"/>
      <c r="AK19" s="1085"/>
      <c r="AL19" s="1085"/>
      <c r="AM19" s="1085"/>
      <c r="AN19" s="1085"/>
      <c r="AO19" s="1085"/>
      <c r="AP19" s="1085"/>
      <c r="AQ19" s="1085"/>
      <c r="AR19" s="1085"/>
      <c r="AS19" s="1085"/>
      <c r="AT19" s="1085"/>
      <c r="AU19" s="1085"/>
      <c r="AV19" s="1085"/>
      <c r="AW19" s="1085"/>
      <c r="AX19" s="1085"/>
      <c r="AY19" s="1085"/>
      <c r="AZ19" s="1085"/>
      <c r="BA19" s="1085"/>
      <c r="BB19" s="1085"/>
      <c r="BC19" s="1085"/>
      <c r="BD19" s="1085"/>
      <c r="BE19" s="1085"/>
      <c r="BF19" s="1085"/>
      <c r="BG19" s="1085"/>
      <c r="BH19" s="1085"/>
      <c r="BI19" s="1085"/>
      <c r="BJ19" s="1085"/>
      <c r="BK19" s="1085"/>
      <c r="BL19" s="1085"/>
      <c r="BM19" s="1085"/>
      <c r="BN19" s="1085"/>
      <c r="BO19" s="1085"/>
      <c r="BP19" s="1085"/>
      <c r="BQ19" s="1085"/>
      <c r="BR19" s="1085"/>
      <c r="BS19" s="1085"/>
      <c r="BT19" s="1085"/>
      <c r="BU19" s="1085"/>
      <c r="BV19" s="1085"/>
      <c r="BW19" s="1085"/>
      <c r="BX19" s="1085"/>
      <c r="BY19" s="1085"/>
      <c r="BZ19" s="1085"/>
      <c r="CA19" s="1085"/>
      <c r="CB19" s="1085"/>
      <c r="CC19" s="1085"/>
      <c r="CD19" s="1085"/>
      <c r="CE19" s="1085"/>
      <c r="CF19" s="1085"/>
      <c r="CG19" s="1085"/>
      <c r="CH19" s="1085"/>
      <c r="CI19" s="1085"/>
      <c r="CJ19" s="1085"/>
      <c r="CK19" s="1085"/>
      <c r="CL19" s="1085"/>
      <c r="CM19" s="1085"/>
      <c r="CN19" s="1085"/>
      <c r="CO19" s="1085"/>
      <c r="CP19" s="1085"/>
      <c r="CQ19" s="1085"/>
      <c r="CR19" s="1085"/>
      <c r="CS19" s="1085"/>
      <c r="CT19" s="1085"/>
      <c r="CU19" s="1085"/>
      <c r="CV19" s="1085"/>
      <c r="CW19" s="1085"/>
      <c r="CX19" s="1085"/>
      <c r="CY19" s="1085"/>
    </row>
    <row r="20" spans="1:103" ht="15.6">
      <c r="A20" s="1081" t="s">
        <v>122</v>
      </c>
      <c r="B20" s="1082">
        <f t="shared" si="0"/>
        <v>0</v>
      </c>
      <c r="C20" s="1083">
        <v>5</v>
      </c>
      <c r="D20" s="1084"/>
      <c r="E20" s="1085"/>
      <c r="F20" s="1085"/>
      <c r="G20" s="1085"/>
      <c r="H20" s="1085"/>
      <c r="I20" s="1085"/>
      <c r="J20" s="1085"/>
      <c r="K20" s="1085"/>
      <c r="L20" s="1085"/>
      <c r="M20" s="1085"/>
      <c r="N20" s="1085"/>
      <c r="O20" s="1085"/>
      <c r="P20" s="1085"/>
      <c r="Q20" s="1085"/>
      <c r="R20" s="1085"/>
      <c r="S20" s="1085"/>
      <c r="T20" s="1085"/>
      <c r="U20" s="1085"/>
      <c r="V20" s="1085"/>
      <c r="W20" s="1085"/>
      <c r="X20" s="1085"/>
      <c r="Y20" s="1085"/>
      <c r="Z20" s="1085"/>
      <c r="AA20" s="1085"/>
      <c r="AB20" s="1085"/>
      <c r="AC20" s="1085"/>
      <c r="AD20" s="1085"/>
      <c r="AE20" s="1085"/>
      <c r="AF20" s="1085"/>
      <c r="AG20" s="1085"/>
      <c r="AH20" s="1085"/>
      <c r="AI20" s="1085"/>
      <c r="AJ20" s="1085"/>
      <c r="AK20" s="1085"/>
      <c r="AL20" s="1085"/>
      <c r="AM20" s="1085"/>
      <c r="AN20" s="1085"/>
      <c r="AO20" s="1085"/>
      <c r="AP20" s="1085"/>
      <c r="AQ20" s="1085"/>
      <c r="AR20" s="1085"/>
      <c r="AS20" s="1085"/>
      <c r="AT20" s="1085"/>
      <c r="AU20" s="1085"/>
      <c r="AV20" s="1085"/>
      <c r="AW20" s="1085"/>
      <c r="AX20" s="1085"/>
      <c r="AY20" s="1085"/>
      <c r="AZ20" s="1085"/>
      <c r="BA20" s="1085"/>
      <c r="BB20" s="1085"/>
      <c r="BC20" s="1085"/>
      <c r="BD20" s="1085"/>
      <c r="BE20" s="1085"/>
      <c r="BF20" s="1085"/>
      <c r="BG20" s="1085"/>
      <c r="BH20" s="1085"/>
      <c r="BI20" s="1085"/>
      <c r="BJ20" s="1085"/>
      <c r="BK20" s="1085"/>
      <c r="BL20" s="1085"/>
      <c r="BM20" s="1085"/>
      <c r="BN20" s="1085"/>
      <c r="BO20" s="1085"/>
      <c r="BP20" s="1085"/>
      <c r="BQ20" s="1085"/>
      <c r="BR20" s="1085"/>
      <c r="BS20" s="1085"/>
      <c r="BT20" s="1085"/>
      <c r="BU20" s="1085"/>
      <c r="BV20" s="1085"/>
      <c r="BW20" s="1085"/>
      <c r="BX20" s="1085"/>
      <c r="BY20" s="1085"/>
      <c r="BZ20" s="1085"/>
      <c r="CA20" s="1085"/>
      <c r="CB20" s="1085"/>
      <c r="CC20" s="1085"/>
      <c r="CD20" s="1085"/>
      <c r="CE20" s="1085"/>
      <c r="CF20" s="1085"/>
      <c r="CG20" s="1085"/>
      <c r="CH20" s="1085"/>
      <c r="CI20" s="1085"/>
      <c r="CJ20" s="1085"/>
      <c r="CK20" s="1085"/>
      <c r="CL20" s="1085"/>
      <c r="CM20" s="1085"/>
      <c r="CN20" s="1085"/>
      <c r="CO20" s="1085"/>
      <c r="CP20" s="1085"/>
      <c r="CQ20" s="1085"/>
      <c r="CR20" s="1085"/>
      <c r="CS20" s="1085"/>
      <c r="CT20" s="1085"/>
      <c r="CU20" s="1085"/>
      <c r="CV20" s="1085"/>
      <c r="CW20" s="1085"/>
      <c r="CX20" s="1085"/>
      <c r="CY20" s="1085"/>
    </row>
    <row r="21" spans="1:103" ht="15.6">
      <c r="A21" s="1081" t="s">
        <v>1366</v>
      </c>
      <c r="B21" s="1082">
        <f t="shared" si="0"/>
        <v>0</v>
      </c>
      <c r="C21" s="1083">
        <v>25</v>
      </c>
      <c r="D21" s="1084"/>
      <c r="E21" s="1085"/>
      <c r="F21" s="1085"/>
      <c r="G21" s="1085"/>
      <c r="H21" s="1085"/>
      <c r="I21" s="1085"/>
      <c r="J21" s="1085"/>
      <c r="K21" s="1085"/>
      <c r="L21" s="1085"/>
      <c r="M21" s="1085"/>
      <c r="N21" s="1085"/>
      <c r="O21" s="1085"/>
      <c r="P21" s="1085"/>
      <c r="Q21" s="1085"/>
      <c r="R21" s="1085"/>
      <c r="S21" s="1085"/>
      <c r="T21" s="1085"/>
      <c r="U21" s="1085"/>
      <c r="V21" s="1085"/>
      <c r="W21" s="1085"/>
      <c r="X21" s="1085"/>
      <c r="Y21" s="1085"/>
      <c r="Z21" s="1085"/>
      <c r="AA21" s="1085"/>
      <c r="AB21" s="1085"/>
      <c r="AC21" s="1085"/>
      <c r="AD21" s="1085"/>
      <c r="AE21" s="1085"/>
      <c r="AF21" s="1085"/>
      <c r="AG21" s="1085"/>
      <c r="AH21" s="1085"/>
      <c r="AI21" s="1085"/>
      <c r="AJ21" s="1085"/>
      <c r="AK21" s="1085"/>
      <c r="AL21" s="1085"/>
      <c r="AM21" s="1085"/>
      <c r="AN21" s="1085"/>
      <c r="AO21" s="1085"/>
      <c r="AP21" s="1085"/>
      <c r="AQ21" s="1085"/>
      <c r="AR21" s="1085"/>
      <c r="AS21" s="1085"/>
      <c r="AT21" s="1085"/>
      <c r="AU21" s="1085"/>
      <c r="AV21" s="1085"/>
      <c r="AW21" s="1085"/>
      <c r="AX21" s="1085"/>
      <c r="AY21" s="1085"/>
      <c r="AZ21" s="1085"/>
      <c r="BA21" s="1085"/>
      <c r="BB21" s="1085"/>
      <c r="BC21" s="1085"/>
      <c r="BD21" s="1085"/>
      <c r="BE21" s="1085"/>
      <c r="BF21" s="1085"/>
      <c r="BG21" s="1085"/>
      <c r="BH21" s="1085"/>
      <c r="BI21" s="1085"/>
      <c r="BJ21" s="1085"/>
      <c r="BK21" s="1085"/>
      <c r="BL21" s="1085"/>
      <c r="BM21" s="1085"/>
      <c r="BN21" s="1085"/>
      <c r="BO21" s="1085"/>
      <c r="BP21" s="1085"/>
      <c r="BQ21" s="1085"/>
      <c r="BR21" s="1085"/>
      <c r="BS21" s="1085"/>
      <c r="BT21" s="1085"/>
      <c r="BU21" s="1085"/>
      <c r="BV21" s="1085"/>
      <c r="BW21" s="1085"/>
      <c r="BX21" s="1085"/>
      <c r="BY21" s="1085"/>
      <c r="BZ21" s="1085"/>
      <c r="CA21" s="1085"/>
      <c r="CB21" s="1085"/>
      <c r="CC21" s="1085"/>
      <c r="CD21" s="1085"/>
      <c r="CE21" s="1085"/>
      <c r="CF21" s="1085"/>
      <c r="CG21" s="1085"/>
      <c r="CH21" s="1085"/>
      <c r="CI21" s="1085"/>
      <c r="CJ21" s="1085"/>
      <c r="CK21" s="1085"/>
      <c r="CL21" s="1085"/>
      <c r="CM21" s="1085"/>
      <c r="CN21" s="1085"/>
      <c r="CO21" s="1085"/>
      <c r="CP21" s="1085"/>
      <c r="CQ21" s="1085"/>
      <c r="CR21" s="1085"/>
      <c r="CS21" s="1085"/>
      <c r="CT21" s="1085"/>
      <c r="CU21" s="1085"/>
      <c r="CV21" s="1085"/>
      <c r="CW21" s="1085"/>
      <c r="CX21" s="1085"/>
      <c r="CY21" s="1085"/>
    </row>
    <row r="22" spans="1:103" ht="15.6">
      <c r="A22" s="1081" t="s">
        <v>127</v>
      </c>
      <c r="B22" s="1082">
        <f t="shared" si="0"/>
        <v>0</v>
      </c>
      <c r="C22" s="1083">
        <v>0</v>
      </c>
      <c r="D22" s="1084"/>
      <c r="E22" s="1085"/>
      <c r="F22" s="1085"/>
      <c r="G22" s="1085"/>
      <c r="H22" s="1085"/>
      <c r="I22" s="1085"/>
      <c r="J22" s="1085"/>
      <c r="K22" s="1085"/>
      <c r="L22" s="1085"/>
      <c r="M22" s="1085"/>
      <c r="N22" s="1085"/>
      <c r="O22" s="1085"/>
      <c r="P22" s="1085"/>
      <c r="Q22" s="1085"/>
      <c r="R22" s="1085"/>
      <c r="S22" s="1085"/>
      <c r="T22" s="1085"/>
      <c r="U22" s="1085"/>
      <c r="V22" s="1085"/>
      <c r="W22" s="1085"/>
      <c r="X22" s="1085"/>
      <c r="Y22" s="1085"/>
      <c r="Z22" s="1085"/>
      <c r="AA22" s="1085"/>
      <c r="AB22" s="1085"/>
      <c r="AC22" s="1085"/>
      <c r="AD22" s="1085"/>
      <c r="AE22" s="1085"/>
      <c r="AF22" s="1085"/>
      <c r="AG22" s="1085"/>
      <c r="AH22" s="1085"/>
      <c r="AI22" s="1085"/>
      <c r="AJ22" s="1085"/>
      <c r="AK22" s="1085"/>
      <c r="AL22" s="1085"/>
      <c r="AM22" s="1085"/>
      <c r="AN22" s="1085"/>
      <c r="AO22" s="1085"/>
      <c r="AP22" s="1085"/>
      <c r="AQ22" s="1085"/>
      <c r="AR22" s="1085"/>
      <c r="AS22" s="1085"/>
      <c r="AT22" s="1085"/>
      <c r="AU22" s="1085"/>
      <c r="AV22" s="1085"/>
      <c r="AW22" s="1085"/>
      <c r="AX22" s="1085"/>
      <c r="AY22" s="1085"/>
      <c r="AZ22" s="1085"/>
      <c r="BA22" s="1085"/>
      <c r="BB22" s="1085"/>
      <c r="BC22" s="1085"/>
      <c r="BD22" s="1085"/>
      <c r="BE22" s="1085"/>
      <c r="BF22" s="1085"/>
      <c r="BG22" s="1085"/>
      <c r="BH22" s="1085"/>
      <c r="BI22" s="1085"/>
      <c r="BJ22" s="1085"/>
      <c r="BK22" s="1085"/>
      <c r="BL22" s="1085"/>
      <c r="BM22" s="1085"/>
      <c r="BN22" s="1085"/>
      <c r="BO22" s="1085"/>
      <c r="BP22" s="1085"/>
      <c r="BQ22" s="1085"/>
      <c r="BR22" s="1085"/>
      <c r="BS22" s="1085"/>
      <c r="BT22" s="1085"/>
      <c r="BU22" s="1085"/>
      <c r="BV22" s="1085"/>
      <c r="BW22" s="1085"/>
      <c r="BX22" s="1085"/>
      <c r="BY22" s="1085"/>
      <c r="BZ22" s="1085"/>
      <c r="CA22" s="1085"/>
      <c r="CB22" s="1085"/>
      <c r="CC22" s="1085"/>
      <c r="CD22" s="1085"/>
      <c r="CE22" s="1085"/>
      <c r="CF22" s="1085"/>
      <c r="CG22" s="1085"/>
      <c r="CH22" s="1085"/>
      <c r="CI22" s="1085"/>
      <c r="CJ22" s="1085"/>
      <c r="CK22" s="1085"/>
      <c r="CL22" s="1085"/>
      <c r="CM22" s="1085"/>
      <c r="CN22" s="1085"/>
      <c r="CO22" s="1085"/>
      <c r="CP22" s="1085"/>
      <c r="CQ22" s="1085"/>
      <c r="CR22" s="1085"/>
      <c r="CS22" s="1085"/>
      <c r="CT22" s="1085"/>
      <c r="CU22" s="1085"/>
      <c r="CV22" s="1085"/>
      <c r="CW22" s="1085"/>
      <c r="CX22" s="1085"/>
      <c r="CY22" s="1085"/>
    </row>
    <row r="23" spans="1:103" ht="15.6">
      <c r="A23" s="1081" t="s">
        <v>131</v>
      </c>
      <c r="B23" s="1082">
        <f t="shared" si="0"/>
        <v>0</v>
      </c>
      <c r="C23" s="1083">
        <v>0</v>
      </c>
      <c r="D23" s="1084"/>
      <c r="E23" s="1085"/>
      <c r="F23" s="1085"/>
      <c r="G23" s="1085"/>
      <c r="H23" s="1085"/>
      <c r="I23" s="1085"/>
      <c r="J23" s="1085"/>
      <c r="K23" s="1085"/>
      <c r="L23" s="1085"/>
      <c r="M23" s="1085"/>
      <c r="N23" s="1085"/>
      <c r="O23" s="1085"/>
      <c r="P23" s="1085"/>
      <c r="Q23" s="1085"/>
      <c r="R23" s="1085"/>
      <c r="S23" s="1085"/>
      <c r="T23" s="1085"/>
      <c r="U23" s="1085"/>
      <c r="V23" s="1085"/>
      <c r="W23" s="1085"/>
      <c r="X23" s="1085"/>
      <c r="Y23" s="1085"/>
      <c r="Z23" s="1085"/>
      <c r="AA23" s="1085"/>
      <c r="AB23" s="1085"/>
      <c r="AC23" s="1085"/>
      <c r="AD23" s="1085"/>
      <c r="AE23" s="1085"/>
      <c r="AF23" s="1085"/>
      <c r="AG23" s="1085"/>
      <c r="AH23" s="1085"/>
      <c r="AI23" s="1085"/>
      <c r="AJ23" s="1085"/>
      <c r="AK23" s="1085"/>
      <c r="AL23" s="1085"/>
      <c r="AM23" s="1085"/>
      <c r="AN23" s="1085"/>
      <c r="AO23" s="1085"/>
      <c r="AP23" s="1085"/>
      <c r="AQ23" s="1085"/>
      <c r="AR23" s="1085"/>
      <c r="AS23" s="1085"/>
      <c r="AT23" s="1085"/>
      <c r="AU23" s="1085"/>
      <c r="AV23" s="1085"/>
      <c r="AW23" s="1085"/>
      <c r="AX23" s="1085"/>
      <c r="AY23" s="1085"/>
      <c r="AZ23" s="1085"/>
      <c r="BA23" s="1085"/>
      <c r="BB23" s="1085"/>
      <c r="BC23" s="1085"/>
      <c r="BD23" s="1085"/>
      <c r="BE23" s="1085"/>
      <c r="BF23" s="1085"/>
      <c r="BG23" s="1085"/>
      <c r="BH23" s="1085"/>
      <c r="BI23" s="1085"/>
      <c r="BJ23" s="1085"/>
      <c r="BK23" s="1085"/>
      <c r="BL23" s="1085"/>
      <c r="BM23" s="1085"/>
      <c r="BN23" s="1085"/>
      <c r="BO23" s="1085"/>
      <c r="BP23" s="1085"/>
      <c r="BQ23" s="1085"/>
      <c r="BR23" s="1085"/>
      <c r="BS23" s="1085"/>
      <c r="BT23" s="1085"/>
      <c r="BU23" s="1085"/>
      <c r="BV23" s="1085"/>
      <c r="BW23" s="1085"/>
      <c r="BX23" s="1085"/>
      <c r="BY23" s="1085"/>
      <c r="BZ23" s="1085"/>
      <c r="CA23" s="1085"/>
      <c r="CB23" s="1085"/>
      <c r="CC23" s="1085"/>
      <c r="CD23" s="1085"/>
      <c r="CE23" s="1085"/>
      <c r="CF23" s="1085"/>
      <c r="CG23" s="1085"/>
      <c r="CH23" s="1085"/>
      <c r="CI23" s="1085"/>
      <c r="CJ23" s="1085"/>
      <c r="CK23" s="1085"/>
      <c r="CL23" s="1085"/>
      <c r="CM23" s="1085"/>
      <c r="CN23" s="1085"/>
      <c r="CO23" s="1085"/>
      <c r="CP23" s="1085"/>
      <c r="CQ23" s="1085"/>
      <c r="CR23" s="1085"/>
      <c r="CS23" s="1085"/>
      <c r="CT23" s="1085"/>
      <c r="CU23" s="1085"/>
      <c r="CV23" s="1085"/>
      <c r="CW23" s="1085"/>
      <c r="CX23" s="1085"/>
      <c r="CY23" s="1085"/>
    </row>
    <row r="24" spans="1:103" ht="15.6">
      <c r="A24" s="1081" t="s">
        <v>136</v>
      </c>
      <c r="B24" s="1082">
        <f t="shared" si="0"/>
        <v>0</v>
      </c>
      <c r="C24" s="1083">
        <v>0</v>
      </c>
      <c r="D24" s="1084"/>
      <c r="E24" s="1085"/>
      <c r="F24" s="1085"/>
      <c r="G24" s="1085"/>
      <c r="H24" s="1085"/>
      <c r="I24" s="1085"/>
      <c r="J24" s="1085"/>
      <c r="K24" s="1085"/>
      <c r="L24" s="1085"/>
      <c r="M24" s="1085"/>
      <c r="N24" s="1085"/>
      <c r="O24" s="1085"/>
      <c r="P24" s="1085"/>
      <c r="Q24" s="1085"/>
      <c r="R24" s="1085"/>
      <c r="S24" s="1085"/>
      <c r="T24" s="1085"/>
      <c r="U24" s="1085"/>
      <c r="V24" s="1085"/>
      <c r="W24" s="1085"/>
      <c r="X24" s="1085"/>
      <c r="Y24" s="1085"/>
      <c r="Z24" s="1085"/>
      <c r="AA24" s="1085"/>
      <c r="AB24" s="1085"/>
      <c r="AC24" s="1085"/>
      <c r="AD24" s="1085"/>
      <c r="AE24" s="1085"/>
      <c r="AF24" s="1085"/>
      <c r="AG24" s="1085"/>
      <c r="AH24" s="1085"/>
      <c r="AI24" s="1085"/>
      <c r="AJ24" s="1085"/>
      <c r="AK24" s="1085"/>
      <c r="AL24" s="1085"/>
      <c r="AM24" s="1085"/>
      <c r="AN24" s="1085"/>
      <c r="AO24" s="1085"/>
      <c r="AP24" s="1085"/>
      <c r="AQ24" s="1085"/>
      <c r="AR24" s="1085"/>
      <c r="AS24" s="1085"/>
      <c r="AT24" s="1085"/>
      <c r="AU24" s="1085"/>
      <c r="AV24" s="1085"/>
      <c r="AW24" s="1085"/>
      <c r="AX24" s="1085"/>
      <c r="AY24" s="1085"/>
      <c r="AZ24" s="1085"/>
      <c r="BA24" s="1085"/>
      <c r="BB24" s="1085"/>
      <c r="BC24" s="1085"/>
      <c r="BD24" s="1085"/>
      <c r="BE24" s="1085"/>
      <c r="BF24" s="1085"/>
      <c r="BG24" s="1085"/>
      <c r="BH24" s="1085"/>
      <c r="BI24" s="1085"/>
      <c r="BJ24" s="1085"/>
      <c r="BK24" s="1085"/>
      <c r="BL24" s="1085"/>
      <c r="BM24" s="1085"/>
      <c r="BN24" s="1085"/>
      <c r="BO24" s="1085"/>
      <c r="BP24" s="1085"/>
      <c r="BQ24" s="1085"/>
      <c r="BR24" s="1085"/>
      <c r="BS24" s="1085"/>
      <c r="BT24" s="1085"/>
      <c r="BU24" s="1085"/>
      <c r="BV24" s="1085"/>
      <c r="BW24" s="1085"/>
      <c r="BX24" s="1085"/>
      <c r="BY24" s="1085"/>
      <c r="BZ24" s="1085"/>
      <c r="CA24" s="1085"/>
      <c r="CB24" s="1085"/>
      <c r="CC24" s="1085"/>
      <c r="CD24" s="1085"/>
      <c r="CE24" s="1085"/>
      <c r="CF24" s="1085"/>
      <c r="CG24" s="1085"/>
      <c r="CH24" s="1085"/>
      <c r="CI24" s="1085"/>
      <c r="CJ24" s="1085"/>
      <c r="CK24" s="1085"/>
      <c r="CL24" s="1085"/>
      <c r="CM24" s="1085"/>
      <c r="CN24" s="1085"/>
      <c r="CO24" s="1085"/>
      <c r="CP24" s="1085"/>
      <c r="CQ24" s="1085"/>
      <c r="CR24" s="1085"/>
      <c r="CS24" s="1085"/>
      <c r="CT24" s="1085"/>
      <c r="CU24" s="1085"/>
      <c r="CV24" s="1085"/>
      <c r="CW24" s="1085"/>
      <c r="CX24" s="1085"/>
      <c r="CY24" s="1085"/>
    </row>
    <row r="25" spans="1:103" ht="15.6">
      <c r="A25" s="1081" t="s">
        <v>1367</v>
      </c>
      <c r="B25" s="1082">
        <f t="shared" si="0"/>
        <v>0</v>
      </c>
      <c r="C25" s="1083">
        <v>20</v>
      </c>
      <c r="D25" s="1084"/>
      <c r="E25" s="1085"/>
      <c r="F25" s="1085"/>
      <c r="G25" s="1085"/>
      <c r="H25" s="1085"/>
      <c r="I25" s="1085"/>
      <c r="J25" s="1085"/>
      <c r="K25" s="1085"/>
      <c r="L25" s="1085"/>
      <c r="M25" s="1085"/>
      <c r="N25" s="1085"/>
      <c r="O25" s="1085"/>
      <c r="P25" s="1085"/>
      <c r="Q25" s="1085"/>
      <c r="R25" s="1085"/>
      <c r="S25" s="1085"/>
      <c r="T25" s="1085"/>
      <c r="U25" s="1085"/>
      <c r="V25" s="1085"/>
      <c r="W25" s="1085"/>
      <c r="X25" s="1085"/>
      <c r="Y25" s="1085"/>
      <c r="Z25" s="1085"/>
      <c r="AA25" s="1085"/>
      <c r="AB25" s="1085"/>
      <c r="AC25" s="1085"/>
      <c r="AD25" s="1085"/>
      <c r="AE25" s="1085"/>
      <c r="AF25" s="1085"/>
      <c r="AG25" s="1085"/>
      <c r="AH25" s="1085"/>
      <c r="AI25" s="1085"/>
      <c r="AJ25" s="1085"/>
      <c r="AK25" s="1085"/>
      <c r="AL25" s="1085"/>
      <c r="AM25" s="1085"/>
      <c r="AN25" s="1085"/>
      <c r="AO25" s="1085"/>
      <c r="AP25" s="1085"/>
      <c r="AQ25" s="1085"/>
      <c r="AR25" s="1085"/>
      <c r="AS25" s="1085"/>
      <c r="AT25" s="1085"/>
      <c r="AU25" s="1085"/>
      <c r="AV25" s="1085"/>
      <c r="AW25" s="1085"/>
      <c r="AX25" s="1085"/>
      <c r="AY25" s="1085"/>
      <c r="AZ25" s="1085"/>
      <c r="BA25" s="1085"/>
      <c r="BB25" s="1085"/>
      <c r="BC25" s="1085"/>
      <c r="BD25" s="1085"/>
      <c r="BE25" s="1085"/>
      <c r="BF25" s="1085"/>
      <c r="BG25" s="1085"/>
      <c r="BH25" s="1085"/>
      <c r="BI25" s="1085"/>
      <c r="BJ25" s="1085"/>
      <c r="BK25" s="1085"/>
      <c r="BL25" s="1085"/>
      <c r="BM25" s="1085"/>
      <c r="BN25" s="1085"/>
      <c r="BO25" s="1085"/>
      <c r="BP25" s="1085"/>
      <c r="BQ25" s="1085"/>
      <c r="BR25" s="1085"/>
      <c r="BS25" s="1085"/>
      <c r="BT25" s="1085"/>
      <c r="BU25" s="1085"/>
      <c r="BV25" s="1085"/>
      <c r="BW25" s="1085"/>
      <c r="BX25" s="1085"/>
      <c r="BY25" s="1085"/>
      <c r="BZ25" s="1085"/>
      <c r="CA25" s="1085"/>
      <c r="CB25" s="1085"/>
      <c r="CC25" s="1085"/>
      <c r="CD25" s="1085"/>
      <c r="CE25" s="1085"/>
      <c r="CF25" s="1085"/>
      <c r="CG25" s="1085"/>
      <c r="CH25" s="1085"/>
      <c r="CI25" s="1085"/>
      <c r="CJ25" s="1085"/>
      <c r="CK25" s="1085"/>
      <c r="CL25" s="1085"/>
      <c r="CM25" s="1085"/>
      <c r="CN25" s="1085"/>
      <c r="CO25" s="1085"/>
      <c r="CP25" s="1085"/>
      <c r="CQ25" s="1085"/>
      <c r="CR25" s="1085"/>
      <c r="CS25" s="1085"/>
      <c r="CT25" s="1085"/>
      <c r="CU25" s="1085"/>
      <c r="CV25" s="1085"/>
      <c r="CW25" s="1085"/>
      <c r="CX25" s="1085"/>
      <c r="CY25" s="1085"/>
    </row>
    <row r="26" spans="1:103" ht="15.6">
      <c r="A26" s="1081" t="s">
        <v>142</v>
      </c>
      <c r="B26" s="1082">
        <f t="shared" si="0"/>
        <v>0</v>
      </c>
      <c r="C26" s="1083">
        <v>25</v>
      </c>
      <c r="D26" s="1084"/>
      <c r="E26" s="1085"/>
      <c r="F26" s="1085"/>
      <c r="G26" s="1085"/>
      <c r="H26" s="1085"/>
      <c r="I26" s="1085"/>
      <c r="J26" s="1085"/>
      <c r="K26" s="1085"/>
      <c r="L26" s="1085"/>
      <c r="M26" s="1085"/>
      <c r="N26" s="1085"/>
      <c r="O26" s="1085"/>
      <c r="P26" s="1085"/>
      <c r="Q26" s="1085"/>
      <c r="R26" s="1085"/>
      <c r="S26" s="1085"/>
      <c r="T26" s="1085"/>
      <c r="U26" s="1085"/>
      <c r="V26" s="1085"/>
      <c r="W26" s="1085"/>
      <c r="X26" s="1085"/>
      <c r="Y26" s="1085"/>
      <c r="Z26" s="1085"/>
      <c r="AA26" s="1085"/>
      <c r="AB26" s="1085"/>
      <c r="AC26" s="1085"/>
      <c r="AD26" s="1085"/>
      <c r="AE26" s="1085"/>
      <c r="AF26" s="1085"/>
      <c r="AG26" s="1085"/>
      <c r="AH26" s="1085"/>
      <c r="AI26" s="1085"/>
      <c r="AJ26" s="1085"/>
      <c r="AK26" s="1085"/>
      <c r="AL26" s="1085"/>
      <c r="AM26" s="1085"/>
      <c r="AN26" s="1085"/>
      <c r="AO26" s="1085"/>
      <c r="AP26" s="1085"/>
      <c r="AQ26" s="1085"/>
      <c r="AR26" s="1085"/>
      <c r="AS26" s="1085"/>
      <c r="AT26" s="1085"/>
      <c r="AU26" s="1085"/>
      <c r="AV26" s="1085"/>
      <c r="AW26" s="1085"/>
      <c r="AX26" s="1085"/>
      <c r="AY26" s="1085"/>
      <c r="AZ26" s="1085"/>
      <c r="BA26" s="1085"/>
      <c r="BB26" s="1085"/>
      <c r="BC26" s="1085"/>
      <c r="BD26" s="1085"/>
      <c r="BE26" s="1085"/>
      <c r="BF26" s="1085"/>
      <c r="BG26" s="1085"/>
      <c r="BH26" s="1085"/>
      <c r="BI26" s="1085"/>
      <c r="BJ26" s="1085"/>
      <c r="BK26" s="1085"/>
      <c r="BL26" s="1085"/>
      <c r="BM26" s="1085"/>
      <c r="BN26" s="1085"/>
      <c r="BO26" s="1085"/>
      <c r="BP26" s="1085"/>
      <c r="BQ26" s="1085"/>
      <c r="BR26" s="1085"/>
      <c r="BS26" s="1085"/>
      <c r="BT26" s="1085"/>
      <c r="BU26" s="1085"/>
      <c r="BV26" s="1085"/>
      <c r="BW26" s="1085"/>
      <c r="BX26" s="1085"/>
      <c r="BY26" s="1085"/>
      <c r="BZ26" s="1085"/>
      <c r="CA26" s="1085"/>
      <c r="CB26" s="1085"/>
      <c r="CC26" s="1085"/>
      <c r="CD26" s="1085"/>
      <c r="CE26" s="1085"/>
      <c r="CF26" s="1085"/>
      <c r="CG26" s="1085"/>
      <c r="CH26" s="1085"/>
      <c r="CI26" s="1085"/>
      <c r="CJ26" s="1085"/>
      <c r="CK26" s="1085"/>
      <c r="CL26" s="1085"/>
      <c r="CM26" s="1085"/>
      <c r="CN26" s="1085"/>
      <c r="CO26" s="1085"/>
      <c r="CP26" s="1085"/>
      <c r="CQ26" s="1085"/>
      <c r="CR26" s="1085"/>
      <c r="CS26" s="1085"/>
      <c r="CT26" s="1085"/>
      <c r="CU26" s="1085"/>
      <c r="CV26" s="1085"/>
      <c r="CW26" s="1085"/>
      <c r="CX26" s="1085"/>
      <c r="CY26" s="1085"/>
    </row>
    <row r="27" spans="1:103" ht="15.6">
      <c r="A27" s="1081" t="s">
        <v>144</v>
      </c>
      <c r="B27" s="1082">
        <f t="shared" si="0"/>
        <v>0</v>
      </c>
      <c r="C27" s="1083">
        <v>0</v>
      </c>
      <c r="D27" s="1084"/>
      <c r="E27" s="1085"/>
      <c r="F27" s="1085"/>
      <c r="G27" s="1085"/>
      <c r="H27" s="1085"/>
      <c r="I27" s="1085"/>
      <c r="J27" s="1085"/>
      <c r="K27" s="1085"/>
      <c r="L27" s="1085"/>
      <c r="M27" s="1085"/>
      <c r="N27" s="1085"/>
      <c r="O27" s="1085"/>
      <c r="P27" s="1085"/>
      <c r="Q27" s="1085"/>
      <c r="R27" s="1085"/>
      <c r="S27" s="1085"/>
      <c r="T27" s="1085"/>
      <c r="U27" s="1085"/>
      <c r="V27" s="1085"/>
      <c r="W27" s="1085"/>
      <c r="X27" s="1085"/>
      <c r="Y27" s="1085"/>
      <c r="Z27" s="1085"/>
      <c r="AA27" s="1085"/>
      <c r="AB27" s="1085"/>
      <c r="AC27" s="1085"/>
      <c r="AD27" s="1085"/>
      <c r="AE27" s="1085"/>
      <c r="AF27" s="1085"/>
      <c r="AG27" s="1085"/>
      <c r="AH27" s="1085"/>
      <c r="AI27" s="1085"/>
      <c r="AJ27" s="1085"/>
      <c r="AK27" s="1085"/>
      <c r="AL27" s="1085"/>
      <c r="AM27" s="1085"/>
      <c r="AN27" s="1085"/>
      <c r="AO27" s="1085"/>
      <c r="AP27" s="1085"/>
      <c r="AQ27" s="1085"/>
      <c r="AR27" s="1085"/>
      <c r="AS27" s="1085"/>
      <c r="AT27" s="1085"/>
      <c r="AU27" s="1085"/>
      <c r="AV27" s="1085"/>
      <c r="AW27" s="1085"/>
      <c r="AX27" s="1085"/>
      <c r="AY27" s="1085"/>
      <c r="AZ27" s="1085"/>
      <c r="BA27" s="1085"/>
      <c r="BB27" s="1085"/>
      <c r="BC27" s="1085"/>
      <c r="BD27" s="1085"/>
      <c r="BE27" s="1085"/>
      <c r="BF27" s="1085"/>
      <c r="BG27" s="1085"/>
      <c r="BH27" s="1085"/>
      <c r="BI27" s="1085"/>
      <c r="BJ27" s="1085"/>
      <c r="BK27" s="1085"/>
      <c r="BL27" s="1085"/>
      <c r="BM27" s="1085"/>
      <c r="BN27" s="1085"/>
      <c r="BO27" s="1085"/>
      <c r="BP27" s="1085"/>
      <c r="BQ27" s="1085"/>
      <c r="BR27" s="1085"/>
      <c r="BS27" s="1085"/>
      <c r="BT27" s="1085"/>
      <c r="BU27" s="1085"/>
      <c r="BV27" s="1085"/>
      <c r="BW27" s="1085"/>
      <c r="BX27" s="1085"/>
      <c r="BY27" s="1085"/>
      <c r="BZ27" s="1085"/>
      <c r="CA27" s="1085"/>
      <c r="CB27" s="1085"/>
      <c r="CC27" s="1085"/>
      <c r="CD27" s="1085"/>
      <c r="CE27" s="1085"/>
      <c r="CF27" s="1085"/>
      <c r="CG27" s="1085"/>
      <c r="CH27" s="1085"/>
      <c r="CI27" s="1085"/>
      <c r="CJ27" s="1085"/>
      <c r="CK27" s="1085"/>
      <c r="CL27" s="1085"/>
      <c r="CM27" s="1085"/>
      <c r="CN27" s="1085"/>
      <c r="CO27" s="1085"/>
      <c r="CP27" s="1085"/>
      <c r="CQ27" s="1085"/>
      <c r="CR27" s="1085"/>
      <c r="CS27" s="1085"/>
      <c r="CT27" s="1085"/>
      <c r="CU27" s="1085"/>
      <c r="CV27" s="1085"/>
      <c r="CW27" s="1085"/>
      <c r="CX27" s="1085"/>
      <c r="CY27" s="1085"/>
    </row>
    <row r="28" spans="1:103" ht="15.6">
      <c r="A28" s="1081" t="s">
        <v>146</v>
      </c>
      <c r="B28" s="1082">
        <f t="shared" si="0"/>
        <v>0</v>
      </c>
      <c r="C28" s="1083">
        <v>0</v>
      </c>
      <c r="D28" s="1084"/>
      <c r="E28" s="1085"/>
      <c r="F28" s="1085"/>
      <c r="G28" s="1085"/>
      <c r="H28" s="1085"/>
      <c r="I28" s="1085"/>
      <c r="J28" s="1085"/>
      <c r="K28" s="1085"/>
      <c r="L28" s="1085"/>
      <c r="M28" s="1085"/>
      <c r="N28" s="1085"/>
      <c r="O28" s="1085"/>
      <c r="P28" s="1085"/>
      <c r="Q28" s="1085"/>
      <c r="R28" s="1085"/>
      <c r="S28" s="1085"/>
      <c r="T28" s="1085"/>
      <c r="U28" s="1085"/>
      <c r="V28" s="1085"/>
      <c r="W28" s="1085"/>
      <c r="X28" s="1085"/>
      <c r="Y28" s="1085"/>
      <c r="Z28" s="1085"/>
      <c r="AA28" s="1085"/>
      <c r="AB28" s="1085"/>
      <c r="AC28" s="1085"/>
      <c r="AD28" s="1085"/>
      <c r="AE28" s="1085"/>
      <c r="AF28" s="1085"/>
      <c r="AG28" s="1085"/>
      <c r="AH28" s="1085"/>
      <c r="AI28" s="1085"/>
      <c r="AJ28" s="1085"/>
      <c r="AK28" s="1085"/>
      <c r="AL28" s="1085"/>
      <c r="AM28" s="1085"/>
      <c r="AN28" s="1085"/>
      <c r="AO28" s="1085"/>
      <c r="AP28" s="1085"/>
      <c r="AQ28" s="1085"/>
      <c r="AR28" s="1085"/>
      <c r="AS28" s="1085"/>
      <c r="AT28" s="1085"/>
      <c r="AU28" s="1085"/>
      <c r="AV28" s="1085"/>
      <c r="AW28" s="1085"/>
      <c r="AX28" s="1085"/>
      <c r="AY28" s="1085"/>
      <c r="AZ28" s="1085"/>
      <c r="BA28" s="1085"/>
      <c r="BB28" s="1085"/>
      <c r="BC28" s="1085"/>
      <c r="BD28" s="1085"/>
      <c r="BE28" s="1085"/>
      <c r="BF28" s="1085"/>
      <c r="BG28" s="1085"/>
      <c r="BH28" s="1085"/>
      <c r="BI28" s="1085"/>
      <c r="BJ28" s="1085"/>
      <c r="BK28" s="1085"/>
      <c r="BL28" s="1085"/>
      <c r="BM28" s="1085"/>
      <c r="BN28" s="1085"/>
      <c r="BO28" s="1085"/>
      <c r="BP28" s="1085"/>
      <c r="BQ28" s="1085"/>
      <c r="BR28" s="1085"/>
      <c r="BS28" s="1085"/>
      <c r="BT28" s="1085"/>
      <c r="BU28" s="1085"/>
      <c r="BV28" s="1085"/>
      <c r="BW28" s="1085"/>
      <c r="BX28" s="1085"/>
      <c r="BY28" s="1085"/>
      <c r="BZ28" s="1085"/>
      <c r="CA28" s="1085"/>
      <c r="CB28" s="1085"/>
      <c r="CC28" s="1085"/>
      <c r="CD28" s="1085"/>
      <c r="CE28" s="1085"/>
      <c r="CF28" s="1085"/>
      <c r="CG28" s="1085"/>
      <c r="CH28" s="1085"/>
      <c r="CI28" s="1085"/>
      <c r="CJ28" s="1085"/>
      <c r="CK28" s="1085"/>
      <c r="CL28" s="1085"/>
      <c r="CM28" s="1085"/>
      <c r="CN28" s="1085"/>
      <c r="CO28" s="1085"/>
      <c r="CP28" s="1085"/>
      <c r="CQ28" s="1085"/>
      <c r="CR28" s="1085"/>
      <c r="CS28" s="1085"/>
      <c r="CT28" s="1085"/>
      <c r="CU28" s="1085"/>
      <c r="CV28" s="1085"/>
      <c r="CW28" s="1085"/>
      <c r="CX28" s="1085"/>
      <c r="CY28" s="1085"/>
    </row>
    <row r="29" spans="1:103" ht="15.6">
      <c r="A29" s="1081" t="s">
        <v>148</v>
      </c>
      <c r="B29" s="1082">
        <f t="shared" si="0"/>
        <v>0</v>
      </c>
      <c r="C29" s="1083">
        <v>30</v>
      </c>
      <c r="D29" s="1084"/>
      <c r="E29" s="1085"/>
      <c r="F29" s="1085"/>
      <c r="G29" s="1085"/>
      <c r="H29" s="1085"/>
      <c r="I29" s="1085"/>
      <c r="J29" s="1085"/>
      <c r="K29" s="1085"/>
      <c r="L29" s="1085"/>
      <c r="M29" s="1085"/>
      <c r="N29" s="1085"/>
      <c r="O29" s="1085"/>
      <c r="P29" s="1085"/>
      <c r="Q29" s="1085"/>
      <c r="R29" s="1085"/>
      <c r="S29" s="1085"/>
      <c r="T29" s="1085"/>
      <c r="U29" s="1085"/>
      <c r="V29" s="1085"/>
      <c r="W29" s="1085"/>
      <c r="X29" s="1085"/>
      <c r="Y29" s="1085"/>
      <c r="Z29" s="1085"/>
      <c r="AA29" s="1085"/>
      <c r="AB29" s="1085"/>
      <c r="AC29" s="1085"/>
      <c r="AD29" s="1085"/>
      <c r="AE29" s="1085"/>
      <c r="AF29" s="1085"/>
      <c r="AG29" s="1085"/>
      <c r="AH29" s="1085"/>
      <c r="AI29" s="1085"/>
      <c r="AJ29" s="1085"/>
      <c r="AK29" s="1085"/>
      <c r="AL29" s="1085"/>
      <c r="AM29" s="1085"/>
      <c r="AN29" s="1085"/>
      <c r="AO29" s="1085"/>
      <c r="AP29" s="1085"/>
      <c r="AQ29" s="1085"/>
      <c r="AR29" s="1085"/>
      <c r="AS29" s="1085"/>
      <c r="AT29" s="1085"/>
      <c r="AU29" s="1085"/>
      <c r="AV29" s="1085"/>
      <c r="AW29" s="1085"/>
      <c r="AX29" s="1085"/>
      <c r="AY29" s="1085"/>
      <c r="AZ29" s="1085"/>
      <c r="BA29" s="1085"/>
      <c r="BB29" s="1085"/>
      <c r="BC29" s="1085"/>
      <c r="BD29" s="1085"/>
      <c r="BE29" s="1085"/>
      <c r="BF29" s="1085"/>
      <c r="BG29" s="1085"/>
      <c r="BH29" s="1085"/>
      <c r="BI29" s="1085"/>
      <c r="BJ29" s="1085"/>
      <c r="BK29" s="1085"/>
      <c r="BL29" s="1085"/>
      <c r="BM29" s="1085"/>
      <c r="BN29" s="1085"/>
      <c r="BO29" s="1085"/>
      <c r="BP29" s="1085"/>
      <c r="BQ29" s="1085"/>
      <c r="BR29" s="1085"/>
      <c r="BS29" s="1085"/>
      <c r="BT29" s="1085"/>
      <c r="BU29" s="1085"/>
      <c r="BV29" s="1085"/>
      <c r="BW29" s="1085"/>
      <c r="BX29" s="1085"/>
      <c r="BY29" s="1085"/>
      <c r="BZ29" s="1085"/>
      <c r="CA29" s="1085"/>
      <c r="CB29" s="1085"/>
      <c r="CC29" s="1085"/>
      <c r="CD29" s="1085"/>
      <c r="CE29" s="1085"/>
      <c r="CF29" s="1085"/>
      <c r="CG29" s="1085"/>
      <c r="CH29" s="1085"/>
      <c r="CI29" s="1085"/>
      <c r="CJ29" s="1085"/>
      <c r="CK29" s="1085"/>
      <c r="CL29" s="1085"/>
      <c r="CM29" s="1085"/>
      <c r="CN29" s="1085"/>
      <c r="CO29" s="1085"/>
      <c r="CP29" s="1085"/>
      <c r="CQ29" s="1085"/>
      <c r="CR29" s="1085"/>
      <c r="CS29" s="1085"/>
      <c r="CT29" s="1085"/>
      <c r="CU29" s="1085"/>
      <c r="CV29" s="1085"/>
      <c r="CW29" s="1085"/>
      <c r="CX29" s="1085"/>
      <c r="CY29" s="1085"/>
    </row>
    <row r="30" spans="1:103" ht="15.6">
      <c r="A30" s="1081" t="s">
        <v>150</v>
      </c>
      <c r="B30" s="1082">
        <f t="shared" si="0"/>
        <v>0</v>
      </c>
      <c r="C30" s="1083">
        <v>5</v>
      </c>
      <c r="D30" s="1084"/>
      <c r="E30" s="1085"/>
      <c r="F30" s="1085"/>
      <c r="G30" s="1085"/>
      <c r="H30" s="1085"/>
      <c r="I30" s="1085"/>
      <c r="J30" s="1085"/>
      <c r="K30" s="1085"/>
      <c r="L30" s="1085"/>
      <c r="M30" s="1085"/>
      <c r="N30" s="1085"/>
      <c r="O30" s="1085"/>
      <c r="P30" s="1085"/>
      <c r="Q30" s="1085"/>
      <c r="R30" s="1085"/>
      <c r="S30" s="1085"/>
      <c r="T30" s="1085"/>
      <c r="U30" s="1085"/>
      <c r="V30" s="1085"/>
      <c r="W30" s="1085"/>
      <c r="X30" s="1085"/>
      <c r="Y30" s="1085"/>
      <c r="Z30" s="1085"/>
      <c r="AA30" s="1085"/>
      <c r="AB30" s="1085"/>
      <c r="AC30" s="1085"/>
      <c r="AD30" s="1085"/>
      <c r="AE30" s="1085"/>
      <c r="AF30" s="1085"/>
      <c r="AG30" s="1085"/>
      <c r="AH30" s="1085"/>
      <c r="AI30" s="1085"/>
      <c r="AJ30" s="1085"/>
      <c r="AK30" s="1085"/>
      <c r="AL30" s="1085"/>
      <c r="AM30" s="1085"/>
      <c r="AN30" s="1085"/>
      <c r="AO30" s="1085"/>
      <c r="AP30" s="1085"/>
      <c r="AQ30" s="1085"/>
      <c r="AR30" s="1085"/>
      <c r="AS30" s="1085"/>
      <c r="AT30" s="1085"/>
      <c r="AU30" s="1085"/>
      <c r="AV30" s="1085"/>
      <c r="AW30" s="1085"/>
      <c r="AX30" s="1085"/>
      <c r="AY30" s="1085"/>
      <c r="AZ30" s="1085"/>
      <c r="BA30" s="1085"/>
      <c r="BB30" s="1085"/>
      <c r="BC30" s="1085"/>
      <c r="BD30" s="1085"/>
      <c r="BE30" s="1085"/>
      <c r="BF30" s="1085"/>
      <c r="BG30" s="1085"/>
      <c r="BH30" s="1085"/>
      <c r="BI30" s="1085"/>
      <c r="BJ30" s="1085"/>
      <c r="BK30" s="1085"/>
      <c r="BL30" s="1085"/>
      <c r="BM30" s="1085"/>
      <c r="BN30" s="1085"/>
      <c r="BO30" s="1085"/>
      <c r="BP30" s="1085"/>
      <c r="BQ30" s="1085"/>
      <c r="BR30" s="1085"/>
      <c r="BS30" s="1085"/>
      <c r="BT30" s="1085"/>
      <c r="BU30" s="1085"/>
      <c r="BV30" s="1085"/>
      <c r="BW30" s="1085"/>
      <c r="BX30" s="1085"/>
      <c r="BY30" s="1085"/>
      <c r="BZ30" s="1085"/>
      <c r="CA30" s="1085"/>
      <c r="CB30" s="1085"/>
      <c r="CC30" s="1085"/>
      <c r="CD30" s="1085"/>
      <c r="CE30" s="1085"/>
      <c r="CF30" s="1085"/>
      <c r="CG30" s="1085"/>
      <c r="CH30" s="1085"/>
      <c r="CI30" s="1085"/>
      <c r="CJ30" s="1085"/>
      <c r="CK30" s="1085"/>
      <c r="CL30" s="1085"/>
      <c r="CM30" s="1085"/>
      <c r="CN30" s="1085"/>
      <c r="CO30" s="1085"/>
      <c r="CP30" s="1085"/>
      <c r="CQ30" s="1085"/>
      <c r="CR30" s="1085"/>
      <c r="CS30" s="1085"/>
      <c r="CT30" s="1085"/>
      <c r="CU30" s="1085"/>
      <c r="CV30" s="1085"/>
      <c r="CW30" s="1085"/>
      <c r="CX30" s="1085"/>
      <c r="CY30" s="1085"/>
    </row>
    <row r="31" spans="1:103" ht="15.6">
      <c r="A31" s="1081" t="s">
        <v>153</v>
      </c>
      <c r="B31" s="1082">
        <f t="shared" si="0"/>
        <v>0</v>
      </c>
      <c r="C31" s="1083">
        <v>15</v>
      </c>
      <c r="D31" s="1084"/>
      <c r="E31" s="1085"/>
      <c r="F31" s="1085"/>
      <c r="G31" s="1085"/>
      <c r="H31" s="1085"/>
      <c r="I31" s="1085"/>
      <c r="J31" s="1085"/>
      <c r="K31" s="1085"/>
      <c r="L31" s="1085"/>
      <c r="M31" s="1085"/>
      <c r="N31" s="1085"/>
      <c r="O31" s="1085"/>
      <c r="P31" s="1085"/>
      <c r="Q31" s="1085"/>
      <c r="R31" s="1085"/>
      <c r="S31" s="1085"/>
      <c r="T31" s="1085"/>
      <c r="U31" s="1085"/>
      <c r="V31" s="1085"/>
      <c r="W31" s="1085"/>
      <c r="X31" s="1085"/>
      <c r="Y31" s="1085"/>
      <c r="Z31" s="1085"/>
      <c r="AA31" s="1085"/>
      <c r="AB31" s="1085"/>
      <c r="AC31" s="1085"/>
      <c r="AD31" s="1085"/>
      <c r="AE31" s="1085"/>
      <c r="AF31" s="1085"/>
      <c r="AG31" s="1085"/>
      <c r="AH31" s="1085"/>
      <c r="AI31" s="1085"/>
      <c r="AJ31" s="1085"/>
      <c r="AK31" s="1085"/>
      <c r="AL31" s="1085"/>
      <c r="AM31" s="1085"/>
      <c r="AN31" s="1085"/>
      <c r="AO31" s="1085"/>
      <c r="AP31" s="1085"/>
      <c r="AQ31" s="1085"/>
      <c r="AR31" s="1085"/>
      <c r="AS31" s="1085"/>
      <c r="AT31" s="1085"/>
      <c r="AU31" s="1085"/>
      <c r="AV31" s="1085"/>
      <c r="AW31" s="1085"/>
      <c r="AX31" s="1085"/>
      <c r="AY31" s="1085"/>
      <c r="AZ31" s="1085"/>
      <c r="BA31" s="1085"/>
      <c r="BB31" s="1085"/>
      <c r="BC31" s="1085"/>
      <c r="BD31" s="1085"/>
      <c r="BE31" s="1085"/>
      <c r="BF31" s="1085"/>
      <c r="BG31" s="1085"/>
      <c r="BH31" s="1085"/>
      <c r="BI31" s="1085"/>
      <c r="BJ31" s="1085"/>
      <c r="BK31" s="1085"/>
      <c r="BL31" s="1085"/>
      <c r="BM31" s="1085"/>
      <c r="BN31" s="1085"/>
      <c r="BO31" s="1085"/>
      <c r="BP31" s="1085"/>
      <c r="BQ31" s="1085"/>
      <c r="BR31" s="1085"/>
      <c r="BS31" s="1085"/>
      <c r="BT31" s="1085"/>
      <c r="BU31" s="1085"/>
      <c r="BV31" s="1085"/>
      <c r="BW31" s="1085"/>
      <c r="BX31" s="1085"/>
      <c r="BY31" s="1085"/>
      <c r="BZ31" s="1085"/>
      <c r="CA31" s="1085"/>
      <c r="CB31" s="1085"/>
      <c r="CC31" s="1085"/>
      <c r="CD31" s="1085"/>
      <c r="CE31" s="1085"/>
      <c r="CF31" s="1085"/>
      <c r="CG31" s="1085"/>
      <c r="CH31" s="1085"/>
      <c r="CI31" s="1085"/>
      <c r="CJ31" s="1085"/>
      <c r="CK31" s="1085"/>
      <c r="CL31" s="1085"/>
      <c r="CM31" s="1085"/>
      <c r="CN31" s="1085"/>
      <c r="CO31" s="1085"/>
      <c r="CP31" s="1085"/>
      <c r="CQ31" s="1085"/>
      <c r="CR31" s="1085"/>
      <c r="CS31" s="1085"/>
      <c r="CT31" s="1085"/>
      <c r="CU31" s="1085"/>
      <c r="CV31" s="1085"/>
      <c r="CW31" s="1085"/>
      <c r="CX31" s="1085"/>
      <c r="CY31" s="1085"/>
    </row>
    <row r="32" spans="1:103" ht="15.6">
      <c r="A32" s="1081" t="s">
        <v>155</v>
      </c>
      <c r="B32" s="1082">
        <f t="shared" si="0"/>
        <v>0</v>
      </c>
      <c r="C32" s="1083">
        <v>20</v>
      </c>
      <c r="D32" s="1084"/>
      <c r="E32" s="1085"/>
      <c r="F32" s="1085"/>
      <c r="G32" s="1085"/>
      <c r="H32" s="1085"/>
      <c r="I32" s="1085"/>
      <c r="J32" s="1085"/>
      <c r="K32" s="1085"/>
      <c r="L32" s="1085"/>
      <c r="M32" s="1085"/>
      <c r="N32" s="1085"/>
      <c r="O32" s="1085"/>
      <c r="P32" s="1085"/>
      <c r="Q32" s="1085"/>
      <c r="R32" s="1085"/>
      <c r="S32" s="1085"/>
      <c r="T32" s="1085"/>
      <c r="U32" s="1085"/>
      <c r="V32" s="1085"/>
      <c r="W32" s="1085"/>
      <c r="X32" s="1085"/>
      <c r="Y32" s="1085"/>
      <c r="Z32" s="1085"/>
      <c r="AA32" s="1085"/>
      <c r="AB32" s="1085"/>
      <c r="AC32" s="1085"/>
      <c r="AD32" s="1085"/>
      <c r="AE32" s="1085"/>
      <c r="AF32" s="1085"/>
      <c r="AG32" s="1085"/>
      <c r="AH32" s="1085"/>
      <c r="AI32" s="1085"/>
      <c r="AJ32" s="1085"/>
      <c r="AK32" s="1085"/>
      <c r="AL32" s="1085"/>
      <c r="AM32" s="1085"/>
      <c r="AN32" s="1085"/>
      <c r="AO32" s="1085"/>
      <c r="AP32" s="1085"/>
      <c r="AQ32" s="1085"/>
      <c r="AR32" s="1085"/>
      <c r="AS32" s="1085"/>
      <c r="AT32" s="1085"/>
      <c r="AU32" s="1085"/>
      <c r="AV32" s="1085"/>
      <c r="AW32" s="1085"/>
      <c r="AX32" s="1085"/>
      <c r="AY32" s="1085"/>
      <c r="AZ32" s="1085"/>
      <c r="BA32" s="1085"/>
      <c r="BB32" s="1085"/>
      <c r="BC32" s="1085"/>
      <c r="BD32" s="1085"/>
      <c r="BE32" s="1085"/>
      <c r="BF32" s="1085"/>
      <c r="BG32" s="1085"/>
      <c r="BH32" s="1085"/>
      <c r="BI32" s="1085"/>
      <c r="BJ32" s="1085"/>
      <c r="BK32" s="1085"/>
      <c r="BL32" s="1085"/>
      <c r="BM32" s="1085"/>
      <c r="BN32" s="1085"/>
      <c r="BO32" s="1085"/>
      <c r="BP32" s="1085"/>
      <c r="BQ32" s="1085"/>
      <c r="BR32" s="1085"/>
      <c r="BS32" s="1085"/>
      <c r="BT32" s="1085"/>
      <c r="BU32" s="1085"/>
      <c r="BV32" s="1085"/>
      <c r="BW32" s="1085"/>
      <c r="BX32" s="1085"/>
      <c r="BY32" s="1085"/>
      <c r="BZ32" s="1085"/>
      <c r="CA32" s="1085"/>
      <c r="CB32" s="1085"/>
      <c r="CC32" s="1085"/>
      <c r="CD32" s="1085"/>
      <c r="CE32" s="1085"/>
      <c r="CF32" s="1085"/>
      <c r="CG32" s="1085"/>
      <c r="CH32" s="1085"/>
      <c r="CI32" s="1085"/>
      <c r="CJ32" s="1085"/>
      <c r="CK32" s="1085"/>
      <c r="CL32" s="1085"/>
      <c r="CM32" s="1085"/>
      <c r="CN32" s="1085"/>
      <c r="CO32" s="1085"/>
      <c r="CP32" s="1085"/>
      <c r="CQ32" s="1085"/>
      <c r="CR32" s="1085"/>
      <c r="CS32" s="1085"/>
      <c r="CT32" s="1085"/>
      <c r="CU32" s="1085"/>
      <c r="CV32" s="1085"/>
      <c r="CW32" s="1085"/>
      <c r="CX32" s="1085"/>
      <c r="CY32" s="1085"/>
    </row>
    <row r="33" spans="1:103" ht="15.6">
      <c r="A33" s="1081" t="s">
        <v>156</v>
      </c>
      <c r="B33" s="1082">
        <f t="shared" si="0"/>
        <v>0</v>
      </c>
      <c r="C33" s="1083">
        <v>1</v>
      </c>
      <c r="D33" s="1084"/>
      <c r="E33" s="1085"/>
      <c r="F33" s="1085"/>
      <c r="G33" s="1085"/>
      <c r="H33" s="1085"/>
      <c r="I33" s="1085"/>
      <c r="J33" s="1085"/>
      <c r="K33" s="1085"/>
      <c r="L33" s="1085"/>
      <c r="M33" s="1085"/>
      <c r="N33" s="1085"/>
      <c r="O33" s="1085"/>
      <c r="P33" s="1085"/>
      <c r="Q33" s="1085"/>
      <c r="R33" s="1085"/>
      <c r="S33" s="1085"/>
      <c r="T33" s="1085"/>
      <c r="U33" s="1085"/>
      <c r="V33" s="1085"/>
      <c r="W33" s="1085"/>
      <c r="X33" s="1085"/>
      <c r="Y33" s="1085"/>
      <c r="Z33" s="1085"/>
      <c r="AA33" s="1085"/>
      <c r="AB33" s="1085"/>
      <c r="AC33" s="1085"/>
      <c r="AD33" s="1085"/>
      <c r="AE33" s="1085"/>
      <c r="AF33" s="1085"/>
      <c r="AG33" s="1085"/>
      <c r="AH33" s="1085"/>
      <c r="AI33" s="1085"/>
      <c r="AJ33" s="1085"/>
      <c r="AK33" s="1085"/>
      <c r="AL33" s="1085"/>
      <c r="AM33" s="1085"/>
      <c r="AN33" s="1085"/>
      <c r="AO33" s="1085"/>
      <c r="AP33" s="1085"/>
      <c r="AQ33" s="1085"/>
      <c r="AR33" s="1085"/>
      <c r="AS33" s="1085"/>
      <c r="AT33" s="1085"/>
      <c r="AU33" s="1085"/>
      <c r="AV33" s="1085"/>
      <c r="AW33" s="1085"/>
      <c r="AX33" s="1085"/>
      <c r="AY33" s="1085"/>
      <c r="AZ33" s="1085"/>
      <c r="BA33" s="1085"/>
      <c r="BB33" s="1085"/>
      <c r="BC33" s="1085"/>
      <c r="BD33" s="1085"/>
      <c r="BE33" s="1085"/>
      <c r="BF33" s="1085"/>
      <c r="BG33" s="1085"/>
      <c r="BH33" s="1085"/>
      <c r="BI33" s="1085"/>
      <c r="BJ33" s="1085"/>
      <c r="BK33" s="1085"/>
      <c r="BL33" s="1085"/>
      <c r="BM33" s="1085"/>
      <c r="BN33" s="1085"/>
      <c r="BO33" s="1085"/>
      <c r="BP33" s="1085"/>
      <c r="BQ33" s="1085"/>
      <c r="BR33" s="1085"/>
      <c r="BS33" s="1085"/>
      <c r="BT33" s="1085"/>
      <c r="BU33" s="1085"/>
      <c r="BV33" s="1085"/>
      <c r="BW33" s="1085"/>
      <c r="BX33" s="1085"/>
      <c r="BY33" s="1085"/>
      <c r="BZ33" s="1085"/>
      <c r="CA33" s="1085"/>
      <c r="CB33" s="1085"/>
      <c r="CC33" s="1085"/>
      <c r="CD33" s="1085"/>
      <c r="CE33" s="1085"/>
      <c r="CF33" s="1085"/>
      <c r="CG33" s="1085"/>
      <c r="CH33" s="1085"/>
      <c r="CI33" s="1085"/>
      <c r="CJ33" s="1085"/>
      <c r="CK33" s="1085"/>
      <c r="CL33" s="1085"/>
      <c r="CM33" s="1085"/>
      <c r="CN33" s="1085"/>
      <c r="CO33" s="1085"/>
      <c r="CP33" s="1085"/>
      <c r="CQ33" s="1085"/>
      <c r="CR33" s="1085"/>
      <c r="CS33" s="1085"/>
      <c r="CT33" s="1085"/>
      <c r="CU33" s="1085"/>
      <c r="CV33" s="1085"/>
      <c r="CW33" s="1085"/>
      <c r="CX33" s="1085"/>
      <c r="CY33" s="1085"/>
    </row>
    <row r="34" spans="1:103" ht="15.6">
      <c r="A34" s="1081" t="s">
        <v>158</v>
      </c>
      <c r="B34" s="1082">
        <f t="shared" si="0"/>
        <v>0</v>
      </c>
      <c r="C34" s="1083">
        <v>1</v>
      </c>
      <c r="D34" s="1084"/>
      <c r="E34" s="1085"/>
      <c r="F34" s="1085"/>
      <c r="G34" s="1085"/>
      <c r="H34" s="1085"/>
      <c r="I34" s="1085"/>
      <c r="J34" s="1085"/>
      <c r="K34" s="1085"/>
      <c r="L34" s="1085"/>
      <c r="M34" s="1085"/>
      <c r="N34" s="1085"/>
      <c r="O34" s="1085"/>
      <c r="P34" s="1085"/>
      <c r="Q34" s="1085"/>
      <c r="R34" s="1085"/>
      <c r="S34" s="1085"/>
      <c r="T34" s="1085"/>
      <c r="U34" s="1085"/>
      <c r="V34" s="1085"/>
      <c r="W34" s="1085"/>
      <c r="X34" s="1085"/>
      <c r="Y34" s="1085"/>
      <c r="Z34" s="1085"/>
      <c r="AA34" s="1085"/>
      <c r="AB34" s="1085"/>
      <c r="AC34" s="1085"/>
      <c r="AD34" s="1085"/>
      <c r="AE34" s="1085"/>
      <c r="AF34" s="1085"/>
      <c r="AG34" s="1085"/>
      <c r="AH34" s="1085"/>
      <c r="AI34" s="1085"/>
      <c r="AJ34" s="1085"/>
      <c r="AK34" s="1085"/>
      <c r="AL34" s="1085"/>
      <c r="AM34" s="1085"/>
      <c r="AN34" s="1085"/>
      <c r="AO34" s="1085"/>
      <c r="AP34" s="1085"/>
      <c r="AQ34" s="1085"/>
      <c r="AR34" s="1085"/>
      <c r="AS34" s="1085"/>
      <c r="AT34" s="1085"/>
      <c r="AU34" s="1085"/>
      <c r="AV34" s="1085"/>
      <c r="AW34" s="1085"/>
      <c r="AX34" s="1085"/>
      <c r="AY34" s="1085"/>
      <c r="AZ34" s="1085"/>
      <c r="BA34" s="1085"/>
      <c r="BB34" s="1085"/>
      <c r="BC34" s="1085"/>
      <c r="BD34" s="1085"/>
      <c r="BE34" s="1085"/>
      <c r="BF34" s="1085"/>
      <c r="BG34" s="1085"/>
      <c r="BH34" s="1085"/>
      <c r="BI34" s="1085"/>
      <c r="BJ34" s="1085"/>
      <c r="BK34" s="1085"/>
      <c r="BL34" s="1085"/>
      <c r="BM34" s="1085"/>
      <c r="BN34" s="1085"/>
      <c r="BO34" s="1085"/>
      <c r="BP34" s="1085"/>
      <c r="BQ34" s="1085"/>
      <c r="BR34" s="1085"/>
      <c r="BS34" s="1085"/>
      <c r="BT34" s="1085"/>
      <c r="BU34" s="1085"/>
      <c r="BV34" s="1085"/>
      <c r="BW34" s="1085"/>
      <c r="BX34" s="1085"/>
      <c r="BY34" s="1085"/>
      <c r="BZ34" s="1085"/>
      <c r="CA34" s="1085"/>
      <c r="CB34" s="1085"/>
      <c r="CC34" s="1085"/>
      <c r="CD34" s="1085"/>
      <c r="CE34" s="1085"/>
      <c r="CF34" s="1085"/>
      <c r="CG34" s="1085"/>
      <c r="CH34" s="1085"/>
      <c r="CI34" s="1085"/>
      <c r="CJ34" s="1085"/>
      <c r="CK34" s="1085"/>
      <c r="CL34" s="1085"/>
      <c r="CM34" s="1085"/>
      <c r="CN34" s="1085"/>
      <c r="CO34" s="1085"/>
      <c r="CP34" s="1085"/>
      <c r="CQ34" s="1085"/>
      <c r="CR34" s="1085"/>
      <c r="CS34" s="1085"/>
      <c r="CT34" s="1085"/>
      <c r="CU34" s="1085"/>
      <c r="CV34" s="1085"/>
      <c r="CW34" s="1085"/>
      <c r="CX34" s="1085"/>
      <c r="CY34" s="1085"/>
    </row>
    <row r="35" spans="1:103" ht="15.6">
      <c r="A35" s="1081" t="s">
        <v>160</v>
      </c>
      <c r="B35" s="1082">
        <f t="shared" si="0"/>
        <v>0</v>
      </c>
      <c r="C35" s="1083">
        <v>1</v>
      </c>
      <c r="D35" s="1084"/>
      <c r="E35" s="1085"/>
      <c r="F35" s="1085"/>
      <c r="G35" s="1085"/>
      <c r="H35" s="1085"/>
      <c r="I35" s="1085"/>
      <c r="J35" s="1085"/>
      <c r="K35" s="1085"/>
      <c r="L35" s="1085"/>
      <c r="M35" s="1085"/>
      <c r="N35" s="1085"/>
      <c r="O35" s="1085"/>
      <c r="P35" s="1085"/>
      <c r="Q35" s="1085"/>
      <c r="R35" s="1085"/>
      <c r="S35" s="1085"/>
      <c r="T35" s="1085"/>
      <c r="U35" s="1085"/>
      <c r="V35" s="1085"/>
      <c r="W35" s="1085"/>
      <c r="X35" s="1085"/>
      <c r="Y35" s="1085"/>
      <c r="Z35" s="1085"/>
      <c r="AA35" s="1085"/>
      <c r="AB35" s="1085"/>
      <c r="AC35" s="1085"/>
      <c r="AD35" s="1085"/>
      <c r="AE35" s="1085"/>
      <c r="AF35" s="1085"/>
      <c r="AG35" s="1085"/>
      <c r="AH35" s="1085"/>
      <c r="AI35" s="1085"/>
      <c r="AJ35" s="1085"/>
      <c r="AK35" s="1085"/>
      <c r="AL35" s="1085"/>
      <c r="AM35" s="1085"/>
      <c r="AN35" s="1085"/>
      <c r="AO35" s="1085"/>
      <c r="AP35" s="1085"/>
      <c r="AQ35" s="1085"/>
      <c r="AR35" s="1085"/>
      <c r="AS35" s="1085"/>
      <c r="AT35" s="1085"/>
      <c r="AU35" s="1085"/>
      <c r="AV35" s="1085"/>
      <c r="AW35" s="1085"/>
      <c r="AX35" s="1085"/>
      <c r="AY35" s="1085"/>
      <c r="AZ35" s="1085"/>
      <c r="BA35" s="1085"/>
      <c r="BB35" s="1085"/>
      <c r="BC35" s="1085"/>
      <c r="BD35" s="1085"/>
      <c r="BE35" s="1085"/>
      <c r="BF35" s="1085"/>
      <c r="BG35" s="1085"/>
      <c r="BH35" s="1085"/>
      <c r="BI35" s="1085"/>
      <c r="BJ35" s="1085"/>
      <c r="BK35" s="1085"/>
      <c r="BL35" s="1085"/>
      <c r="BM35" s="1085"/>
      <c r="BN35" s="1085"/>
      <c r="BO35" s="1085"/>
      <c r="BP35" s="1085"/>
      <c r="BQ35" s="1085"/>
      <c r="BR35" s="1085"/>
      <c r="BS35" s="1085"/>
      <c r="BT35" s="1085"/>
      <c r="BU35" s="1085"/>
      <c r="BV35" s="1085"/>
      <c r="BW35" s="1085"/>
      <c r="BX35" s="1085"/>
      <c r="BY35" s="1085"/>
      <c r="BZ35" s="1085"/>
      <c r="CA35" s="1085"/>
      <c r="CB35" s="1085"/>
      <c r="CC35" s="1085"/>
      <c r="CD35" s="1085"/>
      <c r="CE35" s="1085"/>
      <c r="CF35" s="1085"/>
      <c r="CG35" s="1085"/>
      <c r="CH35" s="1085"/>
      <c r="CI35" s="1085"/>
      <c r="CJ35" s="1085"/>
      <c r="CK35" s="1085"/>
      <c r="CL35" s="1085"/>
      <c r="CM35" s="1085"/>
      <c r="CN35" s="1085"/>
      <c r="CO35" s="1085"/>
      <c r="CP35" s="1085"/>
      <c r="CQ35" s="1085"/>
      <c r="CR35" s="1085"/>
      <c r="CS35" s="1085"/>
      <c r="CT35" s="1085"/>
      <c r="CU35" s="1085"/>
      <c r="CV35" s="1085"/>
      <c r="CW35" s="1085"/>
      <c r="CX35" s="1085"/>
      <c r="CY35" s="1085"/>
    </row>
    <row r="36" spans="1:103" ht="15.6">
      <c r="A36" s="1081" t="s">
        <v>162</v>
      </c>
      <c r="B36" s="1082">
        <f t="shared" si="0"/>
        <v>0</v>
      </c>
      <c r="C36" s="1083">
        <v>0</v>
      </c>
      <c r="D36" s="1084"/>
      <c r="E36" s="1085"/>
      <c r="F36" s="1085"/>
      <c r="G36" s="1085"/>
      <c r="H36" s="1085"/>
      <c r="I36" s="1085"/>
      <c r="J36" s="1085"/>
      <c r="K36" s="1085"/>
      <c r="L36" s="1085"/>
      <c r="M36" s="1085"/>
      <c r="N36" s="1085"/>
      <c r="O36" s="1085"/>
      <c r="P36" s="1085"/>
      <c r="Q36" s="1085"/>
      <c r="R36" s="1085"/>
      <c r="S36" s="1085"/>
      <c r="T36" s="1085"/>
      <c r="U36" s="1085"/>
      <c r="V36" s="1085"/>
      <c r="W36" s="1085"/>
      <c r="X36" s="1085"/>
      <c r="Y36" s="1085"/>
      <c r="Z36" s="1085"/>
      <c r="AA36" s="1085"/>
      <c r="AB36" s="1085"/>
      <c r="AC36" s="1085"/>
      <c r="AD36" s="1085"/>
      <c r="AE36" s="1085"/>
      <c r="AF36" s="1085"/>
      <c r="AG36" s="1085"/>
      <c r="AH36" s="1085"/>
      <c r="AI36" s="1085"/>
      <c r="AJ36" s="1085"/>
      <c r="AK36" s="1085"/>
      <c r="AL36" s="1085"/>
      <c r="AM36" s="1085"/>
      <c r="AN36" s="1085"/>
      <c r="AO36" s="1085"/>
      <c r="AP36" s="1085"/>
      <c r="AQ36" s="1085"/>
      <c r="AR36" s="1085"/>
      <c r="AS36" s="1085"/>
      <c r="AT36" s="1085"/>
      <c r="AU36" s="1085"/>
      <c r="AV36" s="1085"/>
      <c r="AW36" s="1085"/>
      <c r="AX36" s="1085"/>
      <c r="AY36" s="1085"/>
      <c r="AZ36" s="1085"/>
      <c r="BA36" s="1085"/>
      <c r="BB36" s="1085"/>
      <c r="BC36" s="1085"/>
      <c r="BD36" s="1085"/>
      <c r="BE36" s="1085"/>
      <c r="BF36" s="1085"/>
      <c r="BG36" s="1085"/>
      <c r="BH36" s="1085"/>
      <c r="BI36" s="1085"/>
      <c r="BJ36" s="1085"/>
      <c r="BK36" s="1085"/>
      <c r="BL36" s="1085"/>
      <c r="BM36" s="1085"/>
      <c r="BN36" s="1085"/>
      <c r="BO36" s="1085"/>
      <c r="BP36" s="1085"/>
      <c r="BQ36" s="1085"/>
      <c r="BR36" s="1085"/>
      <c r="BS36" s="1085"/>
      <c r="BT36" s="1085"/>
      <c r="BU36" s="1085"/>
      <c r="BV36" s="1085"/>
      <c r="BW36" s="1085"/>
      <c r="BX36" s="1085"/>
      <c r="BY36" s="1085"/>
      <c r="BZ36" s="1085"/>
      <c r="CA36" s="1085"/>
      <c r="CB36" s="1085"/>
      <c r="CC36" s="1085"/>
      <c r="CD36" s="1085"/>
      <c r="CE36" s="1085"/>
      <c r="CF36" s="1085"/>
      <c r="CG36" s="1085"/>
      <c r="CH36" s="1085"/>
      <c r="CI36" s="1085"/>
      <c r="CJ36" s="1085"/>
      <c r="CK36" s="1085"/>
      <c r="CL36" s="1085"/>
      <c r="CM36" s="1085"/>
      <c r="CN36" s="1085"/>
      <c r="CO36" s="1085"/>
      <c r="CP36" s="1085"/>
      <c r="CQ36" s="1085"/>
      <c r="CR36" s="1085"/>
      <c r="CS36" s="1085"/>
      <c r="CT36" s="1085"/>
      <c r="CU36" s="1085"/>
      <c r="CV36" s="1085"/>
      <c r="CW36" s="1085"/>
      <c r="CX36" s="1085"/>
      <c r="CY36" s="1085"/>
    </row>
    <row r="37" spans="1:103" ht="15.6">
      <c r="A37" s="1081" t="s">
        <v>66</v>
      </c>
      <c r="B37" s="1082">
        <f t="shared" si="0"/>
        <v>0</v>
      </c>
      <c r="C37" s="1083">
        <v>5</v>
      </c>
      <c r="D37" s="1084"/>
      <c r="E37" s="1085"/>
      <c r="F37" s="1085"/>
      <c r="G37" s="1085"/>
      <c r="H37" s="1085"/>
      <c r="I37" s="1085"/>
      <c r="J37" s="1085"/>
      <c r="K37" s="1085"/>
      <c r="L37" s="1085"/>
      <c r="M37" s="1085"/>
      <c r="N37" s="1085"/>
      <c r="O37" s="1085"/>
      <c r="P37" s="1085"/>
      <c r="Q37" s="1085"/>
      <c r="R37" s="1085"/>
      <c r="S37" s="1085"/>
      <c r="T37" s="1085"/>
      <c r="U37" s="1085"/>
      <c r="V37" s="1085"/>
      <c r="W37" s="1085"/>
      <c r="X37" s="1085"/>
      <c r="Y37" s="1085"/>
      <c r="Z37" s="1085"/>
      <c r="AA37" s="1085"/>
      <c r="AB37" s="1085"/>
      <c r="AC37" s="1085"/>
      <c r="AD37" s="1085"/>
      <c r="AE37" s="1085"/>
      <c r="AF37" s="1085"/>
      <c r="AG37" s="1085"/>
      <c r="AH37" s="1085"/>
      <c r="AI37" s="1085"/>
      <c r="AJ37" s="1085"/>
      <c r="AK37" s="1085"/>
      <c r="AL37" s="1085"/>
      <c r="AM37" s="1085"/>
      <c r="AN37" s="1085"/>
      <c r="AO37" s="1085"/>
      <c r="AP37" s="1085"/>
      <c r="AQ37" s="1085"/>
      <c r="AR37" s="1085"/>
      <c r="AS37" s="1085"/>
      <c r="AT37" s="1085"/>
      <c r="AU37" s="1085"/>
      <c r="AV37" s="1085"/>
      <c r="AW37" s="1085"/>
      <c r="AX37" s="1085"/>
      <c r="AY37" s="1085"/>
      <c r="AZ37" s="1085"/>
      <c r="BA37" s="1085"/>
      <c r="BB37" s="1085"/>
      <c r="BC37" s="1085"/>
      <c r="BD37" s="1085"/>
      <c r="BE37" s="1085"/>
      <c r="BF37" s="1085"/>
      <c r="BG37" s="1085"/>
      <c r="BH37" s="1085"/>
      <c r="BI37" s="1085"/>
      <c r="BJ37" s="1085"/>
      <c r="BK37" s="1085"/>
      <c r="BL37" s="1085"/>
      <c r="BM37" s="1085"/>
      <c r="BN37" s="1085"/>
      <c r="BO37" s="1085"/>
      <c r="BP37" s="1085"/>
      <c r="BQ37" s="1085"/>
      <c r="BR37" s="1085"/>
      <c r="BS37" s="1085"/>
      <c r="BT37" s="1085"/>
      <c r="BU37" s="1085"/>
      <c r="BV37" s="1085"/>
      <c r="BW37" s="1085"/>
      <c r="BX37" s="1085"/>
      <c r="BY37" s="1085"/>
      <c r="BZ37" s="1085"/>
      <c r="CA37" s="1085"/>
      <c r="CB37" s="1085"/>
      <c r="CC37" s="1085"/>
      <c r="CD37" s="1085"/>
      <c r="CE37" s="1085"/>
      <c r="CF37" s="1085"/>
      <c r="CG37" s="1085"/>
      <c r="CH37" s="1085"/>
      <c r="CI37" s="1085"/>
      <c r="CJ37" s="1085"/>
      <c r="CK37" s="1085"/>
      <c r="CL37" s="1085"/>
      <c r="CM37" s="1085"/>
      <c r="CN37" s="1085"/>
      <c r="CO37" s="1085"/>
      <c r="CP37" s="1085"/>
      <c r="CQ37" s="1085"/>
      <c r="CR37" s="1085"/>
      <c r="CS37" s="1085"/>
      <c r="CT37" s="1085"/>
      <c r="CU37" s="1085"/>
      <c r="CV37" s="1085"/>
      <c r="CW37" s="1085"/>
      <c r="CX37" s="1085"/>
      <c r="CY37" s="1085"/>
    </row>
    <row r="38" spans="1:103" ht="15.6">
      <c r="A38" s="1081" t="s">
        <v>68</v>
      </c>
      <c r="B38" s="1082">
        <f t="shared" si="0"/>
        <v>0</v>
      </c>
      <c r="C38" s="1083">
        <v>20</v>
      </c>
      <c r="D38" s="1084"/>
      <c r="E38" s="1085"/>
      <c r="F38" s="1085"/>
      <c r="G38" s="1085"/>
      <c r="H38" s="1085"/>
      <c r="I38" s="1085"/>
      <c r="J38" s="1085"/>
      <c r="K38" s="1085"/>
      <c r="L38" s="1085"/>
      <c r="M38" s="1085"/>
      <c r="N38" s="1085"/>
      <c r="O38" s="1085"/>
      <c r="P38" s="1085"/>
      <c r="Q38" s="1085"/>
      <c r="R38" s="1085"/>
      <c r="S38" s="1085"/>
      <c r="T38" s="1085"/>
      <c r="U38" s="1085"/>
      <c r="V38" s="1085"/>
      <c r="W38" s="1085"/>
      <c r="X38" s="1085"/>
      <c r="Y38" s="1085"/>
      <c r="Z38" s="1085"/>
      <c r="AA38" s="1085"/>
      <c r="AB38" s="1085"/>
      <c r="AC38" s="1085"/>
      <c r="AD38" s="1085"/>
      <c r="AE38" s="1085"/>
      <c r="AF38" s="1085"/>
      <c r="AG38" s="1085"/>
      <c r="AH38" s="1085"/>
      <c r="AI38" s="1085"/>
      <c r="AJ38" s="1085"/>
      <c r="AK38" s="1085"/>
      <c r="AL38" s="1085"/>
      <c r="AM38" s="1085"/>
      <c r="AN38" s="1085"/>
      <c r="AO38" s="1085"/>
      <c r="AP38" s="1085"/>
      <c r="AQ38" s="1085"/>
      <c r="AR38" s="1085"/>
      <c r="AS38" s="1085"/>
      <c r="AT38" s="1085"/>
      <c r="AU38" s="1085"/>
      <c r="AV38" s="1085"/>
      <c r="AW38" s="1085"/>
      <c r="AX38" s="1085"/>
      <c r="AY38" s="1085"/>
      <c r="AZ38" s="1085"/>
      <c r="BA38" s="1085"/>
      <c r="BB38" s="1085"/>
      <c r="BC38" s="1085"/>
      <c r="BD38" s="1085"/>
      <c r="BE38" s="1085"/>
      <c r="BF38" s="1085"/>
      <c r="BG38" s="1085"/>
      <c r="BH38" s="1085"/>
      <c r="BI38" s="1085"/>
      <c r="BJ38" s="1085"/>
      <c r="BK38" s="1085"/>
      <c r="BL38" s="1085"/>
      <c r="BM38" s="1085"/>
      <c r="BN38" s="1085"/>
      <c r="BO38" s="1085"/>
      <c r="BP38" s="1085"/>
      <c r="BQ38" s="1085"/>
      <c r="BR38" s="1085"/>
      <c r="BS38" s="1085"/>
      <c r="BT38" s="1085"/>
      <c r="BU38" s="1085"/>
      <c r="BV38" s="1085"/>
      <c r="BW38" s="1085"/>
      <c r="BX38" s="1085"/>
      <c r="BY38" s="1085"/>
      <c r="BZ38" s="1085"/>
      <c r="CA38" s="1085"/>
      <c r="CB38" s="1085"/>
      <c r="CC38" s="1085"/>
      <c r="CD38" s="1085"/>
      <c r="CE38" s="1085"/>
      <c r="CF38" s="1085"/>
      <c r="CG38" s="1085"/>
      <c r="CH38" s="1085"/>
      <c r="CI38" s="1085"/>
      <c r="CJ38" s="1085"/>
      <c r="CK38" s="1085"/>
      <c r="CL38" s="1085"/>
      <c r="CM38" s="1085"/>
      <c r="CN38" s="1085"/>
      <c r="CO38" s="1085"/>
      <c r="CP38" s="1085"/>
      <c r="CQ38" s="1085"/>
      <c r="CR38" s="1085"/>
      <c r="CS38" s="1085"/>
      <c r="CT38" s="1085"/>
      <c r="CU38" s="1085"/>
      <c r="CV38" s="1085"/>
      <c r="CW38" s="1085"/>
      <c r="CX38" s="1085"/>
      <c r="CY38" s="1085"/>
    </row>
    <row r="39" spans="1:103" ht="15.6">
      <c r="A39" s="1081" t="s">
        <v>72</v>
      </c>
      <c r="B39" s="1082">
        <f t="shared" si="0"/>
        <v>0</v>
      </c>
      <c r="C39" s="1083">
        <v>20</v>
      </c>
      <c r="D39" s="1084"/>
      <c r="E39" s="1085"/>
      <c r="F39" s="1085"/>
      <c r="G39" s="1085"/>
      <c r="H39" s="1085"/>
      <c r="I39" s="1085"/>
      <c r="J39" s="1085"/>
      <c r="K39" s="1085"/>
      <c r="L39" s="1085"/>
      <c r="M39" s="1085"/>
      <c r="N39" s="1085"/>
      <c r="O39" s="1085"/>
      <c r="P39" s="1085"/>
      <c r="Q39" s="1085"/>
      <c r="R39" s="1085"/>
      <c r="S39" s="1085"/>
      <c r="T39" s="1085"/>
      <c r="U39" s="1085"/>
      <c r="V39" s="1085"/>
      <c r="W39" s="1085"/>
      <c r="X39" s="1085"/>
      <c r="Y39" s="1085"/>
      <c r="Z39" s="1085"/>
      <c r="AA39" s="1085"/>
      <c r="AB39" s="1085"/>
      <c r="AC39" s="1085"/>
      <c r="AD39" s="1085"/>
      <c r="AE39" s="1085"/>
      <c r="AF39" s="1085"/>
      <c r="AG39" s="1085"/>
      <c r="AH39" s="1085"/>
      <c r="AI39" s="1085"/>
      <c r="AJ39" s="1085"/>
      <c r="AK39" s="1085"/>
      <c r="AL39" s="1085"/>
      <c r="AM39" s="1085"/>
      <c r="AN39" s="1085"/>
      <c r="AO39" s="1085"/>
      <c r="AP39" s="1085"/>
      <c r="AQ39" s="1085"/>
      <c r="AR39" s="1085"/>
      <c r="AS39" s="1085"/>
      <c r="AT39" s="1085"/>
      <c r="AU39" s="1085"/>
      <c r="AV39" s="1085"/>
      <c r="AW39" s="1085"/>
      <c r="AX39" s="1085"/>
      <c r="AY39" s="1085"/>
      <c r="AZ39" s="1085"/>
      <c r="BA39" s="1085"/>
      <c r="BB39" s="1085"/>
      <c r="BC39" s="1085"/>
      <c r="BD39" s="1085"/>
      <c r="BE39" s="1085"/>
      <c r="BF39" s="1085"/>
      <c r="BG39" s="1085"/>
      <c r="BH39" s="1085"/>
      <c r="BI39" s="1085"/>
      <c r="BJ39" s="1085"/>
      <c r="BK39" s="1085"/>
      <c r="BL39" s="1085"/>
      <c r="BM39" s="1085"/>
      <c r="BN39" s="1085"/>
      <c r="BO39" s="1085"/>
      <c r="BP39" s="1085"/>
      <c r="BQ39" s="1085"/>
      <c r="BR39" s="1085"/>
      <c r="BS39" s="1085"/>
      <c r="BT39" s="1085"/>
      <c r="BU39" s="1085"/>
      <c r="BV39" s="1085"/>
      <c r="BW39" s="1085"/>
      <c r="BX39" s="1085"/>
      <c r="BY39" s="1085"/>
      <c r="BZ39" s="1085"/>
      <c r="CA39" s="1085"/>
      <c r="CB39" s="1085"/>
      <c r="CC39" s="1085"/>
      <c r="CD39" s="1085"/>
      <c r="CE39" s="1085"/>
      <c r="CF39" s="1085"/>
      <c r="CG39" s="1085"/>
      <c r="CH39" s="1085"/>
      <c r="CI39" s="1085"/>
      <c r="CJ39" s="1085"/>
      <c r="CK39" s="1085"/>
      <c r="CL39" s="1085"/>
      <c r="CM39" s="1085"/>
      <c r="CN39" s="1085"/>
      <c r="CO39" s="1085"/>
      <c r="CP39" s="1085"/>
      <c r="CQ39" s="1085"/>
      <c r="CR39" s="1085"/>
      <c r="CS39" s="1085"/>
      <c r="CT39" s="1085"/>
      <c r="CU39" s="1085"/>
      <c r="CV39" s="1085"/>
      <c r="CW39" s="1085"/>
      <c r="CX39" s="1085"/>
      <c r="CY39" s="1085"/>
    </row>
    <row r="40" spans="1:103" ht="15.6">
      <c r="A40" s="1081" t="s">
        <v>76</v>
      </c>
      <c r="B40" s="1082">
        <f t="shared" si="0"/>
        <v>0</v>
      </c>
      <c r="C40" s="1083">
        <v>1</v>
      </c>
      <c r="D40" s="1084"/>
      <c r="E40" s="1085"/>
      <c r="F40" s="1085"/>
      <c r="G40" s="1085"/>
      <c r="H40" s="1085"/>
      <c r="I40" s="1085"/>
      <c r="J40" s="1085"/>
      <c r="K40" s="1085"/>
      <c r="L40" s="1085"/>
      <c r="M40" s="1085"/>
      <c r="N40" s="1085"/>
      <c r="O40" s="1085"/>
      <c r="P40" s="1085"/>
      <c r="Q40" s="1085"/>
      <c r="R40" s="1085"/>
      <c r="S40" s="1085"/>
      <c r="T40" s="1085"/>
      <c r="U40" s="1085"/>
      <c r="V40" s="1085"/>
      <c r="W40" s="1085"/>
      <c r="X40" s="1085"/>
      <c r="Y40" s="1085"/>
      <c r="Z40" s="1085"/>
      <c r="AA40" s="1085"/>
      <c r="AB40" s="1085"/>
      <c r="AC40" s="1085"/>
      <c r="AD40" s="1085"/>
      <c r="AE40" s="1085"/>
      <c r="AF40" s="1085"/>
      <c r="AG40" s="1085"/>
      <c r="AH40" s="1085"/>
      <c r="AI40" s="1085"/>
      <c r="AJ40" s="1085"/>
      <c r="AK40" s="1085"/>
      <c r="AL40" s="1085"/>
      <c r="AM40" s="1085"/>
      <c r="AN40" s="1085"/>
      <c r="AO40" s="1085"/>
      <c r="AP40" s="1085"/>
      <c r="AQ40" s="1085"/>
      <c r="AR40" s="1085"/>
      <c r="AS40" s="1085"/>
      <c r="AT40" s="1085"/>
      <c r="AU40" s="1085"/>
      <c r="AV40" s="1085"/>
      <c r="AW40" s="1085"/>
      <c r="AX40" s="1085"/>
      <c r="AY40" s="1085"/>
      <c r="AZ40" s="1085"/>
      <c r="BA40" s="1085"/>
      <c r="BB40" s="1085"/>
      <c r="BC40" s="1085"/>
      <c r="BD40" s="1085"/>
      <c r="BE40" s="1085"/>
      <c r="BF40" s="1085"/>
      <c r="BG40" s="1085"/>
      <c r="BH40" s="1085"/>
      <c r="BI40" s="1085"/>
      <c r="BJ40" s="1085"/>
      <c r="BK40" s="1085"/>
      <c r="BL40" s="1085"/>
      <c r="BM40" s="1085"/>
      <c r="BN40" s="1085"/>
      <c r="BO40" s="1085"/>
      <c r="BP40" s="1085"/>
      <c r="BQ40" s="1085"/>
      <c r="BR40" s="1085"/>
      <c r="BS40" s="1085"/>
      <c r="BT40" s="1085"/>
      <c r="BU40" s="1085"/>
      <c r="BV40" s="1085"/>
      <c r="BW40" s="1085"/>
      <c r="BX40" s="1085"/>
      <c r="BY40" s="1085"/>
      <c r="BZ40" s="1085"/>
      <c r="CA40" s="1085"/>
      <c r="CB40" s="1085"/>
      <c r="CC40" s="1085"/>
      <c r="CD40" s="1085"/>
      <c r="CE40" s="1085"/>
      <c r="CF40" s="1085"/>
      <c r="CG40" s="1085"/>
      <c r="CH40" s="1085"/>
      <c r="CI40" s="1085"/>
      <c r="CJ40" s="1085"/>
      <c r="CK40" s="1085"/>
      <c r="CL40" s="1085"/>
      <c r="CM40" s="1085"/>
      <c r="CN40" s="1085"/>
      <c r="CO40" s="1085"/>
      <c r="CP40" s="1085"/>
      <c r="CQ40" s="1085"/>
      <c r="CR40" s="1085"/>
      <c r="CS40" s="1085"/>
      <c r="CT40" s="1085"/>
      <c r="CU40" s="1085"/>
      <c r="CV40" s="1085"/>
      <c r="CW40" s="1085"/>
      <c r="CX40" s="1085"/>
      <c r="CY40" s="1085"/>
    </row>
    <row r="41" spans="1:103" ht="15.6">
      <c r="A41" s="1081" t="s">
        <v>79</v>
      </c>
      <c r="B41" s="1082">
        <f t="shared" si="0"/>
        <v>0</v>
      </c>
      <c r="C41" s="1083">
        <v>10</v>
      </c>
      <c r="D41" s="1084"/>
      <c r="E41" s="1085"/>
      <c r="F41" s="1085"/>
      <c r="G41" s="1085"/>
      <c r="H41" s="1085"/>
      <c r="I41" s="1085"/>
      <c r="J41" s="1085"/>
      <c r="K41" s="1085"/>
      <c r="L41" s="1085"/>
      <c r="M41" s="1085"/>
      <c r="N41" s="1085"/>
      <c r="O41" s="1085"/>
      <c r="P41" s="1085"/>
      <c r="Q41" s="1085"/>
      <c r="R41" s="1085"/>
      <c r="S41" s="1085"/>
      <c r="T41" s="1085"/>
      <c r="U41" s="1085"/>
      <c r="V41" s="1085"/>
      <c r="W41" s="1085"/>
      <c r="X41" s="1085"/>
      <c r="Y41" s="1085"/>
      <c r="Z41" s="1085"/>
      <c r="AA41" s="1085"/>
      <c r="AB41" s="1085"/>
      <c r="AC41" s="1085"/>
      <c r="AD41" s="1085"/>
      <c r="AE41" s="1085"/>
      <c r="AF41" s="1085"/>
      <c r="AG41" s="1085"/>
      <c r="AH41" s="1085"/>
      <c r="AI41" s="1085"/>
      <c r="AJ41" s="1085"/>
      <c r="AK41" s="1085"/>
      <c r="AL41" s="1085"/>
      <c r="AM41" s="1085"/>
      <c r="AN41" s="1085"/>
      <c r="AO41" s="1085"/>
      <c r="AP41" s="1085"/>
      <c r="AQ41" s="1085"/>
      <c r="AR41" s="1085"/>
      <c r="AS41" s="1085"/>
      <c r="AT41" s="1085"/>
      <c r="AU41" s="1085"/>
      <c r="AV41" s="1085"/>
      <c r="AW41" s="1085"/>
      <c r="AX41" s="1085"/>
      <c r="AY41" s="1085"/>
      <c r="AZ41" s="1085"/>
      <c r="BA41" s="1085"/>
      <c r="BB41" s="1085"/>
      <c r="BC41" s="1085"/>
      <c r="BD41" s="1085"/>
      <c r="BE41" s="1085"/>
      <c r="BF41" s="1085"/>
      <c r="BG41" s="1085"/>
      <c r="BH41" s="1085"/>
      <c r="BI41" s="1085"/>
      <c r="BJ41" s="1085"/>
      <c r="BK41" s="1085"/>
      <c r="BL41" s="1085"/>
      <c r="BM41" s="1085"/>
      <c r="BN41" s="1085"/>
      <c r="BO41" s="1085"/>
      <c r="BP41" s="1085"/>
      <c r="BQ41" s="1085"/>
      <c r="BR41" s="1085"/>
      <c r="BS41" s="1085"/>
      <c r="BT41" s="1085"/>
      <c r="BU41" s="1085"/>
      <c r="BV41" s="1085"/>
      <c r="BW41" s="1085"/>
      <c r="BX41" s="1085"/>
      <c r="BY41" s="1085"/>
      <c r="BZ41" s="1085"/>
      <c r="CA41" s="1085"/>
      <c r="CB41" s="1085"/>
      <c r="CC41" s="1085"/>
      <c r="CD41" s="1085"/>
      <c r="CE41" s="1085"/>
      <c r="CF41" s="1085"/>
      <c r="CG41" s="1085"/>
      <c r="CH41" s="1085"/>
      <c r="CI41" s="1085"/>
      <c r="CJ41" s="1085"/>
      <c r="CK41" s="1085"/>
      <c r="CL41" s="1085"/>
      <c r="CM41" s="1085"/>
      <c r="CN41" s="1085"/>
      <c r="CO41" s="1085"/>
      <c r="CP41" s="1085"/>
      <c r="CQ41" s="1085"/>
      <c r="CR41" s="1085"/>
      <c r="CS41" s="1085"/>
      <c r="CT41" s="1085"/>
      <c r="CU41" s="1085"/>
      <c r="CV41" s="1085"/>
      <c r="CW41" s="1085"/>
      <c r="CX41" s="1085"/>
      <c r="CY41" s="1085"/>
    </row>
    <row r="42" spans="1:103" ht="15.6">
      <c r="A42" s="1081" t="s">
        <v>82</v>
      </c>
      <c r="B42" s="1082">
        <f t="shared" si="0"/>
        <v>0</v>
      </c>
      <c r="C42" s="1083">
        <v>1</v>
      </c>
      <c r="D42" s="1084"/>
      <c r="E42" s="1085"/>
      <c r="F42" s="1085"/>
      <c r="G42" s="1085"/>
      <c r="H42" s="1085"/>
      <c r="I42" s="1085"/>
      <c r="J42" s="1085"/>
      <c r="K42" s="1085"/>
      <c r="L42" s="1085"/>
      <c r="M42" s="1085"/>
      <c r="N42" s="1085"/>
      <c r="O42" s="1085"/>
      <c r="P42" s="1085"/>
      <c r="Q42" s="1085"/>
      <c r="R42" s="1085"/>
      <c r="S42" s="1085"/>
      <c r="T42" s="1085"/>
      <c r="U42" s="1085"/>
      <c r="V42" s="1085"/>
      <c r="W42" s="1085"/>
      <c r="X42" s="1085"/>
      <c r="Y42" s="1085"/>
      <c r="Z42" s="1085"/>
      <c r="AA42" s="1085"/>
      <c r="AB42" s="1085"/>
      <c r="AC42" s="1085"/>
      <c r="AD42" s="1085"/>
      <c r="AE42" s="1085"/>
      <c r="AF42" s="1085"/>
      <c r="AG42" s="1085"/>
      <c r="AH42" s="1085"/>
      <c r="AI42" s="1085"/>
      <c r="AJ42" s="1085"/>
      <c r="AK42" s="1085"/>
      <c r="AL42" s="1085"/>
      <c r="AM42" s="1085"/>
      <c r="AN42" s="1085"/>
      <c r="AO42" s="1085"/>
      <c r="AP42" s="1085"/>
      <c r="AQ42" s="1085"/>
      <c r="AR42" s="1085"/>
      <c r="AS42" s="1085"/>
      <c r="AT42" s="1085"/>
      <c r="AU42" s="1085"/>
      <c r="AV42" s="1085"/>
      <c r="AW42" s="1085"/>
      <c r="AX42" s="1085"/>
      <c r="AY42" s="1085"/>
      <c r="AZ42" s="1085"/>
      <c r="BA42" s="1085"/>
      <c r="BB42" s="1085"/>
      <c r="BC42" s="1085"/>
      <c r="BD42" s="1085"/>
      <c r="BE42" s="1085"/>
      <c r="BF42" s="1085"/>
      <c r="BG42" s="1085"/>
      <c r="BH42" s="1085"/>
      <c r="BI42" s="1085"/>
      <c r="BJ42" s="1085"/>
      <c r="BK42" s="1085"/>
      <c r="BL42" s="1085"/>
      <c r="BM42" s="1085"/>
      <c r="BN42" s="1085"/>
      <c r="BO42" s="1085"/>
      <c r="BP42" s="1085"/>
      <c r="BQ42" s="1085"/>
      <c r="BR42" s="1085"/>
      <c r="BS42" s="1085"/>
      <c r="BT42" s="1085"/>
      <c r="BU42" s="1085"/>
      <c r="BV42" s="1085"/>
      <c r="BW42" s="1085"/>
      <c r="BX42" s="1085"/>
      <c r="BY42" s="1085"/>
      <c r="BZ42" s="1085"/>
      <c r="CA42" s="1085"/>
      <c r="CB42" s="1085"/>
      <c r="CC42" s="1085"/>
      <c r="CD42" s="1085"/>
      <c r="CE42" s="1085"/>
      <c r="CF42" s="1085"/>
      <c r="CG42" s="1085"/>
      <c r="CH42" s="1085"/>
      <c r="CI42" s="1085"/>
      <c r="CJ42" s="1085"/>
      <c r="CK42" s="1085"/>
      <c r="CL42" s="1085"/>
      <c r="CM42" s="1085"/>
      <c r="CN42" s="1085"/>
      <c r="CO42" s="1085"/>
      <c r="CP42" s="1085"/>
      <c r="CQ42" s="1085"/>
      <c r="CR42" s="1085"/>
      <c r="CS42" s="1085"/>
      <c r="CT42" s="1085"/>
      <c r="CU42" s="1085"/>
      <c r="CV42" s="1085"/>
      <c r="CW42" s="1085"/>
      <c r="CX42" s="1085"/>
      <c r="CY42" s="1085"/>
    </row>
    <row r="43" spans="1:103" ht="15.6">
      <c r="A43" s="1081" t="s">
        <v>84</v>
      </c>
      <c r="B43" s="1082">
        <f t="shared" si="0"/>
        <v>0</v>
      </c>
      <c r="C43" s="1083">
        <v>10</v>
      </c>
      <c r="D43" s="1084"/>
      <c r="E43" s="1085"/>
      <c r="F43" s="1085"/>
      <c r="G43" s="1085"/>
      <c r="H43" s="1085"/>
      <c r="I43" s="1085"/>
      <c r="J43" s="1085"/>
      <c r="K43" s="1085"/>
      <c r="L43" s="1085"/>
      <c r="M43" s="1085"/>
      <c r="N43" s="1085"/>
      <c r="O43" s="1085"/>
      <c r="P43" s="1085"/>
      <c r="Q43" s="1085"/>
      <c r="R43" s="1085"/>
      <c r="S43" s="1085"/>
      <c r="T43" s="1085"/>
      <c r="U43" s="1085"/>
      <c r="V43" s="1085"/>
      <c r="W43" s="1085"/>
      <c r="X43" s="1085"/>
      <c r="Y43" s="1085"/>
      <c r="Z43" s="1085"/>
      <c r="AA43" s="1085"/>
      <c r="AB43" s="1085"/>
      <c r="AC43" s="1085"/>
      <c r="AD43" s="1085"/>
      <c r="AE43" s="1085"/>
      <c r="AF43" s="1085"/>
      <c r="AG43" s="1085"/>
      <c r="AH43" s="1085"/>
      <c r="AI43" s="1085"/>
      <c r="AJ43" s="1085"/>
      <c r="AK43" s="1085"/>
      <c r="AL43" s="1085"/>
      <c r="AM43" s="1085"/>
      <c r="AN43" s="1085"/>
      <c r="AO43" s="1085"/>
      <c r="AP43" s="1085"/>
      <c r="AQ43" s="1085"/>
      <c r="AR43" s="1085"/>
      <c r="AS43" s="1085"/>
      <c r="AT43" s="1085"/>
      <c r="AU43" s="1085"/>
      <c r="AV43" s="1085"/>
      <c r="AW43" s="1085"/>
      <c r="AX43" s="1085"/>
      <c r="AY43" s="1085"/>
      <c r="AZ43" s="1085"/>
      <c r="BA43" s="1085"/>
      <c r="BB43" s="1085"/>
      <c r="BC43" s="1085"/>
      <c r="BD43" s="1085"/>
      <c r="BE43" s="1085"/>
      <c r="BF43" s="1085"/>
      <c r="BG43" s="1085"/>
      <c r="BH43" s="1085"/>
      <c r="BI43" s="1085"/>
      <c r="BJ43" s="1085"/>
      <c r="BK43" s="1085"/>
      <c r="BL43" s="1085"/>
      <c r="BM43" s="1085"/>
      <c r="BN43" s="1085"/>
      <c r="BO43" s="1085"/>
      <c r="BP43" s="1085"/>
      <c r="BQ43" s="1085"/>
      <c r="BR43" s="1085"/>
      <c r="BS43" s="1085"/>
      <c r="BT43" s="1085"/>
      <c r="BU43" s="1085"/>
      <c r="BV43" s="1085"/>
      <c r="BW43" s="1085"/>
      <c r="BX43" s="1085"/>
      <c r="BY43" s="1085"/>
      <c r="BZ43" s="1085"/>
      <c r="CA43" s="1085"/>
      <c r="CB43" s="1085"/>
      <c r="CC43" s="1085"/>
      <c r="CD43" s="1085"/>
      <c r="CE43" s="1085"/>
      <c r="CF43" s="1085"/>
      <c r="CG43" s="1085"/>
      <c r="CH43" s="1085"/>
      <c r="CI43" s="1085"/>
      <c r="CJ43" s="1085"/>
      <c r="CK43" s="1085"/>
      <c r="CL43" s="1085"/>
      <c r="CM43" s="1085"/>
      <c r="CN43" s="1085"/>
      <c r="CO43" s="1085"/>
      <c r="CP43" s="1085"/>
      <c r="CQ43" s="1085"/>
      <c r="CR43" s="1085"/>
      <c r="CS43" s="1085"/>
      <c r="CT43" s="1085"/>
      <c r="CU43" s="1085"/>
      <c r="CV43" s="1085"/>
      <c r="CW43" s="1085"/>
      <c r="CX43" s="1085"/>
      <c r="CY43" s="1085"/>
    </row>
    <row r="44" spans="1:103" ht="15.6">
      <c r="A44" s="1081" t="s">
        <v>86</v>
      </c>
      <c r="B44" s="1082">
        <f t="shared" si="0"/>
        <v>0</v>
      </c>
      <c r="C44" s="1083">
        <v>10</v>
      </c>
      <c r="D44" s="1084"/>
      <c r="E44" s="1085"/>
      <c r="F44" s="1085"/>
      <c r="G44" s="1085"/>
      <c r="H44" s="1085"/>
      <c r="I44" s="1085"/>
      <c r="J44" s="1085"/>
      <c r="K44" s="1085"/>
      <c r="L44" s="1085"/>
      <c r="M44" s="1085"/>
      <c r="N44" s="1085"/>
      <c r="O44" s="1085"/>
      <c r="P44" s="1085"/>
      <c r="Q44" s="1085"/>
      <c r="R44" s="1085"/>
      <c r="S44" s="1085"/>
      <c r="T44" s="1085"/>
      <c r="U44" s="1085"/>
      <c r="V44" s="1085"/>
      <c r="W44" s="1085"/>
      <c r="X44" s="1085"/>
      <c r="Y44" s="1085"/>
      <c r="Z44" s="1085"/>
      <c r="AA44" s="1085"/>
      <c r="AB44" s="1085"/>
      <c r="AC44" s="1085"/>
      <c r="AD44" s="1085"/>
      <c r="AE44" s="1085"/>
      <c r="AF44" s="1085"/>
      <c r="AG44" s="1085"/>
      <c r="AH44" s="1085"/>
      <c r="AI44" s="1085"/>
      <c r="AJ44" s="1085"/>
      <c r="AK44" s="1085"/>
      <c r="AL44" s="1085"/>
      <c r="AM44" s="1085"/>
      <c r="AN44" s="1085"/>
      <c r="AO44" s="1085"/>
      <c r="AP44" s="1085"/>
      <c r="AQ44" s="1085"/>
      <c r="AR44" s="1085"/>
      <c r="AS44" s="1085"/>
      <c r="AT44" s="1085"/>
      <c r="AU44" s="1085"/>
      <c r="AV44" s="1085"/>
      <c r="AW44" s="1085"/>
      <c r="AX44" s="1085"/>
      <c r="AY44" s="1085"/>
      <c r="AZ44" s="1085"/>
      <c r="BA44" s="1085"/>
      <c r="BB44" s="1085"/>
      <c r="BC44" s="1085"/>
      <c r="BD44" s="1085"/>
      <c r="BE44" s="1085"/>
      <c r="BF44" s="1085"/>
      <c r="BG44" s="1085"/>
      <c r="BH44" s="1085"/>
      <c r="BI44" s="1085"/>
      <c r="BJ44" s="1085"/>
      <c r="BK44" s="1085"/>
      <c r="BL44" s="1085"/>
      <c r="BM44" s="1085"/>
      <c r="BN44" s="1085"/>
      <c r="BO44" s="1085"/>
      <c r="BP44" s="1085"/>
      <c r="BQ44" s="1085"/>
      <c r="BR44" s="1085"/>
      <c r="BS44" s="1085"/>
      <c r="BT44" s="1085"/>
      <c r="BU44" s="1085"/>
      <c r="BV44" s="1085"/>
      <c r="BW44" s="1085"/>
      <c r="BX44" s="1085"/>
      <c r="BY44" s="1085"/>
      <c r="BZ44" s="1085"/>
      <c r="CA44" s="1085"/>
      <c r="CB44" s="1085"/>
      <c r="CC44" s="1085"/>
      <c r="CD44" s="1085"/>
      <c r="CE44" s="1085"/>
      <c r="CF44" s="1085"/>
      <c r="CG44" s="1085"/>
      <c r="CH44" s="1085"/>
      <c r="CI44" s="1085"/>
      <c r="CJ44" s="1085"/>
      <c r="CK44" s="1085"/>
      <c r="CL44" s="1085"/>
      <c r="CM44" s="1085"/>
      <c r="CN44" s="1085"/>
      <c r="CO44" s="1085"/>
      <c r="CP44" s="1085"/>
      <c r="CQ44" s="1085"/>
      <c r="CR44" s="1085"/>
      <c r="CS44" s="1085"/>
      <c r="CT44" s="1085"/>
      <c r="CU44" s="1085"/>
      <c r="CV44" s="1085"/>
      <c r="CW44" s="1085"/>
      <c r="CX44" s="1085"/>
      <c r="CY44" s="1085"/>
    </row>
    <row r="45" spans="1:103" ht="15.6">
      <c r="A45" s="1081" t="s">
        <v>89</v>
      </c>
      <c r="B45" s="1082">
        <f t="shared" si="0"/>
        <v>0</v>
      </c>
      <c r="C45" s="1083">
        <v>5</v>
      </c>
      <c r="D45" s="1084"/>
      <c r="E45" s="1085"/>
      <c r="F45" s="1085"/>
      <c r="G45" s="1085"/>
      <c r="H45" s="1085"/>
      <c r="I45" s="1085"/>
      <c r="J45" s="1085"/>
      <c r="K45" s="1085"/>
      <c r="L45" s="1085"/>
      <c r="M45" s="1085"/>
      <c r="N45" s="1085"/>
      <c r="O45" s="1085"/>
      <c r="P45" s="1085"/>
      <c r="Q45" s="1085"/>
      <c r="R45" s="1085"/>
      <c r="S45" s="1085"/>
      <c r="T45" s="1085"/>
      <c r="U45" s="1085"/>
      <c r="V45" s="1085"/>
      <c r="W45" s="1085"/>
      <c r="X45" s="1085"/>
      <c r="Y45" s="1085"/>
      <c r="Z45" s="1085"/>
      <c r="AA45" s="1085"/>
      <c r="AB45" s="1085"/>
      <c r="AC45" s="1085"/>
      <c r="AD45" s="1085"/>
      <c r="AE45" s="1085"/>
      <c r="AF45" s="1085"/>
      <c r="AG45" s="1085"/>
      <c r="AH45" s="1085"/>
      <c r="AI45" s="1085"/>
      <c r="AJ45" s="1085"/>
      <c r="AK45" s="1085"/>
      <c r="AL45" s="1085"/>
      <c r="AM45" s="1085"/>
      <c r="AN45" s="1085"/>
      <c r="AO45" s="1085"/>
      <c r="AP45" s="1085"/>
      <c r="AQ45" s="1085"/>
      <c r="AR45" s="1085"/>
      <c r="AS45" s="1085"/>
      <c r="AT45" s="1085"/>
      <c r="AU45" s="1085"/>
      <c r="AV45" s="1085"/>
      <c r="AW45" s="1085"/>
      <c r="AX45" s="1085"/>
      <c r="AY45" s="1085"/>
      <c r="AZ45" s="1085"/>
      <c r="BA45" s="1085"/>
      <c r="BB45" s="1085"/>
      <c r="BC45" s="1085"/>
      <c r="BD45" s="1085"/>
      <c r="BE45" s="1085"/>
      <c r="BF45" s="1085"/>
      <c r="BG45" s="1085"/>
      <c r="BH45" s="1085"/>
      <c r="BI45" s="1085"/>
      <c r="BJ45" s="1085"/>
      <c r="BK45" s="1085"/>
      <c r="BL45" s="1085"/>
      <c r="BM45" s="1085"/>
      <c r="BN45" s="1085"/>
      <c r="BO45" s="1085"/>
      <c r="BP45" s="1085"/>
      <c r="BQ45" s="1085"/>
      <c r="BR45" s="1085"/>
      <c r="BS45" s="1085"/>
      <c r="BT45" s="1085"/>
      <c r="BU45" s="1085"/>
      <c r="BV45" s="1085"/>
      <c r="BW45" s="1085"/>
      <c r="BX45" s="1085"/>
      <c r="BY45" s="1085"/>
      <c r="BZ45" s="1085"/>
      <c r="CA45" s="1085"/>
      <c r="CB45" s="1085"/>
      <c r="CC45" s="1085"/>
      <c r="CD45" s="1085"/>
      <c r="CE45" s="1085"/>
      <c r="CF45" s="1085"/>
      <c r="CG45" s="1085"/>
      <c r="CH45" s="1085"/>
      <c r="CI45" s="1085"/>
      <c r="CJ45" s="1085"/>
      <c r="CK45" s="1085"/>
      <c r="CL45" s="1085"/>
      <c r="CM45" s="1085"/>
      <c r="CN45" s="1085"/>
      <c r="CO45" s="1085"/>
      <c r="CP45" s="1085"/>
      <c r="CQ45" s="1085"/>
      <c r="CR45" s="1085"/>
      <c r="CS45" s="1085"/>
      <c r="CT45" s="1085"/>
      <c r="CU45" s="1085"/>
      <c r="CV45" s="1085"/>
      <c r="CW45" s="1085"/>
      <c r="CX45" s="1085"/>
      <c r="CY45" s="1085"/>
    </row>
    <row r="46" spans="1:103" ht="15.6">
      <c r="A46" s="1081" t="s">
        <v>94</v>
      </c>
      <c r="B46" s="1082">
        <f t="shared" si="0"/>
        <v>0</v>
      </c>
      <c r="C46" s="1083">
        <v>1</v>
      </c>
      <c r="D46" s="1084"/>
      <c r="E46" s="1085"/>
      <c r="F46" s="1085"/>
      <c r="G46" s="1085"/>
      <c r="H46" s="1085"/>
      <c r="I46" s="1085"/>
      <c r="J46" s="1085"/>
      <c r="K46" s="1085"/>
      <c r="L46" s="1085"/>
      <c r="M46" s="1085"/>
      <c r="N46" s="1085"/>
      <c r="O46" s="1085"/>
      <c r="P46" s="1085"/>
      <c r="Q46" s="1085"/>
      <c r="R46" s="1085"/>
      <c r="S46" s="1085"/>
      <c r="T46" s="1085"/>
      <c r="U46" s="1085"/>
      <c r="V46" s="1085"/>
      <c r="W46" s="1085"/>
      <c r="X46" s="1085"/>
      <c r="Y46" s="1085"/>
      <c r="Z46" s="1085"/>
      <c r="AA46" s="1085"/>
      <c r="AB46" s="1085"/>
      <c r="AC46" s="1085"/>
      <c r="AD46" s="1085"/>
      <c r="AE46" s="1085"/>
      <c r="AF46" s="1085"/>
      <c r="AG46" s="1085"/>
      <c r="AH46" s="1085"/>
      <c r="AI46" s="1085"/>
      <c r="AJ46" s="1085"/>
      <c r="AK46" s="1085"/>
      <c r="AL46" s="1085"/>
      <c r="AM46" s="1085"/>
      <c r="AN46" s="1085"/>
      <c r="AO46" s="1085"/>
      <c r="AP46" s="1085"/>
      <c r="AQ46" s="1085"/>
      <c r="AR46" s="1085"/>
      <c r="AS46" s="1085"/>
      <c r="AT46" s="1085"/>
      <c r="AU46" s="1085"/>
      <c r="AV46" s="1085"/>
      <c r="AW46" s="1085"/>
      <c r="AX46" s="1085"/>
      <c r="AY46" s="1085"/>
      <c r="AZ46" s="1085"/>
      <c r="BA46" s="1085"/>
      <c r="BB46" s="1085"/>
      <c r="BC46" s="1085"/>
      <c r="BD46" s="1085"/>
      <c r="BE46" s="1085"/>
      <c r="BF46" s="1085"/>
      <c r="BG46" s="1085"/>
      <c r="BH46" s="1085"/>
      <c r="BI46" s="1085"/>
      <c r="BJ46" s="1085"/>
      <c r="BK46" s="1085"/>
      <c r="BL46" s="1085"/>
      <c r="BM46" s="1085"/>
      <c r="BN46" s="1085"/>
      <c r="BO46" s="1085"/>
      <c r="BP46" s="1085"/>
      <c r="BQ46" s="1085"/>
      <c r="BR46" s="1085"/>
      <c r="BS46" s="1085"/>
      <c r="BT46" s="1085"/>
      <c r="BU46" s="1085"/>
      <c r="BV46" s="1085"/>
      <c r="BW46" s="1085"/>
      <c r="BX46" s="1085"/>
      <c r="BY46" s="1085"/>
      <c r="BZ46" s="1085"/>
      <c r="CA46" s="1085"/>
      <c r="CB46" s="1085"/>
      <c r="CC46" s="1085"/>
      <c r="CD46" s="1085"/>
      <c r="CE46" s="1085"/>
      <c r="CF46" s="1085"/>
      <c r="CG46" s="1085"/>
      <c r="CH46" s="1085"/>
      <c r="CI46" s="1085"/>
      <c r="CJ46" s="1085"/>
      <c r="CK46" s="1085"/>
      <c r="CL46" s="1085"/>
      <c r="CM46" s="1085"/>
      <c r="CN46" s="1085"/>
      <c r="CO46" s="1085"/>
      <c r="CP46" s="1085"/>
      <c r="CQ46" s="1085"/>
      <c r="CR46" s="1085"/>
      <c r="CS46" s="1085"/>
      <c r="CT46" s="1085"/>
      <c r="CU46" s="1085"/>
      <c r="CV46" s="1085"/>
      <c r="CW46" s="1085"/>
      <c r="CX46" s="1085"/>
      <c r="CY46" s="1085"/>
    </row>
    <row r="47" spans="1:103" ht="15.6">
      <c r="A47" s="1081" t="s">
        <v>102</v>
      </c>
      <c r="B47" s="1082">
        <f t="shared" si="0"/>
        <v>0</v>
      </c>
      <c r="C47" s="1083">
        <v>10</v>
      </c>
      <c r="D47" s="1084"/>
      <c r="E47" s="1085"/>
      <c r="F47" s="1085"/>
      <c r="G47" s="1085"/>
      <c r="H47" s="1085"/>
      <c r="I47" s="1085"/>
      <c r="J47" s="1085"/>
      <c r="K47" s="1085"/>
      <c r="L47" s="1085"/>
      <c r="M47" s="1085"/>
      <c r="N47" s="1085"/>
      <c r="O47" s="1085"/>
      <c r="P47" s="1085"/>
      <c r="Q47" s="1085"/>
      <c r="R47" s="1085"/>
      <c r="S47" s="1085"/>
      <c r="T47" s="1085"/>
      <c r="U47" s="1085"/>
      <c r="V47" s="1085"/>
      <c r="W47" s="1085"/>
      <c r="X47" s="1085"/>
      <c r="Y47" s="1085"/>
      <c r="Z47" s="1085"/>
      <c r="AA47" s="1085"/>
      <c r="AB47" s="1085"/>
      <c r="AC47" s="1085"/>
      <c r="AD47" s="1085"/>
      <c r="AE47" s="1085"/>
      <c r="AF47" s="1085"/>
      <c r="AG47" s="1085"/>
      <c r="AH47" s="1085"/>
      <c r="AI47" s="1085"/>
      <c r="AJ47" s="1085"/>
      <c r="AK47" s="1085"/>
      <c r="AL47" s="1085"/>
      <c r="AM47" s="1085"/>
      <c r="AN47" s="1085"/>
      <c r="AO47" s="1085"/>
      <c r="AP47" s="1085"/>
      <c r="AQ47" s="1085"/>
      <c r="AR47" s="1085"/>
      <c r="AS47" s="1085"/>
      <c r="AT47" s="1085"/>
      <c r="AU47" s="1085"/>
      <c r="AV47" s="1085"/>
      <c r="AW47" s="1085"/>
      <c r="AX47" s="1085"/>
      <c r="AY47" s="1085"/>
      <c r="AZ47" s="1085"/>
      <c r="BA47" s="1085"/>
      <c r="BB47" s="1085"/>
      <c r="BC47" s="1085"/>
      <c r="BD47" s="1085"/>
      <c r="BE47" s="1085"/>
      <c r="BF47" s="1085"/>
      <c r="BG47" s="1085"/>
      <c r="BH47" s="1085"/>
      <c r="BI47" s="1085"/>
      <c r="BJ47" s="1085"/>
      <c r="BK47" s="1085"/>
      <c r="BL47" s="1085"/>
      <c r="BM47" s="1085"/>
      <c r="BN47" s="1085"/>
      <c r="BO47" s="1085"/>
      <c r="BP47" s="1085"/>
      <c r="BQ47" s="1085"/>
      <c r="BR47" s="1085"/>
      <c r="BS47" s="1085"/>
      <c r="BT47" s="1085"/>
      <c r="BU47" s="1085"/>
      <c r="BV47" s="1085"/>
      <c r="BW47" s="1085"/>
      <c r="BX47" s="1085"/>
      <c r="BY47" s="1085"/>
      <c r="BZ47" s="1085"/>
      <c r="CA47" s="1085"/>
      <c r="CB47" s="1085"/>
      <c r="CC47" s="1085"/>
      <c r="CD47" s="1085"/>
      <c r="CE47" s="1085"/>
      <c r="CF47" s="1085"/>
      <c r="CG47" s="1085"/>
      <c r="CH47" s="1085"/>
      <c r="CI47" s="1085"/>
      <c r="CJ47" s="1085"/>
      <c r="CK47" s="1085"/>
      <c r="CL47" s="1085"/>
      <c r="CM47" s="1085"/>
      <c r="CN47" s="1085"/>
      <c r="CO47" s="1085"/>
      <c r="CP47" s="1085"/>
      <c r="CQ47" s="1085"/>
      <c r="CR47" s="1085"/>
      <c r="CS47" s="1085"/>
      <c r="CT47" s="1085"/>
      <c r="CU47" s="1085"/>
      <c r="CV47" s="1085"/>
      <c r="CW47" s="1085"/>
      <c r="CX47" s="1085"/>
      <c r="CY47" s="1085"/>
    </row>
    <row r="48" spans="1:103" ht="15.6">
      <c r="A48" s="1081" t="s">
        <v>104</v>
      </c>
      <c r="B48" s="1082">
        <f t="shared" si="0"/>
        <v>0</v>
      </c>
      <c r="C48" s="1083">
        <v>1</v>
      </c>
      <c r="D48" s="1084"/>
      <c r="E48" s="1085"/>
      <c r="F48" s="1085"/>
      <c r="G48" s="1085"/>
      <c r="H48" s="1085"/>
      <c r="I48" s="1085"/>
      <c r="J48" s="1085"/>
      <c r="K48" s="1085"/>
      <c r="L48" s="1085"/>
      <c r="M48" s="1085"/>
      <c r="N48" s="1085"/>
      <c r="O48" s="1085"/>
      <c r="P48" s="1085"/>
      <c r="Q48" s="1085"/>
      <c r="R48" s="1085"/>
      <c r="S48" s="1085"/>
      <c r="T48" s="1085"/>
      <c r="U48" s="1085"/>
      <c r="V48" s="1085"/>
      <c r="W48" s="1085"/>
      <c r="X48" s="1085"/>
      <c r="Y48" s="1085"/>
      <c r="Z48" s="1085"/>
      <c r="AA48" s="1085"/>
      <c r="AB48" s="1085"/>
      <c r="AC48" s="1085"/>
      <c r="AD48" s="1085"/>
      <c r="AE48" s="1085"/>
      <c r="AF48" s="1085"/>
      <c r="AG48" s="1085"/>
      <c r="AH48" s="1085"/>
      <c r="AI48" s="1085"/>
      <c r="AJ48" s="1085"/>
      <c r="AK48" s="1085"/>
      <c r="AL48" s="1085"/>
      <c r="AM48" s="1085"/>
      <c r="AN48" s="1085"/>
      <c r="AO48" s="1085"/>
      <c r="AP48" s="1085"/>
      <c r="AQ48" s="1085"/>
      <c r="AR48" s="1085"/>
      <c r="AS48" s="1085"/>
      <c r="AT48" s="1085"/>
      <c r="AU48" s="1085"/>
      <c r="AV48" s="1085"/>
      <c r="AW48" s="1085"/>
      <c r="AX48" s="1085"/>
      <c r="AY48" s="1085"/>
      <c r="AZ48" s="1085"/>
      <c r="BA48" s="1085"/>
      <c r="BB48" s="1085"/>
      <c r="BC48" s="1085"/>
      <c r="BD48" s="1085"/>
      <c r="BE48" s="1085"/>
      <c r="BF48" s="1085"/>
      <c r="BG48" s="1085"/>
      <c r="BH48" s="1085"/>
      <c r="BI48" s="1085"/>
      <c r="BJ48" s="1085"/>
      <c r="BK48" s="1085"/>
      <c r="BL48" s="1085"/>
      <c r="BM48" s="1085"/>
      <c r="BN48" s="1085"/>
      <c r="BO48" s="1085"/>
      <c r="BP48" s="1085"/>
      <c r="BQ48" s="1085"/>
      <c r="BR48" s="1085"/>
      <c r="BS48" s="1085"/>
      <c r="BT48" s="1085"/>
      <c r="BU48" s="1085"/>
      <c r="BV48" s="1085"/>
      <c r="BW48" s="1085"/>
      <c r="BX48" s="1085"/>
      <c r="BY48" s="1085"/>
      <c r="BZ48" s="1085"/>
      <c r="CA48" s="1085"/>
      <c r="CB48" s="1085"/>
      <c r="CC48" s="1085"/>
      <c r="CD48" s="1085"/>
      <c r="CE48" s="1085"/>
      <c r="CF48" s="1085"/>
      <c r="CG48" s="1085"/>
      <c r="CH48" s="1085"/>
      <c r="CI48" s="1085"/>
      <c r="CJ48" s="1085"/>
      <c r="CK48" s="1085"/>
      <c r="CL48" s="1085"/>
      <c r="CM48" s="1085"/>
      <c r="CN48" s="1085"/>
      <c r="CO48" s="1085"/>
      <c r="CP48" s="1085"/>
      <c r="CQ48" s="1085"/>
      <c r="CR48" s="1085"/>
      <c r="CS48" s="1085"/>
      <c r="CT48" s="1085"/>
      <c r="CU48" s="1085"/>
      <c r="CV48" s="1085"/>
      <c r="CW48" s="1085"/>
      <c r="CX48" s="1085"/>
      <c r="CY48" s="1085"/>
    </row>
    <row r="49" spans="1:103" ht="15.6">
      <c r="A49" s="1081" t="s">
        <v>77</v>
      </c>
      <c r="B49" s="1082">
        <f t="shared" si="0"/>
        <v>0</v>
      </c>
      <c r="C49" s="1083">
        <v>1</v>
      </c>
      <c r="D49" s="1084"/>
      <c r="E49" s="1085"/>
      <c r="F49" s="1085"/>
      <c r="G49" s="1085"/>
      <c r="H49" s="1085"/>
      <c r="I49" s="1085"/>
      <c r="J49" s="1085"/>
      <c r="K49" s="1085"/>
      <c r="L49" s="1085"/>
      <c r="M49" s="1085"/>
      <c r="N49" s="1085"/>
      <c r="O49" s="1085"/>
      <c r="P49" s="1085"/>
      <c r="Q49" s="1085"/>
      <c r="R49" s="1085"/>
      <c r="S49" s="1085"/>
      <c r="T49" s="1085"/>
      <c r="U49" s="1085"/>
      <c r="V49" s="1085"/>
      <c r="W49" s="1085"/>
      <c r="X49" s="1085"/>
      <c r="Y49" s="1085"/>
      <c r="Z49" s="1085"/>
      <c r="AA49" s="1085"/>
      <c r="AB49" s="1085"/>
      <c r="AC49" s="1085"/>
      <c r="AD49" s="1085"/>
      <c r="AE49" s="1085"/>
      <c r="AF49" s="1085"/>
      <c r="AG49" s="1085"/>
      <c r="AH49" s="1085"/>
      <c r="AI49" s="1085"/>
      <c r="AJ49" s="1085"/>
      <c r="AK49" s="1085"/>
      <c r="AL49" s="1085"/>
      <c r="AM49" s="1085"/>
      <c r="AN49" s="1085"/>
      <c r="AO49" s="1085"/>
      <c r="AP49" s="1085"/>
      <c r="AQ49" s="1085"/>
      <c r="AR49" s="1085"/>
      <c r="AS49" s="1085"/>
      <c r="AT49" s="1085"/>
      <c r="AU49" s="1085"/>
      <c r="AV49" s="1085"/>
      <c r="AW49" s="1085"/>
      <c r="AX49" s="1085"/>
      <c r="AY49" s="1085"/>
      <c r="AZ49" s="1085"/>
      <c r="BA49" s="1085"/>
      <c r="BB49" s="1085"/>
      <c r="BC49" s="1085"/>
      <c r="BD49" s="1085"/>
      <c r="BE49" s="1085"/>
      <c r="BF49" s="1085"/>
      <c r="BG49" s="1085"/>
      <c r="BH49" s="1085"/>
      <c r="BI49" s="1085"/>
      <c r="BJ49" s="1085"/>
      <c r="BK49" s="1085"/>
      <c r="BL49" s="1085"/>
      <c r="BM49" s="1085"/>
      <c r="BN49" s="1085"/>
      <c r="BO49" s="1085"/>
      <c r="BP49" s="1085"/>
      <c r="BQ49" s="1085"/>
      <c r="BR49" s="1085"/>
      <c r="BS49" s="1085"/>
      <c r="BT49" s="1085"/>
      <c r="BU49" s="1085"/>
      <c r="BV49" s="1085"/>
      <c r="BW49" s="1085"/>
      <c r="BX49" s="1085"/>
      <c r="BY49" s="1085"/>
      <c r="BZ49" s="1085"/>
      <c r="CA49" s="1085"/>
      <c r="CB49" s="1085"/>
      <c r="CC49" s="1085"/>
      <c r="CD49" s="1085"/>
      <c r="CE49" s="1085"/>
      <c r="CF49" s="1085"/>
      <c r="CG49" s="1085"/>
      <c r="CH49" s="1085"/>
      <c r="CI49" s="1085"/>
      <c r="CJ49" s="1085"/>
      <c r="CK49" s="1085"/>
      <c r="CL49" s="1085"/>
      <c r="CM49" s="1085"/>
      <c r="CN49" s="1085"/>
      <c r="CO49" s="1085"/>
      <c r="CP49" s="1085"/>
      <c r="CQ49" s="1085"/>
      <c r="CR49" s="1085"/>
      <c r="CS49" s="1085"/>
      <c r="CT49" s="1085"/>
      <c r="CU49" s="1085"/>
      <c r="CV49" s="1085"/>
      <c r="CW49" s="1085"/>
      <c r="CX49" s="1085"/>
      <c r="CY49" s="1085"/>
    </row>
    <row r="50" spans="1:103" ht="15.6">
      <c r="A50" s="1081" t="s">
        <v>112</v>
      </c>
      <c r="B50" s="1082">
        <f t="shared" si="0"/>
        <v>0</v>
      </c>
      <c r="C50" s="1083">
        <v>10</v>
      </c>
      <c r="D50" s="1084"/>
      <c r="E50" s="1085"/>
      <c r="F50" s="1085"/>
      <c r="G50" s="1085"/>
      <c r="H50" s="1085"/>
      <c r="I50" s="1085"/>
      <c r="J50" s="1085"/>
      <c r="K50" s="1085"/>
      <c r="L50" s="1085"/>
      <c r="M50" s="1085"/>
      <c r="N50" s="1085"/>
      <c r="O50" s="1085"/>
      <c r="P50" s="1085"/>
      <c r="Q50" s="1085"/>
      <c r="R50" s="1085"/>
      <c r="S50" s="1085"/>
      <c r="T50" s="1085"/>
      <c r="U50" s="1085"/>
      <c r="V50" s="1085"/>
      <c r="W50" s="1085"/>
      <c r="X50" s="1085"/>
      <c r="Y50" s="1085"/>
      <c r="Z50" s="1085"/>
      <c r="AA50" s="1085"/>
      <c r="AB50" s="1085"/>
      <c r="AC50" s="1085"/>
      <c r="AD50" s="1085"/>
      <c r="AE50" s="1085"/>
      <c r="AF50" s="1085"/>
      <c r="AG50" s="1085"/>
      <c r="AH50" s="1085"/>
      <c r="AI50" s="1085"/>
      <c r="AJ50" s="1085"/>
      <c r="AK50" s="1085"/>
      <c r="AL50" s="1085"/>
      <c r="AM50" s="1085"/>
      <c r="AN50" s="1085"/>
      <c r="AO50" s="1085"/>
      <c r="AP50" s="1085"/>
      <c r="AQ50" s="1085"/>
      <c r="AR50" s="1085"/>
      <c r="AS50" s="1085"/>
      <c r="AT50" s="1085"/>
      <c r="AU50" s="1085"/>
      <c r="AV50" s="1085"/>
      <c r="AW50" s="1085"/>
      <c r="AX50" s="1085"/>
      <c r="AY50" s="1085"/>
      <c r="AZ50" s="1085"/>
      <c r="BA50" s="1085"/>
      <c r="BB50" s="1085"/>
      <c r="BC50" s="1085"/>
      <c r="BD50" s="1085"/>
      <c r="BE50" s="1085"/>
      <c r="BF50" s="1085"/>
      <c r="BG50" s="1085"/>
      <c r="BH50" s="1085"/>
      <c r="BI50" s="1085"/>
      <c r="BJ50" s="1085"/>
      <c r="BK50" s="1085"/>
      <c r="BL50" s="1085"/>
      <c r="BM50" s="1085"/>
      <c r="BN50" s="1085"/>
      <c r="BO50" s="1085"/>
      <c r="BP50" s="1085"/>
      <c r="BQ50" s="1085"/>
      <c r="BR50" s="1085"/>
      <c r="BS50" s="1085"/>
      <c r="BT50" s="1085"/>
      <c r="BU50" s="1085"/>
      <c r="BV50" s="1085"/>
      <c r="BW50" s="1085"/>
      <c r="BX50" s="1085"/>
      <c r="BY50" s="1085"/>
      <c r="BZ50" s="1085"/>
      <c r="CA50" s="1085"/>
      <c r="CB50" s="1085"/>
      <c r="CC50" s="1085"/>
      <c r="CD50" s="1085"/>
      <c r="CE50" s="1085"/>
      <c r="CF50" s="1085"/>
      <c r="CG50" s="1085"/>
      <c r="CH50" s="1085"/>
      <c r="CI50" s="1085"/>
      <c r="CJ50" s="1085"/>
      <c r="CK50" s="1085"/>
      <c r="CL50" s="1085"/>
      <c r="CM50" s="1085"/>
      <c r="CN50" s="1085"/>
      <c r="CO50" s="1085"/>
      <c r="CP50" s="1085"/>
      <c r="CQ50" s="1085"/>
      <c r="CR50" s="1085"/>
      <c r="CS50" s="1085"/>
      <c r="CT50" s="1085"/>
      <c r="CU50" s="1085"/>
      <c r="CV50" s="1085"/>
      <c r="CW50" s="1085"/>
      <c r="CX50" s="1085"/>
      <c r="CY50" s="1085"/>
    </row>
    <row r="51" spans="1:103" ht="15.6">
      <c r="A51" s="1081" t="s">
        <v>116</v>
      </c>
      <c r="B51" s="1082">
        <f t="shared" si="0"/>
        <v>0</v>
      </c>
      <c r="C51" s="1083">
        <v>5</v>
      </c>
      <c r="D51" s="1084"/>
      <c r="E51" s="1085"/>
      <c r="F51" s="1085"/>
      <c r="G51" s="1085"/>
      <c r="H51" s="1085"/>
      <c r="I51" s="1085"/>
      <c r="J51" s="1085"/>
      <c r="K51" s="1085"/>
      <c r="L51" s="1085"/>
      <c r="M51" s="1085"/>
      <c r="N51" s="1085"/>
      <c r="O51" s="1085"/>
      <c r="P51" s="1085"/>
      <c r="Q51" s="1085"/>
      <c r="R51" s="1085"/>
      <c r="S51" s="1085"/>
      <c r="T51" s="1085"/>
      <c r="U51" s="1085"/>
      <c r="V51" s="1085"/>
      <c r="W51" s="1085"/>
      <c r="X51" s="1085"/>
      <c r="Y51" s="1085"/>
      <c r="Z51" s="1085"/>
      <c r="AA51" s="1085"/>
      <c r="AB51" s="1085"/>
      <c r="AC51" s="1085"/>
      <c r="AD51" s="1085"/>
      <c r="AE51" s="1085"/>
      <c r="AF51" s="1085"/>
      <c r="AG51" s="1085"/>
      <c r="AH51" s="1085"/>
      <c r="AI51" s="1085"/>
      <c r="AJ51" s="1085"/>
      <c r="AK51" s="1085"/>
      <c r="AL51" s="1085"/>
      <c r="AM51" s="1085"/>
      <c r="AN51" s="1085"/>
      <c r="AO51" s="1085"/>
      <c r="AP51" s="1085"/>
      <c r="AQ51" s="1085"/>
      <c r="AR51" s="1085"/>
      <c r="AS51" s="1085"/>
      <c r="AT51" s="1085"/>
      <c r="AU51" s="1085"/>
      <c r="AV51" s="1085"/>
      <c r="AW51" s="1085"/>
      <c r="AX51" s="1085"/>
      <c r="AY51" s="1085"/>
      <c r="AZ51" s="1085"/>
      <c r="BA51" s="1085"/>
      <c r="BB51" s="1085"/>
      <c r="BC51" s="1085"/>
      <c r="BD51" s="1085"/>
      <c r="BE51" s="1085"/>
      <c r="BF51" s="1085"/>
      <c r="BG51" s="1085"/>
      <c r="BH51" s="1085"/>
      <c r="BI51" s="1085"/>
      <c r="BJ51" s="1085"/>
      <c r="BK51" s="1085"/>
      <c r="BL51" s="1085"/>
      <c r="BM51" s="1085"/>
      <c r="BN51" s="1085"/>
      <c r="BO51" s="1085"/>
      <c r="BP51" s="1085"/>
      <c r="BQ51" s="1085"/>
      <c r="BR51" s="1085"/>
      <c r="BS51" s="1085"/>
      <c r="BT51" s="1085"/>
      <c r="BU51" s="1085"/>
      <c r="BV51" s="1085"/>
      <c r="BW51" s="1085"/>
      <c r="BX51" s="1085"/>
      <c r="BY51" s="1085"/>
      <c r="BZ51" s="1085"/>
      <c r="CA51" s="1085"/>
      <c r="CB51" s="1085"/>
      <c r="CC51" s="1085"/>
      <c r="CD51" s="1085"/>
      <c r="CE51" s="1085"/>
      <c r="CF51" s="1085"/>
      <c r="CG51" s="1085"/>
      <c r="CH51" s="1085"/>
      <c r="CI51" s="1085"/>
      <c r="CJ51" s="1085"/>
      <c r="CK51" s="1085"/>
      <c r="CL51" s="1085"/>
      <c r="CM51" s="1085"/>
      <c r="CN51" s="1085"/>
      <c r="CO51" s="1085"/>
      <c r="CP51" s="1085"/>
      <c r="CQ51" s="1085"/>
      <c r="CR51" s="1085"/>
      <c r="CS51" s="1085"/>
      <c r="CT51" s="1085"/>
      <c r="CU51" s="1085"/>
      <c r="CV51" s="1085"/>
      <c r="CW51" s="1085"/>
      <c r="CX51" s="1085"/>
      <c r="CY51" s="1085"/>
    </row>
    <row r="52" spans="1:103" ht="15.6">
      <c r="A52" s="1081" t="s">
        <v>118</v>
      </c>
      <c r="B52" s="1082">
        <f t="shared" si="0"/>
        <v>0</v>
      </c>
      <c r="C52" s="1083">
        <v>1</v>
      </c>
      <c r="D52" s="1084"/>
      <c r="E52" s="1085"/>
      <c r="F52" s="1085"/>
      <c r="G52" s="1085"/>
      <c r="H52" s="1085"/>
      <c r="I52" s="1085"/>
      <c r="J52" s="1085"/>
      <c r="K52" s="1085"/>
      <c r="L52" s="1085"/>
      <c r="M52" s="1085"/>
      <c r="N52" s="1085"/>
      <c r="O52" s="1085"/>
      <c r="P52" s="1085"/>
      <c r="Q52" s="1085"/>
      <c r="R52" s="1085"/>
      <c r="S52" s="1085"/>
      <c r="T52" s="1085"/>
      <c r="U52" s="1085"/>
      <c r="V52" s="1085"/>
      <c r="W52" s="1085"/>
      <c r="X52" s="1085"/>
      <c r="Y52" s="1085"/>
      <c r="Z52" s="1085"/>
      <c r="AA52" s="1085"/>
      <c r="AB52" s="1085"/>
      <c r="AC52" s="1085"/>
      <c r="AD52" s="1085"/>
      <c r="AE52" s="1085"/>
      <c r="AF52" s="1085"/>
      <c r="AG52" s="1085"/>
      <c r="AH52" s="1085"/>
      <c r="AI52" s="1085"/>
      <c r="AJ52" s="1085"/>
      <c r="AK52" s="1085"/>
      <c r="AL52" s="1085"/>
      <c r="AM52" s="1085"/>
      <c r="AN52" s="1085"/>
      <c r="AO52" s="1085"/>
      <c r="AP52" s="1085"/>
      <c r="AQ52" s="1085"/>
      <c r="AR52" s="1085"/>
      <c r="AS52" s="1085"/>
      <c r="AT52" s="1085"/>
      <c r="AU52" s="1085"/>
      <c r="AV52" s="1085"/>
      <c r="AW52" s="1085"/>
      <c r="AX52" s="1085"/>
      <c r="AY52" s="1085"/>
      <c r="AZ52" s="1085"/>
      <c r="BA52" s="1085"/>
      <c r="BB52" s="1085"/>
      <c r="BC52" s="1085"/>
      <c r="BD52" s="1085"/>
      <c r="BE52" s="1085"/>
      <c r="BF52" s="1085"/>
      <c r="BG52" s="1085"/>
      <c r="BH52" s="1085"/>
      <c r="BI52" s="1085"/>
      <c r="BJ52" s="1085"/>
      <c r="BK52" s="1085"/>
      <c r="BL52" s="1085"/>
      <c r="BM52" s="1085"/>
      <c r="BN52" s="1085"/>
      <c r="BO52" s="1085"/>
      <c r="BP52" s="1085"/>
      <c r="BQ52" s="1085"/>
      <c r="BR52" s="1085"/>
      <c r="BS52" s="1085"/>
      <c r="BT52" s="1085"/>
      <c r="BU52" s="1085"/>
      <c r="BV52" s="1085"/>
      <c r="BW52" s="1085"/>
      <c r="BX52" s="1085"/>
      <c r="BY52" s="1085"/>
      <c r="BZ52" s="1085"/>
      <c r="CA52" s="1085"/>
      <c r="CB52" s="1085"/>
      <c r="CC52" s="1085"/>
      <c r="CD52" s="1085"/>
      <c r="CE52" s="1085"/>
      <c r="CF52" s="1085"/>
      <c r="CG52" s="1085"/>
      <c r="CH52" s="1085"/>
      <c r="CI52" s="1085"/>
      <c r="CJ52" s="1085"/>
      <c r="CK52" s="1085"/>
      <c r="CL52" s="1085"/>
      <c r="CM52" s="1085"/>
      <c r="CN52" s="1085"/>
      <c r="CO52" s="1085"/>
      <c r="CP52" s="1085"/>
      <c r="CQ52" s="1085"/>
      <c r="CR52" s="1085"/>
      <c r="CS52" s="1085"/>
      <c r="CT52" s="1085"/>
      <c r="CU52" s="1085"/>
      <c r="CV52" s="1085"/>
      <c r="CW52" s="1085"/>
      <c r="CX52" s="1085"/>
      <c r="CY52" s="1085"/>
    </row>
    <row r="53" spans="1:103" ht="15.6">
      <c r="A53" s="1081" t="s">
        <v>121</v>
      </c>
      <c r="B53" s="1082">
        <f t="shared" si="0"/>
        <v>0</v>
      </c>
      <c r="C53" s="1083">
        <v>1</v>
      </c>
      <c r="D53" s="1084"/>
      <c r="E53" s="1085"/>
      <c r="F53" s="1085"/>
      <c r="G53" s="1085"/>
      <c r="H53" s="1085"/>
      <c r="I53" s="1085"/>
      <c r="J53" s="1085"/>
      <c r="K53" s="1085"/>
      <c r="L53" s="1085"/>
      <c r="M53" s="1085"/>
      <c r="N53" s="1085"/>
      <c r="O53" s="1085"/>
      <c r="P53" s="1085"/>
      <c r="Q53" s="1085"/>
      <c r="R53" s="1085"/>
      <c r="S53" s="1085"/>
      <c r="T53" s="1085"/>
      <c r="U53" s="1085"/>
      <c r="V53" s="1085"/>
      <c r="W53" s="1085"/>
      <c r="X53" s="1085"/>
      <c r="Y53" s="1085"/>
      <c r="Z53" s="1085"/>
      <c r="AA53" s="1085"/>
      <c r="AB53" s="1085"/>
      <c r="AC53" s="1085"/>
      <c r="AD53" s="1085"/>
      <c r="AE53" s="1085"/>
      <c r="AF53" s="1085"/>
      <c r="AG53" s="1085"/>
      <c r="AH53" s="1085"/>
      <c r="AI53" s="1085"/>
      <c r="AJ53" s="1085"/>
      <c r="AK53" s="1085"/>
      <c r="AL53" s="1085"/>
      <c r="AM53" s="1085"/>
      <c r="AN53" s="1085"/>
      <c r="AO53" s="1085"/>
      <c r="AP53" s="1085"/>
      <c r="AQ53" s="1085"/>
      <c r="AR53" s="1085"/>
      <c r="AS53" s="1085"/>
      <c r="AT53" s="1085"/>
      <c r="AU53" s="1085"/>
      <c r="AV53" s="1085"/>
      <c r="AW53" s="1085"/>
      <c r="AX53" s="1085"/>
      <c r="AY53" s="1085"/>
      <c r="AZ53" s="1085"/>
      <c r="BA53" s="1085"/>
      <c r="BB53" s="1085"/>
      <c r="BC53" s="1085"/>
      <c r="BD53" s="1085"/>
      <c r="BE53" s="1085"/>
      <c r="BF53" s="1085"/>
      <c r="BG53" s="1085"/>
      <c r="BH53" s="1085"/>
      <c r="BI53" s="1085"/>
      <c r="BJ53" s="1085"/>
      <c r="BK53" s="1085"/>
      <c r="BL53" s="1085"/>
      <c r="BM53" s="1085"/>
      <c r="BN53" s="1085"/>
      <c r="BO53" s="1085"/>
      <c r="BP53" s="1085"/>
      <c r="BQ53" s="1085"/>
      <c r="BR53" s="1085"/>
      <c r="BS53" s="1085"/>
      <c r="BT53" s="1085"/>
      <c r="BU53" s="1085"/>
      <c r="BV53" s="1085"/>
      <c r="BW53" s="1085"/>
      <c r="BX53" s="1085"/>
      <c r="BY53" s="1085"/>
      <c r="BZ53" s="1085"/>
      <c r="CA53" s="1085"/>
      <c r="CB53" s="1085"/>
      <c r="CC53" s="1085"/>
      <c r="CD53" s="1085"/>
      <c r="CE53" s="1085"/>
      <c r="CF53" s="1085"/>
      <c r="CG53" s="1085"/>
      <c r="CH53" s="1085"/>
      <c r="CI53" s="1085"/>
      <c r="CJ53" s="1085"/>
      <c r="CK53" s="1085"/>
      <c r="CL53" s="1085"/>
      <c r="CM53" s="1085"/>
      <c r="CN53" s="1085"/>
      <c r="CO53" s="1085"/>
      <c r="CP53" s="1085"/>
      <c r="CQ53" s="1085"/>
      <c r="CR53" s="1085"/>
      <c r="CS53" s="1085"/>
      <c r="CT53" s="1085"/>
      <c r="CU53" s="1085"/>
      <c r="CV53" s="1085"/>
      <c r="CW53" s="1085"/>
      <c r="CX53" s="1085"/>
      <c r="CY53" s="1085"/>
    </row>
    <row r="54" spans="1:103" ht="15.6">
      <c r="A54" s="1081" t="s">
        <v>123</v>
      </c>
      <c r="B54" s="1082">
        <f t="shared" si="0"/>
        <v>0</v>
      </c>
      <c r="C54" s="1083">
        <v>1</v>
      </c>
      <c r="D54" s="1084"/>
      <c r="E54" s="1085"/>
      <c r="F54" s="1085"/>
      <c r="G54" s="1085"/>
      <c r="H54" s="1085"/>
      <c r="I54" s="1085"/>
      <c r="J54" s="1085"/>
      <c r="K54" s="1085"/>
      <c r="L54" s="1085"/>
      <c r="M54" s="1085"/>
      <c r="N54" s="1085"/>
      <c r="O54" s="1085"/>
      <c r="P54" s="1085"/>
      <c r="Q54" s="1085"/>
      <c r="R54" s="1085"/>
      <c r="S54" s="1085"/>
      <c r="T54" s="1085"/>
      <c r="U54" s="1085"/>
      <c r="V54" s="1085"/>
      <c r="W54" s="1085"/>
      <c r="X54" s="1085"/>
      <c r="Y54" s="1085"/>
      <c r="Z54" s="1085"/>
      <c r="AA54" s="1085"/>
      <c r="AB54" s="1085"/>
      <c r="AC54" s="1085"/>
      <c r="AD54" s="1085"/>
      <c r="AE54" s="1085"/>
      <c r="AF54" s="1085"/>
      <c r="AG54" s="1085"/>
      <c r="AH54" s="1085"/>
      <c r="AI54" s="1085"/>
      <c r="AJ54" s="1085"/>
      <c r="AK54" s="1085"/>
      <c r="AL54" s="1085"/>
      <c r="AM54" s="1085"/>
      <c r="AN54" s="1085"/>
      <c r="AO54" s="1085"/>
      <c r="AP54" s="1085"/>
      <c r="AQ54" s="1085"/>
      <c r="AR54" s="1085"/>
      <c r="AS54" s="1085"/>
      <c r="AT54" s="1085"/>
      <c r="AU54" s="1085"/>
      <c r="AV54" s="1085"/>
      <c r="AW54" s="1085"/>
      <c r="AX54" s="1085"/>
      <c r="AY54" s="1085"/>
      <c r="AZ54" s="1085"/>
      <c r="BA54" s="1085"/>
      <c r="BB54" s="1085"/>
      <c r="BC54" s="1085"/>
      <c r="BD54" s="1085"/>
      <c r="BE54" s="1085"/>
      <c r="BF54" s="1085"/>
      <c r="BG54" s="1085"/>
      <c r="BH54" s="1085"/>
      <c r="BI54" s="1085"/>
      <c r="BJ54" s="1085"/>
      <c r="BK54" s="1085"/>
      <c r="BL54" s="1085"/>
      <c r="BM54" s="1085"/>
      <c r="BN54" s="1085"/>
      <c r="BO54" s="1085"/>
      <c r="BP54" s="1085"/>
      <c r="BQ54" s="1085"/>
      <c r="BR54" s="1085"/>
      <c r="BS54" s="1085"/>
      <c r="BT54" s="1085"/>
      <c r="BU54" s="1085"/>
      <c r="BV54" s="1085"/>
      <c r="BW54" s="1085"/>
      <c r="BX54" s="1085"/>
      <c r="BY54" s="1085"/>
      <c r="BZ54" s="1085"/>
      <c r="CA54" s="1085"/>
      <c r="CB54" s="1085"/>
      <c r="CC54" s="1085"/>
      <c r="CD54" s="1085"/>
      <c r="CE54" s="1085"/>
      <c r="CF54" s="1085"/>
      <c r="CG54" s="1085"/>
      <c r="CH54" s="1085"/>
      <c r="CI54" s="1085"/>
      <c r="CJ54" s="1085"/>
      <c r="CK54" s="1085"/>
      <c r="CL54" s="1085"/>
      <c r="CM54" s="1085"/>
      <c r="CN54" s="1085"/>
      <c r="CO54" s="1085"/>
      <c r="CP54" s="1085"/>
      <c r="CQ54" s="1085"/>
      <c r="CR54" s="1085"/>
      <c r="CS54" s="1085"/>
      <c r="CT54" s="1085"/>
      <c r="CU54" s="1085"/>
      <c r="CV54" s="1085"/>
      <c r="CW54" s="1085"/>
      <c r="CX54" s="1085"/>
      <c r="CY54" s="1085"/>
    </row>
    <row r="55" spans="1:103" ht="15.6">
      <c r="A55" s="1081" t="s">
        <v>80</v>
      </c>
      <c r="B55" s="1082">
        <f t="shared" si="0"/>
        <v>0</v>
      </c>
      <c r="C55" s="1083">
        <v>10</v>
      </c>
      <c r="D55" s="1084"/>
      <c r="E55" s="1085"/>
      <c r="F55" s="1085"/>
      <c r="G55" s="1085"/>
      <c r="H55" s="1085"/>
      <c r="I55" s="1085"/>
      <c r="J55" s="1085"/>
      <c r="K55" s="1085"/>
      <c r="L55" s="1085"/>
      <c r="M55" s="1085"/>
      <c r="N55" s="1085"/>
      <c r="O55" s="1085"/>
      <c r="P55" s="1085"/>
      <c r="Q55" s="1085"/>
      <c r="R55" s="1085"/>
      <c r="S55" s="1085"/>
      <c r="T55" s="1085"/>
      <c r="U55" s="1085"/>
      <c r="V55" s="1085"/>
      <c r="W55" s="1085"/>
      <c r="X55" s="1085"/>
      <c r="Y55" s="1085"/>
      <c r="Z55" s="1085"/>
      <c r="AA55" s="1085"/>
      <c r="AB55" s="1085"/>
      <c r="AC55" s="1085"/>
      <c r="AD55" s="1085"/>
      <c r="AE55" s="1085"/>
      <c r="AF55" s="1085"/>
      <c r="AG55" s="1085"/>
      <c r="AH55" s="1085"/>
      <c r="AI55" s="1085"/>
      <c r="AJ55" s="1085"/>
      <c r="AK55" s="1085"/>
      <c r="AL55" s="1085"/>
      <c r="AM55" s="1085"/>
      <c r="AN55" s="1085"/>
      <c r="AO55" s="1085"/>
      <c r="AP55" s="1085"/>
      <c r="AQ55" s="1085"/>
      <c r="AR55" s="1085"/>
      <c r="AS55" s="1085"/>
      <c r="AT55" s="1085"/>
      <c r="AU55" s="1085"/>
      <c r="AV55" s="1085"/>
      <c r="AW55" s="1085"/>
      <c r="AX55" s="1085"/>
      <c r="AY55" s="1085"/>
      <c r="AZ55" s="1085"/>
      <c r="BA55" s="1085"/>
      <c r="BB55" s="1085"/>
      <c r="BC55" s="1085"/>
      <c r="BD55" s="1085"/>
      <c r="BE55" s="1085"/>
      <c r="BF55" s="1085"/>
      <c r="BG55" s="1085"/>
      <c r="BH55" s="1085"/>
      <c r="BI55" s="1085"/>
      <c r="BJ55" s="1085"/>
      <c r="BK55" s="1085"/>
      <c r="BL55" s="1085"/>
      <c r="BM55" s="1085"/>
      <c r="BN55" s="1085"/>
      <c r="BO55" s="1085"/>
      <c r="BP55" s="1085"/>
      <c r="BQ55" s="1085"/>
      <c r="BR55" s="1085"/>
      <c r="BS55" s="1085"/>
      <c r="BT55" s="1085"/>
      <c r="BU55" s="1085"/>
      <c r="BV55" s="1085"/>
      <c r="BW55" s="1085"/>
      <c r="BX55" s="1085"/>
      <c r="BY55" s="1085"/>
      <c r="BZ55" s="1085"/>
      <c r="CA55" s="1085"/>
      <c r="CB55" s="1085"/>
      <c r="CC55" s="1085"/>
      <c r="CD55" s="1085"/>
      <c r="CE55" s="1085"/>
      <c r="CF55" s="1085"/>
      <c r="CG55" s="1085"/>
      <c r="CH55" s="1085"/>
      <c r="CI55" s="1085"/>
      <c r="CJ55" s="1085"/>
      <c r="CK55" s="1085"/>
      <c r="CL55" s="1085"/>
      <c r="CM55" s="1085"/>
      <c r="CN55" s="1085"/>
      <c r="CO55" s="1085"/>
      <c r="CP55" s="1085"/>
      <c r="CQ55" s="1085"/>
      <c r="CR55" s="1085"/>
      <c r="CS55" s="1085"/>
      <c r="CT55" s="1085"/>
      <c r="CU55" s="1085"/>
      <c r="CV55" s="1085"/>
      <c r="CW55" s="1085"/>
      <c r="CX55" s="1085"/>
      <c r="CY55" s="1085"/>
    </row>
    <row r="56" spans="1:103" ht="15.6">
      <c r="A56" s="1081" t="s">
        <v>128</v>
      </c>
      <c r="B56" s="1082">
        <f t="shared" si="0"/>
        <v>0</v>
      </c>
      <c r="C56" s="1083">
        <v>25</v>
      </c>
      <c r="D56" s="1084"/>
      <c r="E56" s="1085"/>
      <c r="F56" s="1085"/>
      <c r="G56" s="1085"/>
      <c r="H56" s="1085"/>
      <c r="I56" s="1085"/>
      <c r="J56" s="1085"/>
      <c r="K56" s="1085"/>
      <c r="L56" s="1085"/>
      <c r="M56" s="1085"/>
      <c r="N56" s="1085"/>
      <c r="O56" s="1085"/>
      <c r="P56" s="1085"/>
      <c r="Q56" s="1085"/>
      <c r="R56" s="1085"/>
      <c r="S56" s="1085"/>
      <c r="T56" s="1085"/>
      <c r="U56" s="1085"/>
      <c r="V56" s="1085"/>
      <c r="W56" s="1085"/>
      <c r="X56" s="1085"/>
      <c r="Y56" s="1085"/>
      <c r="Z56" s="1085"/>
      <c r="AA56" s="1085"/>
      <c r="AB56" s="1085"/>
      <c r="AC56" s="1085"/>
      <c r="AD56" s="1085"/>
      <c r="AE56" s="1085"/>
      <c r="AF56" s="1085"/>
      <c r="AG56" s="1085"/>
      <c r="AH56" s="1085"/>
      <c r="AI56" s="1085"/>
      <c r="AJ56" s="1085"/>
      <c r="AK56" s="1085"/>
      <c r="AL56" s="1085"/>
      <c r="AM56" s="1085"/>
      <c r="AN56" s="1085"/>
      <c r="AO56" s="1085"/>
      <c r="AP56" s="1085"/>
      <c r="AQ56" s="1085"/>
      <c r="AR56" s="1085"/>
      <c r="AS56" s="1085"/>
      <c r="AT56" s="1085"/>
      <c r="AU56" s="1085"/>
      <c r="AV56" s="1085"/>
      <c r="AW56" s="1085"/>
      <c r="AX56" s="1085"/>
      <c r="AY56" s="1085"/>
      <c r="AZ56" s="1085"/>
      <c r="BA56" s="1085"/>
      <c r="BB56" s="1085"/>
      <c r="BC56" s="1085"/>
      <c r="BD56" s="1085"/>
      <c r="BE56" s="1085"/>
      <c r="BF56" s="1085"/>
      <c r="BG56" s="1085"/>
      <c r="BH56" s="1085"/>
      <c r="BI56" s="1085"/>
      <c r="BJ56" s="1085"/>
      <c r="BK56" s="1085"/>
      <c r="BL56" s="1085"/>
      <c r="BM56" s="1085"/>
      <c r="BN56" s="1085"/>
      <c r="BO56" s="1085"/>
      <c r="BP56" s="1085"/>
      <c r="BQ56" s="1085"/>
      <c r="BR56" s="1085"/>
      <c r="BS56" s="1085"/>
      <c r="BT56" s="1085"/>
      <c r="BU56" s="1085"/>
      <c r="BV56" s="1085"/>
      <c r="BW56" s="1085"/>
      <c r="BX56" s="1085"/>
      <c r="BY56" s="1085"/>
      <c r="BZ56" s="1085"/>
      <c r="CA56" s="1085"/>
      <c r="CB56" s="1085"/>
      <c r="CC56" s="1085"/>
      <c r="CD56" s="1085"/>
      <c r="CE56" s="1085"/>
      <c r="CF56" s="1085"/>
      <c r="CG56" s="1085"/>
      <c r="CH56" s="1085"/>
      <c r="CI56" s="1085"/>
      <c r="CJ56" s="1085"/>
      <c r="CK56" s="1085"/>
      <c r="CL56" s="1085"/>
      <c r="CM56" s="1085"/>
      <c r="CN56" s="1085"/>
      <c r="CO56" s="1085"/>
      <c r="CP56" s="1085"/>
      <c r="CQ56" s="1085"/>
      <c r="CR56" s="1085"/>
      <c r="CS56" s="1085"/>
      <c r="CT56" s="1085"/>
      <c r="CU56" s="1085"/>
      <c r="CV56" s="1085"/>
      <c r="CW56" s="1085"/>
      <c r="CX56" s="1085"/>
      <c r="CY56" s="1085"/>
    </row>
    <row r="57" spans="1:103" ht="15.6">
      <c r="A57" s="1081" t="s">
        <v>132</v>
      </c>
      <c r="B57" s="1082">
        <f t="shared" si="0"/>
        <v>0</v>
      </c>
      <c r="C57" s="1083">
        <v>20</v>
      </c>
      <c r="D57" s="1084"/>
      <c r="E57" s="1085"/>
      <c r="F57" s="1085"/>
      <c r="G57" s="1085"/>
      <c r="H57" s="1085"/>
      <c r="I57" s="1085"/>
      <c r="J57" s="1085"/>
      <c r="K57" s="1085"/>
      <c r="L57" s="1085"/>
      <c r="M57" s="1085"/>
      <c r="N57" s="1085"/>
      <c r="O57" s="1085"/>
      <c r="P57" s="1085"/>
      <c r="Q57" s="1085"/>
      <c r="R57" s="1085"/>
      <c r="S57" s="1085"/>
      <c r="T57" s="1085"/>
      <c r="U57" s="1085"/>
      <c r="V57" s="1085"/>
      <c r="W57" s="1085"/>
      <c r="X57" s="1085"/>
      <c r="Y57" s="1085"/>
      <c r="Z57" s="1085"/>
      <c r="AA57" s="1085"/>
      <c r="AB57" s="1085"/>
      <c r="AC57" s="1085"/>
      <c r="AD57" s="1085"/>
      <c r="AE57" s="1085"/>
      <c r="AF57" s="1085"/>
      <c r="AG57" s="1085"/>
      <c r="AH57" s="1085"/>
      <c r="AI57" s="1085"/>
      <c r="AJ57" s="1085"/>
      <c r="AK57" s="1085"/>
      <c r="AL57" s="1085"/>
      <c r="AM57" s="1085"/>
      <c r="AN57" s="1085"/>
      <c r="AO57" s="1085"/>
      <c r="AP57" s="1085"/>
      <c r="AQ57" s="1085"/>
      <c r="AR57" s="1085"/>
      <c r="AS57" s="1085"/>
      <c r="AT57" s="1085"/>
      <c r="AU57" s="1085"/>
      <c r="AV57" s="1085"/>
      <c r="AW57" s="1085"/>
      <c r="AX57" s="1085"/>
      <c r="AY57" s="1085"/>
      <c r="AZ57" s="1085"/>
      <c r="BA57" s="1085"/>
      <c r="BB57" s="1085"/>
      <c r="BC57" s="1085"/>
      <c r="BD57" s="1085"/>
      <c r="BE57" s="1085"/>
      <c r="BF57" s="1085"/>
      <c r="BG57" s="1085"/>
      <c r="BH57" s="1085"/>
      <c r="BI57" s="1085"/>
      <c r="BJ57" s="1085"/>
      <c r="BK57" s="1085"/>
      <c r="BL57" s="1085"/>
      <c r="BM57" s="1085"/>
      <c r="BN57" s="1085"/>
      <c r="BO57" s="1085"/>
      <c r="BP57" s="1085"/>
      <c r="BQ57" s="1085"/>
      <c r="BR57" s="1085"/>
      <c r="BS57" s="1085"/>
      <c r="BT57" s="1085"/>
      <c r="BU57" s="1085"/>
      <c r="BV57" s="1085"/>
      <c r="BW57" s="1085"/>
      <c r="BX57" s="1085"/>
      <c r="BY57" s="1085"/>
      <c r="BZ57" s="1085"/>
      <c r="CA57" s="1085"/>
      <c r="CB57" s="1085"/>
      <c r="CC57" s="1085"/>
      <c r="CD57" s="1085"/>
      <c r="CE57" s="1085"/>
      <c r="CF57" s="1085"/>
      <c r="CG57" s="1085"/>
      <c r="CH57" s="1085"/>
      <c r="CI57" s="1085"/>
      <c r="CJ57" s="1085"/>
      <c r="CK57" s="1085"/>
      <c r="CL57" s="1085"/>
      <c r="CM57" s="1085"/>
      <c r="CN57" s="1085"/>
      <c r="CO57" s="1085"/>
      <c r="CP57" s="1085"/>
      <c r="CQ57" s="1085"/>
      <c r="CR57" s="1085"/>
      <c r="CS57" s="1085"/>
      <c r="CT57" s="1085"/>
      <c r="CU57" s="1085"/>
      <c r="CV57" s="1085"/>
      <c r="CW57" s="1085"/>
      <c r="CX57" s="1085"/>
      <c r="CY57" s="1085"/>
    </row>
    <row r="58" spans="1:103" ht="15.6">
      <c r="A58" s="1081" t="s">
        <v>137</v>
      </c>
      <c r="B58" s="1082">
        <f t="shared" si="0"/>
        <v>0</v>
      </c>
      <c r="C58" s="1083">
        <v>10</v>
      </c>
      <c r="D58" s="1084"/>
      <c r="E58" s="1085"/>
      <c r="F58" s="1085"/>
      <c r="G58" s="1085"/>
      <c r="H58" s="1085"/>
      <c r="I58" s="1085"/>
      <c r="J58" s="1085"/>
      <c r="K58" s="1085"/>
      <c r="L58" s="1085"/>
      <c r="M58" s="1085"/>
      <c r="N58" s="1085"/>
      <c r="O58" s="1085"/>
      <c r="P58" s="1085"/>
      <c r="Q58" s="1085"/>
      <c r="R58" s="1085"/>
      <c r="S58" s="1085"/>
      <c r="T58" s="1085"/>
      <c r="U58" s="1085"/>
      <c r="V58" s="1085"/>
      <c r="W58" s="1085"/>
      <c r="X58" s="1085"/>
      <c r="Y58" s="1085"/>
      <c r="Z58" s="1085"/>
      <c r="AA58" s="1085"/>
      <c r="AB58" s="1085"/>
      <c r="AC58" s="1085"/>
      <c r="AD58" s="1085"/>
      <c r="AE58" s="1085"/>
      <c r="AF58" s="1085"/>
      <c r="AG58" s="1085"/>
      <c r="AH58" s="1085"/>
      <c r="AI58" s="1085"/>
      <c r="AJ58" s="1085"/>
      <c r="AK58" s="1085"/>
      <c r="AL58" s="1085"/>
      <c r="AM58" s="1085"/>
      <c r="AN58" s="1085"/>
      <c r="AO58" s="1085"/>
      <c r="AP58" s="1085"/>
      <c r="AQ58" s="1085"/>
      <c r="AR58" s="1085"/>
      <c r="AS58" s="1085"/>
      <c r="AT58" s="1085"/>
      <c r="AU58" s="1085"/>
      <c r="AV58" s="1085"/>
      <c r="AW58" s="1085"/>
      <c r="AX58" s="1085"/>
      <c r="AY58" s="1085"/>
      <c r="AZ58" s="1085"/>
      <c r="BA58" s="1085"/>
      <c r="BB58" s="1085"/>
      <c r="BC58" s="1085"/>
      <c r="BD58" s="1085"/>
      <c r="BE58" s="1085"/>
      <c r="BF58" s="1085"/>
      <c r="BG58" s="1085"/>
      <c r="BH58" s="1085"/>
      <c r="BI58" s="1085"/>
      <c r="BJ58" s="1085"/>
      <c r="BK58" s="1085"/>
      <c r="BL58" s="1085"/>
      <c r="BM58" s="1085"/>
      <c r="BN58" s="1085"/>
      <c r="BO58" s="1085"/>
      <c r="BP58" s="1085"/>
      <c r="BQ58" s="1085"/>
      <c r="BR58" s="1085"/>
      <c r="BS58" s="1085"/>
      <c r="BT58" s="1085"/>
      <c r="BU58" s="1085"/>
      <c r="BV58" s="1085"/>
      <c r="BW58" s="1085"/>
      <c r="BX58" s="1085"/>
      <c r="BY58" s="1085"/>
      <c r="BZ58" s="1085"/>
      <c r="CA58" s="1085"/>
      <c r="CB58" s="1085"/>
      <c r="CC58" s="1085"/>
      <c r="CD58" s="1085"/>
      <c r="CE58" s="1085"/>
      <c r="CF58" s="1085"/>
      <c r="CG58" s="1085"/>
      <c r="CH58" s="1085"/>
      <c r="CI58" s="1085"/>
      <c r="CJ58" s="1085"/>
      <c r="CK58" s="1085"/>
      <c r="CL58" s="1085"/>
      <c r="CM58" s="1085"/>
      <c r="CN58" s="1085"/>
      <c r="CO58" s="1085"/>
      <c r="CP58" s="1085"/>
      <c r="CQ58" s="1085"/>
      <c r="CR58" s="1085"/>
      <c r="CS58" s="1085"/>
      <c r="CT58" s="1085"/>
      <c r="CU58" s="1085"/>
      <c r="CV58" s="1085"/>
      <c r="CW58" s="1085"/>
      <c r="CX58" s="1085"/>
      <c r="CY58" s="1085"/>
    </row>
    <row r="59" spans="1:103" ht="15.6">
      <c r="A59" s="1081" t="s">
        <v>140</v>
      </c>
      <c r="B59" s="1082">
        <f t="shared" si="0"/>
        <v>0</v>
      </c>
      <c r="C59" s="1083">
        <v>20</v>
      </c>
      <c r="D59" s="1084"/>
      <c r="E59" s="1085"/>
      <c r="F59" s="1085"/>
      <c r="G59" s="1085"/>
      <c r="H59" s="1085"/>
      <c r="I59" s="1085"/>
      <c r="J59" s="1085"/>
      <c r="K59" s="1085"/>
      <c r="L59" s="1085"/>
      <c r="M59" s="1085"/>
      <c r="N59" s="1085"/>
      <c r="O59" s="1085"/>
      <c r="P59" s="1085"/>
      <c r="Q59" s="1085"/>
      <c r="R59" s="1085"/>
      <c r="S59" s="1085"/>
      <c r="T59" s="1085"/>
      <c r="U59" s="1085"/>
      <c r="V59" s="1085"/>
      <c r="W59" s="1085"/>
      <c r="X59" s="1085"/>
      <c r="Y59" s="1085"/>
      <c r="Z59" s="1085"/>
      <c r="AA59" s="1085"/>
      <c r="AB59" s="1085"/>
      <c r="AC59" s="1085"/>
      <c r="AD59" s="1085"/>
      <c r="AE59" s="1085"/>
      <c r="AF59" s="1085"/>
      <c r="AG59" s="1085"/>
      <c r="AH59" s="1085"/>
      <c r="AI59" s="1085"/>
      <c r="AJ59" s="1085"/>
      <c r="AK59" s="1085"/>
      <c r="AL59" s="1085"/>
      <c r="AM59" s="1085"/>
      <c r="AN59" s="1085"/>
      <c r="AO59" s="1085"/>
      <c r="AP59" s="1085"/>
      <c r="AQ59" s="1085"/>
      <c r="AR59" s="1085"/>
      <c r="AS59" s="1085"/>
      <c r="AT59" s="1085"/>
      <c r="AU59" s="1085"/>
      <c r="AV59" s="1085"/>
      <c r="AW59" s="1085"/>
      <c r="AX59" s="1085"/>
      <c r="AY59" s="1085"/>
      <c r="AZ59" s="1085"/>
      <c r="BA59" s="1085"/>
      <c r="BB59" s="1085"/>
      <c r="BC59" s="1085"/>
      <c r="BD59" s="1085"/>
      <c r="BE59" s="1085"/>
      <c r="BF59" s="1085"/>
      <c r="BG59" s="1085"/>
      <c r="BH59" s="1085"/>
      <c r="BI59" s="1085"/>
      <c r="BJ59" s="1085"/>
      <c r="BK59" s="1085"/>
      <c r="BL59" s="1085"/>
      <c r="BM59" s="1085"/>
      <c r="BN59" s="1085"/>
      <c r="BO59" s="1085"/>
      <c r="BP59" s="1085"/>
      <c r="BQ59" s="1085"/>
      <c r="BR59" s="1085"/>
      <c r="BS59" s="1085"/>
      <c r="BT59" s="1085"/>
      <c r="BU59" s="1085"/>
      <c r="BV59" s="1085"/>
      <c r="BW59" s="1085"/>
      <c r="BX59" s="1085"/>
      <c r="BY59" s="1085"/>
      <c r="BZ59" s="1085"/>
      <c r="CA59" s="1085"/>
      <c r="CB59" s="1085"/>
      <c r="CC59" s="1085"/>
      <c r="CD59" s="1085"/>
      <c r="CE59" s="1085"/>
      <c r="CF59" s="1085"/>
      <c r="CG59" s="1085"/>
      <c r="CH59" s="1085"/>
      <c r="CI59" s="1085"/>
      <c r="CJ59" s="1085"/>
      <c r="CK59" s="1085"/>
      <c r="CL59" s="1085"/>
      <c r="CM59" s="1085"/>
      <c r="CN59" s="1085"/>
      <c r="CO59" s="1085"/>
      <c r="CP59" s="1085"/>
      <c r="CQ59" s="1085"/>
      <c r="CR59" s="1085"/>
      <c r="CS59" s="1085"/>
      <c r="CT59" s="1085"/>
      <c r="CU59" s="1085"/>
      <c r="CV59" s="1085"/>
      <c r="CW59" s="1085"/>
      <c r="CX59" s="1085"/>
      <c r="CY59" s="1085"/>
    </row>
    <row r="60" spans="1:103" ht="15.6">
      <c r="A60" s="1081" t="s">
        <v>143</v>
      </c>
      <c r="B60" s="1082">
        <f t="shared" si="0"/>
        <v>0</v>
      </c>
      <c r="C60" s="1083">
        <v>20</v>
      </c>
      <c r="D60" s="1084"/>
      <c r="E60" s="1085"/>
      <c r="F60" s="1085"/>
      <c r="G60" s="1085"/>
      <c r="H60" s="1085"/>
      <c r="I60" s="1085"/>
      <c r="J60" s="1085"/>
      <c r="K60" s="1085"/>
      <c r="L60" s="1085"/>
      <c r="M60" s="1085"/>
      <c r="N60" s="1085"/>
      <c r="O60" s="1085"/>
      <c r="P60" s="1085"/>
      <c r="Q60" s="1085"/>
      <c r="R60" s="1085"/>
      <c r="S60" s="1085"/>
      <c r="T60" s="1085"/>
      <c r="U60" s="1085"/>
      <c r="V60" s="1085"/>
      <c r="W60" s="1085"/>
      <c r="X60" s="1085"/>
      <c r="Y60" s="1085"/>
      <c r="Z60" s="1085"/>
      <c r="AA60" s="1085"/>
      <c r="AB60" s="1085"/>
      <c r="AC60" s="1085"/>
      <c r="AD60" s="1085"/>
      <c r="AE60" s="1085"/>
      <c r="AF60" s="1085"/>
      <c r="AG60" s="1085"/>
      <c r="AH60" s="1085"/>
      <c r="AI60" s="1085"/>
      <c r="AJ60" s="1085"/>
      <c r="AK60" s="1085"/>
      <c r="AL60" s="1085"/>
      <c r="AM60" s="1085"/>
      <c r="AN60" s="1085"/>
      <c r="AO60" s="1085"/>
      <c r="AP60" s="1085"/>
      <c r="AQ60" s="1085"/>
      <c r="AR60" s="1085"/>
      <c r="AS60" s="1085"/>
      <c r="AT60" s="1085"/>
      <c r="AU60" s="1085"/>
      <c r="AV60" s="1085"/>
      <c r="AW60" s="1085"/>
      <c r="AX60" s="1085"/>
      <c r="AY60" s="1085"/>
      <c r="AZ60" s="1085"/>
      <c r="BA60" s="1085"/>
      <c r="BB60" s="1085"/>
      <c r="BC60" s="1085"/>
      <c r="BD60" s="1085"/>
      <c r="BE60" s="1085"/>
      <c r="BF60" s="1085"/>
      <c r="BG60" s="1085"/>
      <c r="BH60" s="1085"/>
      <c r="BI60" s="1085"/>
      <c r="BJ60" s="1085"/>
      <c r="BK60" s="1085"/>
      <c r="BL60" s="1085"/>
      <c r="BM60" s="1085"/>
      <c r="BN60" s="1085"/>
      <c r="BO60" s="1085"/>
      <c r="BP60" s="1085"/>
      <c r="BQ60" s="1085"/>
      <c r="BR60" s="1085"/>
      <c r="BS60" s="1085"/>
      <c r="BT60" s="1085"/>
      <c r="BU60" s="1085"/>
      <c r="BV60" s="1085"/>
      <c r="BW60" s="1085"/>
      <c r="BX60" s="1085"/>
      <c r="BY60" s="1085"/>
      <c r="BZ60" s="1085"/>
      <c r="CA60" s="1085"/>
      <c r="CB60" s="1085"/>
      <c r="CC60" s="1085"/>
      <c r="CD60" s="1085"/>
      <c r="CE60" s="1085"/>
      <c r="CF60" s="1085"/>
      <c r="CG60" s="1085"/>
      <c r="CH60" s="1085"/>
      <c r="CI60" s="1085"/>
      <c r="CJ60" s="1085"/>
      <c r="CK60" s="1085"/>
      <c r="CL60" s="1085"/>
      <c r="CM60" s="1085"/>
      <c r="CN60" s="1085"/>
      <c r="CO60" s="1085"/>
      <c r="CP60" s="1085"/>
      <c r="CQ60" s="1085"/>
      <c r="CR60" s="1085"/>
      <c r="CS60" s="1085"/>
      <c r="CT60" s="1085"/>
      <c r="CU60" s="1085"/>
      <c r="CV60" s="1085"/>
      <c r="CW60" s="1085"/>
      <c r="CX60" s="1085"/>
      <c r="CY60" s="1085"/>
    </row>
    <row r="61" spans="1:103" ht="15.6">
      <c r="A61" s="1081" t="s">
        <v>145</v>
      </c>
      <c r="B61" s="1082">
        <f t="shared" si="0"/>
        <v>0</v>
      </c>
      <c r="C61" s="1083">
        <v>10</v>
      </c>
      <c r="D61" s="1084"/>
      <c r="E61" s="1085"/>
      <c r="F61" s="1085"/>
      <c r="G61" s="1085"/>
      <c r="H61" s="1085"/>
      <c r="I61" s="1085"/>
      <c r="J61" s="1085"/>
      <c r="K61" s="1085"/>
      <c r="L61" s="1085"/>
      <c r="M61" s="1085"/>
      <c r="N61" s="1085"/>
      <c r="O61" s="1085"/>
      <c r="P61" s="1085"/>
      <c r="Q61" s="1085"/>
      <c r="R61" s="1085"/>
      <c r="S61" s="1085"/>
      <c r="T61" s="1085"/>
      <c r="U61" s="1085"/>
      <c r="V61" s="1085"/>
      <c r="W61" s="1085"/>
      <c r="X61" s="1085"/>
      <c r="Y61" s="1085"/>
      <c r="Z61" s="1085"/>
      <c r="AA61" s="1085"/>
      <c r="AB61" s="1085"/>
      <c r="AC61" s="1085"/>
      <c r="AD61" s="1085"/>
      <c r="AE61" s="1085"/>
      <c r="AF61" s="1085"/>
      <c r="AG61" s="1085"/>
      <c r="AH61" s="1085"/>
      <c r="AI61" s="1085"/>
      <c r="AJ61" s="1085"/>
      <c r="AK61" s="1085"/>
      <c r="AL61" s="1085"/>
      <c r="AM61" s="1085"/>
      <c r="AN61" s="1085"/>
      <c r="AO61" s="1085"/>
      <c r="AP61" s="1085"/>
      <c r="AQ61" s="1085"/>
      <c r="AR61" s="1085"/>
      <c r="AS61" s="1085"/>
      <c r="AT61" s="1085"/>
      <c r="AU61" s="1085"/>
      <c r="AV61" s="1085"/>
      <c r="AW61" s="1085"/>
      <c r="AX61" s="1085"/>
      <c r="AY61" s="1085"/>
      <c r="AZ61" s="1085"/>
      <c r="BA61" s="1085"/>
      <c r="BB61" s="1085"/>
      <c r="BC61" s="1085"/>
      <c r="BD61" s="1085"/>
      <c r="BE61" s="1085"/>
      <c r="BF61" s="1085"/>
      <c r="BG61" s="1085"/>
      <c r="BH61" s="1085"/>
      <c r="BI61" s="1085"/>
      <c r="BJ61" s="1085"/>
      <c r="BK61" s="1085"/>
      <c r="BL61" s="1085"/>
      <c r="BM61" s="1085"/>
      <c r="BN61" s="1085"/>
      <c r="BO61" s="1085"/>
      <c r="BP61" s="1085"/>
      <c r="BQ61" s="1085"/>
      <c r="BR61" s="1085"/>
      <c r="BS61" s="1085"/>
      <c r="BT61" s="1085"/>
      <c r="BU61" s="1085"/>
      <c r="BV61" s="1085"/>
      <c r="BW61" s="1085"/>
      <c r="BX61" s="1085"/>
      <c r="BY61" s="1085"/>
      <c r="BZ61" s="1085"/>
      <c r="CA61" s="1085"/>
      <c r="CB61" s="1085"/>
      <c r="CC61" s="1085"/>
      <c r="CD61" s="1085"/>
      <c r="CE61" s="1085"/>
      <c r="CF61" s="1085"/>
      <c r="CG61" s="1085"/>
      <c r="CH61" s="1085"/>
      <c r="CI61" s="1085"/>
      <c r="CJ61" s="1085"/>
      <c r="CK61" s="1085"/>
      <c r="CL61" s="1085"/>
      <c r="CM61" s="1085"/>
      <c r="CN61" s="1085"/>
      <c r="CO61" s="1085"/>
      <c r="CP61" s="1085"/>
      <c r="CQ61" s="1085"/>
      <c r="CR61" s="1085"/>
      <c r="CS61" s="1085"/>
      <c r="CT61" s="1085"/>
      <c r="CU61" s="1085"/>
      <c r="CV61" s="1085"/>
      <c r="CW61" s="1085"/>
      <c r="CX61" s="1085"/>
      <c r="CY61" s="1085"/>
    </row>
    <row r="62" spans="1:103" ht="15.6">
      <c r="A62" s="1081" t="s">
        <v>147</v>
      </c>
      <c r="B62" s="1082">
        <f t="shared" si="0"/>
        <v>0</v>
      </c>
      <c r="C62" s="1083">
        <v>5</v>
      </c>
      <c r="D62" s="1084"/>
      <c r="E62" s="1085"/>
      <c r="F62" s="1085"/>
      <c r="G62" s="1085"/>
      <c r="H62" s="1085"/>
      <c r="I62" s="1085"/>
      <c r="J62" s="1085"/>
      <c r="K62" s="1085"/>
      <c r="L62" s="1085"/>
      <c r="M62" s="1085"/>
      <c r="N62" s="1085"/>
      <c r="O62" s="1085"/>
      <c r="P62" s="1085"/>
      <c r="Q62" s="1085"/>
      <c r="R62" s="1085"/>
      <c r="S62" s="1085"/>
      <c r="T62" s="1085"/>
      <c r="U62" s="1085"/>
      <c r="V62" s="1085"/>
      <c r="W62" s="1085"/>
      <c r="X62" s="1085"/>
      <c r="Y62" s="1085"/>
      <c r="Z62" s="1085"/>
      <c r="AA62" s="1085"/>
      <c r="AB62" s="1085"/>
      <c r="AC62" s="1085"/>
      <c r="AD62" s="1085"/>
      <c r="AE62" s="1085"/>
      <c r="AF62" s="1085"/>
      <c r="AG62" s="1085"/>
      <c r="AH62" s="1085"/>
      <c r="AI62" s="1085"/>
      <c r="AJ62" s="1085"/>
      <c r="AK62" s="1085"/>
      <c r="AL62" s="1085"/>
      <c r="AM62" s="1085"/>
      <c r="AN62" s="1085"/>
      <c r="AO62" s="1085"/>
      <c r="AP62" s="1085"/>
      <c r="AQ62" s="1085"/>
      <c r="AR62" s="1085"/>
      <c r="AS62" s="1085"/>
      <c r="AT62" s="1085"/>
      <c r="AU62" s="1085"/>
      <c r="AV62" s="1085"/>
      <c r="AW62" s="1085"/>
      <c r="AX62" s="1085"/>
      <c r="AY62" s="1085"/>
      <c r="AZ62" s="1085"/>
      <c r="BA62" s="1085"/>
      <c r="BB62" s="1085"/>
      <c r="BC62" s="1085"/>
      <c r="BD62" s="1085"/>
      <c r="BE62" s="1085"/>
      <c r="BF62" s="1085"/>
      <c r="BG62" s="1085"/>
      <c r="BH62" s="1085"/>
      <c r="BI62" s="1085"/>
      <c r="BJ62" s="1085"/>
      <c r="BK62" s="1085"/>
      <c r="BL62" s="1085"/>
      <c r="BM62" s="1085"/>
      <c r="BN62" s="1085"/>
      <c r="BO62" s="1085"/>
      <c r="BP62" s="1085"/>
      <c r="BQ62" s="1085"/>
      <c r="BR62" s="1085"/>
      <c r="BS62" s="1085"/>
      <c r="BT62" s="1085"/>
      <c r="BU62" s="1085"/>
      <c r="BV62" s="1085"/>
      <c r="BW62" s="1085"/>
      <c r="BX62" s="1085"/>
      <c r="BY62" s="1085"/>
      <c r="BZ62" s="1085"/>
      <c r="CA62" s="1085"/>
      <c r="CB62" s="1085"/>
      <c r="CC62" s="1085"/>
      <c r="CD62" s="1085"/>
      <c r="CE62" s="1085"/>
      <c r="CF62" s="1085"/>
      <c r="CG62" s="1085"/>
      <c r="CH62" s="1085"/>
      <c r="CI62" s="1085"/>
      <c r="CJ62" s="1085"/>
      <c r="CK62" s="1085"/>
      <c r="CL62" s="1085"/>
      <c r="CM62" s="1085"/>
      <c r="CN62" s="1085"/>
      <c r="CO62" s="1085"/>
      <c r="CP62" s="1085"/>
      <c r="CQ62" s="1085"/>
      <c r="CR62" s="1085"/>
      <c r="CS62" s="1085"/>
      <c r="CT62" s="1085"/>
      <c r="CU62" s="1085"/>
      <c r="CV62" s="1085"/>
      <c r="CW62" s="1085"/>
      <c r="CX62" s="1085"/>
      <c r="CY62" s="1085"/>
    </row>
    <row r="63" spans="1:103" ht="15.6">
      <c r="A63" s="1081" t="s">
        <v>149</v>
      </c>
      <c r="B63" s="1082">
        <f t="shared" si="0"/>
        <v>0</v>
      </c>
      <c r="C63" s="1083">
        <v>1</v>
      </c>
      <c r="D63" s="1084"/>
      <c r="E63" s="1085"/>
      <c r="F63" s="1085"/>
      <c r="G63" s="1085"/>
      <c r="H63" s="1085"/>
      <c r="I63" s="1085"/>
      <c r="J63" s="1085"/>
      <c r="K63" s="1085"/>
      <c r="L63" s="1085"/>
      <c r="M63" s="1085"/>
      <c r="N63" s="1085"/>
      <c r="O63" s="1085"/>
      <c r="P63" s="1085"/>
      <c r="Q63" s="1085"/>
      <c r="R63" s="1085"/>
      <c r="S63" s="1085"/>
      <c r="T63" s="1085"/>
      <c r="U63" s="1085"/>
      <c r="V63" s="1085"/>
      <c r="W63" s="1085"/>
      <c r="X63" s="1085"/>
      <c r="Y63" s="1085"/>
      <c r="Z63" s="1085"/>
      <c r="AA63" s="1085"/>
      <c r="AB63" s="1085"/>
      <c r="AC63" s="1085"/>
      <c r="AD63" s="1085"/>
      <c r="AE63" s="1085"/>
      <c r="AF63" s="1085"/>
      <c r="AG63" s="1085"/>
      <c r="AH63" s="1085"/>
      <c r="AI63" s="1085"/>
      <c r="AJ63" s="1085"/>
      <c r="AK63" s="1085"/>
      <c r="AL63" s="1085"/>
      <c r="AM63" s="1085"/>
      <c r="AN63" s="1085"/>
      <c r="AO63" s="1085"/>
      <c r="AP63" s="1085"/>
      <c r="AQ63" s="1085"/>
      <c r="AR63" s="1085"/>
      <c r="AS63" s="1085"/>
      <c r="AT63" s="1085"/>
      <c r="AU63" s="1085"/>
      <c r="AV63" s="1085"/>
      <c r="AW63" s="1085"/>
      <c r="AX63" s="1085"/>
      <c r="AY63" s="1085"/>
      <c r="AZ63" s="1085"/>
      <c r="BA63" s="1085"/>
      <c r="BB63" s="1085"/>
      <c r="BC63" s="1085"/>
      <c r="BD63" s="1085"/>
      <c r="BE63" s="1085"/>
      <c r="BF63" s="1085"/>
      <c r="BG63" s="1085"/>
      <c r="BH63" s="1085"/>
      <c r="BI63" s="1085"/>
      <c r="BJ63" s="1085"/>
      <c r="BK63" s="1085"/>
      <c r="BL63" s="1085"/>
      <c r="BM63" s="1085"/>
      <c r="BN63" s="1085"/>
      <c r="BO63" s="1085"/>
      <c r="BP63" s="1085"/>
      <c r="BQ63" s="1085"/>
      <c r="BR63" s="1085"/>
      <c r="BS63" s="1085"/>
      <c r="BT63" s="1085"/>
      <c r="BU63" s="1085"/>
      <c r="BV63" s="1085"/>
      <c r="BW63" s="1085"/>
      <c r="BX63" s="1085"/>
      <c r="BY63" s="1085"/>
      <c r="BZ63" s="1085"/>
      <c r="CA63" s="1085"/>
      <c r="CB63" s="1085"/>
      <c r="CC63" s="1085"/>
      <c r="CD63" s="1085"/>
      <c r="CE63" s="1085"/>
      <c r="CF63" s="1085"/>
      <c r="CG63" s="1085"/>
      <c r="CH63" s="1085"/>
      <c r="CI63" s="1085"/>
      <c r="CJ63" s="1085"/>
      <c r="CK63" s="1085"/>
      <c r="CL63" s="1085"/>
      <c r="CM63" s="1085"/>
      <c r="CN63" s="1085"/>
      <c r="CO63" s="1085"/>
      <c r="CP63" s="1085"/>
      <c r="CQ63" s="1085"/>
      <c r="CR63" s="1085"/>
      <c r="CS63" s="1085"/>
      <c r="CT63" s="1085"/>
      <c r="CU63" s="1085"/>
      <c r="CV63" s="1085"/>
      <c r="CW63" s="1085"/>
      <c r="CX63" s="1085"/>
      <c r="CY63" s="1085"/>
    </row>
    <row r="64" spans="1:103" ht="15.6">
      <c r="A64" s="1081" t="s">
        <v>151</v>
      </c>
      <c r="B64" s="1082">
        <f t="shared" si="0"/>
        <v>0</v>
      </c>
      <c r="C64" s="1083">
        <v>1</v>
      </c>
      <c r="D64" s="1084"/>
      <c r="E64" s="1085"/>
      <c r="F64" s="1085"/>
      <c r="G64" s="1085"/>
      <c r="H64" s="1085"/>
      <c r="I64" s="1085"/>
      <c r="J64" s="1085"/>
      <c r="K64" s="1085"/>
      <c r="L64" s="1085"/>
      <c r="M64" s="1085"/>
      <c r="N64" s="1085"/>
      <c r="O64" s="1085"/>
      <c r="P64" s="1085"/>
      <c r="Q64" s="1085"/>
      <c r="R64" s="1085"/>
      <c r="S64" s="1085"/>
      <c r="T64" s="1085"/>
      <c r="U64" s="1085"/>
      <c r="V64" s="1085"/>
      <c r="W64" s="1085"/>
      <c r="X64" s="1085"/>
      <c r="Y64" s="1085"/>
      <c r="Z64" s="1085"/>
      <c r="AA64" s="1085"/>
      <c r="AB64" s="1085"/>
      <c r="AC64" s="1085"/>
      <c r="AD64" s="1085"/>
      <c r="AE64" s="1085"/>
      <c r="AF64" s="1085"/>
      <c r="AG64" s="1085"/>
      <c r="AH64" s="1085"/>
      <c r="AI64" s="1085"/>
      <c r="AJ64" s="1085"/>
      <c r="AK64" s="1085"/>
      <c r="AL64" s="1085"/>
      <c r="AM64" s="1085"/>
      <c r="AN64" s="1085"/>
      <c r="AO64" s="1085"/>
      <c r="AP64" s="1085"/>
      <c r="AQ64" s="1085"/>
      <c r="AR64" s="1085"/>
      <c r="AS64" s="1085"/>
      <c r="AT64" s="1085"/>
      <c r="AU64" s="1085"/>
      <c r="AV64" s="1085"/>
      <c r="AW64" s="1085"/>
      <c r="AX64" s="1085"/>
      <c r="AY64" s="1085"/>
      <c r="AZ64" s="1085"/>
      <c r="BA64" s="1085"/>
      <c r="BB64" s="1085"/>
      <c r="BC64" s="1085"/>
      <c r="BD64" s="1085"/>
      <c r="BE64" s="1085"/>
      <c r="BF64" s="1085"/>
      <c r="BG64" s="1085"/>
      <c r="BH64" s="1085"/>
      <c r="BI64" s="1085"/>
      <c r="BJ64" s="1085"/>
      <c r="BK64" s="1085"/>
      <c r="BL64" s="1085"/>
      <c r="BM64" s="1085"/>
      <c r="BN64" s="1085"/>
      <c r="BO64" s="1085"/>
      <c r="BP64" s="1085"/>
      <c r="BQ64" s="1085"/>
      <c r="BR64" s="1085"/>
      <c r="BS64" s="1085"/>
      <c r="BT64" s="1085"/>
      <c r="BU64" s="1085"/>
      <c r="BV64" s="1085"/>
      <c r="BW64" s="1085"/>
      <c r="BX64" s="1085"/>
      <c r="BY64" s="1085"/>
      <c r="BZ64" s="1085"/>
      <c r="CA64" s="1085"/>
      <c r="CB64" s="1085"/>
      <c r="CC64" s="1085"/>
      <c r="CD64" s="1085"/>
      <c r="CE64" s="1085"/>
      <c r="CF64" s="1085"/>
      <c r="CG64" s="1085"/>
      <c r="CH64" s="1085"/>
      <c r="CI64" s="1085"/>
      <c r="CJ64" s="1085"/>
      <c r="CK64" s="1085"/>
      <c r="CL64" s="1085"/>
      <c r="CM64" s="1085"/>
      <c r="CN64" s="1085"/>
      <c r="CO64" s="1085"/>
      <c r="CP64" s="1085"/>
      <c r="CQ64" s="1085"/>
      <c r="CR64" s="1085"/>
      <c r="CS64" s="1085"/>
      <c r="CT64" s="1085"/>
      <c r="CU64" s="1085"/>
      <c r="CV64" s="1085"/>
      <c r="CW64" s="1085"/>
      <c r="CX64" s="1085"/>
      <c r="CY64" s="1085"/>
    </row>
    <row r="65" spans="1:103" ht="15.6">
      <c r="A65" s="1081" t="s">
        <v>154</v>
      </c>
      <c r="B65" s="1082">
        <f t="shared" si="0"/>
        <v>0</v>
      </c>
      <c r="C65" s="1083">
        <v>1</v>
      </c>
      <c r="D65" s="1084"/>
      <c r="E65" s="1085"/>
      <c r="F65" s="1085"/>
      <c r="G65" s="1085"/>
      <c r="H65" s="1085"/>
      <c r="I65" s="1085"/>
      <c r="J65" s="1085"/>
      <c r="K65" s="1085"/>
      <c r="L65" s="1085"/>
      <c r="M65" s="1085"/>
      <c r="N65" s="1085"/>
      <c r="O65" s="1085"/>
      <c r="P65" s="1085"/>
      <c r="Q65" s="1085"/>
      <c r="R65" s="1085"/>
      <c r="S65" s="1085"/>
      <c r="T65" s="1085"/>
      <c r="U65" s="1085"/>
      <c r="V65" s="1085"/>
      <c r="W65" s="1085"/>
      <c r="X65" s="1085"/>
      <c r="Y65" s="1085"/>
      <c r="Z65" s="1085"/>
      <c r="AA65" s="1085"/>
      <c r="AB65" s="1085"/>
      <c r="AC65" s="1085"/>
      <c r="AD65" s="1085"/>
      <c r="AE65" s="1085"/>
      <c r="AF65" s="1085"/>
      <c r="AG65" s="1085"/>
      <c r="AH65" s="1085"/>
      <c r="AI65" s="1085"/>
      <c r="AJ65" s="1085"/>
      <c r="AK65" s="1085"/>
      <c r="AL65" s="1085"/>
      <c r="AM65" s="1085"/>
      <c r="AN65" s="1085"/>
      <c r="AO65" s="1085"/>
      <c r="AP65" s="1085"/>
      <c r="AQ65" s="1085"/>
      <c r="AR65" s="1085"/>
      <c r="AS65" s="1085"/>
      <c r="AT65" s="1085"/>
      <c r="AU65" s="1085"/>
      <c r="AV65" s="1085"/>
      <c r="AW65" s="1085"/>
      <c r="AX65" s="1085"/>
      <c r="AY65" s="1085"/>
      <c r="AZ65" s="1085"/>
      <c r="BA65" s="1085"/>
      <c r="BB65" s="1085"/>
      <c r="BC65" s="1085"/>
      <c r="BD65" s="1085"/>
      <c r="BE65" s="1085"/>
      <c r="BF65" s="1085"/>
      <c r="BG65" s="1085"/>
      <c r="BH65" s="1085"/>
      <c r="BI65" s="1085"/>
      <c r="BJ65" s="1085"/>
      <c r="BK65" s="1085"/>
      <c r="BL65" s="1085"/>
      <c r="BM65" s="1085"/>
      <c r="BN65" s="1085"/>
      <c r="BO65" s="1085"/>
      <c r="BP65" s="1085"/>
      <c r="BQ65" s="1085"/>
      <c r="BR65" s="1085"/>
      <c r="BS65" s="1085"/>
      <c r="BT65" s="1085"/>
      <c r="BU65" s="1085"/>
      <c r="BV65" s="1085"/>
      <c r="BW65" s="1085"/>
      <c r="BX65" s="1085"/>
      <c r="BY65" s="1085"/>
      <c r="BZ65" s="1085"/>
      <c r="CA65" s="1085"/>
      <c r="CB65" s="1085"/>
      <c r="CC65" s="1085"/>
      <c r="CD65" s="1085"/>
      <c r="CE65" s="1085"/>
      <c r="CF65" s="1085"/>
      <c r="CG65" s="1085"/>
      <c r="CH65" s="1085"/>
      <c r="CI65" s="1085"/>
      <c r="CJ65" s="1085"/>
      <c r="CK65" s="1085"/>
      <c r="CL65" s="1085"/>
      <c r="CM65" s="1085"/>
      <c r="CN65" s="1085"/>
      <c r="CO65" s="1085"/>
      <c r="CP65" s="1085"/>
      <c r="CQ65" s="1085"/>
      <c r="CR65" s="1085"/>
      <c r="CS65" s="1085"/>
      <c r="CT65" s="1085"/>
      <c r="CU65" s="1085"/>
      <c r="CV65" s="1085"/>
      <c r="CW65" s="1085"/>
      <c r="CX65" s="1085"/>
      <c r="CY65" s="1085"/>
    </row>
    <row r="66" spans="1:103" ht="15.6">
      <c r="A66" s="1081" t="s">
        <v>74</v>
      </c>
      <c r="B66" s="1082">
        <f t="shared" si="0"/>
        <v>0</v>
      </c>
      <c r="C66" s="1083">
        <v>1</v>
      </c>
      <c r="D66" s="1084"/>
      <c r="E66" s="1085"/>
      <c r="F66" s="1085"/>
      <c r="G66" s="1085"/>
      <c r="H66" s="1085"/>
      <c r="I66" s="1085"/>
      <c r="J66" s="1085"/>
      <c r="K66" s="1085"/>
      <c r="L66" s="1085"/>
      <c r="M66" s="1085"/>
      <c r="N66" s="1085"/>
      <c r="O66" s="1085"/>
      <c r="P66" s="1085"/>
      <c r="Q66" s="1085"/>
      <c r="R66" s="1085"/>
      <c r="S66" s="1085"/>
      <c r="T66" s="1085"/>
      <c r="U66" s="1085"/>
      <c r="V66" s="1085"/>
      <c r="W66" s="1085"/>
      <c r="X66" s="1085"/>
      <c r="Y66" s="1085"/>
      <c r="Z66" s="1085"/>
      <c r="AA66" s="1085"/>
      <c r="AB66" s="1085"/>
      <c r="AC66" s="1085"/>
      <c r="AD66" s="1085"/>
      <c r="AE66" s="1085"/>
      <c r="AF66" s="1085"/>
      <c r="AG66" s="1085"/>
      <c r="AH66" s="1085"/>
      <c r="AI66" s="1085"/>
      <c r="AJ66" s="1085"/>
      <c r="AK66" s="1085"/>
      <c r="AL66" s="1085"/>
      <c r="AM66" s="1085"/>
      <c r="AN66" s="1085"/>
      <c r="AO66" s="1085"/>
      <c r="AP66" s="1085"/>
      <c r="AQ66" s="1085"/>
      <c r="AR66" s="1085"/>
      <c r="AS66" s="1085"/>
      <c r="AT66" s="1085"/>
      <c r="AU66" s="1085"/>
      <c r="AV66" s="1085"/>
      <c r="AW66" s="1085"/>
      <c r="AX66" s="1085"/>
      <c r="AY66" s="1085"/>
      <c r="AZ66" s="1085"/>
      <c r="BA66" s="1085"/>
      <c r="BB66" s="1085"/>
      <c r="BC66" s="1085"/>
      <c r="BD66" s="1085"/>
      <c r="BE66" s="1085"/>
      <c r="BF66" s="1085"/>
      <c r="BG66" s="1085"/>
      <c r="BH66" s="1085"/>
      <c r="BI66" s="1085"/>
      <c r="BJ66" s="1085"/>
      <c r="BK66" s="1085"/>
      <c r="BL66" s="1085"/>
      <c r="BM66" s="1085"/>
      <c r="BN66" s="1085"/>
      <c r="BO66" s="1085"/>
      <c r="BP66" s="1085"/>
      <c r="BQ66" s="1085"/>
      <c r="BR66" s="1085"/>
      <c r="BS66" s="1085"/>
      <c r="BT66" s="1085"/>
      <c r="BU66" s="1085"/>
      <c r="BV66" s="1085"/>
      <c r="BW66" s="1085"/>
      <c r="BX66" s="1085"/>
      <c r="BY66" s="1085"/>
      <c r="BZ66" s="1085"/>
      <c r="CA66" s="1085"/>
      <c r="CB66" s="1085"/>
      <c r="CC66" s="1085"/>
      <c r="CD66" s="1085"/>
      <c r="CE66" s="1085"/>
      <c r="CF66" s="1085"/>
      <c r="CG66" s="1085"/>
      <c r="CH66" s="1085"/>
      <c r="CI66" s="1085"/>
      <c r="CJ66" s="1085"/>
      <c r="CK66" s="1085"/>
      <c r="CL66" s="1085"/>
      <c r="CM66" s="1085"/>
      <c r="CN66" s="1085"/>
      <c r="CO66" s="1085"/>
      <c r="CP66" s="1085"/>
      <c r="CQ66" s="1085"/>
      <c r="CR66" s="1085"/>
      <c r="CS66" s="1085"/>
      <c r="CT66" s="1085"/>
      <c r="CU66" s="1085"/>
      <c r="CV66" s="1085"/>
      <c r="CW66" s="1085"/>
      <c r="CX66" s="1085"/>
      <c r="CY66" s="1085"/>
    </row>
    <row r="67" spans="1:103" ht="15.6">
      <c r="A67" s="1081" t="s">
        <v>157</v>
      </c>
      <c r="B67" s="1082">
        <f t="shared" ref="B67:B100" si="1">SUM(D67:CY67)</f>
        <v>0</v>
      </c>
      <c r="C67" s="1083">
        <v>1</v>
      </c>
      <c r="D67" s="1084"/>
      <c r="E67" s="1085"/>
      <c r="F67" s="1085"/>
      <c r="G67" s="1085"/>
      <c r="H67" s="1085"/>
      <c r="I67" s="1085"/>
      <c r="J67" s="1085"/>
      <c r="K67" s="1085"/>
      <c r="L67" s="1085"/>
      <c r="M67" s="1085"/>
      <c r="N67" s="1085"/>
      <c r="O67" s="1085"/>
      <c r="P67" s="1085"/>
      <c r="Q67" s="1085"/>
      <c r="R67" s="1085"/>
      <c r="S67" s="1085"/>
      <c r="T67" s="1085"/>
      <c r="U67" s="1085"/>
      <c r="V67" s="1085"/>
      <c r="W67" s="1085"/>
      <c r="X67" s="1085"/>
      <c r="Y67" s="1085"/>
      <c r="Z67" s="1085"/>
      <c r="AA67" s="1085"/>
      <c r="AB67" s="1085"/>
      <c r="AC67" s="1085"/>
      <c r="AD67" s="1085"/>
      <c r="AE67" s="1085"/>
      <c r="AF67" s="1085"/>
      <c r="AG67" s="1085"/>
      <c r="AH67" s="1085"/>
      <c r="AI67" s="1085"/>
      <c r="AJ67" s="1085"/>
      <c r="AK67" s="1085"/>
      <c r="AL67" s="1085"/>
      <c r="AM67" s="1085"/>
      <c r="AN67" s="1085"/>
      <c r="AO67" s="1085"/>
      <c r="AP67" s="1085"/>
      <c r="AQ67" s="1085"/>
      <c r="AR67" s="1085"/>
      <c r="AS67" s="1085"/>
      <c r="AT67" s="1085"/>
      <c r="AU67" s="1085"/>
      <c r="AV67" s="1085"/>
      <c r="AW67" s="1085"/>
      <c r="AX67" s="1085"/>
      <c r="AY67" s="1085"/>
      <c r="AZ67" s="1085"/>
      <c r="BA67" s="1085"/>
      <c r="BB67" s="1085"/>
      <c r="BC67" s="1085"/>
      <c r="BD67" s="1085"/>
      <c r="BE67" s="1085"/>
      <c r="BF67" s="1085"/>
      <c r="BG67" s="1085"/>
      <c r="BH67" s="1085"/>
      <c r="BI67" s="1085"/>
      <c r="BJ67" s="1085"/>
      <c r="BK67" s="1085"/>
      <c r="BL67" s="1085"/>
      <c r="BM67" s="1085"/>
      <c r="BN67" s="1085"/>
      <c r="BO67" s="1085"/>
      <c r="BP67" s="1085"/>
      <c r="BQ67" s="1085"/>
      <c r="BR67" s="1085"/>
      <c r="BS67" s="1085"/>
      <c r="BT67" s="1085"/>
      <c r="BU67" s="1085"/>
      <c r="BV67" s="1085"/>
      <c r="BW67" s="1085"/>
      <c r="BX67" s="1085"/>
      <c r="BY67" s="1085"/>
      <c r="BZ67" s="1085"/>
      <c r="CA67" s="1085"/>
      <c r="CB67" s="1085"/>
      <c r="CC67" s="1085"/>
      <c r="CD67" s="1085"/>
      <c r="CE67" s="1085"/>
      <c r="CF67" s="1085"/>
      <c r="CG67" s="1085"/>
      <c r="CH67" s="1085"/>
      <c r="CI67" s="1085"/>
      <c r="CJ67" s="1085"/>
      <c r="CK67" s="1085"/>
      <c r="CL67" s="1085"/>
      <c r="CM67" s="1085"/>
      <c r="CN67" s="1085"/>
      <c r="CO67" s="1085"/>
      <c r="CP67" s="1085"/>
      <c r="CQ67" s="1085"/>
      <c r="CR67" s="1085"/>
      <c r="CS67" s="1085"/>
      <c r="CT67" s="1085"/>
      <c r="CU67" s="1085"/>
      <c r="CV67" s="1085"/>
      <c r="CW67" s="1085"/>
      <c r="CX67" s="1085"/>
      <c r="CY67" s="1085"/>
    </row>
    <row r="68" spans="1:103" ht="15.6">
      <c r="A68" s="1081" t="s">
        <v>159</v>
      </c>
      <c r="B68" s="1082">
        <f t="shared" si="1"/>
        <v>0</v>
      </c>
      <c r="C68" s="1083">
        <v>1</v>
      </c>
      <c r="D68" s="1084"/>
      <c r="E68" s="1085"/>
      <c r="F68" s="1085"/>
      <c r="G68" s="1085"/>
      <c r="H68" s="1085"/>
      <c r="I68" s="1085"/>
      <c r="J68" s="1085"/>
      <c r="K68" s="1085"/>
      <c r="L68" s="1085"/>
      <c r="M68" s="1085"/>
      <c r="N68" s="1085"/>
      <c r="O68" s="1085"/>
      <c r="P68" s="1085"/>
      <c r="Q68" s="1085"/>
      <c r="R68" s="1085"/>
      <c r="S68" s="1085"/>
      <c r="T68" s="1085"/>
      <c r="U68" s="1085"/>
      <c r="V68" s="1085"/>
      <c r="W68" s="1085"/>
      <c r="X68" s="1085"/>
      <c r="Y68" s="1085"/>
      <c r="Z68" s="1085"/>
      <c r="AA68" s="1085"/>
      <c r="AB68" s="1085"/>
      <c r="AC68" s="1085"/>
      <c r="AD68" s="1085"/>
      <c r="AE68" s="1085"/>
      <c r="AF68" s="1085"/>
      <c r="AG68" s="1085"/>
      <c r="AH68" s="1085"/>
      <c r="AI68" s="1085"/>
      <c r="AJ68" s="1085"/>
      <c r="AK68" s="1085"/>
      <c r="AL68" s="1085"/>
      <c r="AM68" s="1085"/>
      <c r="AN68" s="1085"/>
      <c r="AO68" s="1085"/>
      <c r="AP68" s="1085"/>
      <c r="AQ68" s="1085"/>
      <c r="AR68" s="1085"/>
      <c r="AS68" s="1085"/>
      <c r="AT68" s="1085"/>
      <c r="AU68" s="1085"/>
      <c r="AV68" s="1085"/>
      <c r="AW68" s="1085"/>
      <c r="AX68" s="1085"/>
      <c r="AY68" s="1085"/>
      <c r="AZ68" s="1085"/>
      <c r="BA68" s="1085"/>
      <c r="BB68" s="1085"/>
      <c r="BC68" s="1085"/>
      <c r="BD68" s="1085"/>
      <c r="BE68" s="1085"/>
      <c r="BF68" s="1085"/>
      <c r="BG68" s="1085"/>
      <c r="BH68" s="1085"/>
      <c r="BI68" s="1085"/>
      <c r="BJ68" s="1085"/>
      <c r="BK68" s="1085"/>
      <c r="BL68" s="1085"/>
      <c r="BM68" s="1085"/>
      <c r="BN68" s="1085"/>
      <c r="BO68" s="1085"/>
      <c r="BP68" s="1085"/>
      <c r="BQ68" s="1085"/>
      <c r="BR68" s="1085"/>
      <c r="BS68" s="1085"/>
      <c r="BT68" s="1085"/>
      <c r="BU68" s="1085"/>
      <c r="BV68" s="1085"/>
      <c r="BW68" s="1085"/>
      <c r="BX68" s="1085"/>
      <c r="BY68" s="1085"/>
      <c r="BZ68" s="1085"/>
      <c r="CA68" s="1085"/>
      <c r="CB68" s="1085"/>
      <c r="CC68" s="1085"/>
      <c r="CD68" s="1085"/>
      <c r="CE68" s="1085"/>
      <c r="CF68" s="1085"/>
      <c r="CG68" s="1085"/>
      <c r="CH68" s="1085"/>
      <c r="CI68" s="1085"/>
      <c r="CJ68" s="1085"/>
      <c r="CK68" s="1085"/>
      <c r="CL68" s="1085"/>
      <c r="CM68" s="1085"/>
      <c r="CN68" s="1085"/>
      <c r="CO68" s="1085"/>
      <c r="CP68" s="1085"/>
      <c r="CQ68" s="1085"/>
      <c r="CR68" s="1085"/>
      <c r="CS68" s="1085"/>
      <c r="CT68" s="1085"/>
      <c r="CU68" s="1085"/>
      <c r="CV68" s="1085"/>
      <c r="CW68" s="1085"/>
      <c r="CX68" s="1085"/>
      <c r="CY68" s="1085"/>
    </row>
    <row r="69" spans="1:103" ht="15.6">
      <c r="A69" s="1081" t="s">
        <v>161</v>
      </c>
      <c r="B69" s="1082">
        <f t="shared" si="1"/>
        <v>0</v>
      </c>
      <c r="C69" s="1083"/>
      <c r="D69" s="1084"/>
      <c r="E69" s="1085"/>
      <c r="F69" s="1085"/>
      <c r="G69" s="1085"/>
      <c r="H69" s="1085"/>
      <c r="I69" s="1085"/>
      <c r="J69" s="1085"/>
      <c r="K69" s="1085"/>
      <c r="L69" s="1085"/>
      <c r="M69" s="1085"/>
      <c r="N69" s="1085"/>
      <c r="O69" s="1085"/>
      <c r="P69" s="1085"/>
      <c r="Q69" s="1085"/>
      <c r="R69" s="1085"/>
      <c r="S69" s="1085"/>
      <c r="T69" s="1085"/>
      <c r="U69" s="1085"/>
      <c r="V69" s="1085"/>
      <c r="W69" s="1085"/>
      <c r="X69" s="1085"/>
      <c r="Y69" s="1085"/>
      <c r="Z69" s="1085"/>
      <c r="AA69" s="1085"/>
      <c r="AB69" s="1085"/>
      <c r="AC69" s="1085"/>
      <c r="AD69" s="1085"/>
      <c r="AE69" s="1085"/>
      <c r="AF69" s="1085"/>
      <c r="AG69" s="1085"/>
      <c r="AH69" s="1085"/>
      <c r="AI69" s="1085"/>
      <c r="AJ69" s="1085"/>
      <c r="AK69" s="1085"/>
      <c r="AL69" s="1085"/>
      <c r="AM69" s="1085"/>
      <c r="AN69" s="1085"/>
      <c r="AO69" s="1085"/>
      <c r="AP69" s="1085"/>
      <c r="AQ69" s="1085"/>
      <c r="AR69" s="1085"/>
      <c r="AS69" s="1085"/>
      <c r="AT69" s="1085"/>
      <c r="AU69" s="1085"/>
      <c r="AV69" s="1085"/>
      <c r="AW69" s="1085"/>
      <c r="AX69" s="1085"/>
      <c r="AY69" s="1085"/>
      <c r="AZ69" s="1085"/>
      <c r="BA69" s="1085"/>
      <c r="BB69" s="1085"/>
      <c r="BC69" s="1085"/>
      <c r="BD69" s="1085"/>
      <c r="BE69" s="1085"/>
      <c r="BF69" s="1085"/>
      <c r="BG69" s="1085"/>
      <c r="BH69" s="1085"/>
      <c r="BI69" s="1085"/>
      <c r="BJ69" s="1085"/>
      <c r="BK69" s="1085"/>
      <c r="BL69" s="1085"/>
      <c r="BM69" s="1085"/>
      <c r="BN69" s="1085"/>
      <c r="BO69" s="1085"/>
      <c r="BP69" s="1085"/>
      <c r="BQ69" s="1085"/>
      <c r="BR69" s="1085"/>
      <c r="BS69" s="1085"/>
      <c r="BT69" s="1085"/>
      <c r="BU69" s="1085"/>
      <c r="BV69" s="1085"/>
      <c r="BW69" s="1085"/>
      <c r="BX69" s="1085"/>
      <c r="BY69" s="1085"/>
      <c r="BZ69" s="1085"/>
      <c r="CA69" s="1085"/>
      <c r="CB69" s="1085"/>
      <c r="CC69" s="1085"/>
      <c r="CD69" s="1085"/>
      <c r="CE69" s="1085"/>
      <c r="CF69" s="1085"/>
      <c r="CG69" s="1085"/>
      <c r="CH69" s="1085"/>
      <c r="CI69" s="1085"/>
      <c r="CJ69" s="1085"/>
      <c r="CK69" s="1085"/>
      <c r="CL69" s="1085"/>
      <c r="CM69" s="1085"/>
      <c r="CN69" s="1085"/>
      <c r="CO69" s="1085"/>
      <c r="CP69" s="1085"/>
      <c r="CQ69" s="1085"/>
      <c r="CR69" s="1085"/>
      <c r="CS69" s="1085"/>
      <c r="CT69" s="1085"/>
      <c r="CU69" s="1085"/>
      <c r="CV69" s="1085"/>
      <c r="CW69" s="1085"/>
      <c r="CX69" s="1085"/>
      <c r="CY69" s="1085"/>
    </row>
    <row r="70" spans="1:103" ht="15.6">
      <c r="A70" s="1081" t="s">
        <v>161</v>
      </c>
      <c r="B70" s="1082">
        <f t="shared" si="1"/>
        <v>0</v>
      </c>
      <c r="C70" s="1083"/>
      <c r="D70" s="1084"/>
      <c r="E70" s="1085"/>
      <c r="F70" s="1085"/>
      <c r="G70" s="1085"/>
      <c r="H70" s="1085"/>
      <c r="I70" s="1085"/>
      <c r="J70" s="1085"/>
      <c r="K70" s="1085"/>
      <c r="L70" s="1085"/>
      <c r="M70" s="1085"/>
      <c r="N70" s="1085"/>
      <c r="O70" s="1085"/>
      <c r="P70" s="1085"/>
      <c r="Q70" s="1085"/>
      <c r="R70" s="1085"/>
      <c r="S70" s="1085"/>
      <c r="T70" s="1085"/>
      <c r="U70" s="1085"/>
      <c r="V70" s="1085"/>
      <c r="W70" s="1085"/>
      <c r="X70" s="1085"/>
      <c r="Y70" s="1085"/>
      <c r="Z70" s="1085"/>
      <c r="AA70" s="1085"/>
      <c r="AB70" s="1085"/>
      <c r="AC70" s="1085"/>
      <c r="AD70" s="1085"/>
      <c r="AE70" s="1085"/>
      <c r="AF70" s="1085"/>
      <c r="AG70" s="1085"/>
      <c r="AH70" s="1085"/>
      <c r="AI70" s="1085"/>
      <c r="AJ70" s="1085"/>
      <c r="AK70" s="1085"/>
      <c r="AL70" s="1085"/>
      <c r="AM70" s="1085"/>
      <c r="AN70" s="1085"/>
      <c r="AO70" s="1085"/>
      <c r="AP70" s="1085"/>
      <c r="AQ70" s="1085"/>
      <c r="AR70" s="1085"/>
      <c r="AS70" s="1085"/>
      <c r="AT70" s="1085"/>
      <c r="AU70" s="1085"/>
      <c r="AV70" s="1085"/>
      <c r="AW70" s="1085"/>
      <c r="AX70" s="1085"/>
      <c r="AY70" s="1085"/>
      <c r="AZ70" s="1085"/>
      <c r="BA70" s="1085"/>
      <c r="BB70" s="1085"/>
      <c r="BC70" s="1085"/>
      <c r="BD70" s="1085"/>
      <c r="BE70" s="1085"/>
      <c r="BF70" s="1085"/>
      <c r="BG70" s="1085"/>
      <c r="BH70" s="1085"/>
      <c r="BI70" s="1085"/>
      <c r="BJ70" s="1085"/>
      <c r="BK70" s="1085"/>
      <c r="BL70" s="1085"/>
      <c r="BM70" s="1085"/>
      <c r="BN70" s="1085"/>
      <c r="BO70" s="1085"/>
      <c r="BP70" s="1085"/>
      <c r="BQ70" s="1085"/>
      <c r="BR70" s="1085"/>
      <c r="BS70" s="1085"/>
      <c r="BT70" s="1085"/>
      <c r="BU70" s="1085"/>
      <c r="BV70" s="1085"/>
      <c r="BW70" s="1085"/>
      <c r="BX70" s="1085"/>
      <c r="BY70" s="1085"/>
      <c r="BZ70" s="1085"/>
      <c r="CA70" s="1085"/>
      <c r="CB70" s="1085"/>
      <c r="CC70" s="1085"/>
      <c r="CD70" s="1085"/>
      <c r="CE70" s="1085"/>
      <c r="CF70" s="1085"/>
      <c r="CG70" s="1085"/>
      <c r="CH70" s="1085"/>
      <c r="CI70" s="1085"/>
      <c r="CJ70" s="1085"/>
      <c r="CK70" s="1085"/>
      <c r="CL70" s="1085"/>
      <c r="CM70" s="1085"/>
      <c r="CN70" s="1085"/>
      <c r="CO70" s="1085"/>
      <c r="CP70" s="1085"/>
      <c r="CQ70" s="1085"/>
      <c r="CR70" s="1085"/>
      <c r="CS70" s="1085"/>
      <c r="CT70" s="1085"/>
      <c r="CU70" s="1085"/>
      <c r="CV70" s="1085"/>
      <c r="CW70" s="1085"/>
      <c r="CX70" s="1085"/>
      <c r="CY70" s="1085"/>
    </row>
    <row r="71" spans="1:103" ht="15.6">
      <c r="A71" s="1081" t="s">
        <v>332</v>
      </c>
      <c r="B71" s="1082">
        <f t="shared" si="1"/>
        <v>0</v>
      </c>
      <c r="C71" s="1083"/>
      <c r="D71" s="1084"/>
      <c r="E71" s="1085"/>
      <c r="F71" s="1085"/>
      <c r="G71" s="1085"/>
      <c r="H71" s="1085"/>
      <c r="I71" s="1085"/>
      <c r="J71" s="1085"/>
      <c r="K71" s="1085"/>
      <c r="L71" s="1085"/>
      <c r="M71" s="1085"/>
      <c r="N71" s="1085"/>
      <c r="O71" s="1085"/>
      <c r="P71" s="1085"/>
      <c r="Q71" s="1085"/>
      <c r="R71" s="1085"/>
      <c r="S71" s="1085"/>
      <c r="T71" s="1085"/>
      <c r="U71" s="1085"/>
      <c r="V71" s="1085"/>
      <c r="W71" s="1085"/>
      <c r="X71" s="1085"/>
      <c r="Y71" s="1085"/>
      <c r="Z71" s="1085"/>
      <c r="AA71" s="1085"/>
      <c r="AB71" s="1085"/>
      <c r="AC71" s="1085"/>
      <c r="AD71" s="1085"/>
      <c r="AE71" s="1085"/>
      <c r="AF71" s="1085"/>
      <c r="AG71" s="1085"/>
      <c r="AH71" s="1085"/>
      <c r="AI71" s="1085"/>
      <c r="AJ71" s="1085"/>
      <c r="AK71" s="1085"/>
      <c r="AL71" s="1085"/>
      <c r="AM71" s="1085"/>
      <c r="AN71" s="1085"/>
      <c r="AO71" s="1085"/>
      <c r="AP71" s="1085"/>
      <c r="AQ71" s="1085"/>
      <c r="AR71" s="1085"/>
      <c r="AS71" s="1085"/>
      <c r="AT71" s="1085"/>
      <c r="AU71" s="1085"/>
      <c r="AV71" s="1085"/>
      <c r="AW71" s="1085"/>
      <c r="AX71" s="1085"/>
      <c r="AY71" s="1085"/>
      <c r="AZ71" s="1085"/>
      <c r="BA71" s="1085"/>
      <c r="BB71" s="1085"/>
      <c r="BC71" s="1085"/>
      <c r="BD71" s="1085"/>
      <c r="BE71" s="1085"/>
      <c r="BF71" s="1085"/>
      <c r="BG71" s="1085"/>
      <c r="BH71" s="1085"/>
      <c r="BI71" s="1085"/>
      <c r="BJ71" s="1085"/>
      <c r="BK71" s="1085"/>
      <c r="BL71" s="1085"/>
      <c r="BM71" s="1085"/>
      <c r="BN71" s="1085"/>
      <c r="BO71" s="1085"/>
      <c r="BP71" s="1085"/>
      <c r="BQ71" s="1085"/>
      <c r="BR71" s="1085"/>
      <c r="BS71" s="1085"/>
      <c r="BT71" s="1085"/>
      <c r="BU71" s="1085"/>
      <c r="BV71" s="1085"/>
      <c r="BW71" s="1085"/>
      <c r="BX71" s="1085"/>
      <c r="BY71" s="1085"/>
      <c r="BZ71" s="1085"/>
      <c r="CA71" s="1085"/>
      <c r="CB71" s="1085"/>
      <c r="CC71" s="1085"/>
      <c r="CD71" s="1085"/>
      <c r="CE71" s="1085"/>
      <c r="CF71" s="1085"/>
      <c r="CG71" s="1085"/>
      <c r="CH71" s="1085"/>
      <c r="CI71" s="1085"/>
      <c r="CJ71" s="1085"/>
      <c r="CK71" s="1085"/>
      <c r="CL71" s="1085"/>
      <c r="CM71" s="1085"/>
      <c r="CN71" s="1085"/>
      <c r="CO71" s="1085"/>
      <c r="CP71" s="1085"/>
      <c r="CQ71" s="1085"/>
      <c r="CR71" s="1085"/>
      <c r="CS71" s="1085"/>
      <c r="CT71" s="1085"/>
      <c r="CU71" s="1085"/>
      <c r="CV71" s="1085"/>
      <c r="CW71" s="1085"/>
      <c r="CX71" s="1085"/>
      <c r="CY71" s="1085"/>
    </row>
    <row r="72" spans="1:103" ht="15.6">
      <c r="A72" s="1081" t="s">
        <v>336</v>
      </c>
      <c r="B72" s="1082">
        <f t="shared" si="1"/>
        <v>0</v>
      </c>
      <c r="C72" s="1083"/>
      <c r="D72" s="1084"/>
      <c r="E72" s="1085"/>
      <c r="F72" s="1085"/>
      <c r="G72" s="1085"/>
      <c r="H72" s="1085"/>
      <c r="I72" s="1085"/>
      <c r="J72" s="1085"/>
      <c r="K72" s="1085"/>
      <c r="L72" s="1085"/>
      <c r="M72" s="1085"/>
      <c r="N72" s="1085"/>
      <c r="O72" s="1085"/>
      <c r="P72" s="1085"/>
      <c r="Q72" s="1085"/>
      <c r="R72" s="1085"/>
      <c r="S72" s="1085"/>
      <c r="T72" s="1085"/>
      <c r="U72" s="1085"/>
      <c r="V72" s="1085"/>
      <c r="W72" s="1085"/>
      <c r="X72" s="1085"/>
      <c r="Y72" s="1085"/>
      <c r="Z72" s="1085"/>
      <c r="AA72" s="1085"/>
      <c r="AB72" s="1085"/>
      <c r="AC72" s="1085"/>
      <c r="AD72" s="1085"/>
      <c r="AE72" s="1085"/>
      <c r="AF72" s="1085"/>
      <c r="AG72" s="1085"/>
      <c r="AH72" s="1085"/>
      <c r="AI72" s="1085"/>
      <c r="AJ72" s="1085"/>
      <c r="AK72" s="1085"/>
      <c r="AL72" s="1085"/>
      <c r="AM72" s="1085"/>
      <c r="AN72" s="1085"/>
      <c r="AO72" s="1085"/>
      <c r="AP72" s="1085"/>
      <c r="AQ72" s="1085"/>
      <c r="AR72" s="1085"/>
      <c r="AS72" s="1085"/>
      <c r="AT72" s="1085"/>
      <c r="AU72" s="1085"/>
      <c r="AV72" s="1085"/>
      <c r="AW72" s="1085"/>
      <c r="AX72" s="1085"/>
      <c r="AY72" s="1085"/>
      <c r="AZ72" s="1085"/>
      <c r="BA72" s="1085"/>
      <c r="BB72" s="1085"/>
      <c r="BC72" s="1085"/>
      <c r="BD72" s="1085"/>
      <c r="BE72" s="1085"/>
      <c r="BF72" s="1085"/>
      <c r="BG72" s="1085"/>
      <c r="BH72" s="1085"/>
      <c r="BI72" s="1085"/>
      <c r="BJ72" s="1085"/>
      <c r="BK72" s="1085"/>
      <c r="BL72" s="1085"/>
      <c r="BM72" s="1085"/>
      <c r="BN72" s="1085"/>
      <c r="BO72" s="1085"/>
      <c r="BP72" s="1085"/>
      <c r="BQ72" s="1085"/>
      <c r="BR72" s="1085"/>
      <c r="BS72" s="1085"/>
      <c r="BT72" s="1085"/>
      <c r="BU72" s="1085"/>
      <c r="BV72" s="1085"/>
      <c r="BW72" s="1085"/>
      <c r="BX72" s="1085"/>
      <c r="BY72" s="1085"/>
      <c r="BZ72" s="1085"/>
      <c r="CA72" s="1085"/>
      <c r="CB72" s="1085"/>
      <c r="CC72" s="1085"/>
      <c r="CD72" s="1085"/>
      <c r="CE72" s="1085"/>
      <c r="CF72" s="1085"/>
      <c r="CG72" s="1085"/>
      <c r="CH72" s="1085"/>
      <c r="CI72" s="1085"/>
      <c r="CJ72" s="1085"/>
      <c r="CK72" s="1085"/>
      <c r="CL72" s="1085"/>
      <c r="CM72" s="1085"/>
      <c r="CN72" s="1085"/>
      <c r="CO72" s="1085"/>
      <c r="CP72" s="1085"/>
      <c r="CQ72" s="1085"/>
      <c r="CR72" s="1085"/>
      <c r="CS72" s="1085"/>
      <c r="CT72" s="1085"/>
      <c r="CU72" s="1085"/>
      <c r="CV72" s="1085"/>
      <c r="CW72" s="1085"/>
      <c r="CX72" s="1085"/>
      <c r="CY72" s="1085"/>
    </row>
    <row r="73" spans="1:103" ht="15.6">
      <c r="A73" s="1081" t="s">
        <v>339</v>
      </c>
      <c r="B73" s="1082">
        <f t="shared" si="1"/>
        <v>0</v>
      </c>
      <c r="C73" s="1083"/>
      <c r="D73" s="1084"/>
      <c r="E73" s="1085"/>
      <c r="F73" s="1085"/>
      <c r="G73" s="1085"/>
      <c r="H73" s="1085"/>
      <c r="I73" s="1085"/>
      <c r="J73" s="1085"/>
      <c r="K73" s="1085"/>
      <c r="L73" s="1085"/>
      <c r="M73" s="1085"/>
      <c r="N73" s="1085"/>
      <c r="O73" s="1085"/>
      <c r="P73" s="1085"/>
      <c r="Q73" s="1085"/>
      <c r="R73" s="1085"/>
      <c r="S73" s="1085"/>
      <c r="T73" s="1085"/>
      <c r="U73" s="1085"/>
      <c r="V73" s="1085"/>
      <c r="W73" s="1085"/>
      <c r="X73" s="1085"/>
      <c r="Y73" s="1085"/>
      <c r="Z73" s="1085"/>
      <c r="AA73" s="1085"/>
      <c r="AB73" s="1085"/>
      <c r="AC73" s="1085"/>
      <c r="AD73" s="1085"/>
      <c r="AE73" s="1085"/>
      <c r="AF73" s="1085"/>
      <c r="AG73" s="1085"/>
      <c r="AH73" s="1085"/>
      <c r="AI73" s="1085"/>
      <c r="AJ73" s="1085"/>
      <c r="AK73" s="1085"/>
      <c r="AL73" s="1085"/>
      <c r="AM73" s="1085"/>
      <c r="AN73" s="1085"/>
      <c r="AO73" s="1085"/>
      <c r="AP73" s="1085"/>
      <c r="AQ73" s="1085"/>
      <c r="AR73" s="1085"/>
      <c r="AS73" s="1085"/>
      <c r="AT73" s="1085"/>
      <c r="AU73" s="1085"/>
      <c r="AV73" s="1085"/>
      <c r="AW73" s="1085"/>
      <c r="AX73" s="1085"/>
      <c r="AY73" s="1085"/>
      <c r="AZ73" s="1085"/>
      <c r="BA73" s="1085"/>
      <c r="BB73" s="1085"/>
      <c r="BC73" s="1085"/>
      <c r="BD73" s="1085"/>
      <c r="BE73" s="1085"/>
      <c r="BF73" s="1085"/>
      <c r="BG73" s="1085"/>
      <c r="BH73" s="1085"/>
      <c r="BI73" s="1085"/>
      <c r="BJ73" s="1085"/>
      <c r="BK73" s="1085"/>
      <c r="BL73" s="1085"/>
      <c r="BM73" s="1085"/>
      <c r="BN73" s="1085"/>
      <c r="BO73" s="1085"/>
      <c r="BP73" s="1085"/>
      <c r="BQ73" s="1085"/>
      <c r="BR73" s="1085"/>
      <c r="BS73" s="1085"/>
      <c r="BT73" s="1085"/>
      <c r="BU73" s="1085"/>
      <c r="BV73" s="1085"/>
      <c r="BW73" s="1085"/>
      <c r="BX73" s="1085"/>
      <c r="BY73" s="1085"/>
      <c r="BZ73" s="1085"/>
      <c r="CA73" s="1085"/>
      <c r="CB73" s="1085"/>
      <c r="CC73" s="1085"/>
      <c r="CD73" s="1085"/>
      <c r="CE73" s="1085"/>
      <c r="CF73" s="1085"/>
      <c r="CG73" s="1085"/>
      <c r="CH73" s="1085"/>
      <c r="CI73" s="1085"/>
      <c r="CJ73" s="1085"/>
      <c r="CK73" s="1085"/>
      <c r="CL73" s="1085"/>
      <c r="CM73" s="1085"/>
      <c r="CN73" s="1085"/>
      <c r="CO73" s="1085"/>
      <c r="CP73" s="1085"/>
      <c r="CQ73" s="1085"/>
      <c r="CR73" s="1085"/>
      <c r="CS73" s="1085"/>
      <c r="CT73" s="1085"/>
      <c r="CU73" s="1085"/>
      <c r="CV73" s="1085"/>
      <c r="CW73" s="1085"/>
      <c r="CX73" s="1085"/>
      <c r="CY73" s="1085"/>
    </row>
    <row r="74" spans="1:103" ht="15.6">
      <c r="A74" s="1081" t="s">
        <v>333</v>
      </c>
      <c r="B74" s="1082">
        <f t="shared" si="1"/>
        <v>0</v>
      </c>
      <c r="C74" s="1083"/>
      <c r="D74" s="1084"/>
      <c r="E74" s="1085"/>
      <c r="F74" s="1085"/>
      <c r="G74" s="1085"/>
      <c r="H74" s="1085"/>
      <c r="I74" s="1085"/>
      <c r="J74" s="1085"/>
      <c r="K74" s="1085"/>
      <c r="L74" s="1085"/>
      <c r="M74" s="1085"/>
      <c r="N74" s="1085"/>
      <c r="O74" s="1085"/>
      <c r="P74" s="1085"/>
      <c r="Q74" s="1085"/>
      <c r="R74" s="1085"/>
      <c r="S74" s="1085"/>
      <c r="T74" s="1085"/>
      <c r="U74" s="1085"/>
      <c r="V74" s="1085"/>
      <c r="W74" s="1085"/>
      <c r="X74" s="1085"/>
      <c r="Y74" s="1085"/>
      <c r="Z74" s="1085"/>
      <c r="AA74" s="1085"/>
      <c r="AB74" s="1085"/>
      <c r="AC74" s="1085"/>
      <c r="AD74" s="1085"/>
      <c r="AE74" s="1085"/>
      <c r="AF74" s="1085"/>
      <c r="AG74" s="1085"/>
      <c r="AH74" s="1085"/>
      <c r="AI74" s="1085"/>
      <c r="AJ74" s="1085"/>
      <c r="AK74" s="1085"/>
      <c r="AL74" s="1085"/>
      <c r="AM74" s="1085"/>
      <c r="AN74" s="1085"/>
      <c r="AO74" s="1085"/>
      <c r="AP74" s="1085"/>
      <c r="AQ74" s="1085"/>
      <c r="AR74" s="1085"/>
      <c r="AS74" s="1085"/>
      <c r="AT74" s="1085"/>
      <c r="AU74" s="1085"/>
      <c r="AV74" s="1085"/>
      <c r="AW74" s="1085"/>
      <c r="AX74" s="1085"/>
      <c r="AY74" s="1085"/>
      <c r="AZ74" s="1085"/>
      <c r="BA74" s="1085"/>
      <c r="BB74" s="1085"/>
      <c r="BC74" s="1085"/>
      <c r="BD74" s="1085"/>
      <c r="BE74" s="1085"/>
      <c r="BF74" s="1085"/>
      <c r="BG74" s="1085"/>
      <c r="BH74" s="1085"/>
      <c r="BI74" s="1085"/>
      <c r="BJ74" s="1085"/>
      <c r="BK74" s="1085"/>
      <c r="BL74" s="1085"/>
      <c r="BM74" s="1085"/>
      <c r="BN74" s="1085"/>
      <c r="BO74" s="1085"/>
      <c r="BP74" s="1085"/>
      <c r="BQ74" s="1085"/>
      <c r="BR74" s="1085"/>
      <c r="BS74" s="1085"/>
      <c r="BT74" s="1085"/>
      <c r="BU74" s="1085"/>
      <c r="BV74" s="1085"/>
      <c r="BW74" s="1085"/>
      <c r="BX74" s="1085"/>
      <c r="BY74" s="1085"/>
      <c r="BZ74" s="1085"/>
      <c r="CA74" s="1085"/>
      <c r="CB74" s="1085"/>
      <c r="CC74" s="1085"/>
      <c r="CD74" s="1085"/>
      <c r="CE74" s="1085"/>
      <c r="CF74" s="1085"/>
      <c r="CG74" s="1085"/>
      <c r="CH74" s="1085"/>
      <c r="CI74" s="1085"/>
      <c r="CJ74" s="1085"/>
      <c r="CK74" s="1085"/>
      <c r="CL74" s="1085"/>
      <c r="CM74" s="1085"/>
      <c r="CN74" s="1085"/>
      <c r="CO74" s="1085"/>
      <c r="CP74" s="1085"/>
      <c r="CQ74" s="1085"/>
      <c r="CR74" s="1085"/>
      <c r="CS74" s="1085"/>
      <c r="CT74" s="1085"/>
      <c r="CU74" s="1085"/>
      <c r="CV74" s="1085"/>
      <c r="CW74" s="1085"/>
      <c r="CX74" s="1085"/>
      <c r="CY74" s="1085"/>
    </row>
    <row r="75" spans="1:103" ht="15.6">
      <c r="A75" s="1081" t="s">
        <v>337</v>
      </c>
      <c r="B75" s="1082">
        <f t="shared" si="1"/>
        <v>0</v>
      </c>
      <c r="C75" s="1083"/>
      <c r="D75" s="1084"/>
      <c r="E75" s="1085"/>
      <c r="F75" s="1085"/>
      <c r="G75" s="1085"/>
      <c r="H75" s="1085"/>
      <c r="I75" s="1085"/>
      <c r="J75" s="1085"/>
      <c r="K75" s="1085"/>
      <c r="L75" s="1085"/>
      <c r="M75" s="1085"/>
      <c r="N75" s="1085"/>
      <c r="O75" s="1085"/>
      <c r="P75" s="1085"/>
      <c r="Q75" s="1085"/>
      <c r="R75" s="1085"/>
      <c r="S75" s="1085"/>
      <c r="T75" s="1085"/>
      <c r="U75" s="1085"/>
      <c r="V75" s="1085"/>
      <c r="W75" s="1085"/>
      <c r="X75" s="1085"/>
      <c r="Y75" s="1085"/>
      <c r="Z75" s="1085"/>
      <c r="AA75" s="1085"/>
      <c r="AB75" s="1085"/>
      <c r="AC75" s="1085"/>
      <c r="AD75" s="1085"/>
      <c r="AE75" s="1085"/>
      <c r="AF75" s="1085"/>
      <c r="AG75" s="1085"/>
      <c r="AH75" s="1085"/>
      <c r="AI75" s="1085"/>
      <c r="AJ75" s="1085"/>
      <c r="AK75" s="1085"/>
      <c r="AL75" s="1085"/>
      <c r="AM75" s="1085"/>
      <c r="AN75" s="1085"/>
      <c r="AO75" s="1085"/>
      <c r="AP75" s="1085"/>
      <c r="AQ75" s="1085"/>
      <c r="AR75" s="1085"/>
      <c r="AS75" s="1085"/>
      <c r="AT75" s="1085"/>
      <c r="AU75" s="1085"/>
      <c r="AV75" s="1085"/>
      <c r="AW75" s="1085"/>
      <c r="AX75" s="1085"/>
      <c r="AY75" s="1085"/>
      <c r="AZ75" s="1085"/>
      <c r="BA75" s="1085"/>
      <c r="BB75" s="1085"/>
      <c r="BC75" s="1085"/>
      <c r="BD75" s="1085"/>
      <c r="BE75" s="1085"/>
      <c r="BF75" s="1085"/>
      <c r="BG75" s="1085"/>
      <c r="BH75" s="1085"/>
      <c r="BI75" s="1085"/>
      <c r="BJ75" s="1085"/>
      <c r="BK75" s="1085"/>
      <c r="BL75" s="1085"/>
      <c r="BM75" s="1085"/>
      <c r="BN75" s="1085"/>
      <c r="BO75" s="1085"/>
      <c r="BP75" s="1085"/>
      <c r="BQ75" s="1085"/>
      <c r="BR75" s="1085"/>
      <c r="BS75" s="1085"/>
      <c r="BT75" s="1085"/>
      <c r="BU75" s="1085"/>
      <c r="BV75" s="1085"/>
      <c r="BW75" s="1085"/>
      <c r="BX75" s="1085"/>
      <c r="BY75" s="1085"/>
      <c r="BZ75" s="1085"/>
      <c r="CA75" s="1085"/>
      <c r="CB75" s="1085"/>
      <c r="CC75" s="1085"/>
      <c r="CD75" s="1085"/>
      <c r="CE75" s="1085"/>
      <c r="CF75" s="1085"/>
      <c r="CG75" s="1085"/>
      <c r="CH75" s="1085"/>
      <c r="CI75" s="1085"/>
      <c r="CJ75" s="1085"/>
      <c r="CK75" s="1085"/>
      <c r="CL75" s="1085"/>
      <c r="CM75" s="1085"/>
      <c r="CN75" s="1085"/>
      <c r="CO75" s="1085"/>
      <c r="CP75" s="1085"/>
      <c r="CQ75" s="1085"/>
      <c r="CR75" s="1085"/>
      <c r="CS75" s="1085"/>
      <c r="CT75" s="1085"/>
      <c r="CU75" s="1085"/>
      <c r="CV75" s="1085"/>
      <c r="CW75" s="1085"/>
      <c r="CX75" s="1085"/>
      <c r="CY75" s="1085"/>
    </row>
    <row r="76" spans="1:103" ht="15.6">
      <c r="A76" s="1081" t="s">
        <v>335</v>
      </c>
      <c r="B76" s="1082">
        <f t="shared" si="1"/>
        <v>0</v>
      </c>
      <c r="C76" s="1083"/>
      <c r="D76" s="1084"/>
      <c r="E76" s="1085"/>
      <c r="F76" s="1085"/>
      <c r="G76" s="1085"/>
      <c r="H76" s="1085"/>
      <c r="I76" s="1085"/>
      <c r="J76" s="1085"/>
      <c r="K76" s="1085"/>
      <c r="L76" s="1085"/>
      <c r="M76" s="1085"/>
      <c r="N76" s="1085"/>
      <c r="O76" s="1085"/>
      <c r="P76" s="1085"/>
      <c r="Q76" s="1085"/>
      <c r="R76" s="1085"/>
      <c r="S76" s="1085"/>
      <c r="T76" s="1085"/>
      <c r="U76" s="1085"/>
      <c r="V76" s="1085"/>
      <c r="W76" s="1085"/>
      <c r="X76" s="1085"/>
      <c r="Y76" s="1085"/>
      <c r="Z76" s="1085"/>
      <c r="AA76" s="1085"/>
      <c r="AB76" s="1085"/>
      <c r="AC76" s="1085"/>
      <c r="AD76" s="1085"/>
      <c r="AE76" s="1085"/>
      <c r="AF76" s="1085"/>
      <c r="AG76" s="1085"/>
      <c r="AH76" s="1085"/>
      <c r="AI76" s="1085"/>
      <c r="AJ76" s="1085"/>
      <c r="AK76" s="1085"/>
      <c r="AL76" s="1085"/>
      <c r="AM76" s="1085"/>
      <c r="AN76" s="1085"/>
      <c r="AO76" s="1085"/>
      <c r="AP76" s="1085"/>
      <c r="AQ76" s="1085"/>
      <c r="AR76" s="1085"/>
      <c r="AS76" s="1085"/>
      <c r="AT76" s="1085"/>
      <c r="AU76" s="1085"/>
      <c r="AV76" s="1085"/>
      <c r="AW76" s="1085"/>
      <c r="AX76" s="1085"/>
      <c r="AY76" s="1085"/>
      <c r="AZ76" s="1085"/>
      <c r="BA76" s="1085"/>
      <c r="BB76" s="1085"/>
      <c r="BC76" s="1085"/>
      <c r="BD76" s="1085"/>
      <c r="BE76" s="1085"/>
      <c r="BF76" s="1085"/>
      <c r="BG76" s="1085"/>
      <c r="BH76" s="1085"/>
      <c r="BI76" s="1085"/>
      <c r="BJ76" s="1085"/>
      <c r="BK76" s="1085"/>
      <c r="BL76" s="1085"/>
      <c r="BM76" s="1085"/>
      <c r="BN76" s="1085"/>
      <c r="BO76" s="1085"/>
      <c r="BP76" s="1085"/>
      <c r="BQ76" s="1085"/>
      <c r="BR76" s="1085"/>
      <c r="BS76" s="1085"/>
      <c r="BT76" s="1085"/>
      <c r="BU76" s="1085"/>
      <c r="BV76" s="1085"/>
      <c r="BW76" s="1085"/>
      <c r="BX76" s="1085"/>
      <c r="BY76" s="1085"/>
      <c r="BZ76" s="1085"/>
      <c r="CA76" s="1085"/>
      <c r="CB76" s="1085"/>
      <c r="CC76" s="1085"/>
      <c r="CD76" s="1085"/>
      <c r="CE76" s="1085"/>
      <c r="CF76" s="1085"/>
      <c r="CG76" s="1085"/>
      <c r="CH76" s="1085"/>
      <c r="CI76" s="1085"/>
      <c r="CJ76" s="1085"/>
      <c r="CK76" s="1085"/>
      <c r="CL76" s="1085"/>
      <c r="CM76" s="1085"/>
      <c r="CN76" s="1085"/>
      <c r="CO76" s="1085"/>
      <c r="CP76" s="1085"/>
      <c r="CQ76" s="1085"/>
      <c r="CR76" s="1085"/>
      <c r="CS76" s="1085"/>
      <c r="CT76" s="1085"/>
      <c r="CU76" s="1085"/>
      <c r="CV76" s="1085"/>
      <c r="CW76" s="1085"/>
      <c r="CX76" s="1085"/>
      <c r="CY76" s="1085"/>
    </row>
    <row r="77" spans="1:103" ht="15.6">
      <c r="A77" s="1081" t="s">
        <v>334</v>
      </c>
      <c r="B77" s="1082">
        <f t="shared" si="1"/>
        <v>0</v>
      </c>
      <c r="C77" s="1083"/>
      <c r="D77" s="1084"/>
      <c r="E77" s="1085"/>
      <c r="F77" s="1085"/>
      <c r="G77" s="1085"/>
      <c r="H77" s="1085"/>
      <c r="I77" s="1085"/>
      <c r="J77" s="1085"/>
      <c r="K77" s="1085"/>
      <c r="L77" s="1085"/>
      <c r="M77" s="1085"/>
      <c r="N77" s="1085"/>
      <c r="O77" s="1085"/>
      <c r="P77" s="1085"/>
      <c r="Q77" s="1085"/>
      <c r="R77" s="1085"/>
      <c r="S77" s="1085"/>
      <c r="T77" s="1085"/>
      <c r="U77" s="1085"/>
      <c r="V77" s="1085"/>
      <c r="W77" s="1085"/>
      <c r="X77" s="1085"/>
      <c r="Y77" s="1085"/>
      <c r="Z77" s="1085"/>
      <c r="AA77" s="1085"/>
      <c r="AB77" s="1085"/>
      <c r="AC77" s="1085"/>
      <c r="AD77" s="1085"/>
      <c r="AE77" s="1085"/>
      <c r="AF77" s="1085"/>
      <c r="AG77" s="1085"/>
      <c r="AH77" s="1085"/>
      <c r="AI77" s="1085"/>
      <c r="AJ77" s="1085"/>
      <c r="AK77" s="1085"/>
      <c r="AL77" s="1085"/>
      <c r="AM77" s="1085"/>
      <c r="AN77" s="1085"/>
      <c r="AO77" s="1085"/>
      <c r="AP77" s="1085"/>
      <c r="AQ77" s="1085"/>
      <c r="AR77" s="1085"/>
      <c r="AS77" s="1085"/>
      <c r="AT77" s="1085"/>
      <c r="AU77" s="1085"/>
      <c r="AV77" s="1085"/>
      <c r="AW77" s="1085"/>
      <c r="AX77" s="1085"/>
      <c r="AY77" s="1085"/>
      <c r="AZ77" s="1085"/>
      <c r="BA77" s="1085"/>
      <c r="BB77" s="1085"/>
      <c r="BC77" s="1085"/>
      <c r="BD77" s="1085"/>
      <c r="BE77" s="1085"/>
      <c r="BF77" s="1085"/>
      <c r="BG77" s="1085"/>
      <c r="BH77" s="1085"/>
      <c r="BI77" s="1085"/>
      <c r="BJ77" s="1085"/>
      <c r="BK77" s="1085"/>
      <c r="BL77" s="1085"/>
      <c r="BM77" s="1085"/>
      <c r="BN77" s="1085"/>
      <c r="BO77" s="1085"/>
      <c r="BP77" s="1085"/>
      <c r="BQ77" s="1085"/>
      <c r="BR77" s="1085"/>
      <c r="BS77" s="1085"/>
      <c r="BT77" s="1085"/>
      <c r="BU77" s="1085"/>
      <c r="BV77" s="1085"/>
      <c r="BW77" s="1085"/>
      <c r="BX77" s="1085"/>
      <c r="BY77" s="1085"/>
      <c r="BZ77" s="1085"/>
      <c r="CA77" s="1085"/>
      <c r="CB77" s="1085"/>
      <c r="CC77" s="1085"/>
      <c r="CD77" s="1085"/>
      <c r="CE77" s="1085"/>
      <c r="CF77" s="1085"/>
      <c r="CG77" s="1085"/>
      <c r="CH77" s="1085"/>
      <c r="CI77" s="1085"/>
      <c r="CJ77" s="1085"/>
      <c r="CK77" s="1085"/>
      <c r="CL77" s="1085"/>
      <c r="CM77" s="1085"/>
      <c r="CN77" s="1085"/>
      <c r="CO77" s="1085"/>
      <c r="CP77" s="1085"/>
      <c r="CQ77" s="1085"/>
      <c r="CR77" s="1085"/>
      <c r="CS77" s="1085"/>
      <c r="CT77" s="1085"/>
      <c r="CU77" s="1085"/>
      <c r="CV77" s="1085"/>
      <c r="CW77" s="1085"/>
      <c r="CX77" s="1085"/>
      <c r="CY77" s="1085"/>
    </row>
    <row r="78" spans="1:103" ht="15.6">
      <c r="A78" s="1081" t="s">
        <v>338</v>
      </c>
      <c r="B78" s="1082">
        <f t="shared" si="1"/>
        <v>0</v>
      </c>
      <c r="C78" s="1083"/>
      <c r="D78" s="1084"/>
      <c r="E78" s="1085"/>
      <c r="F78" s="1085"/>
      <c r="G78" s="1085"/>
      <c r="H78" s="1085"/>
      <c r="I78" s="1085"/>
      <c r="J78" s="1085"/>
      <c r="K78" s="1085"/>
      <c r="L78" s="1085"/>
      <c r="M78" s="1085"/>
      <c r="N78" s="1085"/>
      <c r="O78" s="1085"/>
      <c r="P78" s="1085"/>
      <c r="Q78" s="1085"/>
      <c r="R78" s="1085"/>
      <c r="S78" s="1085"/>
      <c r="T78" s="1085"/>
      <c r="U78" s="1085"/>
      <c r="V78" s="1085"/>
      <c r="W78" s="1085"/>
      <c r="X78" s="1085"/>
      <c r="Y78" s="1085"/>
      <c r="Z78" s="1085"/>
      <c r="AA78" s="1085"/>
      <c r="AB78" s="1085"/>
      <c r="AC78" s="1085"/>
      <c r="AD78" s="1085"/>
      <c r="AE78" s="1085"/>
      <c r="AF78" s="1085"/>
      <c r="AG78" s="1085"/>
      <c r="AH78" s="1085"/>
      <c r="AI78" s="1085"/>
      <c r="AJ78" s="1085"/>
      <c r="AK78" s="1085"/>
      <c r="AL78" s="1085"/>
      <c r="AM78" s="1085"/>
      <c r="AN78" s="1085"/>
      <c r="AO78" s="1085"/>
      <c r="AP78" s="1085"/>
      <c r="AQ78" s="1085"/>
      <c r="AR78" s="1085"/>
      <c r="AS78" s="1085"/>
      <c r="AT78" s="1085"/>
      <c r="AU78" s="1085"/>
      <c r="AV78" s="1085"/>
      <c r="AW78" s="1085"/>
      <c r="AX78" s="1085"/>
      <c r="AY78" s="1085"/>
      <c r="AZ78" s="1085"/>
      <c r="BA78" s="1085"/>
      <c r="BB78" s="1085"/>
      <c r="BC78" s="1085"/>
      <c r="BD78" s="1085"/>
      <c r="BE78" s="1085"/>
      <c r="BF78" s="1085"/>
      <c r="BG78" s="1085"/>
      <c r="BH78" s="1085"/>
      <c r="BI78" s="1085"/>
      <c r="BJ78" s="1085"/>
      <c r="BK78" s="1085"/>
      <c r="BL78" s="1085"/>
      <c r="BM78" s="1085"/>
      <c r="BN78" s="1085"/>
      <c r="BO78" s="1085"/>
      <c r="BP78" s="1085"/>
      <c r="BQ78" s="1085"/>
      <c r="BR78" s="1085"/>
      <c r="BS78" s="1085"/>
      <c r="BT78" s="1085"/>
      <c r="BU78" s="1085"/>
      <c r="BV78" s="1085"/>
      <c r="BW78" s="1085"/>
      <c r="BX78" s="1085"/>
      <c r="BY78" s="1085"/>
      <c r="BZ78" s="1085"/>
      <c r="CA78" s="1085"/>
      <c r="CB78" s="1085"/>
      <c r="CC78" s="1085"/>
      <c r="CD78" s="1085"/>
      <c r="CE78" s="1085"/>
      <c r="CF78" s="1085"/>
      <c r="CG78" s="1085"/>
      <c r="CH78" s="1085"/>
      <c r="CI78" s="1085"/>
      <c r="CJ78" s="1085"/>
      <c r="CK78" s="1085"/>
      <c r="CL78" s="1085"/>
      <c r="CM78" s="1085"/>
      <c r="CN78" s="1085"/>
      <c r="CO78" s="1085"/>
      <c r="CP78" s="1085"/>
      <c r="CQ78" s="1085"/>
      <c r="CR78" s="1085"/>
      <c r="CS78" s="1085"/>
      <c r="CT78" s="1085"/>
      <c r="CU78" s="1085"/>
      <c r="CV78" s="1085"/>
      <c r="CW78" s="1085"/>
      <c r="CX78" s="1085"/>
      <c r="CY78" s="1085"/>
    </row>
    <row r="79" spans="1:103" ht="16.2" customHeight="1">
      <c r="A79" s="1081" t="s">
        <v>412</v>
      </c>
      <c r="B79" s="1082">
        <f t="shared" si="1"/>
        <v>0</v>
      </c>
      <c r="C79" s="1083"/>
      <c r="D79" s="1084"/>
      <c r="E79" s="1085"/>
      <c r="F79" s="1085"/>
      <c r="G79" s="1085"/>
      <c r="H79" s="1085"/>
      <c r="I79" s="1085"/>
      <c r="J79" s="1085"/>
      <c r="K79" s="1085"/>
      <c r="L79" s="1085"/>
      <c r="M79" s="1085"/>
      <c r="N79" s="1085"/>
      <c r="O79" s="1085"/>
      <c r="P79" s="1085"/>
      <c r="Q79" s="1085"/>
      <c r="R79" s="1085"/>
      <c r="S79" s="1085"/>
      <c r="T79" s="1085"/>
      <c r="U79" s="1085"/>
      <c r="V79" s="1085"/>
      <c r="W79" s="1085"/>
      <c r="X79" s="1085"/>
      <c r="Y79" s="1085"/>
      <c r="Z79" s="1085"/>
      <c r="AA79" s="1085"/>
      <c r="AB79" s="1085"/>
      <c r="AC79" s="1085"/>
      <c r="AD79" s="1085"/>
      <c r="AE79" s="1085"/>
      <c r="AF79" s="1085"/>
      <c r="AG79" s="1085"/>
      <c r="AH79" s="1085"/>
      <c r="AI79" s="1085"/>
      <c r="AJ79" s="1085"/>
      <c r="AK79" s="1085"/>
      <c r="AL79" s="1085"/>
      <c r="AM79" s="1085"/>
      <c r="AN79" s="1085"/>
      <c r="AO79" s="1085"/>
      <c r="AP79" s="1085"/>
      <c r="AQ79" s="1085"/>
      <c r="AR79" s="1085"/>
      <c r="AS79" s="1085"/>
      <c r="AT79" s="1085"/>
      <c r="AU79" s="1085"/>
      <c r="AV79" s="1085"/>
      <c r="AW79" s="1085"/>
      <c r="AX79" s="1085"/>
      <c r="AY79" s="1085"/>
      <c r="AZ79" s="1085"/>
      <c r="BA79" s="1085"/>
      <c r="BB79" s="1085"/>
      <c r="BC79" s="1085"/>
      <c r="BD79" s="1085"/>
      <c r="BE79" s="1085"/>
      <c r="BF79" s="1085"/>
      <c r="BG79" s="1085"/>
      <c r="BH79" s="1085"/>
      <c r="BI79" s="1085"/>
      <c r="BJ79" s="1085"/>
      <c r="BK79" s="1085"/>
      <c r="BL79" s="1085"/>
      <c r="BM79" s="1085"/>
      <c r="BN79" s="1085"/>
      <c r="BO79" s="1085"/>
      <c r="BP79" s="1085"/>
      <c r="BQ79" s="1085"/>
      <c r="BR79" s="1085"/>
      <c r="BS79" s="1085"/>
      <c r="BT79" s="1085"/>
      <c r="BU79" s="1085"/>
      <c r="BV79" s="1085"/>
      <c r="BW79" s="1085"/>
      <c r="BX79" s="1085"/>
      <c r="BY79" s="1085"/>
      <c r="BZ79" s="1085"/>
      <c r="CA79" s="1085"/>
      <c r="CB79" s="1085"/>
      <c r="CC79" s="1085"/>
      <c r="CD79" s="1085"/>
      <c r="CE79" s="1085"/>
      <c r="CF79" s="1085"/>
      <c r="CG79" s="1085"/>
      <c r="CH79" s="1085"/>
      <c r="CI79" s="1085"/>
      <c r="CJ79" s="1085"/>
      <c r="CK79" s="1085"/>
      <c r="CL79" s="1085"/>
      <c r="CM79" s="1085"/>
      <c r="CN79" s="1085"/>
      <c r="CO79" s="1085"/>
      <c r="CP79" s="1085"/>
      <c r="CQ79" s="1085"/>
      <c r="CR79" s="1085"/>
      <c r="CS79" s="1085"/>
      <c r="CT79" s="1085"/>
      <c r="CU79" s="1085"/>
      <c r="CV79" s="1085"/>
      <c r="CW79" s="1085"/>
      <c r="CX79" s="1085"/>
      <c r="CY79" s="1085"/>
    </row>
    <row r="80" spans="1:103" ht="16.2" customHeight="1">
      <c r="A80" s="1081" t="s">
        <v>386</v>
      </c>
      <c r="B80" s="1082">
        <f t="shared" si="1"/>
        <v>0</v>
      </c>
      <c r="C80" s="1083"/>
      <c r="D80" s="1084"/>
      <c r="E80" s="1085"/>
      <c r="F80" s="1085"/>
      <c r="G80" s="1085"/>
      <c r="H80" s="1085"/>
      <c r="I80" s="1085"/>
      <c r="J80" s="1085"/>
      <c r="K80" s="1085"/>
      <c r="L80" s="1085"/>
      <c r="M80" s="1085"/>
      <c r="N80" s="1085"/>
      <c r="O80" s="1085"/>
      <c r="P80" s="1085"/>
      <c r="Q80" s="1085"/>
      <c r="R80" s="1085"/>
      <c r="S80" s="1085"/>
      <c r="T80" s="1085"/>
      <c r="U80" s="1085"/>
      <c r="V80" s="1085"/>
      <c r="W80" s="1085"/>
      <c r="X80" s="1085"/>
      <c r="Y80" s="1085"/>
      <c r="Z80" s="1085"/>
      <c r="AA80" s="1085"/>
      <c r="AB80" s="1085"/>
      <c r="AC80" s="1085"/>
      <c r="AD80" s="1085"/>
      <c r="AE80" s="1085"/>
      <c r="AF80" s="1085"/>
      <c r="AG80" s="1085"/>
      <c r="AH80" s="1085"/>
      <c r="AI80" s="1085"/>
      <c r="AJ80" s="1085"/>
      <c r="AK80" s="1085"/>
      <c r="AL80" s="1085"/>
      <c r="AM80" s="1085"/>
      <c r="AN80" s="1085"/>
      <c r="AO80" s="1085"/>
      <c r="AP80" s="1085"/>
      <c r="AQ80" s="1085"/>
      <c r="AR80" s="1085"/>
      <c r="AS80" s="1085"/>
      <c r="AT80" s="1085"/>
      <c r="AU80" s="1085"/>
      <c r="AV80" s="1085"/>
      <c r="AW80" s="1085"/>
      <c r="AX80" s="1085"/>
      <c r="AY80" s="1085"/>
      <c r="AZ80" s="1085"/>
      <c r="BA80" s="1085"/>
      <c r="BB80" s="1085"/>
      <c r="BC80" s="1085"/>
      <c r="BD80" s="1085"/>
      <c r="BE80" s="1085"/>
      <c r="BF80" s="1085"/>
      <c r="BG80" s="1085"/>
      <c r="BH80" s="1085"/>
      <c r="BI80" s="1085"/>
      <c r="BJ80" s="1085"/>
      <c r="BK80" s="1085"/>
      <c r="BL80" s="1085"/>
      <c r="BM80" s="1085"/>
      <c r="BN80" s="1085"/>
      <c r="BO80" s="1085"/>
      <c r="BP80" s="1085"/>
      <c r="BQ80" s="1085"/>
      <c r="BR80" s="1085"/>
      <c r="BS80" s="1085"/>
      <c r="BT80" s="1085"/>
      <c r="BU80" s="1085"/>
      <c r="BV80" s="1085"/>
      <c r="BW80" s="1085"/>
      <c r="BX80" s="1085"/>
      <c r="BY80" s="1085"/>
      <c r="BZ80" s="1085"/>
      <c r="CA80" s="1085"/>
      <c r="CB80" s="1085"/>
      <c r="CC80" s="1085"/>
      <c r="CD80" s="1085"/>
      <c r="CE80" s="1085"/>
      <c r="CF80" s="1085"/>
      <c r="CG80" s="1085"/>
      <c r="CH80" s="1085"/>
      <c r="CI80" s="1085"/>
      <c r="CJ80" s="1085"/>
      <c r="CK80" s="1085"/>
      <c r="CL80" s="1085"/>
      <c r="CM80" s="1085"/>
      <c r="CN80" s="1085"/>
      <c r="CO80" s="1085"/>
      <c r="CP80" s="1085"/>
      <c r="CQ80" s="1085"/>
      <c r="CR80" s="1085"/>
      <c r="CS80" s="1085"/>
      <c r="CT80" s="1085"/>
      <c r="CU80" s="1085"/>
      <c r="CV80" s="1085"/>
      <c r="CW80" s="1085"/>
      <c r="CX80" s="1085"/>
      <c r="CY80" s="1085"/>
    </row>
    <row r="81" spans="1:103" ht="16.2" customHeight="1">
      <c r="A81" s="1081"/>
      <c r="B81" s="1082">
        <f t="shared" si="1"/>
        <v>0</v>
      </c>
      <c r="C81" s="1083"/>
      <c r="D81" s="1084"/>
      <c r="E81" s="1085"/>
      <c r="F81" s="1085"/>
      <c r="G81" s="1085"/>
      <c r="H81" s="1085"/>
      <c r="I81" s="1085"/>
      <c r="J81" s="1085"/>
      <c r="K81" s="1085"/>
      <c r="L81" s="1085"/>
      <c r="M81" s="1085"/>
      <c r="N81" s="1085"/>
      <c r="O81" s="1085"/>
      <c r="P81" s="1085"/>
      <c r="Q81" s="1085"/>
      <c r="R81" s="1085"/>
      <c r="S81" s="1085"/>
      <c r="T81" s="1085"/>
      <c r="U81" s="1085"/>
      <c r="V81" s="1085"/>
      <c r="W81" s="1085"/>
      <c r="X81" s="1085"/>
      <c r="Y81" s="1085"/>
      <c r="Z81" s="1085"/>
      <c r="AA81" s="1085"/>
      <c r="AB81" s="1085"/>
      <c r="AC81" s="1085"/>
      <c r="AD81" s="1085"/>
      <c r="AE81" s="1085"/>
      <c r="AF81" s="1085"/>
      <c r="AG81" s="1085"/>
      <c r="AH81" s="1085"/>
      <c r="AI81" s="1085"/>
      <c r="AJ81" s="1085"/>
      <c r="AK81" s="1085"/>
      <c r="AL81" s="1085"/>
      <c r="AM81" s="1085"/>
      <c r="AN81" s="1085"/>
      <c r="AO81" s="1085"/>
      <c r="AP81" s="1085"/>
      <c r="AQ81" s="1085"/>
      <c r="AR81" s="1085"/>
      <c r="AS81" s="1085"/>
      <c r="AT81" s="1085"/>
      <c r="AU81" s="1085"/>
      <c r="AV81" s="1085"/>
      <c r="AW81" s="1085"/>
      <c r="AX81" s="1085"/>
      <c r="AY81" s="1085"/>
      <c r="AZ81" s="1085"/>
      <c r="BA81" s="1085"/>
      <c r="BB81" s="1085"/>
      <c r="BC81" s="1085"/>
      <c r="BD81" s="1085"/>
      <c r="BE81" s="1085"/>
      <c r="BF81" s="1085"/>
      <c r="BG81" s="1085"/>
      <c r="BH81" s="1085"/>
      <c r="BI81" s="1085"/>
      <c r="BJ81" s="1085"/>
      <c r="BK81" s="1085"/>
      <c r="BL81" s="1085"/>
      <c r="BM81" s="1085"/>
      <c r="BN81" s="1085"/>
      <c r="BO81" s="1085"/>
      <c r="BP81" s="1085"/>
      <c r="BQ81" s="1085"/>
      <c r="BR81" s="1085"/>
      <c r="BS81" s="1085"/>
      <c r="BT81" s="1085"/>
      <c r="BU81" s="1085"/>
      <c r="BV81" s="1085"/>
      <c r="BW81" s="1085"/>
      <c r="BX81" s="1085"/>
      <c r="BY81" s="1085"/>
      <c r="BZ81" s="1085"/>
      <c r="CA81" s="1085"/>
      <c r="CB81" s="1085"/>
      <c r="CC81" s="1085"/>
      <c r="CD81" s="1085"/>
      <c r="CE81" s="1085"/>
      <c r="CF81" s="1085"/>
      <c r="CG81" s="1085"/>
      <c r="CH81" s="1085"/>
      <c r="CI81" s="1085"/>
      <c r="CJ81" s="1085"/>
      <c r="CK81" s="1085"/>
      <c r="CL81" s="1085"/>
      <c r="CM81" s="1085"/>
      <c r="CN81" s="1085"/>
      <c r="CO81" s="1085"/>
      <c r="CP81" s="1085"/>
      <c r="CQ81" s="1085"/>
      <c r="CR81" s="1085"/>
      <c r="CS81" s="1085"/>
      <c r="CT81" s="1085"/>
      <c r="CU81" s="1085"/>
      <c r="CV81" s="1085"/>
      <c r="CW81" s="1085"/>
      <c r="CX81" s="1085"/>
      <c r="CY81" s="1085"/>
    </row>
    <row r="82" spans="1:103" ht="16.2" customHeight="1">
      <c r="A82" s="1081"/>
      <c r="B82" s="1082">
        <f t="shared" si="1"/>
        <v>0</v>
      </c>
      <c r="C82" s="1083"/>
      <c r="D82" s="1084"/>
      <c r="E82" s="1085"/>
      <c r="F82" s="1085"/>
      <c r="G82" s="1085"/>
      <c r="H82" s="1085"/>
      <c r="I82" s="1085"/>
      <c r="J82" s="1085"/>
      <c r="K82" s="1085"/>
      <c r="L82" s="1085"/>
      <c r="M82" s="1085"/>
      <c r="N82" s="1085"/>
      <c r="O82" s="1085"/>
      <c r="P82" s="1085"/>
      <c r="Q82" s="1085"/>
      <c r="R82" s="1085"/>
      <c r="S82" s="1085"/>
      <c r="T82" s="1085"/>
      <c r="U82" s="1085"/>
      <c r="V82" s="1085"/>
      <c r="W82" s="1085"/>
      <c r="X82" s="1085"/>
      <c r="Y82" s="1085"/>
      <c r="Z82" s="1085"/>
      <c r="AA82" s="1085"/>
      <c r="AB82" s="1085"/>
      <c r="AC82" s="1085"/>
      <c r="AD82" s="1085"/>
      <c r="AE82" s="1085"/>
      <c r="AF82" s="1085"/>
      <c r="AG82" s="1085"/>
      <c r="AH82" s="1085"/>
      <c r="AI82" s="1085"/>
      <c r="AJ82" s="1085"/>
      <c r="AK82" s="1085"/>
      <c r="AL82" s="1085"/>
      <c r="AM82" s="1085"/>
      <c r="AN82" s="1085"/>
      <c r="AO82" s="1085"/>
      <c r="AP82" s="1085"/>
      <c r="AQ82" s="1085"/>
      <c r="AR82" s="1085"/>
      <c r="AS82" s="1085"/>
      <c r="AT82" s="1085"/>
      <c r="AU82" s="1085"/>
      <c r="AV82" s="1085"/>
      <c r="AW82" s="1085"/>
      <c r="AX82" s="1085"/>
      <c r="AY82" s="1085"/>
      <c r="AZ82" s="1085"/>
      <c r="BA82" s="1085"/>
      <c r="BB82" s="1085"/>
      <c r="BC82" s="1085"/>
      <c r="BD82" s="1085"/>
      <c r="BE82" s="1085"/>
      <c r="BF82" s="1085"/>
      <c r="BG82" s="1085"/>
      <c r="BH82" s="1085"/>
      <c r="BI82" s="1085"/>
      <c r="BJ82" s="1085"/>
      <c r="BK82" s="1085"/>
      <c r="BL82" s="1085"/>
      <c r="BM82" s="1085"/>
      <c r="BN82" s="1085"/>
      <c r="BO82" s="1085"/>
      <c r="BP82" s="1085"/>
      <c r="BQ82" s="1085"/>
      <c r="BR82" s="1085"/>
      <c r="BS82" s="1085"/>
      <c r="BT82" s="1085"/>
      <c r="BU82" s="1085"/>
      <c r="BV82" s="1085"/>
      <c r="BW82" s="1085"/>
      <c r="BX82" s="1085"/>
      <c r="BY82" s="1085"/>
      <c r="BZ82" s="1085"/>
      <c r="CA82" s="1085"/>
      <c r="CB82" s="1085"/>
      <c r="CC82" s="1085"/>
      <c r="CD82" s="1085"/>
      <c r="CE82" s="1085"/>
      <c r="CF82" s="1085"/>
      <c r="CG82" s="1085"/>
      <c r="CH82" s="1085"/>
      <c r="CI82" s="1085"/>
      <c r="CJ82" s="1085"/>
      <c r="CK82" s="1085"/>
      <c r="CL82" s="1085"/>
      <c r="CM82" s="1085"/>
      <c r="CN82" s="1085"/>
      <c r="CO82" s="1085"/>
      <c r="CP82" s="1085"/>
      <c r="CQ82" s="1085"/>
      <c r="CR82" s="1085"/>
      <c r="CS82" s="1085"/>
      <c r="CT82" s="1085"/>
      <c r="CU82" s="1085"/>
      <c r="CV82" s="1085"/>
      <c r="CW82" s="1085"/>
      <c r="CX82" s="1085"/>
      <c r="CY82" s="1085"/>
    </row>
    <row r="83" spans="1:103" ht="16.2" customHeight="1">
      <c r="A83" s="1081"/>
      <c r="B83" s="1082">
        <f t="shared" si="1"/>
        <v>0</v>
      </c>
      <c r="C83" s="1083"/>
      <c r="D83" s="1084"/>
      <c r="E83" s="1085"/>
      <c r="F83" s="1085"/>
      <c r="G83" s="1085"/>
      <c r="H83" s="1085"/>
      <c r="I83" s="1085"/>
      <c r="J83" s="1085"/>
      <c r="K83" s="1085"/>
      <c r="L83" s="1085"/>
      <c r="M83" s="1085"/>
      <c r="N83" s="1085"/>
      <c r="O83" s="1085"/>
      <c r="P83" s="1085"/>
      <c r="Q83" s="1085"/>
      <c r="R83" s="1085"/>
      <c r="S83" s="1085"/>
      <c r="T83" s="1085"/>
      <c r="U83" s="1085"/>
      <c r="V83" s="1085"/>
      <c r="W83" s="1085"/>
      <c r="X83" s="1085"/>
      <c r="Y83" s="1085"/>
      <c r="Z83" s="1085"/>
      <c r="AA83" s="1085"/>
      <c r="AB83" s="1085"/>
      <c r="AC83" s="1085"/>
      <c r="AD83" s="1085"/>
      <c r="AE83" s="1085"/>
      <c r="AF83" s="1085"/>
      <c r="AG83" s="1085"/>
      <c r="AH83" s="1085"/>
      <c r="AI83" s="1085"/>
      <c r="AJ83" s="1085"/>
      <c r="AK83" s="1085"/>
      <c r="AL83" s="1085"/>
      <c r="AM83" s="1085"/>
      <c r="AN83" s="1085"/>
      <c r="AO83" s="1085"/>
      <c r="AP83" s="1085"/>
      <c r="AQ83" s="1085"/>
      <c r="AR83" s="1085"/>
      <c r="AS83" s="1085"/>
      <c r="AT83" s="1085"/>
      <c r="AU83" s="1085"/>
      <c r="AV83" s="1085"/>
      <c r="AW83" s="1085"/>
      <c r="AX83" s="1085"/>
      <c r="AY83" s="1085"/>
      <c r="AZ83" s="1085"/>
      <c r="BA83" s="1085"/>
      <c r="BB83" s="1085"/>
      <c r="BC83" s="1085"/>
      <c r="BD83" s="1085"/>
      <c r="BE83" s="1085"/>
      <c r="BF83" s="1085"/>
      <c r="BG83" s="1085"/>
      <c r="BH83" s="1085"/>
      <c r="BI83" s="1085"/>
      <c r="BJ83" s="1085"/>
      <c r="BK83" s="1085"/>
      <c r="BL83" s="1085"/>
      <c r="BM83" s="1085"/>
      <c r="BN83" s="1085"/>
      <c r="BO83" s="1085"/>
      <c r="BP83" s="1085"/>
      <c r="BQ83" s="1085"/>
      <c r="BR83" s="1085"/>
      <c r="BS83" s="1085"/>
      <c r="BT83" s="1085"/>
      <c r="BU83" s="1085"/>
      <c r="BV83" s="1085"/>
      <c r="BW83" s="1085"/>
      <c r="BX83" s="1085"/>
      <c r="BY83" s="1085"/>
      <c r="BZ83" s="1085"/>
      <c r="CA83" s="1085"/>
      <c r="CB83" s="1085"/>
      <c r="CC83" s="1085"/>
      <c r="CD83" s="1085"/>
      <c r="CE83" s="1085"/>
      <c r="CF83" s="1085"/>
      <c r="CG83" s="1085"/>
      <c r="CH83" s="1085"/>
      <c r="CI83" s="1085"/>
      <c r="CJ83" s="1085"/>
      <c r="CK83" s="1085"/>
      <c r="CL83" s="1085"/>
      <c r="CM83" s="1085"/>
      <c r="CN83" s="1085"/>
      <c r="CO83" s="1085"/>
      <c r="CP83" s="1085"/>
      <c r="CQ83" s="1085"/>
      <c r="CR83" s="1085"/>
      <c r="CS83" s="1085"/>
      <c r="CT83" s="1085"/>
      <c r="CU83" s="1085"/>
      <c r="CV83" s="1085"/>
      <c r="CW83" s="1085"/>
      <c r="CX83" s="1085"/>
      <c r="CY83" s="1085"/>
    </row>
    <row r="84" spans="1:103" ht="16.2" customHeight="1">
      <c r="A84" s="1081"/>
      <c r="B84" s="1082">
        <f t="shared" si="1"/>
        <v>0</v>
      </c>
      <c r="C84" s="1083"/>
      <c r="D84" s="1084"/>
      <c r="E84" s="1085"/>
      <c r="F84" s="1085"/>
      <c r="G84" s="1085"/>
      <c r="H84" s="1085"/>
      <c r="I84" s="1085"/>
      <c r="J84" s="1085"/>
      <c r="K84" s="1085"/>
      <c r="L84" s="1085"/>
      <c r="M84" s="1085"/>
      <c r="N84" s="1085"/>
      <c r="O84" s="1085"/>
      <c r="P84" s="1085"/>
      <c r="Q84" s="1085"/>
      <c r="R84" s="1085"/>
      <c r="S84" s="1085"/>
      <c r="T84" s="1085"/>
      <c r="U84" s="1085"/>
      <c r="V84" s="1085"/>
      <c r="W84" s="1085"/>
      <c r="X84" s="1085"/>
      <c r="Y84" s="1085"/>
      <c r="Z84" s="1085"/>
      <c r="AA84" s="1085"/>
      <c r="AB84" s="1085"/>
      <c r="AC84" s="1085"/>
      <c r="AD84" s="1085"/>
      <c r="AE84" s="1085"/>
      <c r="AF84" s="1085"/>
      <c r="AG84" s="1085"/>
      <c r="AH84" s="1085"/>
      <c r="AI84" s="1085"/>
      <c r="AJ84" s="1085"/>
      <c r="AK84" s="1085"/>
      <c r="AL84" s="1085"/>
      <c r="AM84" s="1085"/>
      <c r="AN84" s="1085"/>
      <c r="AO84" s="1085"/>
      <c r="AP84" s="1085"/>
      <c r="AQ84" s="1085"/>
      <c r="AR84" s="1085"/>
      <c r="AS84" s="1085"/>
      <c r="AT84" s="1085"/>
      <c r="AU84" s="1085"/>
      <c r="AV84" s="1085"/>
      <c r="AW84" s="1085"/>
      <c r="AX84" s="1085"/>
      <c r="AY84" s="1085"/>
      <c r="AZ84" s="1085"/>
      <c r="BA84" s="1085"/>
      <c r="BB84" s="1085"/>
      <c r="BC84" s="1085"/>
      <c r="BD84" s="1085"/>
      <c r="BE84" s="1085"/>
      <c r="BF84" s="1085"/>
      <c r="BG84" s="1085"/>
      <c r="BH84" s="1085"/>
      <c r="BI84" s="1085"/>
      <c r="BJ84" s="1085"/>
      <c r="BK84" s="1085"/>
      <c r="BL84" s="1085"/>
      <c r="BM84" s="1085"/>
      <c r="BN84" s="1085"/>
      <c r="BO84" s="1085"/>
      <c r="BP84" s="1085"/>
      <c r="BQ84" s="1085"/>
      <c r="BR84" s="1085"/>
      <c r="BS84" s="1085"/>
      <c r="BT84" s="1085"/>
      <c r="BU84" s="1085"/>
      <c r="BV84" s="1085"/>
      <c r="BW84" s="1085"/>
      <c r="BX84" s="1085"/>
      <c r="BY84" s="1085"/>
      <c r="BZ84" s="1085"/>
      <c r="CA84" s="1085"/>
      <c r="CB84" s="1085"/>
      <c r="CC84" s="1085"/>
      <c r="CD84" s="1085"/>
      <c r="CE84" s="1085"/>
      <c r="CF84" s="1085"/>
      <c r="CG84" s="1085"/>
      <c r="CH84" s="1085"/>
      <c r="CI84" s="1085"/>
      <c r="CJ84" s="1085"/>
      <c r="CK84" s="1085"/>
      <c r="CL84" s="1085"/>
      <c r="CM84" s="1085"/>
      <c r="CN84" s="1085"/>
      <c r="CO84" s="1085"/>
      <c r="CP84" s="1085"/>
      <c r="CQ84" s="1085"/>
      <c r="CR84" s="1085"/>
      <c r="CS84" s="1085"/>
      <c r="CT84" s="1085"/>
      <c r="CU84" s="1085"/>
      <c r="CV84" s="1085"/>
      <c r="CW84" s="1085"/>
      <c r="CX84" s="1085"/>
      <c r="CY84" s="1085"/>
    </row>
    <row r="85" spans="1:103" ht="16.2" customHeight="1">
      <c r="A85" s="1081"/>
      <c r="B85" s="1082">
        <f t="shared" si="1"/>
        <v>0</v>
      </c>
      <c r="C85" s="1083"/>
      <c r="D85" s="1084"/>
      <c r="E85" s="1085"/>
      <c r="F85" s="1085"/>
      <c r="G85" s="1085"/>
      <c r="H85" s="1085"/>
      <c r="I85" s="1085"/>
      <c r="J85" s="1085"/>
      <c r="K85" s="1085"/>
      <c r="L85" s="1085"/>
      <c r="M85" s="1085"/>
      <c r="N85" s="1085"/>
      <c r="O85" s="1085"/>
      <c r="P85" s="1085"/>
      <c r="Q85" s="1085"/>
      <c r="R85" s="1085"/>
      <c r="S85" s="1085"/>
      <c r="T85" s="1085"/>
      <c r="U85" s="1085"/>
      <c r="V85" s="1085"/>
      <c r="W85" s="1085"/>
      <c r="X85" s="1085"/>
      <c r="Y85" s="1085"/>
      <c r="Z85" s="1085"/>
      <c r="AA85" s="1085"/>
      <c r="AB85" s="1085"/>
      <c r="AC85" s="1085"/>
      <c r="AD85" s="1085"/>
      <c r="AE85" s="1085"/>
      <c r="AF85" s="1085"/>
      <c r="AG85" s="1085"/>
      <c r="AH85" s="1085"/>
      <c r="AI85" s="1085"/>
      <c r="AJ85" s="1085"/>
      <c r="AK85" s="1085"/>
      <c r="AL85" s="1085"/>
      <c r="AM85" s="1085"/>
      <c r="AN85" s="1085"/>
      <c r="AO85" s="1085"/>
      <c r="AP85" s="1085"/>
      <c r="AQ85" s="1085"/>
      <c r="AR85" s="1085"/>
      <c r="AS85" s="1085"/>
      <c r="AT85" s="1085"/>
      <c r="AU85" s="1085"/>
      <c r="AV85" s="1085"/>
      <c r="AW85" s="1085"/>
      <c r="AX85" s="1085"/>
      <c r="AY85" s="1085"/>
      <c r="AZ85" s="1085"/>
      <c r="BA85" s="1085"/>
      <c r="BB85" s="1085"/>
      <c r="BC85" s="1085"/>
      <c r="BD85" s="1085"/>
      <c r="BE85" s="1085"/>
      <c r="BF85" s="1085"/>
      <c r="BG85" s="1085"/>
      <c r="BH85" s="1085"/>
      <c r="BI85" s="1085"/>
      <c r="BJ85" s="1085"/>
      <c r="BK85" s="1085"/>
      <c r="BL85" s="1085"/>
      <c r="BM85" s="1085"/>
      <c r="BN85" s="1085"/>
      <c r="BO85" s="1085"/>
      <c r="BP85" s="1085"/>
      <c r="BQ85" s="1085"/>
      <c r="BR85" s="1085"/>
      <c r="BS85" s="1085"/>
      <c r="BT85" s="1085"/>
      <c r="BU85" s="1085"/>
      <c r="BV85" s="1085"/>
      <c r="BW85" s="1085"/>
      <c r="BX85" s="1085"/>
      <c r="BY85" s="1085"/>
      <c r="BZ85" s="1085"/>
      <c r="CA85" s="1085"/>
      <c r="CB85" s="1085"/>
      <c r="CC85" s="1085"/>
      <c r="CD85" s="1085"/>
      <c r="CE85" s="1085"/>
      <c r="CF85" s="1085"/>
      <c r="CG85" s="1085"/>
      <c r="CH85" s="1085"/>
      <c r="CI85" s="1085"/>
      <c r="CJ85" s="1085"/>
      <c r="CK85" s="1085"/>
      <c r="CL85" s="1085"/>
      <c r="CM85" s="1085"/>
      <c r="CN85" s="1085"/>
      <c r="CO85" s="1085"/>
      <c r="CP85" s="1085"/>
      <c r="CQ85" s="1085"/>
      <c r="CR85" s="1085"/>
      <c r="CS85" s="1085"/>
      <c r="CT85" s="1085"/>
      <c r="CU85" s="1085"/>
      <c r="CV85" s="1085"/>
      <c r="CW85" s="1085"/>
      <c r="CX85" s="1085"/>
      <c r="CY85" s="1085"/>
    </row>
    <row r="86" spans="1:103" ht="16.2" customHeight="1">
      <c r="A86" s="1081"/>
      <c r="B86" s="1082">
        <f t="shared" si="1"/>
        <v>0</v>
      </c>
      <c r="C86" s="1083"/>
      <c r="D86" s="1084"/>
      <c r="E86" s="1085"/>
      <c r="F86" s="1085"/>
      <c r="G86" s="1085"/>
      <c r="H86" s="1085"/>
      <c r="I86" s="1085"/>
      <c r="J86" s="1085"/>
      <c r="K86" s="1085"/>
      <c r="L86" s="1085"/>
      <c r="M86" s="1085"/>
      <c r="N86" s="1085"/>
      <c r="O86" s="1085"/>
      <c r="P86" s="1085"/>
      <c r="Q86" s="1085"/>
      <c r="R86" s="1085"/>
      <c r="S86" s="1085"/>
      <c r="T86" s="1085"/>
      <c r="U86" s="1085"/>
      <c r="V86" s="1085"/>
      <c r="W86" s="1085"/>
      <c r="X86" s="1085"/>
      <c r="Y86" s="1085"/>
      <c r="Z86" s="1085"/>
      <c r="AA86" s="1085"/>
      <c r="AB86" s="1085"/>
      <c r="AC86" s="1085"/>
      <c r="AD86" s="1085"/>
      <c r="AE86" s="1085"/>
      <c r="AF86" s="1085"/>
      <c r="AG86" s="1085"/>
      <c r="AH86" s="1085"/>
      <c r="AI86" s="1085"/>
      <c r="AJ86" s="1085"/>
      <c r="AK86" s="1085"/>
      <c r="AL86" s="1085"/>
      <c r="AM86" s="1085"/>
      <c r="AN86" s="1085"/>
      <c r="AO86" s="1085"/>
      <c r="AP86" s="1085"/>
      <c r="AQ86" s="1085"/>
      <c r="AR86" s="1085"/>
      <c r="AS86" s="1085"/>
      <c r="AT86" s="1085"/>
      <c r="AU86" s="1085"/>
      <c r="AV86" s="1085"/>
      <c r="AW86" s="1085"/>
      <c r="AX86" s="1085"/>
      <c r="AY86" s="1085"/>
      <c r="AZ86" s="1085"/>
      <c r="BA86" s="1085"/>
      <c r="BB86" s="1085"/>
      <c r="BC86" s="1085"/>
      <c r="BD86" s="1085"/>
      <c r="BE86" s="1085"/>
      <c r="BF86" s="1085"/>
      <c r="BG86" s="1085"/>
      <c r="BH86" s="1085"/>
      <c r="BI86" s="1085"/>
      <c r="BJ86" s="1085"/>
      <c r="BK86" s="1085"/>
      <c r="BL86" s="1085"/>
      <c r="BM86" s="1085"/>
      <c r="BN86" s="1085"/>
      <c r="BO86" s="1085"/>
      <c r="BP86" s="1085"/>
      <c r="BQ86" s="1085"/>
      <c r="BR86" s="1085"/>
      <c r="BS86" s="1085"/>
      <c r="BT86" s="1085"/>
      <c r="BU86" s="1085"/>
      <c r="BV86" s="1085"/>
      <c r="BW86" s="1085"/>
      <c r="BX86" s="1085"/>
      <c r="BY86" s="1085"/>
      <c r="BZ86" s="1085"/>
      <c r="CA86" s="1085"/>
      <c r="CB86" s="1085"/>
      <c r="CC86" s="1085"/>
      <c r="CD86" s="1085"/>
      <c r="CE86" s="1085"/>
      <c r="CF86" s="1085"/>
      <c r="CG86" s="1085"/>
      <c r="CH86" s="1085"/>
      <c r="CI86" s="1085"/>
      <c r="CJ86" s="1085"/>
      <c r="CK86" s="1085"/>
      <c r="CL86" s="1085"/>
      <c r="CM86" s="1085"/>
      <c r="CN86" s="1085"/>
      <c r="CO86" s="1085"/>
      <c r="CP86" s="1085"/>
      <c r="CQ86" s="1085"/>
      <c r="CR86" s="1085"/>
      <c r="CS86" s="1085"/>
      <c r="CT86" s="1085"/>
      <c r="CU86" s="1085"/>
      <c r="CV86" s="1085"/>
      <c r="CW86" s="1085"/>
      <c r="CX86" s="1085"/>
      <c r="CY86" s="1085"/>
    </row>
    <row r="87" spans="1:103" ht="16.2" customHeight="1">
      <c r="A87" s="1081"/>
      <c r="B87" s="1082">
        <f t="shared" si="1"/>
        <v>0</v>
      </c>
      <c r="C87" s="1083"/>
      <c r="D87" s="1084"/>
      <c r="E87" s="1085"/>
      <c r="F87" s="1085"/>
      <c r="G87" s="1085"/>
      <c r="H87" s="1085"/>
      <c r="I87" s="1085"/>
      <c r="J87" s="1085"/>
      <c r="K87" s="1085"/>
      <c r="L87" s="1085"/>
      <c r="M87" s="1085"/>
      <c r="N87" s="1085"/>
      <c r="O87" s="1085"/>
      <c r="P87" s="1085"/>
      <c r="Q87" s="1085"/>
      <c r="R87" s="1085"/>
      <c r="S87" s="1085"/>
      <c r="T87" s="1085"/>
      <c r="U87" s="1085"/>
      <c r="V87" s="1085"/>
      <c r="W87" s="1085"/>
      <c r="X87" s="1085"/>
      <c r="Y87" s="1085"/>
      <c r="Z87" s="1085"/>
      <c r="AA87" s="1085"/>
      <c r="AB87" s="1085"/>
      <c r="AC87" s="1085"/>
      <c r="AD87" s="1085"/>
      <c r="AE87" s="1085"/>
      <c r="AF87" s="1085"/>
      <c r="AG87" s="1085"/>
      <c r="AH87" s="1085"/>
      <c r="AI87" s="1085"/>
      <c r="AJ87" s="1085"/>
      <c r="AK87" s="1085"/>
      <c r="AL87" s="1085"/>
      <c r="AM87" s="1085"/>
      <c r="AN87" s="1085"/>
      <c r="AO87" s="1085"/>
      <c r="AP87" s="1085"/>
      <c r="AQ87" s="1085"/>
      <c r="AR87" s="1085"/>
      <c r="AS87" s="1085"/>
      <c r="AT87" s="1085"/>
      <c r="AU87" s="1085"/>
      <c r="AV87" s="1085"/>
      <c r="AW87" s="1085"/>
      <c r="AX87" s="1085"/>
      <c r="AY87" s="1085"/>
      <c r="AZ87" s="1085"/>
      <c r="BA87" s="1085"/>
      <c r="BB87" s="1085"/>
      <c r="BC87" s="1085"/>
      <c r="BD87" s="1085"/>
      <c r="BE87" s="1085"/>
      <c r="BF87" s="1085"/>
      <c r="BG87" s="1085"/>
      <c r="BH87" s="1085"/>
      <c r="BI87" s="1085"/>
      <c r="BJ87" s="1085"/>
      <c r="BK87" s="1085"/>
      <c r="BL87" s="1085"/>
      <c r="BM87" s="1085"/>
      <c r="BN87" s="1085"/>
      <c r="BO87" s="1085"/>
      <c r="BP87" s="1085"/>
      <c r="BQ87" s="1085"/>
      <c r="BR87" s="1085"/>
      <c r="BS87" s="1085"/>
      <c r="BT87" s="1085"/>
      <c r="BU87" s="1085"/>
      <c r="BV87" s="1085"/>
      <c r="BW87" s="1085"/>
      <c r="BX87" s="1085"/>
      <c r="BY87" s="1085"/>
      <c r="BZ87" s="1085"/>
      <c r="CA87" s="1085"/>
      <c r="CB87" s="1085"/>
      <c r="CC87" s="1085"/>
      <c r="CD87" s="1085"/>
      <c r="CE87" s="1085"/>
      <c r="CF87" s="1085"/>
      <c r="CG87" s="1085"/>
      <c r="CH87" s="1085"/>
      <c r="CI87" s="1085"/>
      <c r="CJ87" s="1085"/>
      <c r="CK87" s="1085"/>
      <c r="CL87" s="1085"/>
      <c r="CM87" s="1085"/>
      <c r="CN87" s="1085"/>
      <c r="CO87" s="1085"/>
      <c r="CP87" s="1085"/>
      <c r="CQ87" s="1085"/>
      <c r="CR87" s="1085"/>
      <c r="CS87" s="1085"/>
      <c r="CT87" s="1085"/>
      <c r="CU87" s="1085"/>
      <c r="CV87" s="1085"/>
      <c r="CW87" s="1085"/>
      <c r="CX87" s="1085"/>
      <c r="CY87" s="1085"/>
    </row>
    <row r="88" spans="1:103" ht="16.2" customHeight="1">
      <c r="A88" s="1081"/>
      <c r="B88" s="1082">
        <f t="shared" si="1"/>
        <v>0</v>
      </c>
      <c r="C88" s="1083"/>
      <c r="D88" s="1084"/>
      <c r="E88" s="1085"/>
      <c r="F88" s="1085"/>
      <c r="G88" s="1085"/>
      <c r="H88" s="1085"/>
      <c r="I88" s="1085"/>
      <c r="J88" s="1085"/>
      <c r="K88" s="1085"/>
      <c r="L88" s="1085"/>
      <c r="M88" s="1085"/>
      <c r="N88" s="1085"/>
      <c r="O88" s="1085"/>
      <c r="P88" s="1085"/>
      <c r="Q88" s="1085"/>
      <c r="R88" s="1085"/>
      <c r="S88" s="1085"/>
      <c r="T88" s="1085"/>
      <c r="U88" s="1085"/>
      <c r="V88" s="1085"/>
      <c r="W88" s="1085"/>
      <c r="X88" s="1085"/>
      <c r="Y88" s="1085"/>
      <c r="Z88" s="1085"/>
      <c r="AA88" s="1085"/>
      <c r="AB88" s="1085"/>
      <c r="AC88" s="1085"/>
      <c r="AD88" s="1085"/>
      <c r="AE88" s="1085"/>
      <c r="AF88" s="1085"/>
      <c r="AG88" s="1085"/>
      <c r="AH88" s="1085"/>
      <c r="AI88" s="1085"/>
      <c r="AJ88" s="1085"/>
      <c r="AK88" s="1085"/>
      <c r="AL88" s="1085"/>
      <c r="AM88" s="1085"/>
      <c r="AN88" s="1085"/>
      <c r="AO88" s="1085"/>
      <c r="AP88" s="1085"/>
      <c r="AQ88" s="1085"/>
      <c r="AR88" s="1085"/>
      <c r="AS88" s="1085"/>
      <c r="AT88" s="1085"/>
      <c r="AU88" s="1085"/>
      <c r="AV88" s="1085"/>
      <c r="AW88" s="1085"/>
      <c r="AX88" s="1085"/>
      <c r="AY88" s="1085"/>
      <c r="AZ88" s="1085"/>
      <c r="BA88" s="1085"/>
      <c r="BB88" s="1085"/>
      <c r="BC88" s="1085"/>
      <c r="BD88" s="1085"/>
      <c r="BE88" s="1085"/>
      <c r="BF88" s="1085"/>
      <c r="BG88" s="1085"/>
      <c r="BH88" s="1085"/>
      <c r="BI88" s="1085"/>
      <c r="BJ88" s="1085"/>
      <c r="BK88" s="1085"/>
      <c r="BL88" s="1085"/>
      <c r="BM88" s="1085"/>
      <c r="BN88" s="1085"/>
      <c r="BO88" s="1085"/>
      <c r="BP88" s="1085"/>
      <c r="BQ88" s="1085"/>
      <c r="BR88" s="1085"/>
      <c r="BS88" s="1085"/>
      <c r="BT88" s="1085"/>
      <c r="BU88" s="1085"/>
      <c r="BV88" s="1085"/>
      <c r="BW88" s="1085"/>
      <c r="BX88" s="1085"/>
      <c r="BY88" s="1085"/>
      <c r="BZ88" s="1085"/>
      <c r="CA88" s="1085"/>
      <c r="CB88" s="1085"/>
      <c r="CC88" s="1085"/>
      <c r="CD88" s="1085"/>
      <c r="CE88" s="1085"/>
      <c r="CF88" s="1085"/>
      <c r="CG88" s="1085"/>
      <c r="CH88" s="1085"/>
      <c r="CI88" s="1085"/>
      <c r="CJ88" s="1085"/>
      <c r="CK88" s="1085"/>
      <c r="CL88" s="1085"/>
      <c r="CM88" s="1085"/>
      <c r="CN88" s="1085"/>
      <c r="CO88" s="1085"/>
      <c r="CP88" s="1085"/>
      <c r="CQ88" s="1085"/>
      <c r="CR88" s="1085"/>
      <c r="CS88" s="1085"/>
      <c r="CT88" s="1085"/>
      <c r="CU88" s="1085"/>
      <c r="CV88" s="1085"/>
      <c r="CW88" s="1085"/>
      <c r="CX88" s="1085"/>
      <c r="CY88" s="1085"/>
    </row>
    <row r="89" spans="1:103" ht="16.2" customHeight="1">
      <c r="A89" s="1081"/>
      <c r="B89" s="1082">
        <f t="shared" si="1"/>
        <v>0</v>
      </c>
      <c r="C89" s="1083"/>
      <c r="D89" s="1084"/>
      <c r="E89" s="1085"/>
      <c r="F89" s="1085"/>
      <c r="G89" s="1085"/>
      <c r="H89" s="1085"/>
      <c r="I89" s="1085"/>
      <c r="J89" s="1085"/>
      <c r="K89" s="1085"/>
      <c r="L89" s="1085"/>
      <c r="M89" s="1085"/>
      <c r="N89" s="1085"/>
      <c r="O89" s="1085"/>
      <c r="P89" s="1085"/>
      <c r="Q89" s="1085"/>
      <c r="R89" s="1085"/>
      <c r="S89" s="1085"/>
      <c r="T89" s="1085"/>
      <c r="U89" s="1085"/>
      <c r="V89" s="1085"/>
      <c r="W89" s="1085"/>
      <c r="X89" s="1085"/>
      <c r="Y89" s="1085"/>
      <c r="Z89" s="1085"/>
      <c r="AA89" s="1085"/>
      <c r="AB89" s="1085"/>
      <c r="AC89" s="1085"/>
      <c r="AD89" s="1085"/>
      <c r="AE89" s="1085"/>
      <c r="AF89" s="1085"/>
      <c r="AG89" s="1085"/>
      <c r="AH89" s="1085"/>
      <c r="AI89" s="1085"/>
      <c r="AJ89" s="1085"/>
      <c r="AK89" s="1085"/>
      <c r="AL89" s="1085"/>
      <c r="AM89" s="1085"/>
      <c r="AN89" s="1085"/>
      <c r="AO89" s="1085"/>
      <c r="AP89" s="1085"/>
      <c r="AQ89" s="1085"/>
      <c r="AR89" s="1085"/>
      <c r="AS89" s="1085"/>
      <c r="AT89" s="1085"/>
      <c r="AU89" s="1085"/>
      <c r="AV89" s="1085"/>
      <c r="AW89" s="1085"/>
      <c r="AX89" s="1085"/>
      <c r="AY89" s="1085"/>
      <c r="AZ89" s="1085"/>
      <c r="BA89" s="1085"/>
      <c r="BB89" s="1085"/>
      <c r="BC89" s="1085"/>
      <c r="BD89" s="1085"/>
      <c r="BE89" s="1085"/>
      <c r="BF89" s="1085"/>
      <c r="BG89" s="1085"/>
      <c r="BH89" s="1085"/>
      <c r="BI89" s="1085"/>
      <c r="BJ89" s="1085"/>
      <c r="BK89" s="1085"/>
      <c r="BL89" s="1085"/>
      <c r="BM89" s="1085"/>
      <c r="BN89" s="1085"/>
      <c r="BO89" s="1085"/>
      <c r="BP89" s="1085"/>
      <c r="BQ89" s="1085"/>
      <c r="BR89" s="1085"/>
      <c r="BS89" s="1085"/>
      <c r="BT89" s="1085"/>
      <c r="BU89" s="1085"/>
      <c r="BV89" s="1085"/>
      <c r="BW89" s="1085"/>
      <c r="BX89" s="1085"/>
      <c r="BY89" s="1085"/>
      <c r="BZ89" s="1085"/>
      <c r="CA89" s="1085"/>
      <c r="CB89" s="1085"/>
      <c r="CC89" s="1085"/>
      <c r="CD89" s="1085"/>
      <c r="CE89" s="1085"/>
      <c r="CF89" s="1085"/>
      <c r="CG89" s="1085"/>
      <c r="CH89" s="1085"/>
      <c r="CI89" s="1085"/>
      <c r="CJ89" s="1085"/>
      <c r="CK89" s="1085"/>
      <c r="CL89" s="1085"/>
      <c r="CM89" s="1085"/>
      <c r="CN89" s="1085"/>
      <c r="CO89" s="1085"/>
      <c r="CP89" s="1085"/>
      <c r="CQ89" s="1085"/>
      <c r="CR89" s="1085"/>
      <c r="CS89" s="1085"/>
      <c r="CT89" s="1085"/>
      <c r="CU89" s="1085"/>
      <c r="CV89" s="1085"/>
      <c r="CW89" s="1085"/>
      <c r="CX89" s="1085"/>
      <c r="CY89" s="1085"/>
    </row>
    <row r="90" spans="1:103" ht="16.2" customHeight="1">
      <c r="A90" s="1081"/>
      <c r="B90" s="1082">
        <f t="shared" si="1"/>
        <v>0</v>
      </c>
      <c r="C90" s="1083"/>
      <c r="D90" s="1084"/>
      <c r="E90" s="1085"/>
      <c r="F90" s="1085"/>
      <c r="G90" s="1085"/>
      <c r="H90" s="1085"/>
      <c r="I90" s="1085"/>
      <c r="J90" s="1085"/>
      <c r="K90" s="1085"/>
      <c r="L90" s="1085"/>
      <c r="M90" s="1085"/>
      <c r="N90" s="1085"/>
      <c r="O90" s="1085"/>
      <c r="P90" s="1085"/>
      <c r="Q90" s="1085"/>
      <c r="R90" s="1085"/>
      <c r="S90" s="1085"/>
      <c r="T90" s="1085"/>
      <c r="U90" s="1085"/>
      <c r="V90" s="1085"/>
      <c r="W90" s="1085"/>
      <c r="X90" s="1085"/>
      <c r="Y90" s="1085"/>
      <c r="Z90" s="1085"/>
      <c r="AA90" s="1085"/>
      <c r="AB90" s="1085"/>
      <c r="AC90" s="1085"/>
      <c r="AD90" s="1085"/>
      <c r="AE90" s="1085"/>
      <c r="AF90" s="1085"/>
      <c r="AG90" s="1085"/>
      <c r="AH90" s="1085"/>
      <c r="AI90" s="1085"/>
      <c r="AJ90" s="1085"/>
      <c r="AK90" s="1085"/>
      <c r="AL90" s="1085"/>
      <c r="AM90" s="1085"/>
      <c r="AN90" s="1085"/>
      <c r="AO90" s="1085"/>
      <c r="AP90" s="1085"/>
      <c r="AQ90" s="1085"/>
      <c r="AR90" s="1085"/>
      <c r="AS90" s="1085"/>
      <c r="AT90" s="1085"/>
      <c r="AU90" s="1085"/>
      <c r="AV90" s="1085"/>
      <c r="AW90" s="1085"/>
      <c r="AX90" s="1085"/>
      <c r="AY90" s="1085"/>
      <c r="AZ90" s="1085"/>
      <c r="BA90" s="1085"/>
      <c r="BB90" s="1085"/>
      <c r="BC90" s="1085"/>
      <c r="BD90" s="1085"/>
      <c r="BE90" s="1085"/>
      <c r="BF90" s="1085"/>
      <c r="BG90" s="1085"/>
      <c r="BH90" s="1085"/>
      <c r="BI90" s="1085"/>
      <c r="BJ90" s="1085"/>
      <c r="BK90" s="1085"/>
      <c r="BL90" s="1085"/>
      <c r="BM90" s="1085"/>
      <c r="BN90" s="1085"/>
      <c r="BO90" s="1085"/>
      <c r="BP90" s="1085"/>
      <c r="BQ90" s="1085"/>
      <c r="BR90" s="1085"/>
      <c r="BS90" s="1085"/>
      <c r="BT90" s="1085"/>
      <c r="BU90" s="1085"/>
      <c r="BV90" s="1085"/>
      <c r="BW90" s="1085"/>
      <c r="BX90" s="1085"/>
      <c r="BY90" s="1085"/>
      <c r="BZ90" s="1085"/>
      <c r="CA90" s="1085"/>
      <c r="CB90" s="1085"/>
      <c r="CC90" s="1085"/>
      <c r="CD90" s="1085"/>
      <c r="CE90" s="1085"/>
      <c r="CF90" s="1085"/>
      <c r="CG90" s="1085"/>
      <c r="CH90" s="1085"/>
      <c r="CI90" s="1085"/>
      <c r="CJ90" s="1085"/>
      <c r="CK90" s="1085"/>
      <c r="CL90" s="1085"/>
      <c r="CM90" s="1085"/>
      <c r="CN90" s="1085"/>
      <c r="CO90" s="1085"/>
      <c r="CP90" s="1085"/>
      <c r="CQ90" s="1085"/>
      <c r="CR90" s="1085"/>
      <c r="CS90" s="1085"/>
      <c r="CT90" s="1085"/>
      <c r="CU90" s="1085"/>
      <c r="CV90" s="1085"/>
      <c r="CW90" s="1085"/>
      <c r="CX90" s="1085"/>
      <c r="CY90" s="1085"/>
    </row>
    <row r="91" spans="1:103" ht="16.2" customHeight="1">
      <c r="A91" s="1081"/>
      <c r="B91" s="1082">
        <f t="shared" si="1"/>
        <v>0</v>
      </c>
      <c r="C91" s="1083"/>
      <c r="D91" s="1084"/>
      <c r="E91" s="1085"/>
      <c r="F91" s="1085"/>
      <c r="G91" s="1085"/>
      <c r="H91" s="1085"/>
      <c r="I91" s="1085"/>
      <c r="J91" s="1085"/>
      <c r="K91" s="1085"/>
      <c r="L91" s="1085"/>
      <c r="M91" s="1085"/>
      <c r="N91" s="1085"/>
      <c r="O91" s="1085"/>
      <c r="P91" s="1085"/>
      <c r="Q91" s="1085"/>
      <c r="R91" s="1085"/>
      <c r="S91" s="1085"/>
      <c r="T91" s="1085"/>
      <c r="U91" s="1085"/>
      <c r="V91" s="1085"/>
      <c r="W91" s="1085"/>
      <c r="X91" s="1085"/>
      <c r="Y91" s="1085"/>
      <c r="Z91" s="1085"/>
      <c r="AA91" s="1085"/>
      <c r="AB91" s="1085"/>
      <c r="AC91" s="1085"/>
      <c r="AD91" s="1085"/>
      <c r="AE91" s="1085"/>
      <c r="AF91" s="1085"/>
      <c r="AG91" s="1085"/>
      <c r="AH91" s="1085"/>
      <c r="AI91" s="1085"/>
      <c r="AJ91" s="1085"/>
      <c r="AK91" s="1085"/>
      <c r="AL91" s="1085"/>
      <c r="AM91" s="1085"/>
      <c r="AN91" s="1085"/>
      <c r="AO91" s="1085"/>
      <c r="AP91" s="1085"/>
      <c r="AQ91" s="1085"/>
      <c r="AR91" s="1085"/>
      <c r="AS91" s="1085"/>
      <c r="AT91" s="1085"/>
      <c r="AU91" s="1085"/>
      <c r="AV91" s="1085"/>
      <c r="AW91" s="1085"/>
      <c r="AX91" s="1085"/>
      <c r="AY91" s="1085"/>
      <c r="AZ91" s="1085"/>
      <c r="BA91" s="1085"/>
      <c r="BB91" s="1085"/>
      <c r="BC91" s="1085"/>
      <c r="BD91" s="1085"/>
      <c r="BE91" s="1085"/>
      <c r="BF91" s="1085"/>
      <c r="BG91" s="1085"/>
      <c r="BH91" s="1085"/>
      <c r="BI91" s="1085"/>
      <c r="BJ91" s="1085"/>
      <c r="BK91" s="1085"/>
      <c r="BL91" s="1085"/>
      <c r="BM91" s="1085"/>
      <c r="BN91" s="1085"/>
      <c r="BO91" s="1085"/>
      <c r="BP91" s="1085"/>
      <c r="BQ91" s="1085"/>
      <c r="BR91" s="1085"/>
      <c r="BS91" s="1085"/>
      <c r="BT91" s="1085"/>
      <c r="BU91" s="1085"/>
      <c r="BV91" s="1085"/>
      <c r="BW91" s="1085"/>
      <c r="BX91" s="1085"/>
      <c r="BY91" s="1085"/>
      <c r="BZ91" s="1085"/>
      <c r="CA91" s="1085"/>
      <c r="CB91" s="1085"/>
      <c r="CC91" s="1085"/>
      <c r="CD91" s="1085"/>
      <c r="CE91" s="1085"/>
      <c r="CF91" s="1085"/>
      <c r="CG91" s="1085"/>
      <c r="CH91" s="1085"/>
      <c r="CI91" s="1085"/>
      <c r="CJ91" s="1085"/>
      <c r="CK91" s="1085"/>
      <c r="CL91" s="1085"/>
      <c r="CM91" s="1085"/>
      <c r="CN91" s="1085"/>
      <c r="CO91" s="1085"/>
      <c r="CP91" s="1085"/>
      <c r="CQ91" s="1085"/>
      <c r="CR91" s="1085"/>
      <c r="CS91" s="1085"/>
      <c r="CT91" s="1085"/>
      <c r="CU91" s="1085"/>
      <c r="CV91" s="1085"/>
      <c r="CW91" s="1085"/>
      <c r="CX91" s="1085"/>
      <c r="CY91" s="1085"/>
    </row>
    <row r="92" spans="1:103" ht="16.2" customHeight="1">
      <c r="A92" s="1081"/>
      <c r="B92" s="1082">
        <f t="shared" si="1"/>
        <v>0</v>
      </c>
      <c r="C92" s="1083"/>
      <c r="D92" s="1084"/>
      <c r="E92" s="1085"/>
      <c r="F92" s="1085"/>
      <c r="G92" s="1085"/>
      <c r="H92" s="1085"/>
      <c r="I92" s="1085"/>
      <c r="J92" s="1085"/>
      <c r="K92" s="1085"/>
      <c r="L92" s="1085"/>
      <c r="M92" s="1085"/>
      <c r="N92" s="1085"/>
      <c r="O92" s="1085"/>
      <c r="P92" s="1085"/>
      <c r="Q92" s="1085"/>
      <c r="R92" s="1085"/>
      <c r="S92" s="1085"/>
      <c r="T92" s="1085"/>
      <c r="U92" s="1085"/>
      <c r="V92" s="1085"/>
      <c r="W92" s="1085"/>
      <c r="X92" s="1085"/>
      <c r="Y92" s="1085"/>
      <c r="Z92" s="1085"/>
      <c r="AA92" s="1085"/>
      <c r="AB92" s="1085"/>
      <c r="AC92" s="1085"/>
      <c r="AD92" s="1085"/>
      <c r="AE92" s="1085"/>
      <c r="AF92" s="1085"/>
      <c r="AG92" s="1085"/>
      <c r="AH92" s="1085"/>
      <c r="AI92" s="1085"/>
      <c r="AJ92" s="1085"/>
      <c r="AK92" s="1085"/>
      <c r="AL92" s="1085"/>
      <c r="AM92" s="1085"/>
      <c r="AN92" s="1085"/>
      <c r="AO92" s="1085"/>
      <c r="AP92" s="1085"/>
      <c r="AQ92" s="1085"/>
      <c r="AR92" s="1085"/>
      <c r="AS92" s="1085"/>
      <c r="AT92" s="1085"/>
      <c r="AU92" s="1085"/>
      <c r="AV92" s="1085"/>
      <c r="AW92" s="1085"/>
      <c r="AX92" s="1085"/>
      <c r="AY92" s="1085"/>
      <c r="AZ92" s="1085"/>
      <c r="BA92" s="1085"/>
      <c r="BB92" s="1085"/>
      <c r="BC92" s="1085"/>
      <c r="BD92" s="1085"/>
      <c r="BE92" s="1085"/>
      <c r="BF92" s="1085"/>
      <c r="BG92" s="1085"/>
      <c r="BH92" s="1085"/>
      <c r="BI92" s="1085"/>
      <c r="BJ92" s="1085"/>
      <c r="BK92" s="1085"/>
      <c r="BL92" s="1085"/>
      <c r="BM92" s="1085"/>
      <c r="BN92" s="1085"/>
      <c r="BO92" s="1085"/>
      <c r="BP92" s="1085"/>
      <c r="BQ92" s="1085"/>
      <c r="BR92" s="1085"/>
      <c r="BS92" s="1085"/>
      <c r="BT92" s="1085"/>
      <c r="BU92" s="1085"/>
      <c r="BV92" s="1085"/>
      <c r="BW92" s="1085"/>
      <c r="BX92" s="1085"/>
      <c r="BY92" s="1085"/>
      <c r="BZ92" s="1085"/>
      <c r="CA92" s="1085"/>
      <c r="CB92" s="1085"/>
      <c r="CC92" s="1085"/>
      <c r="CD92" s="1085"/>
      <c r="CE92" s="1085"/>
      <c r="CF92" s="1085"/>
      <c r="CG92" s="1085"/>
      <c r="CH92" s="1085"/>
      <c r="CI92" s="1085"/>
      <c r="CJ92" s="1085"/>
      <c r="CK92" s="1085"/>
      <c r="CL92" s="1085"/>
      <c r="CM92" s="1085"/>
      <c r="CN92" s="1085"/>
      <c r="CO92" s="1085"/>
      <c r="CP92" s="1085"/>
      <c r="CQ92" s="1085"/>
      <c r="CR92" s="1085"/>
      <c r="CS92" s="1085"/>
      <c r="CT92" s="1085"/>
      <c r="CU92" s="1085"/>
      <c r="CV92" s="1085"/>
      <c r="CW92" s="1085"/>
      <c r="CX92" s="1085"/>
      <c r="CY92" s="1085"/>
    </row>
    <row r="93" spans="1:103" ht="16.2" customHeight="1">
      <c r="A93" s="1081"/>
      <c r="B93" s="1082">
        <f t="shared" si="1"/>
        <v>0</v>
      </c>
      <c r="C93" s="1083"/>
      <c r="D93" s="1084"/>
      <c r="E93" s="1085"/>
      <c r="F93" s="1085"/>
      <c r="G93" s="1085"/>
      <c r="H93" s="1085"/>
      <c r="I93" s="1085"/>
      <c r="J93" s="1085"/>
      <c r="K93" s="1085"/>
      <c r="L93" s="1085"/>
      <c r="M93" s="1085"/>
      <c r="N93" s="1085"/>
      <c r="O93" s="1085"/>
      <c r="P93" s="1085"/>
      <c r="Q93" s="1085"/>
      <c r="R93" s="1085"/>
      <c r="S93" s="1085"/>
      <c r="T93" s="1085"/>
      <c r="U93" s="1085"/>
      <c r="V93" s="1085"/>
      <c r="W93" s="1085"/>
      <c r="X93" s="1085"/>
      <c r="Y93" s="1085"/>
      <c r="Z93" s="1085"/>
      <c r="AA93" s="1085"/>
      <c r="AB93" s="1085"/>
      <c r="AC93" s="1085"/>
      <c r="AD93" s="1085"/>
      <c r="AE93" s="1085"/>
      <c r="AF93" s="1085"/>
      <c r="AG93" s="1085"/>
      <c r="AH93" s="1085"/>
      <c r="AI93" s="1085"/>
      <c r="AJ93" s="1085"/>
      <c r="AK93" s="1085"/>
      <c r="AL93" s="1085"/>
      <c r="AM93" s="1085"/>
      <c r="AN93" s="1085"/>
      <c r="AO93" s="1085"/>
      <c r="AP93" s="1085"/>
      <c r="AQ93" s="1085"/>
      <c r="AR93" s="1085"/>
      <c r="AS93" s="1085"/>
      <c r="AT93" s="1085"/>
      <c r="AU93" s="1085"/>
      <c r="AV93" s="1085"/>
      <c r="AW93" s="1085"/>
      <c r="AX93" s="1085"/>
      <c r="AY93" s="1085"/>
      <c r="AZ93" s="1085"/>
      <c r="BA93" s="1085"/>
      <c r="BB93" s="1085"/>
      <c r="BC93" s="1085"/>
      <c r="BD93" s="1085"/>
      <c r="BE93" s="1085"/>
      <c r="BF93" s="1085"/>
      <c r="BG93" s="1085"/>
      <c r="BH93" s="1085"/>
      <c r="BI93" s="1085"/>
      <c r="BJ93" s="1085"/>
      <c r="BK93" s="1085"/>
      <c r="BL93" s="1085"/>
      <c r="BM93" s="1085"/>
      <c r="BN93" s="1085"/>
      <c r="BO93" s="1085"/>
      <c r="BP93" s="1085"/>
      <c r="BQ93" s="1085"/>
      <c r="BR93" s="1085"/>
      <c r="BS93" s="1085"/>
      <c r="BT93" s="1085"/>
      <c r="BU93" s="1085"/>
      <c r="BV93" s="1085"/>
      <c r="BW93" s="1085"/>
      <c r="BX93" s="1085"/>
      <c r="BY93" s="1085"/>
      <c r="BZ93" s="1085"/>
      <c r="CA93" s="1085"/>
      <c r="CB93" s="1085"/>
      <c r="CC93" s="1085"/>
      <c r="CD93" s="1085"/>
      <c r="CE93" s="1085"/>
      <c r="CF93" s="1085"/>
      <c r="CG93" s="1085"/>
      <c r="CH93" s="1085"/>
      <c r="CI93" s="1085"/>
      <c r="CJ93" s="1085"/>
      <c r="CK93" s="1085"/>
      <c r="CL93" s="1085"/>
      <c r="CM93" s="1085"/>
      <c r="CN93" s="1085"/>
      <c r="CO93" s="1085"/>
      <c r="CP93" s="1085"/>
      <c r="CQ93" s="1085"/>
      <c r="CR93" s="1085"/>
      <c r="CS93" s="1085"/>
      <c r="CT93" s="1085"/>
      <c r="CU93" s="1085"/>
      <c r="CV93" s="1085"/>
      <c r="CW93" s="1085"/>
      <c r="CX93" s="1085"/>
      <c r="CY93" s="1085"/>
    </row>
    <row r="94" spans="1:103" ht="16.2" customHeight="1">
      <c r="A94" s="1081"/>
      <c r="B94" s="1082">
        <f t="shared" si="1"/>
        <v>0</v>
      </c>
      <c r="C94" s="1083"/>
      <c r="D94" s="1084"/>
      <c r="E94" s="1085"/>
      <c r="F94" s="1085"/>
      <c r="G94" s="1085"/>
      <c r="H94" s="1085"/>
      <c r="I94" s="1085"/>
      <c r="J94" s="1085"/>
      <c r="K94" s="1085"/>
      <c r="L94" s="1085"/>
      <c r="M94" s="1085"/>
      <c r="N94" s="1085"/>
      <c r="O94" s="1085"/>
      <c r="P94" s="1085"/>
      <c r="Q94" s="1085"/>
      <c r="R94" s="1085"/>
      <c r="S94" s="1085"/>
      <c r="T94" s="1085"/>
      <c r="U94" s="1085"/>
      <c r="V94" s="1085"/>
      <c r="W94" s="1085"/>
      <c r="X94" s="1085"/>
      <c r="Y94" s="1085"/>
      <c r="Z94" s="1085"/>
      <c r="AA94" s="1085"/>
      <c r="AB94" s="1085"/>
      <c r="AC94" s="1085"/>
      <c r="AD94" s="1085"/>
      <c r="AE94" s="1085"/>
      <c r="AF94" s="1085"/>
      <c r="AG94" s="1085"/>
      <c r="AH94" s="1085"/>
      <c r="AI94" s="1085"/>
      <c r="AJ94" s="1085"/>
      <c r="AK94" s="1085"/>
      <c r="AL94" s="1085"/>
      <c r="AM94" s="1085"/>
      <c r="AN94" s="1085"/>
      <c r="AO94" s="1085"/>
      <c r="AP94" s="1085"/>
      <c r="AQ94" s="1085"/>
      <c r="AR94" s="1085"/>
      <c r="AS94" s="1085"/>
      <c r="AT94" s="1085"/>
      <c r="AU94" s="1085"/>
      <c r="AV94" s="1085"/>
      <c r="AW94" s="1085"/>
      <c r="AX94" s="1085"/>
      <c r="AY94" s="1085"/>
      <c r="AZ94" s="1085"/>
      <c r="BA94" s="1085"/>
      <c r="BB94" s="1085"/>
      <c r="BC94" s="1085"/>
      <c r="BD94" s="1085"/>
      <c r="BE94" s="1085"/>
      <c r="BF94" s="1085"/>
      <c r="BG94" s="1085"/>
      <c r="BH94" s="1085"/>
      <c r="BI94" s="1085"/>
      <c r="BJ94" s="1085"/>
      <c r="BK94" s="1085"/>
      <c r="BL94" s="1085"/>
      <c r="BM94" s="1085"/>
      <c r="BN94" s="1085"/>
      <c r="BO94" s="1085"/>
      <c r="BP94" s="1085"/>
      <c r="BQ94" s="1085"/>
      <c r="BR94" s="1085"/>
      <c r="BS94" s="1085"/>
      <c r="BT94" s="1085"/>
      <c r="BU94" s="1085"/>
      <c r="BV94" s="1085"/>
      <c r="BW94" s="1085"/>
      <c r="BX94" s="1085"/>
      <c r="BY94" s="1085"/>
      <c r="BZ94" s="1085"/>
      <c r="CA94" s="1085"/>
      <c r="CB94" s="1085"/>
      <c r="CC94" s="1085"/>
      <c r="CD94" s="1085"/>
      <c r="CE94" s="1085"/>
      <c r="CF94" s="1085"/>
      <c r="CG94" s="1085"/>
      <c r="CH94" s="1085"/>
      <c r="CI94" s="1085"/>
      <c r="CJ94" s="1085"/>
      <c r="CK94" s="1085"/>
      <c r="CL94" s="1085"/>
      <c r="CM94" s="1085"/>
      <c r="CN94" s="1085"/>
      <c r="CO94" s="1085"/>
      <c r="CP94" s="1085"/>
      <c r="CQ94" s="1085"/>
      <c r="CR94" s="1085"/>
      <c r="CS94" s="1085"/>
      <c r="CT94" s="1085"/>
      <c r="CU94" s="1085"/>
      <c r="CV94" s="1085"/>
      <c r="CW94" s="1085"/>
      <c r="CX94" s="1085"/>
      <c r="CY94" s="1085"/>
    </row>
    <row r="95" spans="1:103" ht="16.2" customHeight="1">
      <c r="A95" s="1081"/>
      <c r="B95" s="1082">
        <f t="shared" si="1"/>
        <v>0</v>
      </c>
      <c r="C95" s="1083"/>
      <c r="D95" s="1084"/>
      <c r="E95" s="1085"/>
      <c r="F95" s="1085"/>
      <c r="G95" s="1085"/>
      <c r="H95" s="1085"/>
      <c r="I95" s="1085"/>
      <c r="J95" s="1085"/>
      <c r="K95" s="1085"/>
      <c r="L95" s="1085"/>
      <c r="M95" s="1085"/>
      <c r="N95" s="1085"/>
      <c r="O95" s="1085"/>
      <c r="P95" s="1085"/>
      <c r="Q95" s="1085"/>
      <c r="R95" s="1085"/>
      <c r="S95" s="1085"/>
      <c r="T95" s="1085"/>
      <c r="U95" s="1085"/>
      <c r="V95" s="1085"/>
      <c r="W95" s="1085"/>
      <c r="X95" s="1085"/>
      <c r="Y95" s="1085"/>
      <c r="Z95" s="1085"/>
      <c r="AA95" s="1085"/>
      <c r="AB95" s="1085"/>
      <c r="AC95" s="1085"/>
      <c r="AD95" s="1085"/>
      <c r="AE95" s="1085"/>
      <c r="AF95" s="1085"/>
      <c r="AG95" s="1085"/>
      <c r="AH95" s="1085"/>
      <c r="AI95" s="1085"/>
      <c r="AJ95" s="1085"/>
      <c r="AK95" s="1085"/>
      <c r="AL95" s="1085"/>
      <c r="AM95" s="1085"/>
      <c r="AN95" s="1085"/>
      <c r="AO95" s="1085"/>
      <c r="AP95" s="1085"/>
      <c r="AQ95" s="1085"/>
      <c r="AR95" s="1085"/>
      <c r="AS95" s="1085"/>
      <c r="AT95" s="1085"/>
      <c r="AU95" s="1085"/>
      <c r="AV95" s="1085"/>
      <c r="AW95" s="1085"/>
      <c r="AX95" s="1085"/>
      <c r="AY95" s="1085"/>
      <c r="AZ95" s="1085"/>
      <c r="BA95" s="1085"/>
      <c r="BB95" s="1085"/>
      <c r="BC95" s="1085"/>
      <c r="BD95" s="1085"/>
      <c r="BE95" s="1085"/>
      <c r="BF95" s="1085"/>
      <c r="BG95" s="1085"/>
      <c r="BH95" s="1085"/>
      <c r="BI95" s="1085"/>
      <c r="BJ95" s="1085"/>
      <c r="BK95" s="1085"/>
      <c r="BL95" s="1085"/>
      <c r="BM95" s="1085"/>
      <c r="BN95" s="1085"/>
      <c r="BO95" s="1085"/>
      <c r="BP95" s="1085"/>
      <c r="BQ95" s="1085"/>
      <c r="BR95" s="1085"/>
      <c r="BS95" s="1085"/>
      <c r="BT95" s="1085"/>
      <c r="BU95" s="1085"/>
      <c r="BV95" s="1085"/>
      <c r="BW95" s="1085"/>
      <c r="BX95" s="1085"/>
      <c r="BY95" s="1085"/>
      <c r="BZ95" s="1085"/>
      <c r="CA95" s="1085"/>
      <c r="CB95" s="1085"/>
      <c r="CC95" s="1085"/>
      <c r="CD95" s="1085"/>
      <c r="CE95" s="1085"/>
      <c r="CF95" s="1085"/>
      <c r="CG95" s="1085"/>
      <c r="CH95" s="1085"/>
      <c r="CI95" s="1085"/>
      <c r="CJ95" s="1085"/>
      <c r="CK95" s="1085"/>
      <c r="CL95" s="1085"/>
      <c r="CM95" s="1085"/>
      <c r="CN95" s="1085"/>
      <c r="CO95" s="1085"/>
      <c r="CP95" s="1085"/>
      <c r="CQ95" s="1085"/>
      <c r="CR95" s="1085"/>
      <c r="CS95" s="1085"/>
      <c r="CT95" s="1085"/>
      <c r="CU95" s="1085"/>
      <c r="CV95" s="1085"/>
      <c r="CW95" s="1085"/>
      <c r="CX95" s="1085"/>
      <c r="CY95" s="1085"/>
    </row>
    <row r="96" spans="1:103" ht="16.2" customHeight="1">
      <c r="A96" s="1081"/>
      <c r="B96" s="1082">
        <f t="shared" si="1"/>
        <v>0</v>
      </c>
      <c r="C96" s="1083"/>
      <c r="D96" s="1084"/>
      <c r="E96" s="1085"/>
      <c r="F96" s="1085"/>
      <c r="G96" s="1085"/>
      <c r="H96" s="1085"/>
      <c r="I96" s="1085"/>
      <c r="J96" s="1085"/>
      <c r="K96" s="1085"/>
      <c r="L96" s="1085"/>
      <c r="M96" s="1085"/>
      <c r="N96" s="1085"/>
      <c r="O96" s="1085"/>
      <c r="P96" s="1085"/>
      <c r="Q96" s="1085"/>
      <c r="R96" s="1085"/>
      <c r="S96" s="1085"/>
      <c r="T96" s="1085"/>
      <c r="U96" s="1085"/>
      <c r="V96" s="1085"/>
      <c r="W96" s="1085"/>
      <c r="X96" s="1085"/>
      <c r="Y96" s="1085"/>
      <c r="Z96" s="1085"/>
      <c r="AA96" s="1085"/>
      <c r="AB96" s="1085"/>
      <c r="AC96" s="1085"/>
      <c r="AD96" s="1085"/>
      <c r="AE96" s="1085"/>
      <c r="AF96" s="1085"/>
      <c r="AG96" s="1085"/>
      <c r="AH96" s="1085"/>
      <c r="AI96" s="1085"/>
      <c r="AJ96" s="1085"/>
      <c r="AK96" s="1085"/>
      <c r="AL96" s="1085"/>
      <c r="AM96" s="1085"/>
      <c r="AN96" s="1085"/>
      <c r="AO96" s="1085"/>
      <c r="AP96" s="1085"/>
      <c r="AQ96" s="1085"/>
      <c r="AR96" s="1085"/>
      <c r="AS96" s="1085"/>
      <c r="AT96" s="1085"/>
      <c r="AU96" s="1085"/>
      <c r="AV96" s="1085"/>
      <c r="AW96" s="1085"/>
      <c r="AX96" s="1085"/>
      <c r="AY96" s="1085"/>
      <c r="AZ96" s="1085"/>
      <c r="BA96" s="1085"/>
      <c r="BB96" s="1085"/>
      <c r="BC96" s="1085"/>
      <c r="BD96" s="1085"/>
      <c r="BE96" s="1085"/>
      <c r="BF96" s="1085"/>
      <c r="BG96" s="1085"/>
      <c r="BH96" s="1085"/>
      <c r="BI96" s="1085"/>
      <c r="BJ96" s="1085"/>
      <c r="BK96" s="1085"/>
      <c r="BL96" s="1085"/>
      <c r="BM96" s="1085"/>
      <c r="BN96" s="1085"/>
      <c r="BO96" s="1085"/>
      <c r="BP96" s="1085"/>
      <c r="BQ96" s="1085"/>
      <c r="BR96" s="1085"/>
      <c r="BS96" s="1085"/>
      <c r="BT96" s="1085"/>
      <c r="BU96" s="1085"/>
      <c r="BV96" s="1085"/>
      <c r="BW96" s="1085"/>
      <c r="BX96" s="1085"/>
      <c r="BY96" s="1085"/>
      <c r="BZ96" s="1085"/>
      <c r="CA96" s="1085"/>
      <c r="CB96" s="1085"/>
      <c r="CC96" s="1085"/>
      <c r="CD96" s="1085"/>
      <c r="CE96" s="1085"/>
      <c r="CF96" s="1085"/>
      <c r="CG96" s="1085"/>
      <c r="CH96" s="1085"/>
      <c r="CI96" s="1085"/>
      <c r="CJ96" s="1085"/>
      <c r="CK96" s="1085"/>
      <c r="CL96" s="1085"/>
      <c r="CM96" s="1085"/>
      <c r="CN96" s="1085"/>
      <c r="CO96" s="1085"/>
      <c r="CP96" s="1085"/>
      <c r="CQ96" s="1085"/>
      <c r="CR96" s="1085"/>
      <c r="CS96" s="1085"/>
      <c r="CT96" s="1085"/>
      <c r="CU96" s="1085"/>
      <c r="CV96" s="1085"/>
      <c r="CW96" s="1085"/>
      <c r="CX96" s="1085"/>
      <c r="CY96" s="1085"/>
    </row>
    <row r="97" spans="1:103" ht="16.2" customHeight="1">
      <c r="A97" s="1081"/>
      <c r="B97" s="1082">
        <f t="shared" si="1"/>
        <v>0</v>
      </c>
      <c r="C97" s="1083"/>
      <c r="D97" s="1084"/>
      <c r="E97" s="1085"/>
      <c r="F97" s="1085"/>
      <c r="G97" s="1085"/>
      <c r="H97" s="1085"/>
      <c r="I97" s="1085"/>
      <c r="J97" s="1085"/>
      <c r="K97" s="1085"/>
      <c r="L97" s="1085"/>
      <c r="M97" s="1085"/>
      <c r="N97" s="1085"/>
      <c r="O97" s="1085"/>
      <c r="P97" s="1085"/>
      <c r="Q97" s="1085"/>
      <c r="R97" s="1085"/>
      <c r="S97" s="1085"/>
      <c r="T97" s="1085"/>
      <c r="U97" s="1085"/>
      <c r="V97" s="1085"/>
      <c r="W97" s="1085"/>
      <c r="X97" s="1085"/>
      <c r="Y97" s="1085"/>
      <c r="Z97" s="1085"/>
      <c r="AA97" s="1085"/>
      <c r="AB97" s="1085"/>
      <c r="AC97" s="1085"/>
      <c r="AD97" s="1085"/>
      <c r="AE97" s="1085"/>
      <c r="AF97" s="1085"/>
      <c r="AG97" s="1085"/>
      <c r="AH97" s="1085"/>
      <c r="AI97" s="1085"/>
      <c r="AJ97" s="1085"/>
      <c r="AK97" s="1085"/>
      <c r="AL97" s="1085"/>
      <c r="AM97" s="1085"/>
      <c r="AN97" s="1085"/>
      <c r="AO97" s="1085"/>
      <c r="AP97" s="1085"/>
      <c r="AQ97" s="1085"/>
      <c r="AR97" s="1085"/>
      <c r="AS97" s="1085"/>
      <c r="AT97" s="1085"/>
      <c r="AU97" s="1085"/>
      <c r="AV97" s="1085"/>
      <c r="AW97" s="1085"/>
      <c r="AX97" s="1085"/>
      <c r="AY97" s="1085"/>
      <c r="AZ97" s="1085"/>
      <c r="BA97" s="1085"/>
      <c r="BB97" s="1085"/>
      <c r="BC97" s="1085"/>
      <c r="BD97" s="1085"/>
      <c r="BE97" s="1085"/>
      <c r="BF97" s="1085"/>
      <c r="BG97" s="1085"/>
      <c r="BH97" s="1085"/>
      <c r="BI97" s="1085"/>
      <c r="BJ97" s="1085"/>
      <c r="BK97" s="1085"/>
      <c r="BL97" s="1085"/>
      <c r="BM97" s="1085"/>
      <c r="BN97" s="1085"/>
      <c r="BO97" s="1085"/>
      <c r="BP97" s="1085"/>
      <c r="BQ97" s="1085"/>
      <c r="BR97" s="1085"/>
      <c r="BS97" s="1085"/>
      <c r="BT97" s="1085"/>
      <c r="BU97" s="1085"/>
      <c r="BV97" s="1085"/>
      <c r="BW97" s="1085"/>
      <c r="BX97" s="1085"/>
      <c r="BY97" s="1085"/>
      <c r="BZ97" s="1085"/>
      <c r="CA97" s="1085"/>
      <c r="CB97" s="1085"/>
      <c r="CC97" s="1085"/>
      <c r="CD97" s="1085"/>
      <c r="CE97" s="1085"/>
      <c r="CF97" s="1085"/>
      <c r="CG97" s="1085"/>
      <c r="CH97" s="1085"/>
      <c r="CI97" s="1085"/>
      <c r="CJ97" s="1085"/>
      <c r="CK97" s="1085"/>
      <c r="CL97" s="1085"/>
      <c r="CM97" s="1085"/>
      <c r="CN97" s="1085"/>
      <c r="CO97" s="1085"/>
      <c r="CP97" s="1085"/>
      <c r="CQ97" s="1085"/>
      <c r="CR97" s="1085"/>
      <c r="CS97" s="1085"/>
      <c r="CT97" s="1085"/>
      <c r="CU97" s="1085"/>
      <c r="CV97" s="1085"/>
      <c r="CW97" s="1085"/>
      <c r="CX97" s="1085"/>
      <c r="CY97" s="1085"/>
    </row>
    <row r="98" spans="1:103" ht="16.2" customHeight="1">
      <c r="A98" s="1081"/>
      <c r="B98" s="1082">
        <f t="shared" si="1"/>
        <v>0</v>
      </c>
      <c r="C98" s="1083"/>
      <c r="D98" s="1084"/>
      <c r="E98" s="1085"/>
      <c r="F98" s="1085"/>
      <c r="G98" s="1085"/>
      <c r="H98" s="1085"/>
      <c r="I98" s="1085"/>
      <c r="J98" s="1085"/>
      <c r="K98" s="1085"/>
      <c r="L98" s="1085"/>
      <c r="M98" s="1085"/>
      <c r="N98" s="1085"/>
      <c r="O98" s="1085"/>
      <c r="P98" s="1085"/>
      <c r="Q98" s="1085"/>
      <c r="R98" s="1085"/>
      <c r="S98" s="1085"/>
      <c r="T98" s="1085"/>
      <c r="U98" s="1085"/>
      <c r="V98" s="1085"/>
      <c r="W98" s="1085"/>
      <c r="X98" s="1085"/>
      <c r="Y98" s="1085"/>
      <c r="Z98" s="1085"/>
      <c r="AA98" s="1085"/>
      <c r="AB98" s="1085"/>
      <c r="AC98" s="1085"/>
      <c r="AD98" s="1085"/>
      <c r="AE98" s="1085"/>
      <c r="AF98" s="1085"/>
      <c r="AG98" s="1085"/>
      <c r="AH98" s="1085"/>
      <c r="AI98" s="1085"/>
      <c r="AJ98" s="1085"/>
      <c r="AK98" s="1085"/>
      <c r="AL98" s="1085"/>
      <c r="AM98" s="1085"/>
      <c r="AN98" s="1085"/>
      <c r="AO98" s="1085"/>
      <c r="AP98" s="1085"/>
      <c r="AQ98" s="1085"/>
      <c r="AR98" s="1085"/>
      <c r="AS98" s="1085"/>
      <c r="AT98" s="1085"/>
      <c r="AU98" s="1085"/>
      <c r="AV98" s="1085"/>
      <c r="AW98" s="1085"/>
      <c r="AX98" s="1085"/>
      <c r="AY98" s="1085"/>
      <c r="AZ98" s="1085"/>
      <c r="BA98" s="1085"/>
      <c r="BB98" s="1085"/>
      <c r="BC98" s="1085"/>
      <c r="BD98" s="1085"/>
      <c r="BE98" s="1085"/>
      <c r="BF98" s="1085"/>
      <c r="BG98" s="1085"/>
      <c r="BH98" s="1085"/>
      <c r="BI98" s="1085"/>
      <c r="BJ98" s="1085"/>
      <c r="BK98" s="1085"/>
      <c r="BL98" s="1085"/>
      <c r="BM98" s="1085"/>
      <c r="BN98" s="1085"/>
      <c r="BO98" s="1085"/>
      <c r="BP98" s="1085"/>
      <c r="BQ98" s="1085"/>
      <c r="BR98" s="1085"/>
      <c r="BS98" s="1085"/>
      <c r="BT98" s="1085"/>
      <c r="BU98" s="1085"/>
      <c r="BV98" s="1085"/>
      <c r="BW98" s="1085"/>
      <c r="BX98" s="1085"/>
      <c r="BY98" s="1085"/>
      <c r="BZ98" s="1085"/>
      <c r="CA98" s="1085"/>
      <c r="CB98" s="1085"/>
      <c r="CC98" s="1085"/>
      <c r="CD98" s="1085"/>
      <c r="CE98" s="1085"/>
      <c r="CF98" s="1085"/>
      <c r="CG98" s="1085"/>
      <c r="CH98" s="1085"/>
      <c r="CI98" s="1085"/>
      <c r="CJ98" s="1085"/>
      <c r="CK98" s="1085"/>
      <c r="CL98" s="1085"/>
      <c r="CM98" s="1085"/>
      <c r="CN98" s="1085"/>
      <c r="CO98" s="1085"/>
      <c r="CP98" s="1085"/>
      <c r="CQ98" s="1085"/>
      <c r="CR98" s="1085"/>
      <c r="CS98" s="1085"/>
      <c r="CT98" s="1085"/>
      <c r="CU98" s="1085"/>
      <c r="CV98" s="1085"/>
      <c r="CW98" s="1085"/>
      <c r="CX98" s="1085"/>
      <c r="CY98" s="1085"/>
    </row>
    <row r="99" spans="1:103" ht="16.2" customHeight="1">
      <c r="A99" s="1081"/>
      <c r="B99" s="1082">
        <f t="shared" si="1"/>
        <v>0</v>
      </c>
      <c r="C99" s="1083"/>
      <c r="D99" s="1084"/>
      <c r="E99" s="1085"/>
      <c r="F99" s="1085"/>
      <c r="G99" s="1085"/>
      <c r="H99" s="1085"/>
      <c r="I99" s="1085"/>
      <c r="J99" s="1085"/>
      <c r="K99" s="1085"/>
      <c r="L99" s="1085"/>
      <c r="M99" s="1085"/>
      <c r="N99" s="1085"/>
      <c r="O99" s="1085"/>
      <c r="P99" s="1085"/>
      <c r="Q99" s="1085"/>
      <c r="R99" s="1085"/>
      <c r="S99" s="1085"/>
      <c r="T99" s="1085"/>
      <c r="U99" s="1085"/>
      <c r="V99" s="1085"/>
      <c r="W99" s="1085"/>
      <c r="X99" s="1085"/>
      <c r="Y99" s="1085"/>
      <c r="Z99" s="1085"/>
      <c r="AA99" s="1085"/>
      <c r="AB99" s="1085"/>
      <c r="AC99" s="1085"/>
      <c r="AD99" s="1085"/>
      <c r="AE99" s="1085"/>
      <c r="AF99" s="1085"/>
      <c r="AG99" s="1085"/>
      <c r="AH99" s="1085"/>
      <c r="AI99" s="1085"/>
      <c r="AJ99" s="1085"/>
      <c r="AK99" s="1085"/>
      <c r="AL99" s="1085"/>
      <c r="AM99" s="1085"/>
      <c r="AN99" s="1085"/>
      <c r="AO99" s="1085"/>
      <c r="AP99" s="1085"/>
      <c r="AQ99" s="1085"/>
      <c r="AR99" s="1085"/>
      <c r="AS99" s="1085"/>
      <c r="AT99" s="1085"/>
      <c r="AU99" s="1085"/>
      <c r="AV99" s="1085"/>
      <c r="AW99" s="1085"/>
      <c r="AX99" s="1085"/>
      <c r="AY99" s="1085"/>
      <c r="AZ99" s="1085"/>
      <c r="BA99" s="1085"/>
      <c r="BB99" s="1085"/>
      <c r="BC99" s="1085"/>
      <c r="BD99" s="1085"/>
      <c r="BE99" s="1085"/>
      <c r="BF99" s="1085"/>
      <c r="BG99" s="1085"/>
      <c r="BH99" s="1085"/>
      <c r="BI99" s="1085"/>
      <c r="BJ99" s="1085"/>
      <c r="BK99" s="1085"/>
      <c r="BL99" s="1085"/>
      <c r="BM99" s="1085"/>
      <c r="BN99" s="1085"/>
      <c r="BO99" s="1085"/>
      <c r="BP99" s="1085"/>
      <c r="BQ99" s="1085"/>
      <c r="BR99" s="1085"/>
      <c r="BS99" s="1085"/>
      <c r="BT99" s="1085"/>
      <c r="BU99" s="1085"/>
      <c r="BV99" s="1085"/>
      <c r="BW99" s="1085"/>
      <c r="BX99" s="1085"/>
      <c r="BY99" s="1085"/>
      <c r="BZ99" s="1085"/>
      <c r="CA99" s="1085"/>
      <c r="CB99" s="1085"/>
      <c r="CC99" s="1085"/>
      <c r="CD99" s="1085"/>
      <c r="CE99" s="1085"/>
      <c r="CF99" s="1085"/>
      <c r="CG99" s="1085"/>
      <c r="CH99" s="1085"/>
      <c r="CI99" s="1085"/>
      <c r="CJ99" s="1085"/>
      <c r="CK99" s="1085"/>
      <c r="CL99" s="1085"/>
      <c r="CM99" s="1085"/>
      <c r="CN99" s="1085"/>
      <c r="CO99" s="1085"/>
      <c r="CP99" s="1085"/>
      <c r="CQ99" s="1085"/>
      <c r="CR99" s="1085"/>
      <c r="CS99" s="1085"/>
      <c r="CT99" s="1085"/>
      <c r="CU99" s="1085"/>
      <c r="CV99" s="1085"/>
      <c r="CW99" s="1085"/>
      <c r="CX99" s="1085"/>
      <c r="CY99" s="1085"/>
    </row>
    <row r="100" spans="1:103" ht="16.2" customHeight="1">
      <c r="A100" s="1081"/>
      <c r="B100" s="1082">
        <f t="shared" si="1"/>
        <v>0</v>
      </c>
      <c r="C100" s="1083"/>
      <c r="D100" s="1084"/>
      <c r="E100" s="1085"/>
      <c r="F100" s="1085"/>
      <c r="G100" s="1085"/>
      <c r="H100" s="1085"/>
      <c r="I100" s="1085"/>
      <c r="J100" s="1085"/>
      <c r="K100" s="1085"/>
      <c r="L100" s="1085"/>
      <c r="M100" s="1085"/>
      <c r="N100" s="1085"/>
      <c r="O100" s="1085"/>
      <c r="P100" s="1085"/>
      <c r="Q100" s="1085"/>
      <c r="R100" s="1085"/>
      <c r="S100" s="1085"/>
      <c r="T100" s="1085"/>
      <c r="U100" s="1085"/>
      <c r="V100" s="1085"/>
      <c r="W100" s="1085"/>
      <c r="X100" s="1085"/>
      <c r="Y100" s="1085"/>
      <c r="Z100" s="1085"/>
      <c r="AA100" s="1085"/>
      <c r="AB100" s="1085"/>
      <c r="AC100" s="1085"/>
      <c r="AD100" s="1085"/>
      <c r="AE100" s="1085"/>
      <c r="AF100" s="1085"/>
      <c r="AG100" s="1085"/>
      <c r="AH100" s="1085"/>
      <c r="AI100" s="1085"/>
      <c r="AJ100" s="1085"/>
      <c r="AK100" s="1085"/>
      <c r="AL100" s="1085"/>
      <c r="AM100" s="1085"/>
      <c r="AN100" s="1085"/>
      <c r="AO100" s="1085"/>
      <c r="AP100" s="1085"/>
      <c r="AQ100" s="1085"/>
      <c r="AR100" s="1085"/>
      <c r="AS100" s="1085"/>
      <c r="AT100" s="1085"/>
      <c r="AU100" s="1085"/>
      <c r="AV100" s="1085"/>
      <c r="AW100" s="1085"/>
      <c r="AX100" s="1085"/>
      <c r="AY100" s="1085"/>
      <c r="AZ100" s="1085"/>
      <c r="BA100" s="1085"/>
      <c r="BB100" s="1085"/>
      <c r="BC100" s="1085"/>
      <c r="BD100" s="1085"/>
      <c r="BE100" s="1085"/>
      <c r="BF100" s="1085"/>
      <c r="BG100" s="1085"/>
      <c r="BH100" s="1085"/>
      <c r="BI100" s="1085"/>
      <c r="BJ100" s="1085"/>
      <c r="BK100" s="1085"/>
      <c r="BL100" s="1085"/>
      <c r="BM100" s="1085"/>
      <c r="BN100" s="1085"/>
      <c r="BO100" s="1085"/>
      <c r="BP100" s="1085"/>
      <c r="BQ100" s="1085"/>
      <c r="BR100" s="1085"/>
      <c r="BS100" s="1085"/>
      <c r="BT100" s="1085"/>
      <c r="BU100" s="1085"/>
      <c r="BV100" s="1085"/>
      <c r="BW100" s="1085"/>
      <c r="BX100" s="1085"/>
      <c r="BY100" s="1085"/>
      <c r="BZ100" s="1085"/>
      <c r="CA100" s="1085"/>
      <c r="CB100" s="1085"/>
      <c r="CC100" s="1085"/>
      <c r="CD100" s="1085"/>
      <c r="CE100" s="1085"/>
      <c r="CF100" s="1085"/>
      <c r="CG100" s="1085"/>
      <c r="CH100" s="1085"/>
      <c r="CI100" s="1085"/>
      <c r="CJ100" s="1085"/>
      <c r="CK100" s="1085"/>
      <c r="CL100" s="1085"/>
      <c r="CM100" s="1085"/>
      <c r="CN100" s="1085"/>
      <c r="CO100" s="1085"/>
      <c r="CP100" s="1085"/>
      <c r="CQ100" s="1085"/>
      <c r="CR100" s="1085"/>
      <c r="CS100" s="1085"/>
      <c r="CT100" s="1085"/>
      <c r="CU100" s="1085"/>
      <c r="CV100" s="1085"/>
      <c r="CW100" s="1085"/>
      <c r="CX100" s="1085"/>
      <c r="CY100" s="1085"/>
    </row>
  </sheetData>
  <sheetProtection sheet="1" objects="1" scenarios="1" selectLockedCells="1"/>
  <mergeCells count="1">
    <mergeCell ref="B1:D1"/>
  </mergeCells>
  <phoneticPr fontId="18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V76"/>
  <sheetViews>
    <sheetView workbookViewId="0">
      <pane xSplit="1" topLeftCell="E1" activePane="topRight" state="frozen"/>
      <selection pane="topRight" activeCell="A2" sqref="A2"/>
    </sheetView>
  </sheetViews>
  <sheetFormatPr defaultColWidth="3" defaultRowHeight="110.25" customHeight="1"/>
  <cols>
    <col min="1" max="1" width="20.44140625" style="969" customWidth="1"/>
    <col min="2" max="232" width="3.109375" style="969" customWidth="1"/>
    <col min="233" max="233" width="3" style="969" customWidth="1"/>
    <col min="234" max="16384" width="3" style="969"/>
  </cols>
  <sheetData>
    <row r="1" spans="1:256" ht="15" customHeight="1">
      <c r="B1" s="969">
        <v>0</v>
      </c>
      <c r="C1" s="983">
        <v>1</v>
      </c>
      <c r="D1" s="983">
        <v>2</v>
      </c>
      <c r="E1" s="983">
        <v>3</v>
      </c>
      <c r="F1" s="983">
        <v>4</v>
      </c>
      <c r="G1" s="983">
        <v>5</v>
      </c>
      <c r="H1" s="983">
        <v>6</v>
      </c>
      <c r="I1" s="983">
        <v>7</v>
      </c>
      <c r="J1" s="983">
        <v>8</v>
      </c>
      <c r="K1" s="983">
        <v>9</v>
      </c>
      <c r="L1" s="983">
        <v>10</v>
      </c>
      <c r="M1" s="983">
        <v>11</v>
      </c>
      <c r="N1" s="983">
        <v>12</v>
      </c>
      <c r="O1" s="983">
        <v>13</v>
      </c>
      <c r="P1" s="983">
        <v>14</v>
      </c>
      <c r="Q1" s="983">
        <v>15</v>
      </c>
      <c r="R1" s="983">
        <v>16</v>
      </c>
      <c r="S1" s="983">
        <v>17</v>
      </c>
      <c r="T1" s="983">
        <v>18</v>
      </c>
      <c r="U1" s="983">
        <v>19</v>
      </c>
      <c r="V1" s="983">
        <v>20</v>
      </c>
      <c r="W1" s="983">
        <v>21</v>
      </c>
      <c r="X1" s="983">
        <v>22</v>
      </c>
      <c r="Y1" s="983">
        <v>23</v>
      </c>
      <c r="Z1" s="983">
        <v>24</v>
      </c>
      <c r="AA1" s="983">
        <v>25</v>
      </c>
      <c r="AB1" s="983">
        <v>26</v>
      </c>
      <c r="AC1" s="983">
        <v>27</v>
      </c>
      <c r="AD1" s="983">
        <v>28</v>
      </c>
      <c r="AE1" s="983">
        <v>29</v>
      </c>
      <c r="AF1" s="983">
        <v>30</v>
      </c>
      <c r="AG1" s="983">
        <v>31</v>
      </c>
      <c r="AH1" s="983">
        <v>32</v>
      </c>
      <c r="AI1" s="983">
        <v>33</v>
      </c>
      <c r="AJ1" s="983">
        <v>34</v>
      </c>
      <c r="AK1" s="983">
        <v>35</v>
      </c>
      <c r="AL1" s="983">
        <v>36</v>
      </c>
      <c r="AM1" s="983">
        <v>37</v>
      </c>
      <c r="AN1" s="983">
        <v>38</v>
      </c>
      <c r="AO1" s="983">
        <v>39</v>
      </c>
      <c r="AP1" s="983">
        <v>40</v>
      </c>
      <c r="AQ1" s="983">
        <v>41</v>
      </c>
      <c r="AR1" s="983">
        <v>42</v>
      </c>
      <c r="AS1" s="983">
        <v>43</v>
      </c>
      <c r="AT1" s="983">
        <v>44</v>
      </c>
      <c r="AU1" s="983">
        <v>45</v>
      </c>
      <c r="AV1" s="983">
        <v>46</v>
      </c>
      <c r="AW1" s="983">
        <v>47</v>
      </c>
      <c r="AX1" s="983">
        <v>48</v>
      </c>
      <c r="AY1" s="983">
        <v>49</v>
      </c>
      <c r="AZ1" s="983">
        <v>50</v>
      </c>
      <c r="BA1" s="983">
        <v>51</v>
      </c>
      <c r="BB1" s="983">
        <v>52</v>
      </c>
      <c r="BC1" s="983">
        <v>53</v>
      </c>
      <c r="BD1" s="983">
        <v>54</v>
      </c>
      <c r="BE1" s="983">
        <v>55</v>
      </c>
      <c r="BF1" s="983">
        <v>56</v>
      </c>
      <c r="BG1" s="983">
        <v>57</v>
      </c>
      <c r="BH1" s="983">
        <v>58</v>
      </c>
      <c r="BI1" s="983">
        <v>59</v>
      </c>
      <c r="BJ1" s="983">
        <v>60</v>
      </c>
      <c r="BK1" s="983">
        <v>61</v>
      </c>
      <c r="BL1" s="983">
        <v>62</v>
      </c>
      <c r="BM1" s="983">
        <v>63</v>
      </c>
      <c r="BN1" s="983">
        <v>64</v>
      </c>
      <c r="BO1" s="983">
        <v>65</v>
      </c>
      <c r="BP1" s="983">
        <v>66</v>
      </c>
      <c r="BQ1" s="983">
        <v>67</v>
      </c>
      <c r="BR1" s="983">
        <v>68</v>
      </c>
      <c r="BS1" s="983">
        <v>69</v>
      </c>
      <c r="BT1" s="983">
        <v>70</v>
      </c>
      <c r="BU1" s="983">
        <v>71</v>
      </c>
      <c r="BV1" s="983">
        <v>72</v>
      </c>
      <c r="BW1" s="983">
        <v>73</v>
      </c>
      <c r="BX1" s="983">
        <v>74</v>
      </c>
      <c r="BY1" s="983">
        <v>75</v>
      </c>
      <c r="BZ1" s="983">
        <v>76</v>
      </c>
      <c r="CA1" s="983">
        <v>77</v>
      </c>
      <c r="CB1" s="983">
        <v>78</v>
      </c>
      <c r="CC1" s="983">
        <v>79</v>
      </c>
      <c r="CD1" s="983">
        <v>80</v>
      </c>
      <c r="CE1" s="983">
        <v>81</v>
      </c>
      <c r="CF1" s="983">
        <v>82</v>
      </c>
      <c r="CG1" s="983">
        <v>83</v>
      </c>
      <c r="CH1" s="983">
        <v>84</v>
      </c>
      <c r="CI1" s="983">
        <v>85</v>
      </c>
      <c r="CJ1" s="983">
        <v>86</v>
      </c>
      <c r="CK1" s="983">
        <v>87</v>
      </c>
      <c r="CL1" s="983">
        <v>88</v>
      </c>
      <c r="CM1" s="983">
        <v>89</v>
      </c>
      <c r="CN1" s="983">
        <v>90</v>
      </c>
      <c r="CO1" s="983">
        <v>91</v>
      </c>
      <c r="CP1" s="983">
        <v>92</v>
      </c>
      <c r="CQ1" s="983">
        <v>93</v>
      </c>
      <c r="CR1" s="983">
        <v>94</v>
      </c>
      <c r="CS1" s="983">
        <v>95</v>
      </c>
      <c r="CT1" s="983">
        <v>96</v>
      </c>
      <c r="CU1" s="983">
        <v>97</v>
      </c>
      <c r="CV1" s="983">
        <v>98</v>
      </c>
      <c r="CW1" s="983">
        <v>99</v>
      </c>
      <c r="CX1" s="983">
        <v>100</v>
      </c>
      <c r="CY1" s="983">
        <v>101</v>
      </c>
      <c r="CZ1" s="983">
        <v>102</v>
      </c>
      <c r="DA1" s="983">
        <v>103</v>
      </c>
      <c r="DB1" s="983">
        <v>104</v>
      </c>
      <c r="DC1" s="983">
        <v>105</v>
      </c>
      <c r="DD1" s="983">
        <v>106</v>
      </c>
      <c r="DE1" s="983">
        <v>107</v>
      </c>
      <c r="DF1" s="983">
        <v>108</v>
      </c>
      <c r="DG1" s="983">
        <v>109</v>
      </c>
      <c r="DH1" s="983">
        <v>110</v>
      </c>
      <c r="DI1" s="983">
        <v>111</v>
      </c>
      <c r="DJ1" s="983">
        <v>112</v>
      </c>
      <c r="DK1" s="983">
        <v>113</v>
      </c>
      <c r="DL1" s="983">
        <v>114</v>
      </c>
      <c r="DM1" s="983">
        <v>115</v>
      </c>
      <c r="DN1" s="983">
        <v>116</v>
      </c>
      <c r="DO1" s="983">
        <v>117</v>
      </c>
      <c r="DP1" s="983">
        <v>118</v>
      </c>
      <c r="DQ1" s="983">
        <v>119</v>
      </c>
      <c r="DR1" s="983">
        <v>120</v>
      </c>
      <c r="DS1" s="983">
        <v>121</v>
      </c>
      <c r="DT1" s="983">
        <v>122</v>
      </c>
      <c r="DU1" s="983">
        <v>123</v>
      </c>
      <c r="DV1" s="983">
        <v>124</v>
      </c>
      <c r="DW1" s="983">
        <v>125</v>
      </c>
      <c r="DX1" s="983">
        <v>126</v>
      </c>
      <c r="DY1" s="983">
        <v>127</v>
      </c>
      <c r="DZ1" s="983">
        <v>128</v>
      </c>
      <c r="EA1" s="983">
        <v>129</v>
      </c>
      <c r="EB1" s="983">
        <v>130</v>
      </c>
      <c r="EC1" s="983">
        <v>131</v>
      </c>
      <c r="ED1" s="983">
        <v>132</v>
      </c>
      <c r="EE1" s="983">
        <v>133</v>
      </c>
      <c r="EF1" s="983">
        <v>134</v>
      </c>
      <c r="EG1" s="983">
        <v>135</v>
      </c>
      <c r="EH1" s="983">
        <v>136</v>
      </c>
      <c r="EI1" s="983">
        <v>137</v>
      </c>
      <c r="EJ1" s="983">
        <v>138</v>
      </c>
      <c r="EK1" s="983">
        <v>139</v>
      </c>
      <c r="EL1" s="983">
        <v>140</v>
      </c>
      <c r="EM1" s="983">
        <v>141</v>
      </c>
      <c r="EN1" s="983">
        <v>142</v>
      </c>
      <c r="EO1" s="983">
        <v>143</v>
      </c>
      <c r="EP1" s="983">
        <v>144</v>
      </c>
      <c r="EQ1" s="983">
        <v>145</v>
      </c>
      <c r="ER1" s="983">
        <v>146</v>
      </c>
      <c r="ES1" s="983">
        <v>147</v>
      </c>
      <c r="ET1" s="983">
        <v>148</v>
      </c>
      <c r="EU1" s="983">
        <v>149</v>
      </c>
      <c r="EV1" s="983">
        <v>150</v>
      </c>
      <c r="EW1" s="983">
        <v>151</v>
      </c>
      <c r="EX1" s="983">
        <v>152</v>
      </c>
      <c r="EY1" s="983">
        <v>153</v>
      </c>
      <c r="EZ1" s="983">
        <v>154</v>
      </c>
      <c r="FA1" s="983">
        <v>155</v>
      </c>
      <c r="FB1" s="983">
        <v>156</v>
      </c>
      <c r="FC1" s="983">
        <v>157</v>
      </c>
      <c r="FD1" s="983">
        <v>158</v>
      </c>
      <c r="FE1" s="983">
        <v>159</v>
      </c>
      <c r="FF1" s="983">
        <v>160</v>
      </c>
      <c r="FG1" s="983">
        <v>161</v>
      </c>
      <c r="FH1" s="983">
        <v>162</v>
      </c>
      <c r="FI1" s="983">
        <v>163</v>
      </c>
      <c r="FJ1" s="983">
        <v>164</v>
      </c>
      <c r="FK1" s="983">
        <v>165</v>
      </c>
      <c r="FL1" s="983">
        <v>166</v>
      </c>
      <c r="FM1" s="983">
        <v>167</v>
      </c>
      <c r="FN1" s="983">
        <v>168</v>
      </c>
      <c r="FO1" s="983">
        <v>169</v>
      </c>
      <c r="FP1" s="983">
        <v>170</v>
      </c>
      <c r="FQ1" s="983">
        <v>171</v>
      </c>
      <c r="FR1" s="983">
        <v>172</v>
      </c>
      <c r="FS1" s="983">
        <v>173</v>
      </c>
      <c r="FT1" s="983">
        <v>174</v>
      </c>
      <c r="FU1" s="983">
        <v>175</v>
      </c>
      <c r="FV1" s="983">
        <v>176</v>
      </c>
      <c r="FW1" s="983">
        <v>177</v>
      </c>
      <c r="FX1" s="983">
        <v>178</v>
      </c>
      <c r="FY1" s="983">
        <v>179</v>
      </c>
      <c r="FZ1" s="983">
        <v>180</v>
      </c>
      <c r="GA1" s="983">
        <v>181</v>
      </c>
      <c r="GB1" s="983">
        <v>182</v>
      </c>
      <c r="GC1" s="983">
        <v>183</v>
      </c>
      <c r="GD1" s="983">
        <v>184</v>
      </c>
      <c r="GE1" s="983">
        <v>185</v>
      </c>
      <c r="GF1" s="983">
        <v>186</v>
      </c>
      <c r="GG1" s="983">
        <v>187</v>
      </c>
      <c r="GH1" s="983">
        <v>188</v>
      </c>
      <c r="GI1" s="983">
        <v>189</v>
      </c>
      <c r="GJ1" s="983">
        <v>190</v>
      </c>
      <c r="GK1" s="983">
        <v>191</v>
      </c>
      <c r="GL1" s="983">
        <v>192</v>
      </c>
      <c r="GM1" s="983">
        <v>193</v>
      </c>
      <c r="GN1" s="983">
        <v>194</v>
      </c>
      <c r="GO1" s="983">
        <v>195</v>
      </c>
      <c r="GP1" s="983">
        <v>196</v>
      </c>
      <c r="GQ1" s="983">
        <v>197</v>
      </c>
      <c r="GR1" s="983">
        <v>198</v>
      </c>
      <c r="GS1" s="983">
        <v>199</v>
      </c>
      <c r="GT1" s="983">
        <v>200</v>
      </c>
      <c r="GU1" s="983">
        <v>201</v>
      </c>
      <c r="GV1" s="983">
        <v>202</v>
      </c>
      <c r="GW1" s="983">
        <v>203</v>
      </c>
      <c r="GX1" s="983">
        <v>204</v>
      </c>
      <c r="GY1" s="1047">
        <v>205</v>
      </c>
      <c r="GZ1" s="1047">
        <v>206</v>
      </c>
      <c r="HA1" s="1047">
        <v>207</v>
      </c>
      <c r="HB1" s="1047">
        <v>208</v>
      </c>
      <c r="HC1" s="1047">
        <v>209</v>
      </c>
      <c r="HD1" s="1047">
        <v>210</v>
      </c>
      <c r="HE1" s="1047">
        <v>211</v>
      </c>
      <c r="HF1" s="1047">
        <v>212</v>
      </c>
      <c r="HG1" s="1047">
        <v>213</v>
      </c>
      <c r="HH1" s="1047">
        <v>214</v>
      </c>
      <c r="HI1" s="1047">
        <v>215</v>
      </c>
      <c r="HJ1" s="1047">
        <v>216</v>
      </c>
      <c r="HK1" s="1047">
        <v>217</v>
      </c>
      <c r="HL1" s="1047">
        <v>218</v>
      </c>
      <c r="HM1" s="1047">
        <v>219</v>
      </c>
      <c r="HN1" s="1047">
        <v>220</v>
      </c>
      <c r="HO1" s="1047">
        <v>221</v>
      </c>
      <c r="HP1" s="1047">
        <v>222</v>
      </c>
      <c r="HQ1" s="1047">
        <v>223</v>
      </c>
      <c r="HR1" s="1047">
        <v>224</v>
      </c>
      <c r="HS1" s="1047">
        <v>225</v>
      </c>
      <c r="HT1" s="1047">
        <v>226</v>
      </c>
      <c r="HU1" s="1047">
        <v>227</v>
      </c>
      <c r="HV1" s="1047">
        <v>228</v>
      </c>
      <c r="HW1" s="1047">
        <v>229</v>
      </c>
      <c r="HX1" s="1047">
        <v>230</v>
      </c>
    </row>
    <row r="2" spans="1:256" s="970" customFormat="1" ht="148.05000000000001" customHeight="1">
      <c r="C2" s="970" t="s">
        <v>1368</v>
      </c>
      <c r="D2" s="970" t="s">
        <v>443</v>
      </c>
      <c r="E2" s="970" t="s">
        <v>449</v>
      </c>
      <c r="F2" s="970" t="s">
        <v>455</v>
      </c>
      <c r="G2" s="970" t="s">
        <v>461</v>
      </c>
      <c r="H2" s="970" t="s">
        <v>1369</v>
      </c>
      <c r="I2" s="970" t="s">
        <v>471</v>
      </c>
      <c r="J2" s="970" t="s">
        <v>477</v>
      </c>
      <c r="K2" s="970" t="s">
        <v>483</v>
      </c>
      <c r="L2" s="970" t="s">
        <v>488</v>
      </c>
      <c r="M2" s="970" t="s">
        <v>493</v>
      </c>
      <c r="N2" s="970" t="s">
        <v>498</v>
      </c>
      <c r="O2" s="970" t="s">
        <v>505</v>
      </c>
      <c r="P2" s="970" t="s">
        <v>511</v>
      </c>
      <c r="Q2" s="970" t="s">
        <v>516</v>
      </c>
      <c r="R2" s="970" t="s">
        <v>521</v>
      </c>
      <c r="S2" s="970" t="s">
        <v>526</v>
      </c>
      <c r="T2" s="970" t="s">
        <v>531</v>
      </c>
      <c r="U2" s="970" t="s">
        <v>536</v>
      </c>
      <c r="V2" s="970" t="s">
        <v>542</v>
      </c>
      <c r="W2" s="970" t="s">
        <v>546</v>
      </c>
      <c r="X2" s="970" t="s">
        <v>552</v>
      </c>
      <c r="Y2" s="970" t="s">
        <v>555</v>
      </c>
      <c r="Z2" s="970" t="s">
        <v>560</v>
      </c>
      <c r="AA2" s="970" t="s">
        <v>565</v>
      </c>
      <c r="AB2" s="970" t="s">
        <v>569</v>
      </c>
      <c r="AC2" s="970" t="s">
        <v>573</v>
      </c>
      <c r="AD2" s="970" t="s">
        <v>578</v>
      </c>
      <c r="AE2" s="970" t="s">
        <v>583</v>
      </c>
      <c r="AF2" s="970" t="s">
        <v>589</v>
      </c>
      <c r="AG2" s="970" t="s">
        <v>595</v>
      </c>
      <c r="AH2" s="970" t="s">
        <v>600</v>
      </c>
      <c r="AI2" s="970" t="s">
        <v>606</v>
      </c>
      <c r="AJ2" s="970" t="s">
        <v>611</v>
      </c>
      <c r="AK2" s="970" t="s">
        <v>616</v>
      </c>
      <c r="AL2" s="970" t="s">
        <v>620</v>
      </c>
      <c r="AM2" s="970" t="s">
        <v>625</v>
      </c>
      <c r="AN2" s="970" t="s">
        <v>630</v>
      </c>
      <c r="AO2" s="970" t="s">
        <v>635</v>
      </c>
      <c r="AP2" s="970" t="s">
        <v>639</v>
      </c>
      <c r="AQ2" s="970" t="s">
        <v>643</v>
      </c>
      <c r="AR2" s="970" t="s">
        <v>647</v>
      </c>
      <c r="AS2" s="970" t="s">
        <v>652</v>
      </c>
      <c r="AT2" s="970" t="s">
        <v>656</v>
      </c>
      <c r="AU2" s="970" t="s">
        <v>661</v>
      </c>
      <c r="AV2" s="970" t="s">
        <v>667</v>
      </c>
      <c r="AW2" s="970" t="s">
        <v>671</v>
      </c>
      <c r="AX2" s="970" t="s">
        <v>675</v>
      </c>
      <c r="AY2" s="970" t="s">
        <v>679</v>
      </c>
      <c r="AZ2" s="970" t="s">
        <v>684</v>
      </c>
      <c r="BA2" s="970" t="s">
        <v>689</v>
      </c>
      <c r="BB2" s="970" t="s">
        <v>693</v>
      </c>
      <c r="BC2" s="970" t="s">
        <v>697</v>
      </c>
      <c r="BD2" s="970" t="s">
        <v>702</v>
      </c>
      <c r="BE2" s="970" t="s">
        <v>706</v>
      </c>
      <c r="BF2" s="970" t="s">
        <v>710</v>
      </c>
      <c r="BG2" s="970" t="s">
        <v>714</v>
      </c>
      <c r="BH2" s="970" t="s">
        <v>718</v>
      </c>
      <c r="BI2" s="970" t="s">
        <v>723</v>
      </c>
      <c r="BJ2" s="970" t="s">
        <v>729</v>
      </c>
      <c r="BK2" s="970" t="s">
        <v>734</v>
      </c>
      <c r="BL2" s="970" t="s">
        <v>737</v>
      </c>
      <c r="BM2" s="970" t="s">
        <v>742</v>
      </c>
      <c r="BN2" s="970" t="s">
        <v>747</v>
      </c>
      <c r="BO2" s="970" t="s">
        <v>753</v>
      </c>
      <c r="BP2" s="970" t="s">
        <v>757</v>
      </c>
      <c r="BQ2" s="970" t="s">
        <v>761</v>
      </c>
      <c r="BR2" s="970" t="s">
        <v>766</v>
      </c>
      <c r="BS2" s="970" t="s">
        <v>1370</v>
      </c>
      <c r="BT2" s="970" t="s">
        <v>774</v>
      </c>
      <c r="BU2" s="970" t="s">
        <v>777</v>
      </c>
      <c r="BV2" s="970" t="s">
        <v>780</v>
      </c>
      <c r="BW2" s="970" t="s">
        <v>784</v>
      </c>
      <c r="BX2" s="970" t="s">
        <v>789</v>
      </c>
      <c r="BY2" s="970" t="s">
        <v>793</v>
      </c>
      <c r="BZ2" s="970" t="s">
        <v>798</v>
      </c>
      <c r="CA2" s="970" t="s">
        <v>803</v>
      </c>
      <c r="CB2" s="970" t="s">
        <v>807</v>
      </c>
      <c r="CC2" s="970" t="s">
        <v>16</v>
      </c>
      <c r="CD2" s="970" t="s">
        <v>815</v>
      </c>
      <c r="CE2" s="970" t="s">
        <v>819</v>
      </c>
      <c r="CF2" s="970" t="s">
        <v>824</v>
      </c>
      <c r="CG2" s="970" t="s">
        <v>829</v>
      </c>
      <c r="CH2" s="970" t="s">
        <v>833</v>
      </c>
      <c r="CI2" s="970" t="s">
        <v>838</v>
      </c>
      <c r="CJ2" s="970" t="s">
        <v>842</v>
      </c>
      <c r="CK2" s="970" t="s">
        <v>845</v>
      </c>
      <c r="CL2" s="970" t="s">
        <v>849</v>
      </c>
      <c r="CM2" s="970" t="s">
        <v>853</v>
      </c>
      <c r="CN2" s="970" t="s">
        <v>857</v>
      </c>
      <c r="CO2" s="970" t="s">
        <v>861</v>
      </c>
      <c r="CP2" s="970" t="s">
        <v>865</v>
      </c>
      <c r="CQ2" s="970" t="s">
        <v>869</v>
      </c>
      <c r="CR2" s="970" t="s">
        <v>874</v>
      </c>
      <c r="CS2" s="970" t="s">
        <v>879</v>
      </c>
      <c r="CT2" s="970" t="s">
        <v>883</v>
      </c>
      <c r="CU2" s="970" t="s">
        <v>887</v>
      </c>
      <c r="CV2" s="970" t="s">
        <v>891</v>
      </c>
      <c r="CW2" s="970" t="s">
        <v>895</v>
      </c>
      <c r="CX2" s="970" t="s">
        <v>899</v>
      </c>
      <c r="CY2" s="970" t="s">
        <v>903</v>
      </c>
      <c r="CZ2" s="970" t="s">
        <v>907</v>
      </c>
      <c r="DA2" s="970" t="s">
        <v>912</v>
      </c>
      <c r="DB2" s="970" t="s">
        <v>916</v>
      </c>
      <c r="DC2" s="970" t="s">
        <v>919</v>
      </c>
      <c r="DD2" s="970" t="s">
        <v>923</v>
      </c>
      <c r="DE2" s="970" t="s">
        <v>928</v>
      </c>
      <c r="DF2" s="970" t="s">
        <v>933</v>
      </c>
      <c r="DG2" s="970" t="s">
        <v>938</v>
      </c>
      <c r="DH2" s="970" t="s">
        <v>942</v>
      </c>
      <c r="DI2" s="970" t="s">
        <v>946</v>
      </c>
      <c r="DJ2" s="970" t="s">
        <v>950</v>
      </c>
      <c r="DK2" s="970" t="s">
        <v>954</v>
      </c>
      <c r="DL2" s="970" t="s">
        <v>959</v>
      </c>
      <c r="DM2" s="970" t="s">
        <v>963</v>
      </c>
      <c r="DN2" s="970" t="s">
        <v>967</v>
      </c>
      <c r="DO2" s="970" t="s">
        <v>972</v>
      </c>
      <c r="DP2" s="970" t="s">
        <v>974</v>
      </c>
      <c r="DQ2" s="970" t="s">
        <v>979</v>
      </c>
      <c r="DR2" s="970" t="s">
        <v>982</v>
      </c>
      <c r="DS2" s="970" t="s">
        <v>985</v>
      </c>
      <c r="DT2" s="970" t="s">
        <v>988</v>
      </c>
      <c r="DU2" s="970" t="s">
        <v>992</v>
      </c>
      <c r="DV2" s="970" t="s">
        <v>995</v>
      </c>
      <c r="DW2" s="970" t="s">
        <v>996</v>
      </c>
      <c r="DX2" s="970" t="s">
        <v>999</v>
      </c>
      <c r="DY2" s="970" t="s">
        <v>1002</v>
      </c>
      <c r="DZ2" s="970" t="s">
        <v>1005</v>
      </c>
      <c r="EA2" s="970" t="s">
        <v>1008</v>
      </c>
      <c r="EB2" s="970" t="s">
        <v>1011</v>
      </c>
      <c r="EC2" s="970" t="s">
        <v>1014</v>
      </c>
      <c r="ED2" s="970" t="s">
        <v>1017</v>
      </c>
      <c r="EE2" s="970" t="s">
        <v>1020</v>
      </c>
      <c r="EF2" s="970" t="s">
        <v>1021</v>
      </c>
      <c r="EG2" s="970" t="s">
        <v>1022</v>
      </c>
      <c r="EH2" s="970" t="s">
        <v>1023</v>
      </c>
      <c r="EI2" s="970" t="s">
        <v>1025</v>
      </c>
      <c r="EJ2" s="970" t="s">
        <v>1028</v>
      </c>
      <c r="EK2" s="970" t="s">
        <v>1031</v>
      </c>
      <c r="EL2" s="970" t="s">
        <v>1371</v>
      </c>
      <c r="EM2" s="970" t="s">
        <v>1037</v>
      </c>
      <c r="EN2" s="970" t="s">
        <v>1040</v>
      </c>
      <c r="EO2" s="970" t="s">
        <v>1044</v>
      </c>
      <c r="EP2" s="970" t="s">
        <v>1372</v>
      </c>
      <c r="EQ2" s="970" t="s">
        <v>1050</v>
      </c>
      <c r="ER2" s="970" t="s">
        <v>1053</v>
      </c>
      <c r="ES2" s="970" t="s">
        <v>1055</v>
      </c>
      <c r="ET2" s="970" t="s">
        <v>1057</v>
      </c>
      <c r="EU2" s="970" t="s">
        <v>1060</v>
      </c>
      <c r="EV2" s="970" t="s">
        <v>1063</v>
      </c>
      <c r="EW2" s="970" t="s">
        <v>1067</v>
      </c>
      <c r="EX2" s="970" t="s">
        <v>1070</v>
      </c>
      <c r="EY2" s="970" t="s">
        <v>1073</v>
      </c>
      <c r="EZ2" s="970" t="s">
        <v>1076</v>
      </c>
      <c r="FA2" s="970" t="s">
        <v>1079</v>
      </c>
      <c r="FB2" s="970" t="s">
        <v>1084</v>
      </c>
      <c r="FC2" s="970" t="s">
        <v>1089</v>
      </c>
      <c r="FD2" s="970" t="s">
        <v>1096</v>
      </c>
      <c r="FE2" s="970" t="s">
        <v>1100</v>
      </c>
      <c r="FF2" s="970" t="s">
        <v>1105</v>
      </c>
      <c r="FG2" s="970" t="s">
        <v>1109</v>
      </c>
      <c r="FH2" s="970" t="s">
        <v>1112</v>
      </c>
      <c r="FI2" s="970" t="s">
        <v>1116</v>
      </c>
      <c r="FJ2" s="970" t="s">
        <v>1120</v>
      </c>
      <c r="FK2" s="970" t="s">
        <v>1123</v>
      </c>
      <c r="FL2" s="970" t="s">
        <v>1125</v>
      </c>
      <c r="FM2" s="970" t="s">
        <v>1127</v>
      </c>
      <c r="FN2" s="970" t="s">
        <v>1131</v>
      </c>
      <c r="FO2" s="970" t="s">
        <v>1134</v>
      </c>
      <c r="FP2" s="970" t="s">
        <v>1137</v>
      </c>
      <c r="FQ2" s="970" t="s">
        <v>1142</v>
      </c>
      <c r="FR2" s="970" t="s">
        <v>1145</v>
      </c>
      <c r="FS2" s="970" t="s">
        <v>1148</v>
      </c>
      <c r="FT2" s="970" t="s">
        <v>1151</v>
      </c>
      <c r="FU2" s="970" t="s">
        <v>1155</v>
      </c>
      <c r="FV2" s="970" t="s">
        <v>1157</v>
      </c>
      <c r="FW2" s="970" t="s">
        <v>1159</v>
      </c>
      <c r="FX2" s="970" t="s">
        <v>1160</v>
      </c>
      <c r="FY2" s="970" t="s">
        <v>1163</v>
      </c>
      <c r="FZ2" s="970" t="s">
        <v>1164</v>
      </c>
      <c r="GA2" s="970" t="s">
        <v>1166</v>
      </c>
      <c r="GB2" s="970" t="s">
        <v>1168</v>
      </c>
      <c r="GC2" s="970" t="s">
        <v>1170</v>
      </c>
      <c r="GD2" s="970" t="s">
        <v>1171</v>
      </c>
      <c r="GE2" s="970" t="s">
        <v>1172</v>
      </c>
      <c r="GF2" s="970" t="s">
        <v>1174</v>
      </c>
      <c r="GG2" s="970" t="s">
        <v>1175</v>
      </c>
      <c r="GH2" s="970" t="s">
        <v>1177</v>
      </c>
      <c r="GI2" s="970" t="s">
        <v>1179</v>
      </c>
      <c r="GJ2" s="970" t="s">
        <v>1181</v>
      </c>
      <c r="GK2" s="970" t="s">
        <v>1183</v>
      </c>
      <c r="GL2" s="970" t="s">
        <v>1184</v>
      </c>
      <c r="GM2" s="970" t="s">
        <v>1185</v>
      </c>
      <c r="GN2" s="970" t="s">
        <v>1186</v>
      </c>
      <c r="GO2" s="970" t="s">
        <v>1188</v>
      </c>
      <c r="GP2" s="970" t="s">
        <v>1190</v>
      </c>
      <c r="GQ2" s="970" t="s">
        <v>1192</v>
      </c>
      <c r="GR2" s="970" t="s">
        <v>1195</v>
      </c>
      <c r="GS2" s="970" t="s">
        <v>1196</v>
      </c>
      <c r="GT2" s="970" t="s">
        <v>1198</v>
      </c>
      <c r="GU2" s="970" t="s">
        <v>1200</v>
      </c>
      <c r="GV2" s="970" t="s">
        <v>1201</v>
      </c>
      <c r="GW2" s="970" t="s">
        <v>1204</v>
      </c>
      <c r="GX2" s="970" t="s">
        <v>1206</v>
      </c>
      <c r="GY2" s="970" t="s">
        <v>1208</v>
      </c>
      <c r="GZ2" s="970" t="s">
        <v>1212</v>
      </c>
      <c r="HA2" s="970" t="s">
        <v>1214</v>
      </c>
      <c r="HB2" s="970" t="s">
        <v>505</v>
      </c>
      <c r="HC2" s="970" t="s">
        <v>1218</v>
      </c>
      <c r="HD2" s="970" t="s">
        <v>1220</v>
      </c>
      <c r="HE2" s="970" t="s">
        <v>1222</v>
      </c>
      <c r="HF2" s="970" t="s">
        <v>1225</v>
      </c>
      <c r="HG2" s="970" t="s">
        <v>573</v>
      </c>
      <c r="HH2" s="970" t="s">
        <v>1229</v>
      </c>
      <c r="HI2" s="970" t="s">
        <v>1231</v>
      </c>
      <c r="HJ2" s="970" t="s">
        <v>693</v>
      </c>
      <c r="HK2" s="970" t="s">
        <v>1234</v>
      </c>
      <c r="HL2" s="970" t="s">
        <v>1237</v>
      </c>
      <c r="HM2" s="970" t="s">
        <v>861</v>
      </c>
      <c r="HN2" s="970" t="s">
        <v>1241</v>
      </c>
      <c r="HO2" s="970" t="s">
        <v>1243</v>
      </c>
      <c r="HP2" s="970" t="s">
        <v>780</v>
      </c>
      <c r="HQ2" s="970" t="s">
        <v>1246</v>
      </c>
      <c r="HR2" s="970" t="s">
        <v>1248</v>
      </c>
      <c r="HS2" s="970" t="s">
        <v>1250</v>
      </c>
      <c r="HT2" s="970" t="s">
        <v>903</v>
      </c>
      <c r="HU2" s="970" t="s">
        <v>1253</v>
      </c>
      <c r="HV2" s="970" t="s">
        <v>1255</v>
      </c>
      <c r="HW2" s="970" t="s">
        <v>1257</v>
      </c>
      <c r="HX2" s="970" t="s">
        <v>1259</v>
      </c>
      <c r="HY2" s="1056"/>
      <c r="HZ2" s="1056"/>
      <c r="IA2" s="1056"/>
      <c r="IB2" s="1056"/>
      <c r="IC2" s="1056"/>
      <c r="ID2" s="1056"/>
      <c r="IE2" s="1056"/>
      <c r="IF2" s="1056"/>
      <c r="IG2" s="1056"/>
      <c r="IH2" s="1056"/>
      <c r="II2" s="1056"/>
      <c r="IJ2" s="1056"/>
      <c r="IK2" s="1056"/>
      <c r="IL2" s="1056"/>
      <c r="IM2" s="1056"/>
      <c r="IN2" s="1056"/>
      <c r="IO2" s="1056"/>
      <c r="IP2" s="1056"/>
      <c r="IQ2" s="1056"/>
      <c r="IR2" s="1056"/>
      <c r="IS2" s="1056"/>
      <c r="IT2" s="1056"/>
      <c r="IU2" s="1056"/>
      <c r="IV2" s="1056"/>
    </row>
    <row r="3" spans="1:256" s="971" customFormat="1" ht="19.95" customHeight="1">
      <c r="A3" s="984" t="s">
        <v>1373</v>
      </c>
      <c r="B3" s="985"/>
      <c r="C3" s="985"/>
      <c r="D3" s="985"/>
      <c r="E3" s="985"/>
      <c r="F3" s="985"/>
      <c r="G3" s="985"/>
      <c r="H3" s="985"/>
      <c r="I3" s="985"/>
      <c r="J3" s="985"/>
      <c r="K3" s="985"/>
      <c r="L3" s="985"/>
      <c r="M3" s="985">
        <v>1</v>
      </c>
      <c r="N3" s="985">
        <v>1</v>
      </c>
      <c r="O3" s="985">
        <v>1</v>
      </c>
      <c r="P3" s="985"/>
      <c r="Q3" s="985"/>
      <c r="R3" s="985">
        <v>1</v>
      </c>
      <c r="S3" s="985"/>
      <c r="T3" s="985">
        <v>1</v>
      </c>
      <c r="U3" s="985"/>
      <c r="V3" s="985">
        <v>1</v>
      </c>
      <c r="W3" s="985"/>
      <c r="X3" s="985">
        <v>1</v>
      </c>
      <c r="Y3" s="985"/>
      <c r="Z3" s="985"/>
      <c r="AA3" s="985"/>
      <c r="AB3" s="985">
        <v>1</v>
      </c>
      <c r="AC3" s="985"/>
      <c r="AD3" s="985"/>
      <c r="AE3" s="985">
        <v>1</v>
      </c>
      <c r="AF3" s="985"/>
      <c r="AG3" s="985">
        <v>1</v>
      </c>
      <c r="AH3" s="985">
        <v>1</v>
      </c>
      <c r="AI3" s="985">
        <v>1</v>
      </c>
      <c r="AJ3" s="985">
        <v>1</v>
      </c>
      <c r="AK3" s="985"/>
      <c r="AL3" s="985"/>
      <c r="AM3" s="985">
        <v>1</v>
      </c>
      <c r="AN3" s="985"/>
      <c r="AO3" s="985"/>
      <c r="AP3" s="985">
        <v>1</v>
      </c>
      <c r="AQ3" s="985">
        <v>1</v>
      </c>
      <c r="AR3" s="985"/>
      <c r="AS3" s="985"/>
      <c r="AT3" s="985"/>
      <c r="AU3" s="985"/>
      <c r="AV3" s="985"/>
      <c r="AW3" s="985"/>
      <c r="AX3" s="985"/>
      <c r="AY3" s="985"/>
      <c r="AZ3" s="985"/>
      <c r="BA3" s="985"/>
      <c r="BB3" s="985"/>
      <c r="BC3" s="985">
        <v>1</v>
      </c>
      <c r="BD3" s="985"/>
      <c r="BE3" s="985"/>
      <c r="BF3" s="985"/>
      <c r="BG3" s="985"/>
      <c r="BH3" s="985"/>
      <c r="BI3" s="985"/>
      <c r="BJ3" s="985"/>
      <c r="BK3" s="985"/>
      <c r="BL3" s="985"/>
      <c r="BM3" s="985">
        <v>1</v>
      </c>
      <c r="BN3" s="985"/>
      <c r="BO3" s="985"/>
      <c r="BP3" s="985"/>
      <c r="BQ3" s="985"/>
      <c r="BR3" s="985">
        <v>1</v>
      </c>
      <c r="BS3" s="985"/>
      <c r="BT3" s="985">
        <v>1</v>
      </c>
      <c r="BU3" s="985"/>
      <c r="BV3" s="985"/>
      <c r="BW3" s="985"/>
      <c r="BX3" s="985"/>
      <c r="BY3" s="985"/>
      <c r="BZ3" s="985"/>
      <c r="CA3" s="985"/>
      <c r="CB3" s="985"/>
      <c r="CC3" s="985"/>
      <c r="CD3" s="985"/>
      <c r="CE3" s="985"/>
      <c r="CF3" s="985"/>
      <c r="CG3" s="985"/>
      <c r="CH3" s="985"/>
      <c r="CI3" s="985"/>
      <c r="CJ3" s="985"/>
      <c r="CK3" s="985"/>
      <c r="CL3" s="985"/>
      <c r="CM3" s="985">
        <v>1</v>
      </c>
      <c r="CN3" s="985">
        <v>1</v>
      </c>
      <c r="CO3" s="985"/>
      <c r="CP3" s="985"/>
      <c r="CQ3" s="985"/>
      <c r="CR3" s="985"/>
      <c r="CS3" s="985"/>
      <c r="CT3" s="985"/>
      <c r="CU3" s="985"/>
      <c r="CV3" s="985">
        <v>1</v>
      </c>
      <c r="CW3" s="985"/>
      <c r="CX3" s="985">
        <v>1</v>
      </c>
      <c r="CY3" s="985">
        <v>1</v>
      </c>
      <c r="CZ3" s="985">
        <v>1</v>
      </c>
      <c r="DA3" s="985"/>
      <c r="DB3" s="985">
        <v>1</v>
      </c>
      <c r="DC3" s="985">
        <v>1</v>
      </c>
      <c r="DD3" s="985">
        <v>1</v>
      </c>
      <c r="DE3" s="985">
        <v>1</v>
      </c>
      <c r="DF3" s="985">
        <v>1</v>
      </c>
      <c r="DG3" s="985"/>
      <c r="DH3" s="985"/>
      <c r="DI3" s="985"/>
      <c r="DJ3" s="985">
        <v>1</v>
      </c>
      <c r="DK3" s="985"/>
      <c r="DL3" s="985"/>
      <c r="DM3" s="985"/>
      <c r="DN3" s="985"/>
      <c r="DO3" s="985"/>
      <c r="DP3" s="985"/>
      <c r="DQ3" s="985"/>
      <c r="DR3" s="985"/>
      <c r="DS3" s="985"/>
      <c r="DT3" s="985"/>
      <c r="DU3" s="985"/>
      <c r="DV3" s="985"/>
      <c r="DW3" s="985"/>
      <c r="DX3" s="985"/>
      <c r="DY3" s="985"/>
      <c r="DZ3" s="985"/>
      <c r="EA3" s="985"/>
      <c r="EB3" s="985"/>
      <c r="EC3" s="985"/>
      <c r="ED3" s="985"/>
      <c r="EE3" s="985"/>
      <c r="EF3" s="985"/>
      <c r="EG3" s="985"/>
      <c r="EH3" s="985"/>
      <c r="EI3" s="985"/>
      <c r="EJ3" s="985">
        <v>1</v>
      </c>
      <c r="EK3" s="985"/>
      <c r="EL3" s="985"/>
      <c r="EM3" s="985"/>
      <c r="EN3" s="985">
        <v>1</v>
      </c>
      <c r="EO3" s="985"/>
      <c r="EP3" s="985"/>
      <c r="EQ3" s="985"/>
      <c r="ER3" s="985">
        <v>1</v>
      </c>
      <c r="ES3" s="985"/>
      <c r="ET3" s="985"/>
      <c r="EU3" s="985"/>
      <c r="EV3" s="985"/>
      <c r="EW3" s="985"/>
      <c r="EX3" s="985"/>
      <c r="EY3" s="985"/>
      <c r="EZ3" s="985"/>
      <c r="FA3" s="985"/>
      <c r="FB3" s="985">
        <v>1</v>
      </c>
      <c r="FC3" s="985">
        <v>1</v>
      </c>
      <c r="FD3" s="985"/>
      <c r="FE3" s="985">
        <v>1</v>
      </c>
      <c r="FF3" s="985"/>
      <c r="FG3" s="985"/>
      <c r="FH3" s="985"/>
      <c r="FI3" s="985">
        <v>1</v>
      </c>
      <c r="FJ3" s="985">
        <v>1</v>
      </c>
      <c r="FK3" s="985"/>
      <c r="FL3" s="985">
        <v>1</v>
      </c>
      <c r="FM3" s="985"/>
      <c r="FN3" s="985"/>
      <c r="FO3" s="985"/>
      <c r="FP3" s="985"/>
      <c r="FQ3" s="985"/>
      <c r="FR3" s="985"/>
      <c r="FS3" s="985"/>
      <c r="FT3" s="985"/>
      <c r="FU3" s="985"/>
      <c r="FV3" s="985"/>
      <c r="FW3" s="985"/>
      <c r="FX3" s="985"/>
      <c r="FY3" s="985"/>
      <c r="FZ3" s="985">
        <v>1</v>
      </c>
      <c r="GA3" s="985"/>
      <c r="GB3" s="985"/>
      <c r="GC3" s="985">
        <v>1</v>
      </c>
      <c r="GD3" s="985">
        <v>1</v>
      </c>
      <c r="GE3" s="985">
        <v>1</v>
      </c>
      <c r="GF3" s="985">
        <v>1</v>
      </c>
      <c r="GG3" s="985"/>
      <c r="GH3" s="985"/>
      <c r="GI3" s="985"/>
      <c r="GJ3" s="985"/>
      <c r="GK3" s="985"/>
      <c r="GL3" s="985"/>
      <c r="GM3" s="985"/>
      <c r="GN3" s="985"/>
      <c r="GO3" s="985"/>
      <c r="GP3" s="985"/>
      <c r="GQ3" s="985"/>
      <c r="GR3" s="985"/>
      <c r="GS3" s="985"/>
      <c r="GT3" s="985"/>
      <c r="GU3" s="985">
        <v>1</v>
      </c>
      <c r="GV3" s="985"/>
      <c r="GW3" s="985">
        <v>1</v>
      </c>
      <c r="GX3" s="985"/>
      <c r="GY3" s="985">
        <v>1</v>
      </c>
      <c r="GZ3" s="985"/>
      <c r="HA3" s="985"/>
      <c r="HB3" s="985"/>
      <c r="HC3" s="985"/>
      <c r="HD3" s="985"/>
      <c r="HE3" s="985"/>
      <c r="HF3" s="985"/>
      <c r="HG3" s="985"/>
      <c r="HH3" s="985"/>
      <c r="HI3" s="985"/>
      <c r="HJ3" s="985"/>
      <c r="HK3" s="985">
        <v>1</v>
      </c>
      <c r="HL3" s="985"/>
      <c r="HM3" s="985"/>
      <c r="HN3" s="985"/>
      <c r="HO3" s="985"/>
      <c r="HP3" s="985"/>
      <c r="HQ3" s="985"/>
      <c r="HR3" s="985"/>
      <c r="HS3" s="985"/>
      <c r="HT3" s="985"/>
      <c r="HU3" s="985"/>
      <c r="HV3" s="985"/>
      <c r="HW3" s="985"/>
      <c r="HX3" s="985"/>
      <c r="HY3" s="1057"/>
      <c r="HZ3" s="1057"/>
      <c r="IA3" s="1057"/>
      <c r="IB3" s="1057"/>
      <c r="IC3" s="1057"/>
      <c r="ID3" s="1057"/>
      <c r="IE3" s="1057"/>
      <c r="IF3" s="1057"/>
      <c r="IG3" s="1057"/>
      <c r="IH3" s="1057"/>
      <c r="II3" s="1057"/>
      <c r="IJ3" s="1057"/>
      <c r="IK3" s="1057"/>
      <c r="IL3" s="1057"/>
      <c r="IM3" s="1057"/>
      <c r="IN3" s="1057"/>
      <c r="IO3" s="1057"/>
      <c r="IP3" s="1057"/>
      <c r="IQ3" s="1057"/>
      <c r="IR3" s="1057"/>
      <c r="IS3" s="1057"/>
      <c r="IT3" s="1057"/>
      <c r="IU3" s="1057"/>
      <c r="IV3" s="1057"/>
    </row>
    <row r="4" spans="1:256" s="971" customFormat="1" ht="19.95" customHeight="1">
      <c r="A4" s="984" t="s">
        <v>1374</v>
      </c>
      <c r="B4" s="986"/>
      <c r="C4" s="986"/>
      <c r="D4" s="986"/>
      <c r="E4" s="987"/>
      <c r="F4" s="986"/>
      <c r="G4" s="986"/>
      <c r="H4" s="986"/>
      <c r="I4" s="986"/>
      <c r="J4" s="986"/>
      <c r="K4" s="986"/>
      <c r="L4" s="986"/>
      <c r="M4" s="986"/>
      <c r="N4" s="986"/>
      <c r="O4" s="986"/>
      <c r="P4" s="986"/>
      <c r="Q4" s="986"/>
      <c r="R4" s="986"/>
      <c r="S4" s="986"/>
      <c r="T4" s="986">
        <v>1</v>
      </c>
      <c r="U4" s="986"/>
      <c r="V4" s="986">
        <v>1</v>
      </c>
      <c r="W4" s="986"/>
      <c r="X4" s="986"/>
      <c r="Y4" s="986"/>
      <c r="Z4" s="986"/>
      <c r="AA4" s="986"/>
      <c r="AB4" s="986">
        <v>1</v>
      </c>
      <c r="AC4" s="986"/>
      <c r="AD4" s="986"/>
      <c r="AE4" s="986"/>
      <c r="AF4" s="986"/>
      <c r="AG4" s="986"/>
      <c r="AH4" s="986"/>
      <c r="AI4" s="986">
        <v>1</v>
      </c>
      <c r="AJ4" s="986"/>
      <c r="AK4" s="986"/>
      <c r="AL4" s="986"/>
      <c r="AM4" s="986"/>
      <c r="AN4" s="986"/>
      <c r="AO4" s="986"/>
      <c r="AP4" s="986"/>
      <c r="AQ4" s="986"/>
      <c r="AR4" s="986"/>
      <c r="AS4" s="986"/>
      <c r="AT4" s="986"/>
      <c r="AU4" s="986"/>
      <c r="AV4" s="986"/>
      <c r="AW4" s="986"/>
      <c r="AX4" s="986"/>
      <c r="AY4" s="986"/>
      <c r="AZ4" s="986"/>
      <c r="BA4" s="986"/>
      <c r="BB4" s="986"/>
      <c r="BC4" s="986"/>
      <c r="BD4" s="986"/>
      <c r="BE4" s="986"/>
      <c r="BF4" s="986"/>
      <c r="BG4" s="986"/>
      <c r="BH4" s="986"/>
      <c r="BI4" s="986"/>
      <c r="BJ4" s="986"/>
      <c r="BK4" s="986"/>
      <c r="BL4" s="986"/>
      <c r="BM4" s="986"/>
      <c r="BN4" s="986"/>
      <c r="BO4" s="986"/>
      <c r="BP4" s="986"/>
      <c r="BQ4" s="986"/>
      <c r="BR4" s="986"/>
      <c r="BS4" s="986"/>
      <c r="BT4" s="986"/>
      <c r="BU4" s="986"/>
      <c r="BV4" s="986"/>
      <c r="BW4" s="986"/>
      <c r="BX4" s="986"/>
      <c r="BY4" s="986"/>
      <c r="BZ4" s="986"/>
      <c r="CA4" s="986"/>
      <c r="CB4" s="986"/>
      <c r="CC4" s="986"/>
      <c r="CD4" s="986"/>
      <c r="CE4" s="986"/>
      <c r="CF4" s="986"/>
      <c r="CG4" s="986"/>
      <c r="CH4" s="986"/>
      <c r="CI4" s="986"/>
      <c r="CJ4" s="986"/>
      <c r="CK4" s="986"/>
      <c r="CL4" s="986"/>
      <c r="CM4" s="986"/>
      <c r="CN4" s="986"/>
      <c r="CO4" s="986"/>
      <c r="CP4" s="986"/>
      <c r="CQ4" s="986"/>
      <c r="CR4" s="986"/>
      <c r="CS4" s="986"/>
      <c r="CT4" s="986"/>
      <c r="CU4" s="986"/>
      <c r="CV4" s="986"/>
      <c r="CW4" s="986"/>
      <c r="CX4" s="986"/>
      <c r="CY4" s="986"/>
      <c r="CZ4" s="986">
        <v>1</v>
      </c>
      <c r="DA4" s="986"/>
      <c r="DB4" s="986"/>
      <c r="DC4" s="986"/>
      <c r="DD4" s="986"/>
      <c r="DE4" s="986"/>
      <c r="DF4" s="986"/>
      <c r="DG4" s="986"/>
      <c r="DH4" s="986"/>
      <c r="DI4" s="986"/>
      <c r="DJ4" s="986"/>
      <c r="DK4" s="986"/>
      <c r="DL4" s="986"/>
      <c r="DM4" s="986"/>
      <c r="DN4" s="986"/>
      <c r="DO4" s="986"/>
      <c r="DP4" s="986"/>
      <c r="DQ4" s="986"/>
      <c r="DR4" s="986"/>
      <c r="DS4" s="986"/>
      <c r="DT4" s="986"/>
      <c r="DU4" s="986"/>
      <c r="DV4" s="986"/>
      <c r="DW4" s="986"/>
      <c r="DX4" s="986"/>
      <c r="DY4" s="986"/>
      <c r="DZ4" s="986"/>
      <c r="EA4" s="986"/>
      <c r="EB4" s="986"/>
      <c r="EC4" s="986"/>
      <c r="ED4" s="986"/>
      <c r="EE4" s="986"/>
      <c r="EF4" s="986"/>
      <c r="EG4" s="986"/>
      <c r="EH4" s="986"/>
      <c r="EI4" s="986"/>
      <c r="EJ4" s="986"/>
      <c r="EK4" s="986"/>
      <c r="EL4" s="986"/>
      <c r="EM4" s="986"/>
      <c r="EN4" s="986"/>
      <c r="EO4" s="986"/>
      <c r="EP4" s="986"/>
      <c r="EQ4" s="986"/>
      <c r="ER4" s="986"/>
      <c r="ES4" s="986"/>
      <c r="ET4" s="986"/>
      <c r="EU4" s="986"/>
      <c r="EV4" s="986"/>
      <c r="EW4" s="986"/>
      <c r="EX4" s="986"/>
      <c r="EY4" s="986"/>
      <c r="EZ4" s="986"/>
      <c r="FA4" s="986"/>
      <c r="FB4" s="986"/>
      <c r="FC4" s="986"/>
      <c r="FD4" s="986"/>
      <c r="FE4" s="986"/>
      <c r="FF4" s="986"/>
      <c r="FG4" s="986"/>
      <c r="FH4" s="986"/>
      <c r="FI4" s="986"/>
      <c r="FJ4" s="986"/>
      <c r="FK4" s="986"/>
      <c r="FL4" s="986"/>
      <c r="FM4" s="986"/>
      <c r="FN4" s="986"/>
      <c r="FO4" s="986"/>
      <c r="FP4" s="986"/>
      <c r="FQ4" s="986"/>
      <c r="FR4" s="986"/>
      <c r="FS4" s="986"/>
      <c r="FT4" s="986"/>
      <c r="FU4" s="986"/>
      <c r="FV4" s="986"/>
      <c r="FW4" s="986"/>
      <c r="FX4" s="986"/>
      <c r="FY4" s="986"/>
      <c r="FZ4" s="986"/>
      <c r="GA4" s="986"/>
      <c r="GB4" s="986"/>
      <c r="GC4" s="986"/>
      <c r="GD4" s="986"/>
      <c r="GE4" s="986"/>
      <c r="GF4" s="986"/>
      <c r="GG4" s="986"/>
      <c r="GH4" s="986"/>
      <c r="GI4" s="986"/>
      <c r="GJ4" s="986"/>
      <c r="GK4" s="986"/>
      <c r="GL4" s="986"/>
      <c r="GM4" s="986"/>
      <c r="GN4" s="986"/>
      <c r="GO4" s="986"/>
      <c r="GP4" s="986"/>
      <c r="GQ4" s="986"/>
      <c r="GR4" s="986"/>
      <c r="GS4" s="986"/>
      <c r="GT4" s="986"/>
      <c r="GU4" s="986"/>
      <c r="GV4" s="986"/>
      <c r="GW4" s="986"/>
      <c r="GX4" s="986"/>
      <c r="GY4" s="986"/>
      <c r="GZ4" s="986"/>
      <c r="HA4" s="986"/>
      <c r="HB4" s="986"/>
      <c r="HC4" s="986"/>
      <c r="HD4" s="986"/>
      <c r="HE4" s="986"/>
      <c r="HF4" s="986"/>
      <c r="HG4" s="986"/>
      <c r="HH4" s="986"/>
      <c r="HI4" s="986"/>
      <c r="HJ4" s="986"/>
      <c r="HK4" s="986"/>
      <c r="HL4" s="986"/>
      <c r="HM4" s="986"/>
      <c r="HN4" s="986"/>
      <c r="HO4" s="986"/>
      <c r="HP4" s="986"/>
      <c r="HQ4" s="986"/>
      <c r="HR4" s="986"/>
      <c r="HS4" s="986"/>
      <c r="HT4" s="986"/>
      <c r="HU4" s="986"/>
      <c r="HV4" s="986"/>
      <c r="HW4" s="986"/>
      <c r="HX4" s="986"/>
      <c r="HY4" s="1057"/>
      <c r="HZ4" s="1057"/>
      <c r="IA4" s="1057"/>
      <c r="IB4" s="1057"/>
      <c r="IC4" s="1057"/>
      <c r="ID4" s="1057"/>
      <c r="IE4" s="1057"/>
      <c r="IF4" s="1057"/>
      <c r="IG4" s="1057"/>
      <c r="IH4" s="1057"/>
      <c r="II4" s="1057"/>
      <c r="IJ4" s="1057"/>
      <c r="IK4" s="1057"/>
      <c r="IL4" s="1057"/>
      <c r="IM4" s="1057"/>
      <c r="IN4" s="1057"/>
      <c r="IO4" s="1057"/>
      <c r="IP4" s="1057"/>
      <c r="IQ4" s="1057"/>
      <c r="IR4" s="1057"/>
      <c r="IS4" s="1057"/>
      <c r="IT4" s="1057"/>
      <c r="IU4" s="1057"/>
      <c r="IV4" s="1057"/>
    </row>
    <row r="5" spans="1:256" s="972" customFormat="1" ht="19.95" customHeight="1">
      <c r="A5" s="988" t="s">
        <v>1375</v>
      </c>
      <c r="B5" s="989"/>
      <c r="C5" s="986"/>
      <c r="D5" s="989"/>
      <c r="E5" s="989"/>
      <c r="F5" s="989">
        <v>2</v>
      </c>
      <c r="G5" s="989">
        <v>2</v>
      </c>
      <c r="H5" s="989">
        <v>1</v>
      </c>
      <c r="I5" s="989"/>
      <c r="J5" s="989"/>
      <c r="K5" s="989">
        <v>1</v>
      </c>
      <c r="L5" s="989">
        <v>2</v>
      </c>
      <c r="M5" s="989"/>
      <c r="N5" s="989"/>
      <c r="O5" s="989">
        <v>1</v>
      </c>
      <c r="P5" s="989">
        <v>2</v>
      </c>
      <c r="Q5" s="989">
        <v>1</v>
      </c>
      <c r="R5" s="989"/>
      <c r="S5" s="989">
        <v>2</v>
      </c>
      <c r="T5" s="989"/>
      <c r="U5" s="989">
        <v>1</v>
      </c>
      <c r="V5" s="989">
        <v>1</v>
      </c>
      <c r="W5" s="989"/>
      <c r="X5" s="989"/>
      <c r="Y5" s="989">
        <v>1</v>
      </c>
      <c r="Z5" s="989"/>
      <c r="AA5" s="989">
        <v>1</v>
      </c>
      <c r="AB5" s="989"/>
      <c r="AC5" s="989"/>
      <c r="AD5" s="989"/>
      <c r="AE5" s="989"/>
      <c r="AF5" s="989">
        <v>2</v>
      </c>
      <c r="AG5" s="989"/>
      <c r="AH5" s="989">
        <v>2</v>
      </c>
      <c r="AI5" s="989">
        <v>1</v>
      </c>
      <c r="AJ5" s="989">
        <v>2</v>
      </c>
      <c r="AK5" s="989">
        <v>1</v>
      </c>
      <c r="AL5" s="989"/>
      <c r="AM5" s="989">
        <v>1</v>
      </c>
      <c r="AN5" s="989">
        <v>1</v>
      </c>
      <c r="AO5" s="989">
        <v>2</v>
      </c>
      <c r="AP5" s="989">
        <v>2</v>
      </c>
      <c r="AQ5" s="989"/>
      <c r="AR5" s="989">
        <v>2</v>
      </c>
      <c r="AS5" s="989"/>
      <c r="AT5" s="989"/>
      <c r="AU5" s="989">
        <v>1</v>
      </c>
      <c r="AV5" s="989">
        <v>2</v>
      </c>
      <c r="AW5" s="989">
        <v>1</v>
      </c>
      <c r="AX5" s="989"/>
      <c r="AY5" s="989">
        <v>2</v>
      </c>
      <c r="AZ5" s="989"/>
      <c r="BA5" s="989"/>
      <c r="BB5" s="989">
        <v>2</v>
      </c>
      <c r="BC5" s="989"/>
      <c r="BD5" s="989">
        <v>1</v>
      </c>
      <c r="BE5" s="989"/>
      <c r="BF5" s="989"/>
      <c r="BG5" s="989">
        <v>2</v>
      </c>
      <c r="BH5" s="989"/>
      <c r="BI5" s="989">
        <v>2</v>
      </c>
      <c r="BJ5" s="989">
        <v>2</v>
      </c>
      <c r="BK5" s="989">
        <v>2</v>
      </c>
      <c r="BL5" s="989">
        <v>2</v>
      </c>
      <c r="BM5" s="989"/>
      <c r="BN5" s="989">
        <v>1</v>
      </c>
      <c r="BO5" s="989">
        <v>1</v>
      </c>
      <c r="BP5" s="989">
        <v>1</v>
      </c>
      <c r="BQ5" s="989"/>
      <c r="BR5" s="989"/>
      <c r="BS5" s="989"/>
      <c r="BT5" s="989"/>
      <c r="BU5" s="989"/>
      <c r="BV5" s="989">
        <v>2</v>
      </c>
      <c r="BW5" s="989"/>
      <c r="BX5" s="989"/>
      <c r="BY5" s="989">
        <v>2</v>
      </c>
      <c r="BZ5" s="989">
        <v>1</v>
      </c>
      <c r="CA5" s="989"/>
      <c r="CB5" s="989"/>
      <c r="CC5" s="989">
        <v>1</v>
      </c>
      <c r="CD5" s="989">
        <v>1</v>
      </c>
      <c r="CE5" s="989">
        <v>1</v>
      </c>
      <c r="CF5" s="989"/>
      <c r="CG5" s="989"/>
      <c r="CH5" s="989">
        <v>1</v>
      </c>
      <c r="CI5" s="989">
        <v>1</v>
      </c>
      <c r="CJ5" s="989">
        <v>1</v>
      </c>
      <c r="CK5" s="989"/>
      <c r="CL5" s="989"/>
      <c r="CM5" s="989">
        <v>1</v>
      </c>
      <c r="CN5" s="989"/>
      <c r="CO5" s="989">
        <v>1</v>
      </c>
      <c r="CP5" s="989"/>
      <c r="CQ5" s="989"/>
      <c r="CR5" s="989">
        <v>2</v>
      </c>
      <c r="CS5" s="989"/>
      <c r="CT5" s="989"/>
      <c r="CU5" s="989">
        <v>1</v>
      </c>
      <c r="CV5" s="989"/>
      <c r="CW5" s="989">
        <v>1</v>
      </c>
      <c r="CX5" s="989">
        <v>2</v>
      </c>
      <c r="CY5" s="989">
        <v>1</v>
      </c>
      <c r="CZ5" s="989">
        <v>2</v>
      </c>
      <c r="DA5" s="989">
        <v>2</v>
      </c>
      <c r="DB5" s="989"/>
      <c r="DC5" s="989">
        <v>1</v>
      </c>
      <c r="DD5" s="989"/>
      <c r="DE5" s="989"/>
      <c r="DF5" s="989"/>
      <c r="DG5" s="989">
        <v>1</v>
      </c>
      <c r="DH5" s="989">
        <v>2</v>
      </c>
      <c r="DI5" s="989">
        <v>2</v>
      </c>
      <c r="DJ5" s="989">
        <v>1</v>
      </c>
      <c r="DK5" s="989">
        <v>2</v>
      </c>
      <c r="DL5" s="989">
        <v>2</v>
      </c>
      <c r="DM5" s="989"/>
      <c r="DN5" s="989"/>
      <c r="DO5" s="989">
        <v>1</v>
      </c>
      <c r="DP5" s="989">
        <v>1</v>
      </c>
      <c r="DQ5" s="989">
        <v>1</v>
      </c>
      <c r="DR5" s="989">
        <v>1</v>
      </c>
      <c r="DS5" s="989">
        <v>3</v>
      </c>
      <c r="DT5" s="989">
        <v>2</v>
      </c>
      <c r="DU5" s="989">
        <v>1</v>
      </c>
      <c r="DV5" s="989">
        <v>1</v>
      </c>
      <c r="DW5" s="989">
        <v>1</v>
      </c>
      <c r="DX5" s="989">
        <v>1</v>
      </c>
      <c r="DY5" s="989">
        <v>2</v>
      </c>
      <c r="DZ5" s="989">
        <v>2</v>
      </c>
      <c r="EA5" s="989">
        <v>2</v>
      </c>
      <c r="EB5" s="989">
        <v>2</v>
      </c>
      <c r="EC5" s="989">
        <v>1</v>
      </c>
      <c r="ED5" s="989"/>
      <c r="EE5" s="989">
        <v>2</v>
      </c>
      <c r="EF5" s="989"/>
      <c r="EG5" s="989"/>
      <c r="EH5" s="989"/>
      <c r="EI5" s="989">
        <v>1</v>
      </c>
      <c r="EJ5" s="989">
        <v>1</v>
      </c>
      <c r="EK5" s="989">
        <v>1</v>
      </c>
      <c r="EL5" s="989"/>
      <c r="EM5" s="989">
        <v>2</v>
      </c>
      <c r="EN5" s="989"/>
      <c r="EO5" s="989">
        <v>1</v>
      </c>
      <c r="EP5" s="989"/>
      <c r="EQ5" s="989"/>
      <c r="ER5" s="989">
        <v>2</v>
      </c>
      <c r="ES5" s="989">
        <v>2</v>
      </c>
      <c r="ET5" s="989">
        <v>2</v>
      </c>
      <c r="EU5" s="989">
        <v>2</v>
      </c>
      <c r="EV5" s="989">
        <v>2</v>
      </c>
      <c r="EW5" s="989"/>
      <c r="EX5" s="989">
        <v>2</v>
      </c>
      <c r="EY5" s="989">
        <v>2</v>
      </c>
      <c r="EZ5" s="989"/>
      <c r="FA5" s="989">
        <v>2</v>
      </c>
      <c r="FB5" s="989">
        <v>1</v>
      </c>
      <c r="FC5" s="989"/>
      <c r="FD5" s="989"/>
      <c r="FE5" s="989">
        <v>1</v>
      </c>
      <c r="FF5" s="989">
        <v>1</v>
      </c>
      <c r="FG5" s="989">
        <v>1</v>
      </c>
      <c r="FH5" s="989"/>
      <c r="FI5" s="989"/>
      <c r="FJ5" s="989"/>
      <c r="FK5" s="989"/>
      <c r="FL5" s="989"/>
      <c r="FM5" s="989">
        <v>2</v>
      </c>
      <c r="FN5" s="989"/>
      <c r="FO5" s="989"/>
      <c r="FP5" s="989"/>
      <c r="FQ5" s="989">
        <v>2</v>
      </c>
      <c r="FR5" s="989">
        <v>1</v>
      </c>
      <c r="FS5" s="989"/>
      <c r="FT5" s="989"/>
      <c r="FU5" s="989"/>
      <c r="FV5" s="989">
        <v>1</v>
      </c>
      <c r="FW5" s="989"/>
      <c r="FX5" s="989"/>
      <c r="FY5" s="989">
        <v>2</v>
      </c>
      <c r="FZ5" s="989"/>
      <c r="GA5" s="989"/>
      <c r="GB5" s="989">
        <v>1</v>
      </c>
      <c r="GC5" s="989"/>
      <c r="GD5" s="989"/>
      <c r="GE5" s="989"/>
      <c r="GF5" s="989">
        <v>1</v>
      </c>
      <c r="GG5" s="989">
        <v>2</v>
      </c>
      <c r="GH5" s="989">
        <v>2</v>
      </c>
      <c r="GI5" s="989">
        <v>2</v>
      </c>
      <c r="GJ5" s="989"/>
      <c r="GK5" s="989"/>
      <c r="GL5" s="989"/>
      <c r="GM5" s="989"/>
      <c r="GN5" s="989">
        <v>2</v>
      </c>
      <c r="GO5" s="989">
        <v>2</v>
      </c>
      <c r="GP5" s="989">
        <v>1</v>
      </c>
      <c r="GQ5" s="989">
        <v>2</v>
      </c>
      <c r="GR5" s="989"/>
      <c r="GS5" s="989"/>
      <c r="GT5" s="989">
        <v>1</v>
      </c>
      <c r="GU5" s="989"/>
      <c r="GV5" s="989"/>
      <c r="GW5" s="989">
        <v>1</v>
      </c>
      <c r="GX5" s="989">
        <v>1</v>
      </c>
      <c r="GY5" s="989">
        <v>1</v>
      </c>
      <c r="GZ5" s="989">
        <v>1</v>
      </c>
      <c r="HA5" s="989"/>
      <c r="HB5" s="989"/>
      <c r="HC5" s="989">
        <v>1</v>
      </c>
      <c r="HD5" s="989">
        <v>1</v>
      </c>
      <c r="HE5" s="989">
        <v>1</v>
      </c>
      <c r="HF5" s="989"/>
      <c r="HG5" s="989">
        <v>1</v>
      </c>
      <c r="HH5" s="989">
        <v>1</v>
      </c>
      <c r="HI5" s="989"/>
      <c r="HJ5" s="989">
        <v>2</v>
      </c>
      <c r="HK5" s="989">
        <v>1</v>
      </c>
      <c r="HL5" s="989"/>
      <c r="HM5" s="989">
        <v>2</v>
      </c>
      <c r="HN5" s="989">
        <v>2</v>
      </c>
      <c r="HO5" s="989"/>
      <c r="HP5" s="989">
        <v>2</v>
      </c>
      <c r="HQ5" s="989"/>
      <c r="HR5" s="989">
        <v>1</v>
      </c>
      <c r="HS5" s="989">
        <v>1</v>
      </c>
      <c r="HT5" s="989">
        <v>1</v>
      </c>
      <c r="HU5" s="989"/>
      <c r="HV5" s="989">
        <v>1</v>
      </c>
      <c r="HW5" s="989"/>
      <c r="HX5" s="989">
        <v>1</v>
      </c>
      <c r="HY5" s="1058"/>
      <c r="HZ5" s="1058"/>
      <c r="IA5" s="1058"/>
      <c r="IB5" s="1058"/>
      <c r="IC5" s="1058"/>
      <c r="ID5" s="1058"/>
      <c r="IE5" s="1058"/>
      <c r="IF5" s="1058"/>
      <c r="IG5" s="1058"/>
      <c r="IH5" s="1058"/>
      <c r="II5" s="1058"/>
      <c r="IJ5" s="1058"/>
      <c r="IK5" s="1058"/>
      <c r="IL5" s="1058"/>
      <c r="IM5" s="1058"/>
      <c r="IN5" s="1058"/>
      <c r="IO5" s="1058"/>
      <c r="IP5" s="1058"/>
      <c r="IQ5" s="1058"/>
      <c r="IR5" s="1058"/>
      <c r="IS5" s="1058"/>
      <c r="IT5" s="1058"/>
      <c r="IU5" s="1058"/>
      <c r="IV5" s="1058"/>
    </row>
    <row r="6" spans="1:256" s="971" customFormat="1" ht="19.95" customHeight="1">
      <c r="A6" s="971" t="s">
        <v>1376</v>
      </c>
      <c r="AI6" s="971">
        <v>1</v>
      </c>
      <c r="DB6" s="971">
        <v>1</v>
      </c>
      <c r="DE6" s="971">
        <v>1</v>
      </c>
      <c r="GC6" s="971">
        <v>1</v>
      </c>
      <c r="GD6" s="971">
        <v>1</v>
      </c>
      <c r="GU6" s="971">
        <v>1</v>
      </c>
      <c r="HO6" s="971">
        <v>1</v>
      </c>
      <c r="HU6" s="971">
        <v>1</v>
      </c>
    </row>
    <row r="7" spans="1:256" ht="19.95" customHeight="1">
      <c r="A7" s="971" t="s">
        <v>73</v>
      </c>
      <c r="B7" s="990"/>
      <c r="C7" s="990">
        <f>职业列表!J11</f>
        <v>0</v>
      </c>
      <c r="D7" s="990">
        <v>2</v>
      </c>
      <c r="E7" s="990">
        <v>2</v>
      </c>
      <c r="F7" s="990">
        <v>1</v>
      </c>
      <c r="G7" s="990">
        <v>2</v>
      </c>
      <c r="H7" s="990"/>
      <c r="I7" s="990"/>
      <c r="J7" s="990">
        <v>1</v>
      </c>
      <c r="K7" s="990">
        <v>1</v>
      </c>
      <c r="L7" s="990"/>
      <c r="M7" s="990"/>
      <c r="N7" s="990"/>
      <c r="O7" s="990">
        <v>2</v>
      </c>
      <c r="P7" s="990"/>
      <c r="Q7" s="990">
        <v>1</v>
      </c>
      <c r="R7" s="990">
        <v>1</v>
      </c>
      <c r="S7" s="990">
        <v>1</v>
      </c>
      <c r="T7" s="990"/>
      <c r="U7" s="990"/>
      <c r="V7" s="990"/>
      <c r="W7" s="990">
        <v>2</v>
      </c>
      <c r="X7" s="990">
        <v>1</v>
      </c>
      <c r="Y7" s="990">
        <v>1</v>
      </c>
      <c r="Z7" s="990">
        <v>2</v>
      </c>
      <c r="AA7" s="990">
        <v>2</v>
      </c>
      <c r="AB7" s="990"/>
      <c r="AC7" s="990">
        <v>2</v>
      </c>
      <c r="AD7" s="990"/>
      <c r="AE7" s="990">
        <v>1</v>
      </c>
      <c r="AF7" s="990"/>
      <c r="AG7" s="990"/>
      <c r="AH7" s="990"/>
      <c r="AI7" s="990"/>
      <c r="AJ7" s="990">
        <v>1</v>
      </c>
      <c r="AK7" s="990">
        <v>1</v>
      </c>
      <c r="AL7" s="990">
        <v>1</v>
      </c>
      <c r="AM7" s="990"/>
      <c r="AN7" s="990"/>
      <c r="AO7" s="990">
        <v>2</v>
      </c>
      <c r="AP7" s="990"/>
      <c r="AQ7" s="990">
        <v>1</v>
      </c>
      <c r="AR7" s="990">
        <v>3</v>
      </c>
      <c r="AS7" s="990">
        <v>1</v>
      </c>
      <c r="AT7" s="990">
        <v>2</v>
      </c>
      <c r="AU7" s="990">
        <v>2</v>
      </c>
      <c r="AV7" s="990">
        <v>1</v>
      </c>
      <c r="AW7" s="990">
        <v>1</v>
      </c>
      <c r="AX7" s="990">
        <v>1</v>
      </c>
      <c r="AY7" s="990">
        <v>1</v>
      </c>
      <c r="AZ7" s="990"/>
      <c r="BA7" s="990">
        <v>1</v>
      </c>
      <c r="BB7" s="990">
        <v>2</v>
      </c>
      <c r="BC7" s="990"/>
      <c r="BD7" s="990">
        <v>1</v>
      </c>
      <c r="BE7" s="990">
        <v>1</v>
      </c>
      <c r="BF7" s="990"/>
      <c r="BG7" s="990">
        <v>1</v>
      </c>
      <c r="BH7" s="990"/>
      <c r="BI7" s="990"/>
      <c r="BJ7" s="990"/>
      <c r="BK7" s="990">
        <v>2</v>
      </c>
      <c r="BL7" s="990"/>
      <c r="BM7" s="990">
        <v>1</v>
      </c>
      <c r="BN7" s="990"/>
      <c r="BO7" s="990">
        <v>2</v>
      </c>
      <c r="BP7" s="990"/>
      <c r="BQ7" s="990"/>
      <c r="BR7" s="990">
        <v>1</v>
      </c>
      <c r="BS7" s="990">
        <v>1</v>
      </c>
      <c r="BT7" s="990"/>
      <c r="BU7" s="990">
        <v>1</v>
      </c>
      <c r="BV7" s="990">
        <v>2</v>
      </c>
      <c r="BW7" s="990">
        <v>4</v>
      </c>
      <c r="BX7" s="990">
        <v>2</v>
      </c>
      <c r="BY7" s="990">
        <v>1</v>
      </c>
      <c r="BZ7" s="990">
        <v>2</v>
      </c>
      <c r="CA7" s="990"/>
      <c r="CB7" s="990"/>
      <c r="CC7" s="990">
        <v>4</v>
      </c>
      <c r="CD7" s="990"/>
      <c r="CE7" s="990">
        <v>1</v>
      </c>
      <c r="CF7" s="990"/>
      <c r="CG7" s="990">
        <v>1</v>
      </c>
      <c r="CH7" s="990"/>
      <c r="CI7" s="990">
        <v>2</v>
      </c>
      <c r="CJ7" s="990">
        <v>2</v>
      </c>
      <c r="CK7" s="990">
        <v>2</v>
      </c>
      <c r="CL7" s="990">
        <v>1</v>
      </c>
      <c r="CM7" s="990">
        <v>1</v>
      </c>
      <c r="CN7" s="990"/>
      <c r="CO7" s="990">
        <v>1</v>
      </c>
      <c r="CP7" s="990">
        <v>4</v>
      </c>
      <c r="CQ7" s="990">
        <v>1</v>
      </c>
      <c r="CR7" s="990">
        <v>1</v>
      </c>
      <c r="CS7" s="990"/>
      <c r="CT7" s="990">
        <v>2</v>
      </c>
      <c r="CU7" s="990">
        <v>3</v>
      </c>
      <c r="CV7" s="990"/>
      <c r="CW7" s="990"/>
      <c r="CX7" s="990">
        <v>1</v>
      </c>
      <c r="CY7" s="990"/>
      <c r="CZ7" s="990">
        <v>1</v>
      </c>
      <c r="DA7" s="990"/>
      <c r="DB7" s="990"/>
      <c r="DC7" s="990"/>
      <c r="DD7" s="990">
        <v>5</v>
      </c>
      <c r="DE7" s="990"/>
      <c r="DF7" s="990"/>
      <c r="DG7" s="990"/>
      <c r="DH7" s="990"/>
      <c r="DI7" s="990">
        <v>1</v>
      </c>
      <c r="DJ7" s="990">
        <v>2</v>
      </c>
      <c r="DK7" s="990">
        <v>2</v>
      </c>
      <c r="DL7" s="990">
        <v>3</v>
      </c>
      <c r="DM7" s="990"/>
      <c r="DN7" s="990"/>
      <c r="DO7" s="990">
        <v>1</v>
      </c>
      <c r="DP7" s="990">
        <v>1</v>
      </c>
      <c r="DQ7" s="990">
        <v>1</v>
      </c>
      <c r="DR7" s="990">
        <v>1</v>
      </c>
      <c r="DS7" s="990">
        <v>1</v>
      </c>
      <c r="DT7" s="990">
        <v>2</v>
      </c>
      <c r="DU7" s="990">
        <v>1</v>
      </c>
      <c r="DV7" s="990">
        <v>1</v>
      </c>
      <c r="DW7" s="990">
        <v>1</v>
      </c>
      <c r="DX7" s="990"/>
      <c r="DY7" s="990">
        <v>2</v>
      </c>
      <c r="DZ7" s="990"/>
      <c r="EA7" s="990">
        <v>1</v>
      </c>
      <c r="EB7" s="990">
        <v>2</v>
      </c>
      <c r="EC7" s="990">
        <v>1</v>
      </c>
      <c r="ED7" s="990">
        <v>2</v>
      </c>
      <c r="EE7" s="990">
        <v>2</v>
      </c>
      <c r="EF7" s="990">
        <v>2</v>
      </c>
      <c r="EG7" s="990">
        <v>2</v>
      </c>
      <c r="EH7" s="990">
        <v>2</v>
      </c>
      <c r="EI7" s="990">
        <v>1</v>
      </c>
      <c r="EJ7" s="990">
        <v>2</v>
      </c>
      <c r="EK7" s="990">
        <v>2</v>
      </c>
      <c r="EL7" s="990">
        <v>1</v>
      </c>
      <c r="EM7" s="990">
        <v>1</v>
      </c>
      <c r="EN7" s="990">
        <v>1</v>
      </c>
      <c r="EO7" s="990">
        <v>3</v>
      </c>
      <c r="EP7" s="990">
        <v>2</v>
      </c>
      <c r="EQ7" s="990">
        <v>2</v>
      </c>
      <c r="ER7" s="990">
        <v>1</v>
      </c>
      <c r="ES7" s="990">
        <v>1</v>
      </c>
      <c r="ET7" s="990">
        <v>4</v>
      </c>
      <c r="EU7" s="990">
        <v>2</v>
      </c>
      <c r="EV7" s="990">
        <v>2</v>
      </c>
      <c r="EW7" s="990">
        <v>1</v>
      </c>
      <c r="EX7" s="990">
        <v>2</v>
      </c>
      <c r="EY7" s="990">
        <v>2</v>
      </c>
      <c r="EZ7" s="990"/>
      <c r="FA7" s="990">
        <v>1</v>
      </c>
      <c r="FB7" s="990"/>
      <c r="FC7" s="990"/>
      <c r="FD7" s="990">
        <v>3</v>
      </c>
      <c r="FE7" s="990">
        <v>1</v>
      </c>
      <c r="FF7" s="990">
        <v>1</v>
      </c>
      <c r="FG7" s="990">
        <v>1</v>
      </c>
      <c r="FH7" s="990">
        <v>2</v>
      </c>
      <c r="FI7" s="990">
        <v>0</v>
      </c>
      <c r="FJ7" s="990">
        <v>1</v>
      </c>
      <c r="FK7" s="990">
        <v>1</v>
      </c>
      <c r="FL7" s="990"/>
      <c r="FM7" s="990">
        <v>2</v>
      </c>
      <c r="FN7" s="990">
        <v>1</v>
      </c>
      <c r="FO7" s="990">
        <v>2</v>
      </c>
      <c r="FP7" s="990"/>
      <c r="FQ7" s="990">
        <v>1</v>
      </c>
      <c r="FR7" s="990"/>
      <c r="FS7" s="990">
        <v>2</v>
      </c>
      <c r="FT7" s="990">
        <v>1</v>
      </c>
      <c r="FU7" s="990"/>
      <c r="FV7" s="990">
        <v>1</v>
      </c>
      <c r="FW7" s="990">
        <v>1</v>
      </c>
      <c r="FX7" s="990"/>
      <c r="FY7" s="990">
        <v>2</v>
      </c>
      <c r="FZ7" s="990">
        <v>1</v>
      </c>
      <c r="GA7" s="990"/>
      <c r="GB7" s="990"/>
      <c r="GC7" s="990"/>
      <c r="GD7" s="990"/>
      <c r="GE7" s="990"/>
      <c r="GF7" s="990"/>
      <c r="GG7" s="990">
        <v>2</v>
      </c>
      <c r="GH7" s="990">
        <v>2</v>
      </c>
      <c r="GI7" s="990">
        <v>2</v>
      </c>
      <c r="GJ7" s="990">
        <v>2</v>
      </c>
      <c r="GK7" s="990">
        <v>2</v>
      </c>
      <c r="GL7" s="990">
        <v>2</v>
      </c>
      <c r="GM7" s="990">
        <v>2</v>
      </c>
      <c r="GN7" s="990"/>
      <c r="GO7" s="990">
        <v>2</v>
      </c>
      <c r="GP7" s="990"/>
      <c r="GQ7" s="990">
        <v>1</v>
      </c>
      <c r="GR7" s="990">
        <v>2</v>
      </c>
      <c r="GS7" s="990">
        <v>1</v>
      </c>
      <c r="GT7" s="990">
        <v>2</v>
      </c>
      <c r="GU7" s="990"/>
      <c r="GV7" s="990">
        <v>3</v>
      </c>
      <c r="GW7" s="990"/>
      <c r="GX7" s="990">
        <v>2</v>
      </c>
      <c r="GY7" s="990">
        <v>1</v>
      </c>
      <c r="GZ7" s="990">
        <v>2</v>
      </c>
      <c r="HA7" s="990">
        <v>3</v>
      </c>
      <c r="HB7" s="990">
        <v>2</v>
      </c>
      <c r="HC7" s="990">
        <v>2</v>
      </c>
      <c r="HD7" s="990">
        <v>1</v>
      </c>
      <c r="HE7" s="990">
        <v>2</v>
      </c>
      <c r="HF7" s="990">
        <v>2</v>
      </c>
      <c r="HG7" s="990">
        <v>1</v>
      </c>
      <c r="HH7" s="990">
        <v>1</v>
      </c>
      <c r="HI7" s="990">
        <v>6</v>
      </c>
      <c r="HJ7" s="990">
        <v>3</v>
      </c>
      <c r="HK7" s="990"/>
      <c r="HL7" s="990"/>
      <c r="HM7" s="990">
        <v>1</v>
      </c>
      <c r="HN7" s="990"/>
      <c r="HO7" s="990">
        <v>1</v>
      </c>
      <c r="HP7" s="990">
        <v>2</v>
      </c>
      <c r="HQ7" s="990">
        <v>2</v>
      </c>
      <c r="HR7" s="990"/>
      <c r="HS7" s="990">
        <v>6</v>
      </c>
      <c r="HT7" s="990">
        <v>6</v>
      </c>
      <c r="HU7" s="990">
        <v>1</v>
      </c>
      <c r="HV7" s="990">
        <v>1</v>
      </c>
      <c r="HW7" s="990">
        <v>2</v>
      </c>
      <c r="HX7" s="990"/>
    </row>
    <row r="8" spans="1:256" ht="19.95" customHeight="1">
      <c r="A8" s="991" t="s">
        <v>65</v>
      </c>
      <c r="B8" s="992"/>
      <c r="C8" s="993" t="str">
        <f>IF(ISTEXT(IFERROR(VLOOKUP(本职技能!A8,职业列表!I3:J10,1,FALSE),0)),"★","")</f>
        <v/>
      </c>
      <c r="D8" s="994" t="s">
        <v>100</v>
      </c>
      <c r="E8" s="992"/>
      <c r="F8" s="992"/>
      <c r="G8" s="992"/>
      <c r="H8" s="992"/>
      <c r="I8" s="992"/>
      <c r="J8" s="992"/>
      <c r="K8" s="992"/>
      <c r="L8" s="994" t="s">
        <v>100</v>
      </c>
      <c r="M8" s="992"/>
      <c r="N8" s="994" t="s">
        <v>100</v>
      </c>
      <c r="O8" s="992"/>
      <c r="P8" s="992"/>
      <c r="Q8" s="992"/>
      <c r="R8" s="992"/>
      <c r="S8" s="994" t="s">
        <v>100</v>
      </c>
      <c r="T8" s="992"/>
      <c r="U8" s="994" t="s">
        <v>100</v>
      </c>
      <c r="V8" s="992"/>
      <c r="W8" s="992"/>
      <c r="X8" s="992" t="s">
        <v>1373</v>
      </c>
      <c r="Y8" s="994" t="s">
        <v>100</v>
      </c>
      <c r="Z8" s="992"/>
      <c r="AA8" s="992"/>
      <c r="AB8" s="992"/>
      <c r="AC8" s="994" t="s">
        <v>100</v>
      </c>
      <c r="AD8" s="992"/>
      <c r="AE8" s="992"/>
      <c r="AF8" s="992"/>
      <c r="AG8" s="992"/>
      <c r="AH8" s="992"/>
      <c r="AI8" s="992"/>
      <c r="AJ8" s="992"/>
      <c r="AK8" s="994" t="s">
        <v>100</v>
      </c>
      <c r="AL8" s="994" t="s">
        <v>100</v>
      </c>
      <c r="AM8" s="992"/>
      <c r="AN8" s="992"/>
      <c r="AO8" s="994" t="s">
        <v>100</v>
      </c>
      <c r="AP8" s="992"/>
      <c r="AQ8" s="994" t="s">
        <v>100</v>
      </c>
      <c r="AR8" s="992"/>
      <c r="AS8" s="992"/>
      <c r="AT8" s="992"/>
      <c r="AU8" s="992"/>
      <c r="AV8" s="992"/>
      <c r="AW8" s="994" t="s">
        <v>100</v>
      </c>
      <c r="AX8" s="994" t="s">
        <v>100</v>
      </c>
      <c r="AY8" s="994" t="s">
        <v>100</v>
      </c>
      <c r="AZ8" s="992"/>
      <c r="BA8" s="992"/>
      <c r="BB8" s="992"/>
      <c r="BC8" s="992"/>
      <c r="BD8" s="992"/>
      <c r="BE8" s="992"/>
      <c r="BF8" s="992"/>
      <c r="BG8" s="992"/>
      <c r="BH8" s="992"/>
      <c r="BI8" s="994" t="s">
        <v>100</v>
      </c>
      <c r="BJ8" s="992"/>
      <c r="BK8" s="992"/>
      <c r="BL8" s="992"/>
      <c r="BM8" s="992"/>
      <c r="BN8" s="992"/>
      <c r="BO8" s="992"/>
      <c r="BP8" s="992"/>
      <c r="BQ8" s="992"/>
      <c r="BR8" s="992"/>
      <c r="BS8" s="992"/>
      <c r="BT8" s="992"/>
      <c r="BU8" s="992"/>
      <c r="BV8" s="994" t="s">
        <v>100</v>
      </c>
      <c r="BW8" s="994" t="s">
        <v>100</v>
      </c>
      <c r="BX8" s="992"/>
      <c r="BY8" s="994" t="s">
        <v>100</v>
      </c>
      <c r="BZ8" s="992"/>
      <c r="CA8" s="992"/>
      <c r="CB8" s="994" t="s">
        <v>100</v>
      </c>
      <c r="CC8" s="992"/>
      <c r="CD8" s="992"/>
      <c r="CE8" s="992"/>
      <c r="CF8" s="992"/>
      <c r="CG8" s="992"/>
      <c r="CH8" s="994" t="s">
        <v>100</v>
      </c>
      <c r="CI8" s="992"/>
      <c r="CJ8" s="992"/>
      <c r="CK8" s="992"/>
      <c r="CL8" s="994" t="s">
        <v>100</v>
      </c>
      <c r="CM8" s="992"/>
      <c r="CN8" s="992"/>
      <c r="CO8" s="992"/>
      <c r="CP8" s="992"/>
      <c r="CQ8" s="992"/>
      <c r="CR8" s="992"/>
      <c r="CS8" s="992"/>
      <c r="CT8" s="994" t="s">
        <v>100</v>
      </c>
      <c r="CU8" s="992"/>
      <c r="CV8" s="992"/>
      <c r="CW8" s="992"/>
      <c r="CX8" s="994" t="s">
        <v>100</v>
      </c>
      <c r="CY8" s="992"/>
      <c r="CZ8" s="994" t="s">
        <v>100</v>
      </c>
      <c r="DA8" s="994" t="s">
        <v>100</v>
      </c>
      <c r="DB8" s="992"/>
      <c r="DC8" s="992"/>
      <c r="DD8" s="992"/>
      <c r="DE8" s="992"/>
      <c r="DF8" s="992"/>
      <c r="DG8" s="994" t="s">
        <v>100</v>
      </c>
      <c r="DH8" s="994" t="s">
        <v>100</v>
      </c>
      <c r="DI8" s="994" t="s">
        <v>100</v>
      </c>
      <c r="DJ8" s="994" t="s">
        <v>100</v>
      </c>
      <c r="DK8" s="994" t="s">
        <v>100</v>
      </c>
      <c r="DL8" s="992"/>
      <c r="DM8" s="994" t="s">
        <v>100</v>
      </c>
      <c r="DN8" s="992"/>
      <c r="DO8" s="992"/>
      <c r="DP8" s="992"/>
      <c r="DQ8" s="992"/>
      <c r="DR8" s="992"/>
      <c r="DS8" s="992"/>
      <c r="DT8" s="992" t="s">
        <v>100</v>
      </c>
      <c r="DU8" s="992" t="s">
        <v>100</v>
      </c>
      <c r="DV8" s="992" t="s">
        <v>100</v>
      </c>
      <c r="DW8" s="992"/>
      <c r="DX8" s="992"/>
      <c r="DY8" s="992"/>
      <c r="DZ8" s="992"/>
      <c r="EA8" s="992" t="s">
        <v>100</v>
      </c>
      <c r="EB8" s="992" t="s">
        <v>100</v>
      </c>
      <c r="EC8" s="992"/>
      <c r="ED8" s="992" t="s">
        <v>100</v>
      </c>
      <c r="EE8" s="992" t="s">
        <v>100</v>
      </c>
      <c r="EF8" s="992"/>
      <c r="EG8" s="992"/>
      <c r="EH8" s="992"/>
      <c r="EI8" s="992" t="s">
        <v>100</v>
      </c>
      <c r="EJ8" s="992" t="s">
        <v>100</v>
      </c>
      <c r="EK8" s="992"/>
      <c r="EL8" s="992"/>
      <c r="EM8" s="992" t="s">
        <v>100</v>
      </c>
      <c r="EN8" s="992"/>
      <c r="EO8" s="992" t="s">
        <v>100</v>
      </c>
      <c r="EP8" s="992"/>
      <c r="EQ8" s="992"/>
      <c r="ER8" s="992" t="s">
        <v>100</v>
      </c>
      <c r="ES8" s="992" t="s">
        <v>100</v>
      </c>
      <c r="ET8" s="992" t="s">
        <v>100</v>
      </c>
      <c r="EU8" s="992"/>
      <c r="EV8" s="992" t="s">
        <v>100</v>
      </c>
      <c r="EW8" s="992" t="s">
        <v>100</v>
      </c>
      <c r="EX8" s="992"/>
      <c r="EY8" s="992" t="s">
        <v>100</v>
      </c>
      <c r="EZ8" s="992"/>
      <c r="FA8" s="992"/>
      <c r="FB8" s="992"/>
      <c r="FC8" s="992"/>
      <c r="FD8" s="992"/>
      <c r="FE8" s="992"/>
      <c r="FF8" s="992"/>
      <c r="FG8" s="992"/>
      <c r="FH8" s="992"/>
      <c r="FI8" s="992"/>
      <c r="FJ8" s="992"/>
      <c r="FK8" s="992"/>
      <c r="FL8" s="992"/>
      <c r="FM8" s="992"/>
      <c r="FN8" s="992"/>
      <c r="FO8" s="992"/>
      <c r="FP8" s="992"/>
      <c r="FQ8" s="992"/>
      <c r="FR8" s="992"/>
      <c r="FS8" s="992" t="s">
        <v>100</v>
      </c>
      <c r="FT8" s="992"/>
      <c r="FU8" s="992"/>
      <c r="FV8" s="992" t="s">
        <v>100</v>
      </c>
      <c r="FW8" s="992"/>
      <c r="FX8" s="992"/>
      <c r="FY8" s="992"/>
      <c r="FZ8" s="992" t="s">
        <v>100</v>
      </c>
      <c r="GA8" s="992"/>
      <c r="GB8" s="992"/>
      <c r="GC8" s="992"/>
      <c r="GD8" s="992"/>
      <c r="GE8" s="992"/>
      <c r="GF8" s="992"/>
      <c r="GG8" s="992"/>
      <c r="GH8" s="992"/>
      <c r="GI8" s="992"/>
      <c r="GJ8" s="992"/>
      <c r="GK8" s="992"/>
      <c r="GL8" s="992"/>
      <c r="GM8" s="992"/>
      <c r="GN8" s="992"/>
      <c r="GO8" s="992"/>
      <c r="GP8" s="992"/>
      <c r="GQ8" s="992"/>
      <c r="GR8" s="992"/>
      <c r="GS8" s="992"/>
      <c r="GT8" s="992"/>
      <c r="GU8" s="992"/>
      <c r="GV8" s="992"/>
      <c r="GW8" s="992"/>
      <c r="GX8" s="992"/>
      <c r="GY8" s="992"/>
      <c r="GZ8" s="993" t="s">
        <v>100</v>
      </c>
      <c r="HA8" s="992"/>
      <c r="HB8" s="992"/>
      <c r="HC8" s="992"/>
      <c r="HD8" s="994"/>
      <c r="HE8" s="992"/>
      <c r="HF8" s="994"/>
      <c r="HG8" s="993" t="s">
        <v>100</v>
      </c>
      <c r="HH8" s="992"/>
      <c r="HI8" s="992"/>
      <c r="HJ8" s="992"/>
      <c r="HK8" s="994"/>
      <c r="HL8" s="992"/>
      <c r="HM8" s="1041" t="s">
        <v>100</v>
      </c>
      <c r="HN8" s="992"/>
      <c r="HO8" s="992"/>
      <c r="HP8" s="992" t="s">
        <v>100</v>
      </c>
      <c r="HQ8" s="994"/>
      <c r="HR8" s="992"/>
      <c r="HS8" s="992"/>
      <c r="HT8" s="992"/>
      <c r="HU8" s="994" t="s">
        <v>1376</v>
      </c>
      <c r="HV8" s="992" t="s">
        <v>100</v>
      </c>
      <c r="HW8" s="992"/>
      <c r="HX8" s="992"/>
      <c r="HY8" s="1056"/>
      <c r="HZ8" s="1056"/>
      <c r="IA8" s="1056"/>
      <c r="IB8" s="1056"/>
      <c r="IC8" s="1056"/>
      <c r="ID8" s="1056"/>
      <c r="IE8" s="1056"/>
      <c r="IF8" s="1056"/>
      <c r="IG8" s="1056"/>
      <c r="IH8" s="1056"/>
      <c r="II8" s="1056"/>
      <c r="IJ8" s="1056"/>
      <c r="IK8" s="1056"/>
      <c r="IL8" s="1056"/>
      <c r="IM8" s="1056"/>
      <c r="IN8" s="1056"/>
      <c r="IO8" s="1056"/>
      <c r="IP8" s="1056"/>
      <c r="IQ8" s="1056"/>
      <c r="IR8" s="1056"/>
      <c r="IS8" s="1056"/>
      <c r="IT8" s="1056"/>
      <c r="IU8" s="1056"/>
      <c r="IV8" s="1056"/>
    </row>
    <row r="9" spans="1:256" ht="19.95" customHeight="1">
      <c r="A9" s="991" t="s">
        <v>67</v>
      </c>
      <c r="B9" s="992"/>
      <c r="C9" s="992" t="str">
        <f>IF(ISTEXT(IFERROR(VLOOKUP(A9,职业列表!I3:J10,1,FALSE),0)),"★","")</f>
        <v/>
      </c>
      <c r="D9" s="994"/>
      <c r="E9" s="992"/>
      <c r="F9" s="992"/>
      <c r="G9" s="992"/>
      <c r="H9" s="992"/>
      <c r="I9" s="992"/>
      <c r="J9" s="992"/>
      <c r="K9" s="992"/>
      <c r="L9" s="992"/>
      <c r="M9" s="992"/>
      <c r="N9" s="992"/>
      <c r="O9" s="992"/>
      <c r="P9" s="992"/>
      <c r="Q9" s="992"/>
      <c r="R9" s="992"/>
      <c r="S9" s="992"/>
      <c r="T9" s="992"/>
      <c r="U9" s="992"/>
      <c r="V9" s="992"/>
      <c r="W9" s="992"/>
      <c r="X9" s="992"/>
      <c r="Y9" s="992"/>
      <c r="Z9" s="992"/>
      <c r="AA9" s="992"/>
      <c r="AB9" s="992"/>
      <c r="AC9" s="992"/>
      <c r="AD9" s="992"/>
      <c r="AE9" s="992"/>
      <c r="AF9" s="992"/>
      <c r="AG9" s="992"/>
      <c r="AH9" s="992"/>
      <c r="AI9" s="992"/>
      <c r="AJ9" s="992"/>
      <c r="AK9" s="992"/>
      <c r="AL9" s="992"/>
      <c r="AM9" s="992"/>
      <c r="AN9" s="992"/>
      <c r="AO9" s="992"/>
      <c r="AP9" s="992"/>
      <c r="AQ9" s="992"/>
      <c r="AR9" s="992"/>
      <c r="AS9" s="992"/>
      <c r="AT9" s="992"/>
      <c r="AU9" s="992"/>
      <c r="AV9" s="992"/>
      <c r="AW9" s="992"/>
      <c r="AX9" s="992"/>
      <c r="AY9" s="992"/>
      <c r="AZ9" s="992"/>
      <c r="BA9" s="992"/>
      <c r="BB9" s="992"/>
      <c r="BC9" s="992"/>
      <c r="BD9" s="992"/>
      <c r="BE9" s="992"/>
      <c r="BF9" s="992"/>
      <c r="BG9" s="992"/>
      <c r="BH9" s="992"/>
      <c r="BI9" s="992"/>
      <c r="BJ9" s="992"/>
      <c r="BK9" s="992"/>
      <c r="BL9" s="992"/>
      <c r="BM9" s="992"/>
      <c r="BN9" s="992"/>
      <c r="BO9" s="992"/>
      <c r="BP9" s="992"/>
      <c r="BQ9" s="992"/>
      <c r="BR9" s="992"/>
      <c r="BS9" s="992"/>
      <c r="BT9" s="992"/>
      <c r="BU9" s="992"/>
      <c r="BV9" s="992"/>
      <c r="BW9" s="992"/>
      <c r="BX9" s="992"/>
      <c r="BY9" s="992"/>
      <c r="BZ9" s="992"/>
      <c r="CA9" s="992"/>
      <c r="CB9" s="992"/>
      <c r="CC9" s="992"/>
      <c r="CD9" s="992"/>
      <c r="CE9" s="992" t="s">
        <v>100</v>
      </c>
      <c r="CF9" s="992"/>
      <c r="CG9" s="994" t="s">
        <v>100</v>
      </c>
      <c r="CH9" s="992"/>
      <c r="CI9" s="992"/>
      <c r="CJ9" s="992"/>
      <c r="CK9" s="992"/>
      <c r="CL9" s="992"/>
      <c r="CM9" s="992"/>
      <c r="CN9" s="992"/>
      <c r="CO9" s="992"/>
      <c r="CP9" s="992"/>
      <c r="CQ9" s="992"/>
      <c r="CR9" s="992"/>
      <c r="CS9" s="992"/>
      <c r="CT9" s="992"/>
      <c r="CU9" s="992"/>
      <c r="CV9" s="992"/>
      <c r="CW9" s="992"/>
      <c r="CX9" s="992"/>
      <c r="CY9" s="992"/>
      <c r="CZ9" s="992"/>
      <c r="DA9" s="992"/>
      <c r="DB9" s="992"/>
      <c r="DC9" s="992"/>
      <c r="DD9" s="992"/>
      <c r="DE9" s="992"/>
      <c r="DF9" s="992"/>
      <c r="DG9" s="992"/>
      <c r="DH9" s="992"/>
      <c r="DI9" s="992"/>
      <c r="DJ9" s="992"/>
      <c r="DK9" s="992"/>
      <c r="DL9" s="992"/>
      <c r="DM9" s="992"/>
      <c r="DN9" s="992"/>
      <c r="DO9" s="992"/>
      <c r="DP9" s="992"/>
      <c r="DQ9" s="992"/>
      <c r="DR9" s="992"/>
      <c r="DS9" s="992"/>
      <c r="DT9" s="992"/>
      <c r="DU9" s="992"/>
      <c r="DV9" s="992"/>
      <c r="DW9" s="992"/>
      <c r="DX9" s="992"/>
      <c r="DY9" s="992"/>
      <c r="DZ9" s="992"/>
      <c r="EA9" s="992"/>
      <c r="EB9" s="992"/>
      <c r="EC9" s="992"/>
      <c r="ED9" s="992"/>
      <c r="EE9" s="992"/>
      <c r="EF9" s="992"/>
      <c r="EG9" s="992"/>
      <c r="EH9" s="992"/>
      <c r="EI9" s="992"/>
      <c r="EJ9" s="992"/>
      <c r="EK9" s="992"/>
      <c r="EL9" s="992"/>
      <c r="EM9" s="992"/>
      <c r="EN9" s="992" t="s">
        <v>100</v>
      </c>
      <c r="EO9" s="992"/>
      <c r="EP9" s="992"/>
      <c r="EQ9" s="992"/>
      <c r="ER9" s="992"/>
      <c r="ES9" s="992"/>
      <c r="ET9" s="992"/>
      <c r="EU9" s="992"/>
      <c r="EV9" s="992"/>
      <c r="EW9" s="992"/>
      <c r="EX9" s="992"/>
      <c r="EY9" s="992"/>
      <c r="EZ9" s="992"/>
      <c r="FA9" s="992"/>
      <c r="FB9" s="992"/>
      <c r="FC9" s="992"/>
      <c r="FD9" s="992"/>
      <c r="FE9" s="992"/>
      <c r="FF9" s="992"/>
      <c r="FG9" s="992"/>
      <c r="FH9" s="992"/>
      <c r="FI9" s="992"/>
      <c r="FJ9" s="992"/>
      <c r="FK9" s="992"/>
      <c r="FL9" s="992"/>
      <c r="FM9" s="992"/>
      <c r="FN9" s="992"/>
      <c r="FO9" s="992"/>
      <c r="FP9" s="992"/>
      <c r="FQ9" s="992"/>
      <c r="FR9" s="992"/>
      <c r="FS9" s="992"/>
      <c r="FT9" s="992"/>
      <c r="FU9" s="992"/>
      <c r="FV9" s="992"/>
      <c r="FW9" s="992"/>
      <c r="FX9" s="992"/>
      <c r="FY9" s="992"/>
      <c r="FZ9" s="992"/>
      <c r="GA9" s="992"/>
      <c r="GB9" s="992"/>
      <c r="GC9" s="992"/>
      <c r="GD9" s="992"/>
      <c r="GE9" s="992"/>
      <c r="GF9" s="992"/>
      <c r="GG9" s="992"/>
      <c r="GH9" s="992"/>
      <c r="GI9" s="992"/>
      <c r="GJ9" s="992"/>
      <c r="GK9" s="992"/>
      <c r="GL9" s="992"/>
      <c r="GM9" s="992"/>
      <c r="GN9" s="992"/>
      <c r="GO9" s="992"/>
      <c r="GP9" s="992"/>
      <c r="GQ9" s="992"/>
      <c r="GR9" s="992"/>
      <c r="GS9" s="992"/>
      <c r="GT9" s="992"/>
      <c r="GU9" s="992"/>
      <c r="GV9" s="992"/>
      <c r="GW9" s="992"/>
      <c r="GX9" s="992"/>
      <c r="GY9" s="992"/>
      <c r="GZ9" s="992"/>
      <c r="HA9" s="992"/>
      <c r="HB9" s="992"/>
      <c r="HC9" s="992"/>
      <c r="HD9" s="992"/>
      <c r="HE9" s="992"/>
      <c r="HF9" s="993" t="s">
        <v>100</v>
      </c>
      <c r="HG9" s="992"/>
      <c r="HH9" s="992"/>
      <c r="HI9" s="992"/>
      <c r="HJ9" s="992"/>
      <c r="HK9" s="992"/>
      <c r="HL9" s="993" t="s">
        <v>100</v>
      </c>
      <c r="HM9" s="992"/>
      <c r="HN9" s="992"/>
      <c r="HO9" s="992"/>
      <c r="HP9" s="992"/>
      <c r="HQ9" s="992"/>
      <c r="HR9" s="992"/>
      <c r="HS9" s="992"/>
      <c r="HT9" s="992"/>
      <c r="HU9" s="992"/>
      <c r="HV9" s="992"/>
      <c r="HW9" s="992"/>
      <c r="HX9" s="992"/>
      <c r="HY9" s="1056"/>
      <c r="HZ9" s="1056"/>
      <c r="IA9" s="1056"/>
      <c r="IB9" s="1056"/>
      <c r="IC9" s="1056"/>
      <c r="ID9" s="1056"/>
      <c r="IE9" s="1056"/>
      <c r="IF9" s="1056"/>
      <c r="IG9" s="1056"/>
      <c r="IH9" s="1056"/>
      <c r="II9" s="1056"/>
      <c r="IJ9" s="1056"/>
      <c r="IK9" s="1056"/>
      <c r="IL9" s="1056"/>
      <c r="IM9" s="1056"/>
      <c r="IN9" s="1056"/>
      <c r="IO9" s="1056"/>
      <c r="IP9" s="1056"/>
      <c r="IQ9" s="1056"/>
      <c r="IR9" s="1056"/>
      <c r="IS9" s="1056"/>
      <c r="IT9" s="1056"/>
      <c r="IU9" s="1056"/>
      <c r="IV9" s="1056"/>
    </row>
    <row r="10" spans="1:256" ht="19.95" customHeight="1">
      <c r="A10" s="991" t="s">
        <v>71</v>
      </c>
      <c r="B10" s="992"/>
      <c r="C10" s="992" t="str">
        <f>IF(ISTEXT(IFERROR(VLOOKUP(A10,职业列表!I3:J10,1,FALSE),0)),"★","")</f>
        <v/>
      </c>
      <c r="D10" s="994"/>
      <c r="E10" s="992"/>
      <c r="F10" s="992"/>
      <c r="G10" s="992"/>
      <c r="H10" s="992"/>
      <c r="I10" s="992"/>
      <c r="J10" s="992"/>
      <c r="K10" s="994" t="s">
        <v>100</v>
      </c>
      <c r="L10" s="994" t="s">
        <v>100</v>
      </c>
      <c r="M10" s="992" t="s">
        <v>100</v>
      </c>
      <c r="N10" s="992"/>
      <c r="O10" s="992"/>
      <c r="P10" s="992"/>
      <c r="Q10" s="992"/>
      <c r="R10" s="992"/>
      <c r="S10" s="992"/>
      <c r="T10" s="992"/>
      <c r="U10" s="994" t="s">
        <v>100</v>
      </c>
      <c r="V10" s="992"/>
      <c r="W10" s="992"/>
      <c r="X10" s="992" t="s">
        <v>1373</v>
      </c>
      <c r="Y10" s="992"/>
      <c r="Z10" s="992"/>
      <c r="AA10" s="992"/>
      <c r="AB10" s="992"/>
      <c r="AC10" s="992"/>
      <c r="AD10" s="992"/>
      <c r="AE10" s="992"/>
      <c r="AF10" s="992"/>
      <c r="AG10" s="994" t="s">
        <v>100</v>
      </c>
      <c r="AH10" s="994" t="s">
        <v>100</v>
      </c>
      <c r="AI10" s="994" t="s">
        <v>100</v>
      </c>
      <c r="AJ10" s="992"/>
      <c r="AK10" s="994" t="s">
        <v>100</v>
      </c>
      <c r="AL10" s="994" t="s">
        <v>100</v>
      </c>
      <c r="AM10" s="992"/>
      <c r="AN10" s="992"/>
      <c r="AO10" s="992"/>
      <c r="AP10" s="992"/>
      <c r="AQ10" s="992"/>
      <c r="AR10" s="992"/>
      <c r="AS10" s="992"/>
      <c r="AT10" s="992"/>
      <c r="AU10" s="992"/>
      <c r="AV10" s="992"/>
      <c r="AW10" s="992"/>
      <c r="AX10" s="992"/>
      <c r="AY10" s="992"/>
      <c r="AZ10" s="992"/>
      <c r="BA10" s="992"/>
      <c r="BB10" s="992"/>
      <c r="BC10" s="992"/>
      <c r="BD10" s="992"/>
      <c r="BE10" s="992"/>
      <c r="BF10" s="992"/>
      <c r="BG10" s="992"/>
      <c r="BH10" s="992"/>
      <c r="BI10" s="992"/>
      <c r="BJ10" s="992"/>
      <c r="BK10" s="992"/>
      <c r="BL10" s="992"/>
      <c r="BM10" s="992"/>
      <c r="BN10" s="992"/>
      <c r="BO10" s="992"/>
      <c r="BP10" s="992"/>
      <c r="BQ10" s="992"/>
      <c r="BR10" s="992"/>
      <c r="BS10" s="992"/>
      <c r="BT10" s="992"/>
      <c r="BU10" s="992"/>
      <c r="BV10" s="992"/>
      <c r="BW10" s="992"/>
      <c r="BX10" s="992"/>
      <c r="BY10" s="992"/>
      <c r="BZ10" s="992"/>
      <c r="CA10" s="992"/>
      <c r="CB10" s="994" t="s">
        <v>100</v>
      </c>
      <c r="CC10" s="992"/>
      <c r="CD10" s="992"/>
      <c r="CE10" s="992"/>
      <c r="CF10" s="992"/>
      <c r="CG10" s="992"/>
      <c r="CH10" s="992"/>
      <c r="CI10" s="992"/>
      <c r="CJ10" s="992"/>
      <c r="CK10" s="992"/>
      <c r="CL10" s="992"/>
      <c r="CM10" s="992"/>
      <c r="CN10" s="992"/>
      <c r="CO10" s="992"/>
      <c r="CP10" s="992"/>
      <c r="CQ10" s="992"/>
      <c r="CR10" s="992"/>
      <c r="CS10" s="992"/>
      <c r="CT10" s="992"/>
      <c r="CU10" s="992"/>
      <c r="CV10" s="992"/>
      <c r="CW10" s="992"/>
      <c r="CX10" s="992"/>
      <c r="CY10" s="992"/>
      <c r="CZ10" s="992"/>
      <c r="DA10" s="992"/>
      <c r="DB10" s="992"/>
      <c r="DC10" s="992"/>
      <c r="DD10" s="992"/>
      <c r="DE10" s="992"/>
      <c r="DF10" s="992"/>
      <c r="DG10" s="992"/>
      <c r="DH10" s="992"/>
      <c r="DI10" s="992"/>
      <c r="DJ10" s="992"/>
      <c r="DK10" s="992"/>
      <c r="DL10" s="992"/>
      <c r="DM10" s="992"/>
      <c r="DN10" s="992"/>
      <c r="DO10" s="992"/>
      <c r="DP10" s="992"/>
      <c r="DQ10" s="992"/>
      <c r="DR10" s="992"/>
      <c r="DS10" s="992"/>
      <c r="DT10" s="992"/>
      <c r="DU10" s="992"/>
      <c r="DV10" s="992"/>
      <c r="DW10" s="992"/>
      <c r="DX10" s="992"/>
      <c r="DY10" s="992"/>
      <c r="DZ10" s="992"/>
      <c r="EA10" s="992"/>
      <c r="EB10" s="992" t="s">
        <v>100</v>
      </c>
      <c r="EC10" s="992"/>
      <c r="ED10" s="992"/>
      <c r="EE10" s="992"/>
      <c r="EF10" s="992"/>
      <c r="EG10" s="992"/>
      <c r="EH10" s="992"/>
      <c r="EI10" s="992"/>
      <c r="EJ10" s="992"/>
      <c r="EK10" s="992"/>
      <c r="EL10" s="992"/>
      <c r="EM10" s="992"/>
      <c r="EN10" s="992"/>
      <c r="EO10" s="992"/>
      <c r="EP10" s="992"/>
      <c r="EQ10" s="992"/>
      <c r="ER10" s="992"/>
      <c r="ES10" s="992"/>
      <c r="ET10" s="992"/>
      <c r="EU10" s="992"/>
      <c r="EV10" s="992" t="s">
        <v>100</v>
      </c>
      <c r="EW10" s="992"/>
      <c r="EX10" s="992"/>
      <c r="EY10" s="992"/>
      <c r="EZ10" s="992"/>
      <c r="FA10" s="992"/>
      <c r="FB10" s="992" t="s">
        <v>100</v>
      </c>
      <c r="FC10" s="992"/>
      <c r="FD10" s="992"/>
      <c r="FE10" s="992"/>
      <c r="FF10" s="992"/>
      <c r="FG10" s="992"/>
      <c r="FH10" s="992"/>
      <c r="FI10" s="992"/>
      <c r="FJ10" s="992"/>
      <c r="FK10" s="992"/>
      <c r="FL10" s="992"/>
      <c r="FM10" s="992"/>
      <c r="FN10" s="992"/>
      <c r="FO10" s="992"/>
      <c r="FP10" s="992"/>
      <c r="FQ10" s="992"/>
      <c r="FR10" s="992"/>
      <c r="FS10" s="992"/>
      <c r="FT10" s="992"/>
      <c r="FU10" s="992"/>
      <c r="FV10" s="992"/>
      <c r="FW10" s="992"/>
      <c r="FX10" s="992"/>
      <c r="FY10" s="992"/>
      <c r="FZ10" s="992"/>
      <c r="GA10" s="992"/>
      <c r="GB10" s="992"/>
      <c r="GC10" s="992"/>
      <c r="GD10" s="992"/>
      <c r="GE10" s="992"/>
      <c r="GF10" s="992"/>
      <c r="GG10" s="992"/>
      <c r="GH10" s="992"/>
      <c r="GI10" s="992"/>
      <c r="GJ10" s="992"/>
      <c r="GK10" s="992"/>
      <c r="GL10" s="992"/>
      <c r="GM10" s="992"/>
      <c r="GN10" s="992"/>
      <c r="GO10" s="992"/>
      <c r="GP10" s="992"/>
      <c r="GQ10" s="992"/>
      <c r="GR10" s="992"/>
      <c r="GS10" s="992"/>
      <c r="GT10" s="992"/>
      <c r="GU10" s="992"/>
      <c r="GV10" s="992"/>
      <c r="GW10" s="992"/>
      <c r="GX10" s="992"/>
      <c r="GY10" s="993" t="s">
        <v>100</v>
      </c>
      <c r="GZ10" s="992" t="s">
        <v>100</v>
      </c>
      <c r="HA10" s="992"/>
      <c r="HB10" s="993" t="s">
        <v>100</v>
      </c>
      <c r="HC10" s="992"/>
      <c r="HD10" s="994"/>
      <c r="HE10" s="992"/>
      <c r="HF10" s="992" t="s">
        <v>100</v>
      </c>
      <c r="HG10" s="993" t="s">
        <v>100</v>
      </c>
      <c r="HH10" s="993" t="s">
        <v>100</v>
      </c>
      <c r="HI10" s="992"/>
      <c r="HJ10" s="992"/>
      <c r="HK10" s="992"/>
      <c r="HL10" s="993" t="s">
        <v>100</v>
      </c>
      <c r="HM10" s="994"/>
      <c r="HN10" s="993" t="s">
        <v>100</v>
      </c>
      <c r="HO10" s="1053" t="s">
        <v>100</v>
      </c>
      <c r="HP10" s="992" t="s">
        <v>100</v>
      </c>
      <c r="HQ10" s="992"/>
      <c r="HR10" s="992"/>
      <c r="HS10" s="992"/>
      <c r="HT10" s="992"/>
      <c r="HU10" s="992" t="s">
        <v>1376</v>
      </c>
      <c r="HV10" s="992" t="s">
        <v>100</v>
      </c>
      <c r="HW10" s="992"/>
      <c r="HX10" s="992"/>
      <c r="HY10" s="1056"/>
      <c r="HZ10" s="1056"/>
      <c r="IA10" s="1056"/>
      <c r="IB10" s="1056"/>
      <c r="IC10" s="1056"/>
      <c r="ID10" s="1056"/>
      <c r="IE10" s="1056"/>
      <c r="IF10" s="1056"/>
      <c r="IG10" s="1056"/>
      <c r="IH10" s="1056"/>
      <c r="II10" s="1056"/>
      <c r="IJ10" s="1056"/>
      <c r="IK10" s="1056"/>
      <c r="IL10" s="1056"/>
      <c r="IM10" s="1056"/>
      <c r="IN10" s="1056"/>
      <c r="IO10" s="1056"/>
      <c r="IP10" s="1056"/>
      <c r="IQ10" s="1056"/>
      <c r="IR10" s="1056"/>
      <c r="IS10" s="1056"/>
      <c r="IT10" s="1056"/>
      <c r="IU10" s="1056"/>
      <c r="IV10" s="1056"/>
    </row>
    <row r="11" spans="1:256" ht="19.95" customHeight="1">
      <c r="A11" s="991" t="s">
        <v>75</v>
      </c>
      <c r="B11" s="992"/>
      <c r="C11" s="992" t="str">
        <f>IF(ISTEXT(IFERROR(VLOOKUP(A11,职业列表!I3:J10,1,FALSE),0)),"★","")</f>
        <v/>
      </c>
      <c r="D11" s="994"/>
      <c r="E11" s="992"/>
      <c r="F11" s="992"/>
      <c r="G11" s="992"/>
      <c r="H11" s="992"/>
      <c r="I11" s="992"/>
      <c r="J11" s="992"/>
      <c r="K11" s="992"/>
      <c r="L11" s="992"/>
      <c r="M11" s="994" t="s">
        <v>100</v>
      </c>
      <c r="N11" s="992"/>
      <c r="O11" s="992"/>
      <c r="P11" s="992"/>
      <c r="Q11" s="992"/>
      <c r="R11" s="992"/>
      <c r="S11" s="992"/>
      <c r="T11" s="992"/>
      <c r="U11" s="992"/>
      <c r="V11" s="992"/>
      <c r="W11" s="992"/>
      <c r="X11" s="992"/>
      <c r="Y11" s="992"/>
      <c r="Z11" s="992"/>
      <c r="AA11" s="992"/>
      <c r="AB11" s="992"/>
      <c r="AC11" s="992"/>
      <c r="AD11" s="992"/>
      <c r="AE11" s="992"/>
      <c r="AF11" s="992"/>
      <c r="AG11" s="992"/>
      <c r="AH11" s="992"/>
      <c r="AI11" s="992"/>
      <c r="AJ11" s="992"/>
      <c r="AK11" s="992"/>
      <c r="AL11" s="992"/>
      <c r="AM11" s="992"/>
      <c r="AN11" s="992"/>
      <c r="AO11" s="992"/>
      <c r="AP11" s="992"/>
      <c r="AQ11" s="992"/>
      <c r="AR11" s="992"/>
      <c r="AS11" s="992"/>
      <c r="AT11" s="992"/>
      <c r="AU11" s="992"/>
      <c r="AV11" s="992"/>
      <c r="AW11" s="992"/>
      <c r="AX11" s="992"/>
      <c r="AY11" s="992"/>
      <c r="AZ11" s="992"/>
      <c r="BA11" s="992"/>
      <c r="BB11" s="992"/>
      <c r="BC11" s="992"/>
      <c r="BD11" s="992"/>
      <c r="BE11" s="992"/>
      <c r="BF11" s="992"/>
      <c r="BG11" s="992"/>
      <c r="BH11" s="992"/>
      <c r="BI11" s="992"/>
      <c r="BJ11" s="992"/>
      <c r="BK11" s="992"/>
      <c r="BL11" s="992"/>
      <c r="BM11" s="992"/>
      <c r="BN11" s="992"/>
      <c r="BO11" s="992"/>
      <c r="BP11" s="992"/>
      <c r="BQ11" s="992"/>
      <c r="BR11" s="992"/>
      <c r="BS11" s="992"/>
      <c r="BT11" s="992"/>
      <c r="BU11" s="992"/>
      <c r="BV11" s="992"/>
      <c r="BW11" s="992"/>
      <c r="BX11" s="992"/>
      <c r="BY11" s="992"/>
      <c r="BZ11" s="992"/>
      <c r="CA11" s="992"/>
      <c r="CB11" s="994" t="s">
        <v>100</v>
      </c>
      <c r="CC11" s="992"/>
      <c r="CD11" s="992"/>
      <c r="CE11" s="994"/>
      <c r="CF11" s="992"/>
      <c r="CG11" s="992"/>
      <c r="CH11" s="992"/>
      <c r="CI11" s="992"/>
      <c r="CJ11" s="992"/>
      <c r="CK11" s="992"/>
      <c r="CL11" s="992"/>
      <c r="CM11" s="992"/>
      <c r="CN11" s="992"/>
      <c r="CO11" s="992"/>
      <c r="CP11" s="992"/>
      <c r="CQ11" s="992"/>
      <c r="CR11" s="992"/>
      <c r="CS11" s="992"/>
      <c r="CT11" s="992"/>
      <c r="CU11" s="992"/>
      <c r="CV11" s="992"/>
      <c r="CW11" s="992"/>
      <c r="CX11" s="992"/>
      <c r="CY11" s="992"/>
      <c r="CZ11" s="992"/>
      <c r="DA11" s="992"/>
      <c r="DB11" s="992"/>
      <c r="DC11" s="992"/>
      <c r="DD11" s="992"/>
      <c r="DE11" s="992"/>
      <c r="DF11" s="992"/>
      <c r="DG11" s="992"/>
      <c r="DH11" s="992"/>
      <c r="DI11" s="992"/>
      <c r="DJ11" s="992"/>
      <c r="DK11" s="992"/>
      <c r="DL11" s="992"/>
      <c r="DM11" s="992"/>
      <c r="DN11" s="992"/>
      <c r="DO11" s="992"/>
      <c r="DP11" s="992"/>
      <c r="DQ11" s="992"/>
      <c r="DR11" s="992"/>
      <c r="DS11" s="992"/>
      <c r="DT11" s="992"/>
      <c r="DU11" s="992"/>
      <c r="DV11" s="992"/>
      <c r="DW11" s="992"/>
      <c r="DX11" s="992"/>
      <c r="DY11" s="992"/>
      <c r="DZ11" s="992"/>
      <c r="EA11" s="992"/>
      <c r="EB11" s="992"/>
      <c r="EC11" s="992"/>
      <c r="ED11" s="992"/>
      <c r="EE11" s="992"/>
      <c r="EF11" s="992"/>
      <c r="EG11" s="992"/>
      <c r="EH11" s="992"/>
      <c r="EI11" s="992"/>
      <c r="EJ11" s="992"/>
      <c r="EK11" s="992"/>
      <c r="EL11" s="992"/>
      <c r="EM11" s="992"/>
      <c r="EN11" s="992"/>
      <c r="EO11" s="992"/>
      <c r="EP11" s="992"/>
      <c r="EQ11" s="992"/>
      <c r="ER11" s="992"/>
      <c r="ES11" s="992"/>
      <c r="ET11" s="992"/>
      <c r="EU11" s="992"/>
      <c r="EV11" s="992"/>
      <c r="EW11" s="992"/>
      <c r="EX11" s="992"/>
      <c r="EY11" s="992"/>
      <c r="EZ11" s="992"/>
      <c r="FA11" s="992"/>
      <c r="FB11" s="992"/>
      <c r="FC11" s="992"/>
      <c r="FD11" s="992"/>
      <c r="FE11" s="992"/>
      <c r="FF11" s="992"/>
      <c r="FG11" s="992"/>
      <c r="FH11" s="992"/>
      <c r="FI11" s="992"/>
      <c r="FJ11" s="992"/>
      <c r="FK11" s="992"/>
      <c r="FL11" s="992"/>
      <c r="FM11" s="992"/>
      <c r="FN11" s="992"/>
      <c r="FO11" s="992"/>
      <c r="FP11" s="992"/>
      <c r="FQ11" s="992"/>
      <c r="FR11" s="992"/>
      <c r="FS11" s="992"/>
      <c r="FT11" s="992"/>
      <c r="FU11" s="992"/>
      <c r="FV11" s="992"/>
      <c r="FW11" s="992"/>
      <c r="FX11" s="992"/>
      <c r="FY11" s="992"/>
      <c r="FZ11" s="992"/>
      <c r="GA11" s="992"/>
      <c r="GB11" s="992"/>
      <c r="GC11" s="992"/>
      <c r="GD11" s="992"/>
      <c r="GE11" s="992"/>
      <c r="GF11" s="992"/>
      <c r="GG11" s="992"/>
      <c r="GH11" s="992"/>
      <c r="GI11" s="992"/>
      <c r="GJ11" s="992"/>
      <c r="GK11" s="992"/>
      <c r="GL11" s="992"/>
      <c r="GM11" s="992"/>
      <c r="GN11" s="992"/>
      <c r="GO11" s="992"/>
      <c r="GP11" s="992"/>
      <c r="GQ11" s="992"/>
      <c r="GR11" s="992"/>
      <c r="GS11" s="992"/>
      <c r="GT11" s="992"/>
      <c r="GU11" s="992"/>
      <c r="GV11" s="992"/>
      <c r="GW11" s="992"/>
      <c r="GX11" s="992"/>
      <c r="GY11" s="992"/>
      <c r="GZ11" s="992"/>
      <c r="HA11" s="992"/>
      <c r="HB11" s="992"/>
      <c r="HC11" s="992"/>
      <c r="HD11" s="992"/>
      <c r="HE11" s="994"/>
      <c r="HF11" s="992"/>
      <c r="HG11" s="992"/>
      <c r="HH11" s="992"/>
      <c r="HI11" s="992"/>
      <c r="HJ11" s="992"/>
      <c r="HK11" s="992"/>
      <c r="HL11" s="992" t="s">
        <v>100</v>
      </c>
      <c r="HM11" s="992"/>
      <c r="HN11" s="992"/>
      <c r="HO11" s="992"/>
      <c r="HP11" s="992"/>
      <c r="HQ11" s="992"/>
      <c r="HR11" s="992"/>
      <c r="HS11" s="992"/>
      <c r="HT11" s="992"/>
      <c r="HU11" s="992"/>
      <c r="HV11" s="992"/>
      <c r="HW11" s="992"/>
      <c r="HX11" s="992"/>
      <c r="HY11" s="1056"/>
      <c r="HZ11" s="1056"/>
      <c r="IA11" s="1056"/>
      <c r="IB11" s="1056"/>
      <c r="IC11" s="1056"/>
      <c r="ID11" s="1056"/>
      <c r="IE11" s="1056"/>
      <c r="IF11" s="1056"/>
      <c r="IG11" s="1056"/>
      <c r="IH11" s="1056"/>
      <c r="II11" s="1056"/>
      <c r="IJ11" s="1056"/>
      <c r="IK11" s="1056"/>
      <c r="IL11" s="1056"/>
      <c r="IM11" s="1056"/>
      <c r="IN11" s="1056"/>
      <c r="IO11" s="1056"/>
      <c r="IP11" s="1056"/>
      <c r="IQ11" s="1056"/>
      <c r="IR11" s="1056"/>
      <c r="IS11" s="1056"/>
      <c r="IT11" s="1056"/>
      <c r="IU11" s="1056"/>
      <c r="IV11" s="1056"/>
    </row>
    <row r="12" spans="1:256" s="973" customFormat="1" ht="19.95" customHeight="1">
      <c r="A12" s="995" t="s">
        <v>78</v>
      </c>
      <c r="B12" s="996"/>
      <c r="C12" s="992" t="str">
        <f>IF(ISTEXT(IFERROR(VLOOKUP(A12,职业列表!I3:J10,1,FALSE),0)),"★","")</f>
        <v/>
      </c>
      <c r="D12" s="997"/>
      <c r="E12" s="996"/>
      <c r="F12" s="996" t="s">
        <v>1377</v>
      </c>
      <c r="G12" s="996" t="s">
        <v>1377</v>
      </c>
      <c r="H12" s="996"/>
      <c r="I12" s="996"/>
      <c r="J12" s="996"/>
      <c r="K12" s="997" t="s">
        <v>100</v>
      </c>
      <c r="L12" s="996"/>
      <c r="M12" s="996"/>
      <c r="N12" s="996" t="s">
        <v>1378</v>
      </c>
      <c r="O12" s="997" t="s">
        <v>100</v>
      </c>
      <c r="P12" s="996"/>
      <c r="Q12" s="996"/>
      <c r="R12" s="996" t="s">
        <v>1379</v>
      </c>
      <c r="S12" s="996"/>
      <c r="T12" s="996"/>
      <c r="U12" s="996"/>
      <c r="V12" s="996"/>
      <c r="W12" s="996"/>
      <c r="X12" s="997" t="s">
        <v>100</v>
      </c>
      <c r="Y12" s="996"/>
      <c r="Z12" s="996"/>
      <c r="AA12" s="996"/>
      <c r="AB12" s="996"/>
      <c r="AC12" s="997" t="s">
        <v>100</v>
      </c>
      <c r="AD12" s="996"/>
      <c r="AE12" s="996"/>
      <c r="AF12" s="996"/>
      <c r="AG12" s="996"/>
      <c r="AH12" s="996" t="s">
        <v>1377</v>
      </c>
      <c r="AI12" s="996" t="s">
        <v>1380</v>
      </c>
      <c r="AJ12" s="997" t="s">
        <v>100</v>
      </c>
      <c r="AK12" s="996" t="s">
        <v>1381</v>
      </c>
      <c r="AL12" s="996" t="s">
        <v>1381</v>
      </c>
      <c r="AM12" s="996"/>
      <c r="AN12" s="996"/>
      <c r="AO12" s="996"/>
      <c r="AP12" s="996"/>
      <c r="AQ12" s="996" t="s">
        <v>1382</v>
      </c>
      <c r="AR12" s="997" t="s">
        <v>100</v>
      </c>
      <c r="AS12" s="996"/>
      <c r="AT12" s="996"/>
      <c r="AU12" s="996"/>
      <c r="AV12" s="996"/>
      <c r="AW12" s="996"/>
      <c r="AX12" s="996"/>
      <c r="AY12" s="996"/>
      <c r="AZ12" s="996"/>
      <c r="BA12" s="996" t="s">
        <v>1378</v>
      </c>
      <c r="BB12" s="996" t="s">
        <v>1383</v>
      </c>
      <c r="BC12" s="996"/>
      <c r="BD12" s="996" t="s">
        <v>1384</v>
      </c>
      <c r="BE12" s="996"/>
      <c r="BF12" s="996"/>
      <c r="BG12" s="996"/>
      <c r="BH12" s="996"/>
      <c r="BI12" s="996" t="s">
        <v>1377</v>
      </c>
      <c r="BJ12" s="996"/>
      <c r="BK12" s="996"/>
      <c r="BL12" s="997" t="s">
        <v>100</v>
      </c>
      <c r="BM12" s="997" t="s">
        <v>100</v>
      </c>
      <c r="BN12" s="996"/>
      <c r="BO12" s="1040" t="s">
        <v>1385</v>
      </c>
      <c r="BP12" s="996" t="s">
        <v>1377</v>
      </c>
      <c r="BQ12" s="996"/>
      <c r="BR12" s="996"/>
      <c r="BS12" s="996"/>
      <c r="BT12" s="996"/>
      <c r="BU12" s="996"/>
      <c r="BV12" s="996"/>
      <c r="BW12" s="996"/>
      <c r="BX12" s="997" t="s">
        <v>100</v>
      </c>
      <c r="BY12" s="996"/>
      <c r="BZ12" s="997" t="s">
        <v>100</v>
      </c>
      <c r="CA12" s="996"/>
      <c r="CB12" s="996"/>
      <c r="CC12" s="996" t="s">
        <v>1386</v>
      </c>
      <c r="CD12" s="996"/>
      <c r="CE12" s="996"/>
      <c r="CF12" s="996"/>
      <c r="CG12" s="996" t="s">
        <v>1382</v>
      </c>
      <c r="CH12" s="996"/>
      <c r="CI12" s="996" t="s">
        <v>1382</v>
      </c>
      <c r="CJ12" s="996" t="s">
        <v>1382</v>
      </c>
      <c r="CK12" s="996"/>
      <c r="CL12" s="996"/>
      <c r="CM12" s="1040" t="s">
        <v>1380</v>
      </c>
      <c r="CN12" s="996"/>
      <c r="CO12" s="996" t="s">
        <v>1382</v>
      </c>
      <c r="CP12" s="996"/>
      <c r="CQ12" s="996"/>
      <c r="CR12" s="997" t="s">
        <v>100</v>
      </c>
      <c r="CS12" s="996"/>
      <c r="CT12" s="996"/>
      <c r="CU12" s="996"/>
      <c r="CV12" s="996"/>
      <c r="CW12" s="996"/>
      <c r="CX12" s="996"/>
      <c r="CY12" s="996"/>
      <c r="CZ12" s="996"/>
      <c r="DA12" s="996"/>
      <c r="DB12" s="996"/>
      <c r="DC12" s="996" t="s">
        <v>1380</v>
      </c>
      <c r="DD12" s="996"/>
      <c r="DE12" s="996"/>
      <c r="DF12" s="996"/>
      <c r="DG12" s="996"/>
      <c r="DH12" s="996"/>
      <c r="DI12" s="997" t="s">
        <v>100</v>
      </c>
      <c r="DJ12" s="996"/>
      <c r="DK12" s="996"/>
      <c r="DL12" s="996"/>
      <c r="DM12" s="996" t="s">
        <v>1387</v>
      </c>
      <c r="DN12" s="996"/>
      <c r="DO12" s="996"/>
      <c r="DP12" s="996"/>
      <c r="DQ12" s="996"/>
      <c r="DR12" s="996"/>
      <c r="DS12" s="996"/>
      <c r="DT12" s="996"/>
      <c r="DU12" s="996"/>
      <c r="DV12" s="996"/>
      <c r="DW12" s="996"/>
      <c r="DX12" s="996"/>
      <c r="DY12" s="996"/>
      <c r="DZ12" s="996" t="s">
        <v>1379</v>
      </c>
      <c r="EA12" s="996"/>
      <c r="EB12" s="996"/>
      <c r="EC12" s="996"/>
      <c r="ED12" s="996"/>
      <c r="EE12" s="996"/>
      <c r="EF12" s="996"/>
      <c r="EG12" s="996"/>
      <c r="EH12" s="996"/>
      <c r="EI12" s="996"/>
      <c r="EJ12" s="996"/>
      <c r="EK12" s="996" t="s">
        <v>100</v>
      </c>
      <c r="EL12" s="996" t="s">
        <v>1382</v>
      </c>
      <c r="EM12" s="996"/>
      <c r="EN12" s="996"/>
      <c r="EO12" s="996" t="s">
        <v>1386</v>
      </c>
      <c r="EP12" s="996"/>
      <c r="EQ12" s="996" t="s">
        <v>1377</v>
      </c>
      <c r="ER12" s="996"/>
      <c r="ES12" s="996"/>
      <c r="ET12" s="996"/>
      <c r="EU12" s="996" t="s">
        <v>100</v>
      </c>
      <c r="EV12" s="996"/>
      <c r="EW12" s="996" t="s">
        <v>1382</v>
      </c>
      <c r="EX12" s="996"/>
      <c r="EY12" s="996"/>
      <c r="EZ12" s="996" t="s">
        <v>1382</v>
      </c>
      <c r="FA12" s="996"/>
      <c r="FB12" s="996"/>
      <c r="FC12" s="996"/>
      <c r="FD12" s="996"/>
      <c r="FE12" s="996" t="s">
        <v>1388</v>
      </c>
      <c r="FF12" s="996" t="s">
        <v>1388</v>
      </c>
      <c r="FG12" s="996" t="s">
        <v>100</v>
      </c>
      <c r="FH12" s="996"/>
      <c r="FI12" s="996"/>
      <c r="FJ12" s="996" t="s">
        <v>1377</v>
      </c>
      <c r="FK12" s="996" t="s">
        <v>1388</v>
      </c>
      <c r="FL12" s="996"/>
      <c r="FM12" s="996"/>
      <c r="FN12" s="996"/>
      <c r="FO12" s="996"/>
      <c r="FP12" s="996"/>
      <c r="FQ12" s="996" t="s">
        <v>100</v>
      </c>
      <c r="FR12" s="996" t="s">
        <v>100</v>
      </c>
      <c r="FS12" s="996" t="s">
        <v>1389</v>
      </c>
      <c r="FT12" s="996"/>
      <c r="FU12" s="996"/>
      <c r="FV12" s="996"/>
      <c r="FW12" s="996" t="s">
        <v>1382</v>
      </c>
      <c r="FX12" s="996"/>
      <c r="FY12" s="996" t="s">
        <v>1383</v>
      </c>
      <c r="FZ12" s="996" t="s">
        <v>1382</v>
      </c>
      <c r="GA12" s="996"/>
      <c r="GB12" s="996"/>
      <c r="GC12" s="996"/>
      <c r="GD12" s="996"/>
      <c r="GE12" s="996"/>
      <c r="GF12" s="996"/>
      <c r="GG12" s="996" t="s">
        <v>1377</v>
      </c>
      <c r="GH12" s="996" t="s">
        <v>1390</v>
      </c>
      <c r="GI12" s="996" t="s">
        <v>1377</v>
      </c>
      <c r="GJ12" s="996"/>
      <c r="GK12" s="996" t="s">
        <v>1377</v>
      </c>
      <c r="GL12" s="996" t="s">
        <v>1377</v>
      </c>
      <c r="GM12" s="996" t="s">
        <v>1377</v>
      </c>
      <c r="GN12" s="996" t="s">
        <v>1377</v>
      </c>
      <c r="GO12" s="996"/>
      <c r="GP12" s="996" t="s">
        <v>1382</v>
      </c>
      <c r="GQ12" s="996" t="s">
        <v>1377</v>
      </c>
      <c r="GR12" s="996" t="s">
        <v>1389</v>
      </c>
      <c r="GS12" s="996" t="s">
        <v>1391</v>
      </c>
      <c r="GT12" s="996"/>
      <c r="GU12" s="996"/>
      <c r="GV12" s="996"/>
      <c r="GW12" s="996"/>
      <c r="GX12" s="996" t="s">
        <v>1392</v>
      </c>
      <c r="GY12" s="1040" t="s">
        <v>100</v>
      </c>
      <c r="GZ12" s="1040" t="s">
        <v>100</v>
      </c>
      <c r="HA12" s="996"/>
      <c r="HB12" s="1040" t="s">
        <v>100</v>
      </c>
      <c r="HC12" s="1048" t="s">
        <v>1393</v>
      </c>
      <c r="HD12" s="996"/>
      <c r="HE12" s="996"/>
      <c r="HF12" s="996"/>
      <c r="HG12" s="997" t="s">
        <v>100</v>
      </c>
      <c r="HH12" s="996"/>
      <c r="HI12" s="996"/>
      <c r="HJ12" s="996" t="s">
        <v>100</v>
      </c>
      <c r="HK12" s="996"/>
      <c r="HL12" s="996"/>
      <c r="HM12" s="1040" t="s">
        <v>1382</v>
      </c>
      <c r="HN12" s="1040" t="s">
        <v>1382</v>
      </c>
      <c r="HO12" s="996" t="s">
        <v>1376</v>
      </c>
      <c r="HP12" s="997"/>
      <c r="HQ12" s="996"/>
      <c r="HR12" s="996"/>
      <c r="HS12" s="996"/>
      <c r="HT12" s="1040" t="s">
        <v>100</v>
      </c>
      <c r="HU12" s="1048" t="s">
        <v>100</v>
      </c>
      <c r="HV12" s="1040" t="s">
        <v>100</v>
      </c>
      <c r="HW12" s="996"/>
      <c r="HX12" s="996"/>
      <c r="HY12" s="1059"/>
      <c r="HZ12" s="1059"/>
      <c r="IA12" s="1059"/>
      <c r="IB12" s="1059"/>
      <c r="IC12" s="1059"/>
      <c r="ID12" s="1059"/>
      <c r="IE12" s="1059"/>
      <c r="IF12" s="1059"/>
      <c r="IG12" s="1059"/>
      <c r="IH12" s="1059"/>
      <c r="II12" s="1059"/>
      <c r="IJ12" s="1059"/>
      <c r="IK12" s="1059"/>
      <c r="IL12" s="1059"/>
      <c r="IM12" s="1059"/>
      <c r="IN12" s="1059"/>
      <c r="IO12" s="1059"/>
      <c r="IP12" s="1059"/>
      <c r="IQ12" s="1059"/>
      <c r="IR12" s="1059"/>
      <c r="IS12" s="1059"/>
      <c r="IT12" s="1059"/>
      <c r="IU12" s="1059"/>
      <c r="IV12" s="1059"/>
    </row>
    <row r="13" spans="1:256" ht="19.95" customHeight="1">
      <c r="A13" s="998" t="s">
        <v>81</v>
      </c>
      <c r="B13" s="992"/>
      <c r="C13" s="992" t="str">
        <f>IF(ISTEXT(IFERROR(VLOOKUP(A13,职业列表!I3:J10,1,FALSE),0)),"★","")</f>
        <v/>
      </c>
      <c r="D13" s="999"/>
      <c r="E13" s="999"/>
      <c r="F13" s="999"/>
      <c r="G13" s="999"/>
      <c r="H13" s="999"/>
      <c r="I13" s="999"/>
      <c r="J13" s="999"/>
      <c r="K13" s="999"/>
      <c r="L13" s="999"/>
      <c r="M13" s="999"/>
      <c r="N13" s="992"/>
      <c r="O13" s="999"/>
      <c r="P13" s="999"/>
      <c r="Q13" s="999"/>
      <c r="R13" s="999"/>
      <c r="S13" s="999"/>
      <c r="T13" s="999"/>
      <c r="U13" s="999"/>
      <c r="V13" s="999"/>
      <c r="W13" s="999"/>
      <c r="X13" s="999"/>
      <c r="Y13" s="999"/>
      <c r="Z13" s="999"/>
      <c r="AA13" s="999"/>
      <c r="AB13" s="999"/>
      <c r="AC13" s="994" t="s">
        <v>100</v>
      </c>
      <c r="AD13" s="999"/>
      <c r="AE13" s="999"/>
      <c r="AF13" s="999"/>
      <c r="AG13" s="999"/>
      <c r="AH13" s="999"/>
      <c r="AI13" s="999"/>
      <c r="AJ13" s="999"/>
      <c r="AK13" s="999"/>
      <c r="AL13" s="999"/>
      <c r="AM13" s="999"/>
      <c r="AN13" s="999"/>
      <c r="AO13" s="999"/>
      <c r="AP13" s="999"/>
      <c r="AQ13" s="994" t="s">
        <v>100</v>
      </c>
      <c r="AR13" s="999"/>
      <c r="AS13" s="999"/>
      <c r="AT13" s="999"/>
      <c r="AU13" s="999"/>
      <c r="AV13" s="999"/>
      <c r="AW13" s="999"/>
      <c r="AX13" s="999"/>
      <c r="AY13" s="999"/>
      <c r="AZ13" s="999"/>
      <c r="BA13" s="992"/>
      <c r="BB13" s="999" t="s">
        <v>1394</v>
      </c>
      <c r="BC13" s="999"/>
      <c r="BD13" s="999"/>
      <c r="BE13" s="999"/>
      <c r="BF13" s="999"/>
      <c r="BG13" s="999"/>
      <c r="BH13" s="999"/>
      <c r="BI13" s="999"/>
      <c r="BJ13" s="999"/>
      <c r="BK13" s="999"/>
      <c r="BL13" s="999"/>
      <c r="BM13" s="999"/>
      <c r="BN13" s="999"/>
      <c r="BO13" s="999" t="s">
        <v>1395</v>
      </c>
      <c r="BP13" s="999"/>
      <c r="BQ13" s="999"/>
      <c r="BR13" s="999"/>
      <c r="BS13" s="999"/>
      <c r="BT13" s="999"/>
      <c r="BU13" s="999"/>
      <c r="BV13" s="999"/>
      <c r="BW13" s="999"/>
      <c r="BX13" s="994" t="s">
        <v>100</v>
      </c>
      <c r="BY13" s="999"/>
      <c r="BZ13" s="999"/>
      <c r="CA13" s="999"/>
      <c r="CB13" s="999"/>
      <c r="CC13" s="999"/>
      <c r="CD13" s="999"/>
      <c r="CE13" s="999"/>
      <c r="CF13" s="999"/>
      <c r="CG13" s="999"/>
      <c r="CH13" s="999"/>
      <c r="CI13" s="999"/>
      <c r="CJ13" s="999"/>
      <c r="CK13" s="999"/>
      <c r="CL13" s="999"/>
      <c r="CM13" s="999"/>
      <c r="CN13" s="999"/>
      <c r="CO13" s="999"/>
      <c r="CP13" s="999"/>
      <c r="CQ13" s="999"/>
      <c r="CR13" s="999"/>
      <c r="CS13" s="999"/>
      <c r="CT13" s="999"/>
      <c r="CU13" s="999"/>
      <c r="CV13" s="999"/>
      <c r="CW13" s="999"/>
      <c r="CX13" s="999"/>
      <c r="CY13" s="999"/>
      <c r="CZ13" s="1033" t="s">
        <v>1396</v>
      </c>
      <c r="DA13" s="999"/>
      <c r="DB13" s="999"/>
      <c r="DC13" s="999"/>
      <c r="DD13" s="999"/>
      <c r="DE13" s="999"/>
      <c r="DF13" s="999"/>
      <c r="DG13" s="999"/>
      <c r="DH13" s="999"/>
      <c r="DI13" s="999"/>
      <c r="DJ13" s="999"/>
      <c r="DK13" s="999"/>
      <c r="DL13" s="999"/>
      <c r="DM13" s="999"/>
      <c r="DN13" s="992"/>
      <c r="DO13" s="992"/>
      <c r="DP13" s="992"/>
      <c r="DQ13" s="992"/>
      <c r="DR13" s="992"/>
      <c r="DS13" s="992"/>
      <c r="DT13" s="992"/>
      <c r="DU13" s="992"/>
      <c r="DV13" s="992"/>
      <c r="DW13" s="992"/>
      <c r="DX13" s="992"/>
      <c r="DY13" s="992"/>
      <c r="DZ13" s="992"/>
      <c r="EA13" s="992"/>
      <c r="EB13" s="992"/>
      <c r="EC13" s="992"/>
      <c r="ED13" s="992"/>
      <c r="EE13" s="992"/>
      <c r="EF13" s="992"/>
      <c r="EG13" s="992"/>
      <c r="EH13" s="992"/>
      <c r="EI13" s="992"/>
      <c r="EJ13" s="992"/>
      <c r="EK13" s="992"/>
      <c r="EL13" s="992"/>
      <c r="EM13" s="992"/>
      <c r="EN13" s="992"/>
      <c r="EO13" s="992"/>
      <c r="EP13" s="992"/>
      <c r="EQ13" s="992"/>
      <c r="ER13" s="992"/>
      <c r="ES13" s="992"/>
      <c r="ET13" s="992"/>
      <c r="EU13" s="992"/>
      <c r="EV13" s="992"/>
      <c r="EW13" s="992"/>
      <c r="EX13" s="992"/>
      <c r="EY13" s="992"/>
      <c r="EZ13" s="992"/>
      <c r="FA13" s="992"/>
      <c r="FB13" s="992"/>
      <c r="FC13" s="992"/>
      <c r="FD13" s="992"/>
      <c r="FE13" s="992"/>
      <c r="FF13" s="992" t="s">
        <v>100</v>
      </c>
      <c r="FG13" s="992"/>
      <c r="FH13" s="992"/>
      <c r="FI13" s="992"/>
      <c r="FJ13" s="992"/>
      <c r="FK13" s="992" t="s">
        <v>100</v>
      </c>
      <c r="FL13" s="992"/>
      <c r="FM13" s="992"/>
      <c r="FN13" s="992"/>
      <c r="FO13" s="992"/>
      <c r="FP13" s="992"/>
      <c r="FQ13" s="992"/>
      <c r="FR13" s="992"/>
      <c r="FS13" s="992"/>
      <c r="FT13" s="992"/>
      <c r="FU13" s="992"/>
      <c r="FV13" s="992"/>
      <c r="FW13" s="992"/>
      <c r="FX13" s="992"/>
      <c r="FY13" s="992" t="s">
        <v>1394</v>
      </c>
      <c r="FZ13" s="992" t="s">
        <v>100</v>
      </c>
      <c r="GA13" s="992"/>
      <c r="GB13" s="992"/>
      <c r="GC13" s="992"/>
      <c r="GD13" s="992"/>
      <c r="GE13" s="992"/>
      <c r="GF13" s="992"/>
      <c r="GG13" s="992" t="s">
        <v>1390</v>
      </c>
      <c r="GH13" s="992" t="s">
        <v>1397</v>
      </c>
      <c r="GI13" s="992" t="s">
        <v>1398</v>
      </c>
      <c r="GJ13" s="992"/>
      <c r="GK13" s="992"/>
      <c r="GL13" s="992"/>
      <c r="GM13" s="992"/>
      <c r="GN13" s="992" t="s">
        <v>1390</v>
      </c>
      <c r="GO13" s="992"/>
      <c r="GP13" s="992"/>
      <c r="GQ13" s="992"/>
      <c r="GR13" s="992" t="s">
        <v>1399</v>
      </c>
      <c r="GS13" s="992"/>
      <c r="GT13" s="992"/>
      <c r="GU13" s="992"/>
      <c r="GV13" s="992"/>
      <c r="GW13" s="992"/>
      <c r="GX13" s="992"/>
      <c r="GY13" s="999"/>
      <c r="GZ13" s="999"/>
      <c r="HA13" s="999"/>
      <c r="HB13" s="999"/>
      <c r="HC13" s="999"/>
      <c r="HD13" s="999"/>
      <c r="HE13" s="999"/>
      <c r="HF13" s="992"/>
      <c r="HG13" s="999"/>
      <c r="HH13" s="999"/>
      <c r="HI13" s="999"/>
      <c r="HJ13" s="999"/>
      <c r="HK13" s="999"/>
      <c r="HL13" s="999"/>
      <c r="HM13" s="999"/>
      <c r="HN13" s="999"/>
      <c r="HO13" s="999"/>
      <c r="HP13" s="999"/>
      <c r="HQ13" s="999"/>
      <c r="HR13" s="999"/>
      <c r="HS13" s="999"/>
      <c r="HT13" s="999"/>
      <c r="HU13" s="994"/>
      <c r="HV13" s="999"/>
      <c r="HW13" s="999"/>
      <c r="HX13" s="999"/>
      <c r="HY13" s="1056"/>
      <c r="HZ13" s="1056"/>
      <c r="IA13" s="1056"/>
      <c r="IB13" s="1056"/>
      <c r="IC13" s="1056"/>
      <c r="ID13" s="1056"/>
      <c r="IE13" s="1056"/>
      <c r="IF13" s="1056"/>
      <c r="IG13" s="1056"/>
      <c r="IH13" s="1056"/>
      <c r="II13" s="1056"/>
      <c r="IJ13" s="1056"/>
      <c r="IK13" s="1056"/>
      <c r="IL13" s="1056"/>
      <c r="IM13" s="1056"/>
      <c r="IN13" s="1056"/>
      <c r="IO13" s="1056"/>
      <c r="IP13" s="1056"/>
      <c r="IQ13" s="1056"/>
      <c r="IR13" s="1056"/>
      <c r="IS13" s="1056"/>
      <c r="IT13" s="1056"/>
      <c r="IU13" s="1056"/>
      <c r="IV13" s="1056"/>
    </row>
    <row r="14" spans="1:256" ht="19.95" customHeight="1">
      <c r="A14" s="998" t="s">
        <v>83</v>
      </c>
      <c r="B14" s="992"/>
      <c r="C14" s="992" t="str">
        <f>IF(ISTEXT(IFERROR(VLOOKUP(A14,职业列表!I3:J10,1,FALSE),0)),"★","")</f>
        <v/>
      </c>
      <c r="D14" s="999"/>
      <c r="E14" s="999"/>
      <c r="F14" s="999"/>
      <c r="G14" s="999"/>
      <c r="H14" s="999"/>
      <c r="I14" s="999"/>
      <c r="J14" s="999"/>
      <c r="K14" s="999"/>
      <c r="L14" s="999"/>
      <c r="M14" s="999"/>
      <c r="N14" s="999"/>
      <c r="O14" s="999"/>
      <c r="P14" s="999"/>
      <c r="Q14" s="999"/>
      <c r="R14" s="999"/>
      <c r="S14" s="999"/>
      <c r="T14" s="999"/>
      <c r="U14" s="999"/>
      <c r="V14" s="999"/>
      <c r="W14" s="999"/>
      <c r="X14" s="999"/>
      <c r="Y14" s="999"/>
      <c r="Z14" s="999"/>
      <c r="AA14" s="999"/>
      <c r="AB14" s="999"/>
      <c r="AC14" s="999"/>
      <c r="AD14" s="999"/>
      <c r="AE14" s="999"/>
      <c r="AF14" s="999"/>
      <c r="AG14" s="999"/>
      <c r="AH14" s="999"/>
      <c r="AI14" s="999"/>
      <c r="AJ14" s="999"/>
      <c r="AK14" s="999"/>
      <c r="AL14" s="999"/>
      <c r="AM14" s="999"/>
      <c r="AN14" s="999"/>
      <c r="AO14" s="999"/>
      <c r="AP14" s="999"/>
      <c r="AQ14" s="999"/>
      <c r="AR14" s="999"/>
      <c r="AS14" s="999"/>
      <c r="AT14" s="999"/>
      <c r="AU14" s="999"/>
      <c r="AV14" s="999"/>
      <c r="AW14" s="999"/>
      <c r="AX14" s="999"/>
      <c r="AY14" s="999"/>
      <c r="AZ14" s="999"/>
      <c r="BA14" s="999"/>
      <c r="BB14" s="999" t="s">
        <v>1400</v>
      </c>
      <c r="BC14" s="999"/>
      <c r="BD14" s="999"/>
      <c r="BE14" s="999"/>
      <c r="BF14" s="999"/>
      <c r="BG14" s="999"/>
      <c r="BH14" s="999"/>
      <c r="BI14" s="999"/>
      <c r="BJ14" s="999"/>
      <c r="BK14" s="999"/>
      <c r="BL14" s="999"/>
      <c r="BM14" s="999"/>
      <c r="BN14" s="999"/>
      <c r="BO14" s="999"/>
      <c r="BP14" s="999"/>
      <c r="BQ14" s="999"/>
      <c r="BR14" s="999"/>
      <c r="BS14" s="999"/>
      <c r="BT14" s="999"/>
      <c r="BU14" s="999"/>
      <c r="BV14" s="999"/>
      <c r="BW14" s="999"/>
      <c r="BX14" s="994" t="s">
        <v>100</v>
      </c>
      <c r="BY14" s="999"/>
      <c r="BZ14" s="999"/>
      <c r="CA14" s="999"/>
      <c r="CB14" s="999"/>
      <c r="CC14" s="999"/>
      <c r="CD14" s="999"/>
      <c r="CE14" s="999"/>
      <c r="CF14" s="999"/>
      <c r="CG14" s="999"/>
      <c r="CH14" s="999"/>
      <c r="CI14" s="999"/>
      <c r="CJ14" s="999"/>
      <c r="CK14" s="999"/>
      <c r="CL14" s="999"/>
      <c r="CM14" s="999"/>
      <c r="CN14" s="999"/>
      <c r="CO14" s="999"/>
      <c r="CP14" s="999"/>
      <c r="CQ14" s="999"/>
      <c r="CR14" s="999"/>
      <c r="CS14" s="999"/>
      <c r="CT14" s="999"/>
      <c r="CU14" s="999"/>
      <c r="CV14" s="999"/>
      <c r="CW14" s="999"/>
      <c r="CX14" s="999"/>
      <c r="CY14" s="999"/>
      <c r="CZ14" s="1033" t="s">
        <v>1401</v>
      </c>
      <c r="DA14" s="999"/>
      <c r="DB14" s="999"/>
      <c r="DC14" s="999"/>
      <c r="DD14" s="999"/>
      <c r="DE14" s="999"/>
      <c r="DF14" s="999"/>
      <c r="DG14" s="999"/>
      <c r="DH14" s="999"/>
      <c r="DI14" s="999"/>
      <c r="DJ14" s="999"/>
      <c r="DK14" s="999"/>
      <c r="DL14" s="999"/>
      <c r="DM14" s="999"/>
      <c r="DN14" s="992"/>
      <c r="DO14" s="992"/>
      <c r="DP14" s="992"/>
      <c r="DQ14" s="992"/>
      <c r="DR14" s="992"/>
      <c r="DS14" s="992"/>
      <c r="DT14" s="992"/>
      <c r="DU14" s="992"/>
      <c r="DV14" s="992"/>
      <c r="DW14" s="992"/>
      <c r="DX14" s="992"/>
      <c r="DY14" s="992"/>
      <c r="DZ14" s="992"/>
      <c r="EA14" s="992"/>
      <c r="EB14" s="992"/>
      <c r="EC14" s="992"/>
      <c r="ED14" s="992"/>
      <c r="EE14" s="992"/>
      <c r="EF14" s="992"/>
      <c r="EG14" s="992"/>
      <c r="EH14" s="992"/>
      <c r="EI14" s="992"/>
      <c r="EJ14" s="992"/>
      <c r="EK14" s="992"/>
      <c r="EL14" s="992"/>
      <c r="EM14" s="992"/>
      <c r="EN14" s="992"/>
      <c r="EO14" s="992"/>
      <c r="EP14" s="992"/>
      <c r="EQ14" s="992"/>
      <c r="ER14" s="992"/>
      <c r="ES14" s="992"/>
      <c r="ET14" s="992"/>
      <c r="EU14" s="992"/>
      <c r="EV14" s="992"/>
      <c r="EW14" s="992"/>
      <c r="EX14" s="992"/>
      <c r="EY14" s="992"/>
      <c r="EZ14" s="992"/>
      <c r="FA14" s="992"/>
      <c r="FB14" s="992"/>
      <c r="FC14" s="992"/>
      <c r="FD14" s="992"/>
      <c r="FE14" s="992"/>
      <c r="FF14" s="992"/>
      <c r="FG14" s="992"/>
      <c r="FH14" s="992"/>
      <c r="FI14" s="992"/>
      <c r="FJ14" s="992"/>
      <c r="FK14" s="992"/>
      <c r="FL14" s="992"/>
      <c r="FM14" s="992"/>
      <c r="FN14" s="992"/>
      <c r="FO14" s="992"/>
      <c r="FP14" s="992"/>
      <c r="FQ14" s="992"/>
      <c r="FR14" s="992"/>
      <c r="FS14" s="992"/>
      <c r="FT14" s="992"/>
      <c r="FU14" s="992"/>
      <c r="FV14" s="992"/>
      <c r="FW14" s="992"/>
      <c r="FX14" s="992"/>
      <c r="FY14" s="992" t="s">
        <v>1400</v>
      </c>
      <c r="FZ14" s="992"/>
      <c r="GA14" s="992"/>
      <c r="GB14" s="992"/>
      <c r="GC14" s="992"/>
      <c r="GD14" s="992"/>
      <c r="GE14" s="992"/>
      <c r="GF14" s="992"/>
      <c r="GG14" s="992" t="s">
        <v>1397</v>
      </c>
      <c r="GH14" s="992" t="s">
        <v>1386</v>
      </c>
      <c r="GI14" s="992" t="s">
        <v>1402</v>
      </c>
      <c r="GJ14" s="992"/>
      <c r="GK14" s="992"/>
      <c r="GL14" s="992"/>
      <c r="GM14" s="992"/>
      <c r="GN14" s="992" t="s">
        <v>1398</v>
      </c>
      <c r="GO14" s="992"/>
      <c r="GP14" s="992"/>
      <c r="GQ14" s="992"/>
      <c r="GR14" s="992" t="s">
        <v>1403</v>
      </c>
      <c r="GS14" s="992"/>
      <c r="GT14" s="992"/>
      <c r="GU14" s="992"/>
      <c r="GV14" s="992"/>
      <c r="GW14" s="992"/>
      <c r="GX14" s="992"/>
      <c r="GY14" s="999"/>
      <c r="GZ14" s="999"/>
      <c r="HA14" s="999"/>
      <c r="HB14" s="999"/>
      <c r="HC14" s="999"/>
      <c r="HD14" s="999"/>
      <c r="HE14" s="999"/>
      <c r="HF14" s="999"/>
      <c r="HG14" s="999"/>
      <c r="HH14" s="999"/>
      <c r="HI14" s="999"/>
      <c r="HJ14" s="999"/>
      <c r="HK14" s="999"/>
      <c r="HL14" s="999"/>
      <c r="HM14" s="999"/>
      <c r="HN14" s="999"/>
      <c r="HO14" s="999"/>
      <c r="HP14" s="999"/>
      <c r="HQ14" s="999"/>
      <c r="HR14" s="999"/>
      <c r="HS14" s="999"/>
      <c r="HT14" s="999"/>
      <c r="HU14" s="999"/>
      <c r="HV14" s="999"/>
      <c r="HW14" s="999"/>
      <c r="HX14" s="999"/>
      <c r="HY14" s="1056"/>
      <c r="HZ14" s="1056"/>
      <c r="IA14" s="1056"/>
      <c r="IB14" s="1056"/>
      <c r="IC14" s="1056"/>
      <c r="ID14" s="1056"/>
      <c r="IE14" s="1056"/>
      <c r="IF14" s="1056"/>
      <c r="IG14" s="1056"/>
      <c r="IH14" s="1056"/>
      <c r="II14" s="1056"/>
      <c r="IJ14" s="1056"/>
      <c r="IK14" s="1056"/>
      <c r="IL14" s="1056"/>
      <c r="IM14" s="1056"/>
      <c r="IN14" s="1056"/>
      <c r="IO14" s="1056"/>
      <c r="IP14" s="1056"/>
      <c r="IQ14" s="1056"/>
      <c r="IR14" s="1056"/>
      <c r="IS14" s="1056"/>
      <c r="IT14" s="1056"/>
      <c r="IU14" s="1056"/>
      <c r="IV14" s="1056"/>
    </row>
    <row r="15" spans="1:256" s="974" customFormat="1" ht="19.95" customHeight="1">
      <c r="A15" s="1000" t="s">
        <v>85</v>
      </c>
      <c r="B15" s="1001"/>
      <c r="C15" s="992" t="str">
        <f>IF(ISTEXT(IFERROR(VLOOKUP(A15,职业列表!I3:J10,1,FALSE),0)),"★","")</f>
        <v/>
      </c>
      <c r="D15" s="1002"/>
      <c r="E15" s="1001"/>
      <c r="F15" s="1003" t="s">
        <v>1375</v>
      </c>
      <c r="G15" s="1001" t="s">
        <v>1375</v>
      </c>
      <c r="H15" s="1001" t="s">
        <v>1375</v>
      </c>
      <c r="I15" s="1001"/>
      <c r="J15" s="1001"/>
      <c r="K15" s="1001" t="s">
        <v>1375</v>
      </c>
      <c r="L15" s="1001" t="s">
        <v>1375</v>
      </c>
      <c r="M15" s="1001"/>
      <c r="N15" s="1001"/>
      <c r="O15" s="1001" t="s">
        <v>1375</v>
      </c>
      <c r="P15" s="1003" t="s">
        <v>1375</v>
      </c>
      <c r="Q15" s="1001" t="s">
        <v>1375</v>
      </c>
      <c r="R15" s="1001"/>
      <c r="S15" s="1001" t="s">
        <v>1375</v>
      </c>
      <c r="T15" s="1001"/>
      <c r="U15" s="1001" t="s">
        <v>1375</v>
      </c>
      <c r="V15" s="1001" t="s">
        <v>1375</v>
      </c>
      <c r="W15" s="1001"/>
      <c r="X15" s="1001"/>
      <c r="Y15" s="1001" t="s">
        <v>1375</v>
      </c>
      <c r="Z15" s="1001"/>
      <c r="AA15" s="1001" t="s">
        <v>1375</v>
      </c>
      <c r="AB15" s="1001"/>
      <c r="AC15" s="1001"/>
      <c r="AD15" s="1001"/>
      <c r="AE15" s="1001"/>
      <c r="AF15" s="1001" t="s">
        <v>1375</v>
      </c>
      <c r="AG15" s="1001"/>
      <c r="AH15" s="1001" t="s">
        <v>1375</v>
      </c>
      <c r="AI15" s="1001" t="s">
        <v>1375</v>
      </c>
      <c r="AJ15" s="1001" t="s">
        <v>1375</v>
      </c>
      <c r="AK15" s="1001" t="s">
        <v>1375</v>
      </c>
      <c r="AL15" s="1001"/>
      <c r="AM15" s="1001" t="s">
        <v>1375</v>
      </c>
      <c r="AN15" s="1001" t="s">
        <v>1375</v>
      </c>
      <c r="AO15" s="1001" t="s">
        <v>1375</v>
      </c>
      <c r="AP15" s="1001" t="s">
        <v>1375</v>
      </c>
      <c r="AQ15" s="1035"/>
      <c r="AR15" s="1001" t="s">
        <v>1375</v>
      </c>
      <c r="AS15" s="1001"/>
      <c r="AT15" s="1001"/>
      <c r="AU15" s="1001" t="s">
        <v>1375</v>
      </c>
      <c r="AV15" s="1001" t="s">
        <v>1375</v>
      </c>
      <c r="AW15" s="1001" t="s">
        <v>1375</v>
      </c>
      <c r="AX15" s="1001"/>
      <c r="AY15" s="1001" t="s">
        <v>1375</v>
      </c>
      <c r="AZ15" s="1002" t="s">
        <v>100</v>
      </c>
      <c r="BA15" s="1001"/>
      <c r="BB15" s="1001" t="s">
        <v>1375</v>
      </c>
      <c r="BC15" s="1001"/>
      <c r="BD15" s="1001" t="s">
        <v>1375</v>
      </c>
      <c r="BE15" s="1001"/>
      <c r="BF15" s="1001"/>
      <c r="BG15" s="1001" t="s">
        <v>1375</v>
      </c>
      <c r="BH15" s="1001"/>
      <c r="BI15" s="1001" t="s">
        <v>1375</v>
      </c>
      <c r="BJ15" s="1001" t="s">
        <v>1375</v>
      </c>
      <c r="BK15" s="1001" t="s">
        <v>1375</v>
      </c>
      <c r="BL15" s="1001" t="s">
        <v>1375</v>
      </c>
      <c r="BM15" s="1001"/>
      <c r="BN15" s="1001" t="s">
        <v>1375</v>
      </c>
      <c r="BO15" s="1001" t="s">
        <v>1375</v>
      </c>
      <c r="BP15" s="1001" t="s">
        <v>1375</v>
      </c>
      <c r="BQ15" s="1001"/>
      <c r="BR15" s="1001"/>
      <c r="BS15" s="1001"/>
      <c r="BT15" s="1001"/>
      <c r="BU15" s="1035"/>
      <c r="BV15" s="1001" t="s">
        <v>1375</v>
      </c>
      <c r="BW15" s="1001"/>
      <c r="BX15" s="1001"/>
      <c r="BY15" s="1001" t="s">
        <v>1375</v>
      </c>
      <c r="BZ15" s="1001" t="s">
        <v>1375</v>
      </c>
      <c r="CA15" s="1001"/>
      <c r="CB15" s="1001"/>
      <c r="CC15" s="1001" t="s">
        <v>1375</v>
      </c>
      <c r="CD15" s="1001" t="s">
        <v>1375</v>
      </c>
      <c r="CE15" s="1001" t="s">
        <v>1375</v>
      </c>
      <c r="CF15" s="1001"/>
      <c r="CG15" s="1001"/>
      <c r="CH15" s="1001" t="s">
        <v>1375</v>
      </c>
      <c r="CI15" s="1001" t="s">
        <v>1375</v>
      </c>
      <c r="CJ15" s="1001" t="s">
        <v>1375</v>
      </c>
      <c r="CK15" s="1001"/>
      <c r="CL15" s="1001"/>
      <c r="CM15" s="1001" t="s">
        <v>1375</v>
      </c>
      <c r="CN15" s="1001" t="s">
        <v>1375</v>
      </c>
      <c r="CO15" s="1001" t="s">
        <v>1375</v>
      </c>
      <c r="CP15" s="1001"/>
      <c r="CQ15" s="1001"/>
      <c r="CR15" s="1001" t="s">
        <v>1375</v>
      </c>
      <c r="CS15" s="1001"/>
      <c r="CT15" s="1001"/>
      <c r="CU15" s="1001" t="s">
        <v>1375</v>
      </c>
      <c r="CV15" s="1001"/>
      <c r="CW15" s="1001" t="s">
        <v>1375</v>
      </c>
      <c r="CX15" s="1001" t="s">
        <v>1375</v>
      </c>
      <c r="CY15" s="1001" t="s">
        <v>1375</v>
      </c>
      <c r="CZ15" s="1001" t="s">
        <v>1375</v>
      </c>
      <c r="DA15" s="1001" t="s">
        <v>1375</v>
      </c>
      <c r="DB15" s="1001"/>
      <c r="DC15" s="1001" t="s">
        <v>1375</v>
      </c>
      <c r="DD15" s="1001"/>
      <c r="DE15" s="1001"/>
      <c r="DF15" s="1001"/>
      <c r="DG15" s="1001" t="s">
        <v>1375</v>
      </c>
      <c r="DH15" s="1001" t="s">
        <v>1375</v>
      </c>
      <c r="DI15" s="1001" t="s">
        <v>1375</v>
      </c>
      <c r="DJ15" s="1001" t="s">
        <v>1375</v>
      </c>
      <c r="DK15" s="1001" t="s">
        <v>1375</v>
      </c>
      <c r="DL15" s="1001" t="s">
        <v>1375</v>
      </c>
      <c r="DM15" s="1001"/>
      <c r="DN15" s="1001" t="s">
        <v>100</v>
      </c>
      <c r="DO15" s="1001" t="s">
        <v>1375</v>
      </c>
      <c r="DP15" s="1001" t="s">
        <v>1375</v>
      </c>
      <c r="DQ15" s="1001" t="s">
        <v>1375</v>
      </c>
      <c r="DR15" s="1001" t="s">
        <v>1375</v>
      </c>
      <c r="DS15" s="1001" t="s">
        <v>1375</v>
      </c>
      <c r="DT15" s="1001" t="s">
        <v>1375</v>
      </c>
      <c r="DU15" s="1001" t="s">
        <v>1375</v>
      </c>
      <c r="DV15" s="1001" t="s">
        <v>1375</v>
      </c>
      <c r="DW15" s="1001" t="s">
        <v>1375</v>
      </c>
      <c r="DX15" s="1001" t="s">
        <v>1375</v>
      </c>
      <c r="DY15" s="1001" t="s">
        <v>1375</v>
      </c>
      <c r="DZ15" s="1001" t="s">
        <v>1375</v>
      </c>
      <c r="EA15" s="1001" t="s">
        <v>1375</v>
      </c>
      <c r="EB15" s="1001" t="s">
        <v>1375</v>
      </c>
      <c r="EC15" s="1001" t="s">
        <v>1375</v>
      </c>
      <c r="ED15" s="1001"/>
      <c r="EE15" s="1001" t="s">
        <v>1375</v>
      </c>
      <c r="EF15" s="1001"/>
      <c r="EG15" s="1001"/>
      <c r="EH15" s="1001"/>
      <c r="EI15" s="1001" t="s">
        <v>1375</v>
      </c>
      <c r="EJ15" s="1001" t="s">
        <v>1375</v>
      </c>
      <c r="EK15" s="1001" t="s">
        <v>1375</v>
      </c>
      <c r="EL15" s="1001"/>
      <c r="EM15" s="1001" t="s">
        <v>1375</v>
      </c>
      <c r="EN15" s="1001"/>
      <c r="EO15" s="1001" t="s">
        <v>1375</v>
      </c>
      <c r="EP15" s="1001"/>
      <c r="EQ15" s="1001" t="s">
        <v>100</v>
      </c>
      <c r="ER15" s="1001" t="s">
        <v>1375</v>
      </c>
      <c r="ES15" s="1001" t="s">
        <v>1375</v>
      </c>
      <c r="ET15" s="1001" t="s">
        <v>1375</v>
      </c>
      <c r="EU15" s="1001" t="s">
        <v>1375</v>
      </c>
      <c r="EV15" s="1001" t="s">
        <v>1375</v>
      </c>
      <c r="EW15" s="1001"/>
      <c r="EX15" s="1001" t="s">
        <v>1375</v>
      </c>
      <c r="EY15" s="1001" t="s">
        <v>1375</v>
      </c>
      <c r="EZ15" s="1001"/>
      <c r="FA15" s="1001" t="s">
        <v>1375</v>
      </c>
      <c r="FB15" s="1001" t="s">
        <v>1375</v>
      </c>
      <c r="FC15" s="1001"/>
      <c r="FD15" s="1001"/>
      <c r="FE15" s="1001" t="s">
        <v>1375</v>
      </c>
      <c r="FF15" s="1001" t="s">
        <v>1375</v>
      </c>
      <c r="FG15" s="1001" t="s">
        <v>1375</v>
      </c>
      <c r="FH15" s="1001"/>
      <c r="FI15" s="1001"/>
      <c r="FJ15" s="1001"/>
      <c r="FK15" s="1001"/>
      <c r="FL15" s="1001"/>
      <c r="FM15" s="1001" t="s">
        <v>1375</v>
      </c>
      <c r="FN15" s="1001"/>
      <c r="FO15" s="1001"/>
      <c r="FP15" s="1001"/>
      <c r="FQ15" s="1001" t="s">
        <v>1375</v>
      </c>
      <c r="FR15" s="1001" t="s">
        <v>1375</v>
      </c>
      <c r="FS15" s="1001"/>
      <c r="FT15" s="1001"/>
      <c r="FU15" s="1001"/>
      <c r="FV15" s="1001" t="s">
        <v>1375</v>
      </c>
      <c r="FW15" s="1001"/>
      <c r="FX15" s="1001"/>
      <c r="FY15" s="1001" t="s">
        <v>1375</v>
      </c>
      <c r="FZ15" s="1001"/>
      <c r="GA15" s="1001"/>
      <c r="GB15" s="1001" t="s">
        <v>1375</v>
      </c>
      <c r="GC15" s="1001"/>
      <c r="GD15" s="1001"/>
      <c r="GE15" s="1001"/>
      <c r="GF15" s="1001" t="s">
        <v>1375</v>
      </c>
      <c r="GG15" s="1001" t="s">
        <v>1375</v>
      </c>
      <c r="GH15" s="1001" t="s">
        <v>1375</v>
      </c>
      <c r="GI15" s="1001" t="s">
        <v>1375</v>
      </c>
      <c r="GJ15" s="1001"/>
      <c r="GK15" s="1001" t="s">
        <v>100</v>
      </c>
      <c r="GL15" s="1001" t="s">
        <v>100</v>
      </c>
      <c r="GM15" s="1001" t="s">
        <v>100</v>
      </c>
      <c r="GN15" s="1001" t="s">
        <v>1375</v>
      </c>
      <c r="GO15" s="1001" t="s">
        <v>1375</v>
      </c>
      <c r="GP15" s="1001" t="s">
        <v>1375</v>
      </c>
      <c r="GQ15" s="1001" t="s">
        <v>1375</v>
      </c>
      <c r="GR15" s="1001"/>
      <c r="GS15" s="1001"/>
      <c r="GT15" s="1001" t="s">
        <v>1375</v>
      </c>
      <c r="GU15" s="1001"/>
      <c r="GV15" s="1001"/>
      <c r="GW15" s="1001" t="s">
        <v>1375</v>
      </c>
      <c r="GX15" s="1001" t="s">
        <v>1375</v>
      </c>
      <c r="GY15" s="1003" t="s">
        <v>1375</v>
      </c>
      <c r="GZ15" s="1001" t="s">
        <v>1375</v>
      </c>
      <c r="HA15" s="1001" t="s">
        <v>1375</v>
      </c>
      <c r="HB15" s="1001"/>
      <c r="HC15" s="1001" t="s">
        <v>1375</v>
      </c>
      <c r="HD15" s="1001"/>
      <c r="HE15" s="1001" t="s">
        <v>1375</v>
      </c>
      <c r="HF15" s="1001"/>
      <c r="HG15" s="1003" t="s">
        <v>1375</v>
      </c>
      <c r="HH15" s="1001" t="s">
        <v>1375</v>
      </c>
      <c r="HI15" s="1001"/>
      <c r="HJ15" s="1001" t="s">
        <v>1375</v>
      </c>
      <c r="HK15" s="1003" t="s">
        <v>1375</v>
      </c>
      <c r="HL15" s="1001"/>
      <c r="HM15" s="1001" t="s">
        <v>1375</v>
      </c>
      <c r="HN15" s="1003" t="s">
        <v>1375</v>
      </c>
      <c r="HO15" s="1003" t="s">
        <v>1375</v>
      </c>
      <c r="HP15" s="1001" t="s">
        <v>1375</v>
      </c>
      <c r="HQ15" s="1001"/>
      <c r="HR15" s="1003" t="s">
        <v>1375</v>
      </c>
      <c r="HS15" s="1001" t="s">
        <v>1375</v>
      </c>
      <c r="HT15" s="1001" t="s">
        <v>1375</v>
      </c>
      <c r="HU15" s="1001"/>
      <c r="HV15" s="1003" t="s">
        <v>1375</v>
      </c>
      <c r="HW15" s="1001"/>
      <c r="HX15" s="1001" t="s">
        <v>1375</v>
      </c>
      <c r="HY15" s="1060"/>
      <c r="HZ15" s="1060"/>
      <c r="IA15" s="1060"/>
      <c r="IB15" s="1060"/>
      <c r="IC15" s="1060"/>
      <c r="ID15" s="1060"/>
      <c r="IE15" s="1060"/>
      <c r="IF15" s="1060"/>
      <c r="IG15" s="1060"/>
      <c r="IH15" s="1060"/>
      <c r="II15" s="1060"/>
      <c r="IJ15" s="1060"/>
      <c r="IK15" s="1060"/>
      <c r="IL15" s="1060"/>
      <c r="IM15" s="1060"/>
      <c r="IN15" s="1060"/>
      <c r="IO15" s="1060"/>
      <c r="IP15" s="1060"/>
      <c r="IQ15" s="1060"/>
      <c r="IR15" s="1060"/>
      <c r="IS15" s="1060"/>
      <c r="IT15" s="1060"/>
      <c r="IU15" s="1060"/>
      <c r="IV15" s="1060"/>
    </row>
    <row r="16" spans="1:256" ht="19.95" customHeight="1">
      <c r="A16" s="991" t="s">
        <v>88</v>
      </c>
      <c r="B16" s="992"/>
      <c r="C16" s="992" t="str">
        <f>IF(ISTEXT(IFERROR(VLOOKUP(A16,职业列表!I3:J10,1,FALSE),0)),"★","")</f>
        <v/>
      </c>
      <c r="D16" s="994"/>
      <c r="E16" s="994" t="s">
        <v>100</v>
      </c>
      <c r="F16" s="992"/>
      <c r="G16" s="992"/>
      <c r="H16" s="992"/>
      <c r="I16" s="992"/>
      <c r="J16" s="992"/>
      <c r="K16" s="992"/>
      <c r="L16" s="992"/>
      <c r="M16" s="992"/>
      <c r="N16" s="992"/>
      <c r="O16" s="992"/>
      <c r="P16" s="992"/>
      <c r="Q16" s="994" t="s">
        <v>100</v>
      </c>
      <c r="R16" s="992"/>
      <c r="S16" s="992"/>
      <c r="T16" s="992"/>
      <c r="U16" s="992"/>
      <c r="V16" s="992"/>
      <c r="W16" s="992"/>
      <c r="X16" s="992"/>
      <c r="Y16" s="992"/>
      <c r="Z16" s="992"/>
      <c r="AA16" s="992"/>
      <c r="AB16" s="992"/>
      <c r="AC16" s="992"/>
      <c r="AD16" s="992"/>
      <c r="AE16" s="992"/>
      <c r="AF16" s="992"/>
      <c r="AG16" s="994" t="s">
        <v>100</v>
      </c>
      <c r="AH16" s="992"/>
      <c r="AI16" s="992"/>
      <c r="AJ16" s="992"/>
      <c r="AK16" s="992"/>
      <c r="AL16" s="992"/>
      <c r="AM16" s="992"/>
      <c r="AN16" s="994" t="s">
        <v>100</v>
      </c>
      <c r="AO16" s="992"/>
      <c r="AP16" s="992"/>
      <c r="AQ16" s="992"/>
      <c r="AR16" s="992"/>
      <c r="AS16" s="992"/>
      <c r="AT16" s="992"/>
      <c r="AU16" s="994" t="s">
        <v>100</v>
      </c>
      <c r="AV16" s="992"/>
      <c r="AW16" s="992"/>
      <c r="AX16" s="992"/>
      <c r="AY16" s="992"/>
      <c r="AZ16" s="992"/>
      <c r="BA16" s="992"/>
      <c r="BB16" s="992"/>
      <c r="BC16" s="992" t="s">
        <v>1373</v>
      </c>
      <c r="BD16" s="992"/>
      <c r="BE16" s="992"/>
      <c r="BF16" s="994" t="s">
        <v>100</v>
      </c>
      <c r="BG16" s="992"/>
      <c r="BH16" s="992"/>
      <c r="BI16" s="992"/>
      <c r="BJ16" s="992"/>
      <c r="BK16" s="992"/>
      <c r="BL16" s="992"/>
      <c r="BM16" s="994" t="s">
        <v>100</v>
      </c>
      <c r="BN16" s="992"/>
      <c r="BO16" s="992"/>
      <c r="BP16" s="992"/>
      <c r="BQ16" s="992"/>
      <c r="BR16" s="992"/>
      <c r="BS16" s="992"/>
      <c r="BT16" s="994" t="s">
        <v>100</v>
      </c>
      <c r="BU16" s="994" t="s">
        <v>100</v>
      </c>
      <c r="BV16" s="992"/>
      <c r="BW16" s="992"/>
      <c r="BX16" s="994" t="s">
        <v>100</v>
      </c>
      <c r="BY16" s="992"/>
      <c r="BZ16" s="992"/>
      <c r="CA16" s="994" t="s">
        <v>100</v>
      </c>
      <c r="CB16" s="992"/>
      <c r="CC16" s="992"/>
      <c r="CD16" s="992"/>
      <c r="CE16" s="992"/>
      <c r="CF16" s="992"/>
      <c r="CG16" s="992"/>
      <c r="CH16" s="992"/>
      <c r="CI16" s="992"/>
      <c r="CJ16" s="994" t="s">
        <v>100</v>
      </c>
      <c r="CK16" s="992"/>
      <c r="CL16" s="992"/>
      <c r="CM16" s="992"/>
      <c r="CN16" s="992"/>
      <c r="CO16" s="992"/>
      <c r="CP16" s="992"/>
      <c r="CQ16" s="994" t="s">
        <v>100</v>
      </c>
      <c r="CR16" s="992"/>
      <c r="CS16" s="992"/>
      <c r="CT16" s="992"/>
      <c r="CU16" s="992"/>
      <c r="CV16" s="992"/>
      <c r="CW16" s="992"/>
      <c r="CX16" s="992"/>
      <c r="CY16" s="992"/>
      <c r="CZ16" s="992"/>
      <c r="DA16" s="992"/>
      <c r="DB16" s="992" t="s">
        <v>1373</v>
      </c>
      <c r="DC16" s="992"/>
      <c r="DD16" s="992"/>
      <c r="DE16" s="994" t="s">
        <v>100</v>
      </c>
      <c r="DF16" s="994" t="s">
        <v>100</v>
      </c>
      <c r="DG16" s="992"/>
      <c r="DH16" s="992"/>
      <c r="DI16" s="992"/>
      <c r="DJ16" s="992"/>
      <c r="DK16" s="992"/>
      <c r="DL16" s="992"/>
      <c r="DM16" s="992"/>
      <c r="DN16" s="992"/>
      <c r="DO16" s="992" t="s">
        <v>100</v>
      </c>
      <c r="DP16" s="992" t="s">
        <v>100</v>
      </c>
      <c r="DQ16" s="992"/>
      <c r="DR16" s="992" t="s">
        <v>100</v>
      </c>
      <c r="DS16" s="992"/>
      <c r="DT16" s="992"/>
      <c r="DU16" s="992"/>
      <c r="DV16" s="992"/>
      <c r="DW16" s="992"/>
      <c r="DX16" s="992"/>
      <c r="DY16" s="992"/>
      <c r="DZ16" s="992"/>
      <c r="EA16" s="992"/>
      <c r="EB16" s="992"/>
      <c r="EC16" s="992"/>
      <c r="ED16" s="992"/>
      <c r="EE16" s="992"/>
      <c r="EF16" s="992"/>
      <c r="EG16" s="992"/>
      <c r="EH16" s="992"/>
      <c r="EI16" s="992"/>
      <c r="EJ16" s="992" t="s">
        <v>1373</v>
      </c>
      <c r="EK16" s="992" t="s">
        <v>100</v>
      </c>
      <c r="EL16" s="992"/>
      <c r="EM16" s="992"/>
      <c r="EN16" s="992" t="s">
        <v>100</v>
      </c>
      <c r="EO16" s="992"/>
      <c r="EP16" s="992"/>
      <c r="EQ16" s="992"/>
      <c r="ER16" s="992"/>
      <c r="ES16" s="992"/>
      <c r="ET16" s="992"/>
      <c r="EU16" s="992"/>
      <c r="EV16" s="992"/>
      <c r="EW16" s="992"/>
      <c r="EX16" s="992"/>
      <c r="EY16" s="992"/>
      <c r="EZ16" s="992"/>
      <c r="FA16" s="992"/>
      <c r="FB16" s="992" t="s">
        <v>100</v>
      </c>
      <c r="FC16" s="992"/>
      <c r="FD16" s="992"/>
      <c r="FE16" s="992"/>
      <c r="FF16" s="992"/>
      <c r="FG16" s="992"/>
      <c r="FH16" s="992"/>
      <c r="FI16" s="992" t="s">
        <v>100</v>
      </c>
      <c r="FJ16" s="992"/>
      <c r="FK16" s="992"/>
      <c r="FL16" s="992"/>
      <c r="FM16" s="992"/>
      <c r="FN16" s="992"/>
      <c r="FO16" s="992"/>
      <c r="FP16" s="992"/>
      <c r="FQ16" s="992"/>
      <c r="FR16" s="992"/>
      <c r="FS16" s="992"/>
      <c r="FT16" s="992"/>
      <c r="FU16" s="992" t="s">
        <v>100</v>
      </c>
      <c r="FV16" s="992"/>
      <c r="FW16" s="992"/>
      <c r="FX16" s="992" t="s">
        <v>100</v>
      </c>
      <c r="FY16" s="992"/>
      <c r="FZ16" s="992"/>
      <c r="GA16" s="992"/>
      <c r="GB16" s="992"/>
      <c r="GC16" s="992" t="s">
        <v>1373</v>
      </c>
      <c r="GD16" s="992" t="s">
        <v>1373</v>
      </c>
      <c r="GE16" s="992" t="s">
        <v>1373</v>
      </c>
      <c r="GF16" s="992"/>
      <c r="GG16" s="992"/>
      <c r="GH16" s="992"/>
      <c r="GI16" s="992"/>
      <c r="GJ16" s="992" t="s">
        <v>100</v>
      </c>
      <c r="GK16" s="992"/>
      <c r="GL16" s="992"/>
      <c r="GM16" s="992"/>
      <c r="GN16" s="992"/>
      <c r="GO16" s="992"/>
      <c r="GP16" s="992"/>
      <c r="GQ16" s="992"/>
      <c r="GR16" s="992" t="s">
        <v>100</v>
      </c>
      <c r="GS16" s="992"/>
      <c r="GT16" s="992"/>
      <c r="GU16" s="992" t="s">
        <v>1373</v>
      </c>
      <c r="GV16" s="992"/>
      <c r="GW16" s="992"/>
      <c r="GX16" s="992"/>
      <c r="GY16" s="992"/>
      <c r="GZ16" s="992"/>
      <c r="HA16" s="992"/>
      <c r="HB16" s="992"/>
      <c r="HC16" s="992"/>
      <c r="HD16" s="992"/>
      <c r="HE16" s="992"/>
      <c r="HF16" s="992"/>
      <c r="HG16" s="992"/>
      <c r="HH16" s="992"/>
      <c r="HI16" s="994"/>
      <c r="HJ16" s="992"/>
      <c r="HK16" s="992" t="s">
        <v>1373</v>
      </c>
      <c r="HL16" s="992" t="s">
        <v>100</v>
      </c>
      <c r="HM16" s="992"/>
      <c r="HN16" s="992"/>
      <c r="HO16" s="992" t="s">
        <v>1376</v>
      </c>
      <c r="HP16" s="992"/>
      <c r="HQ16" s="992"/>
      <c r="HR16" s="992"/>
      <c r="HS16" s="992"/>
      <c r="HT16" s="992"/>
      <c r="HU16" s="992"/>
      <c r="HV16" s="992"/>
      <c r="HW16" s="992"/>
      <c r="HX16" s="992"/>
      <c r="HY16" s="1056"/>
      <c r="HZ16" s="1056"/>
      <c r="IA16" s="1056"/>
      <c r="IB16" s="1056"/>
      <c r="IC16" s="1056"/>
      <c r="ID16" s="1056"/>
      <c r="IE16" s="1056"/>
      <c r="IF16" s="1056"/>
      <c r="IG16" s="1056"/>
      <c r="IH16" s="1056"/>
      <c r="II16" s="1056"/>
      <c r="IJ16" s="1056"/>
      <c r="IK16" s="1056"/>
      <c r="IL16" s="1056"/>
      <c r="IM16" s="1056"/>
      <c r="IN16" s="1056"/>
      <c r="IO16" s="1056"/>
      <c r="IP16" s="1056"/>
      <c r="IQ16" s="1056"/>
      <c r="IR16" s="1056"/>
      <c r="IS16" s="1056"/>
      <c r="IT16" s="1056"/>
      <c r="IU16" s="1056"/>
      <c r="IV16" s="1056"/>
    </row>
    <row r="17" spans="1:256" ht="19.95" customHeight="1">
      <c r="A17" s="1004" t="s">
        <v>93</v>
      </c>
      <c r="B17" s="992"/>
      <c r="C17" s="992" t="str">
        <f>IF(ISTEXT(IFERROR(VLOOKUP(A17,职业列表!I3:J10,1,FALSE),0)),"★","")</f>
        <v/>
      </c>
      <c r="D17" s="994"/>
      <c r="E17" s="992"/>
      <c r="F17" s="992"/>
      <c r="G17" s="992"/>
      <c r="H17" s="992"/>
      <c r="I17" s="992"/>
      <c r="J17" s="992"/>
      <c r="K17" s="992"/>
      <c r="L17" s="992"/>
      <c r="M17" s="992"/>
      <c r="N17" s="992" t="s">
        <v>1373</v>
      </c>
      <c r="O17" s="992"/>
      <c r="P17" s="992"/>
      <c r="Q17" s="992"/>
      <c r="R17" s="992"/>
      <c r="S17" s="992"/>
      <c r="T17" s="992"/>
      <c r="U17" s="992"/>
      <c r="V17" s="992"/>
      <c r="W17" s="992"/>
      <c r="X17" s="992"/>
      <c r="Y17" s="992"/>
      <c r="Z17" s="994" t="s">
        <v>100</v>
      </c>
      <c r="AA17" s="994" t="s">
        <v>100</v>
      </c>
      <c r="AB17" s="992"/>
      <c r="AC17" s="992"/>
      <c r="AD17" s="992"/>
      <c r="AE17" s="992"/>
      <c r="AF17" s="992"/>
      <c r="AG17" s="992"/>
      <c r="AH17" s="992"/>
      <c r="AI17" s="992"/>
      <c r="AJ17" s="992"/>
      <c r="AK17" s="992"/>
      <c r="AL17" s="992"/>
      <c r="AM17" s="992"/>
      <c r="AN17" s="992"/>
      <c r="AO17" s="992"/>
      <c r="AP17" s="992"/>
      <c r="AQ17" s="992" t="s">
        <v>1373</v>
      </c>
      <c r="AR17" s="992"/>
      <c r="AS17" s="992"/>
      <c r="AT17" s="992"/>
      <c r="AU17" s="992"/>
      <c r="AV17" s="992"/>
      <c r="AW17" s="992"/>
      <c r="AX17" s="992"/>
      <c r="AY17" s="992"/>
      <c r="AZ17" s="992"/>
      <c r="BA17" s="992"/>
      <c r="BB17" s="992"/>
      <c r="BC17" s="992"/>
      <c r="BD17" s="992"/>
      <c r="BE17" s="992"/>
      <c r="BF17" s="992"/>
      <c r="BG17" s="992"/>
      <c r="BH17" s="992"/>
      <c r="BI17" s="992"/>
      <c r="BJ17" s="992"/>
      <c r="BK17" s="992"/>
      <c r="BL17" s="992"/>
      <c r="BM17" s="992"/>
      <c r="BN17" s="992"/>
      <c r="BO17" s="992"/>
      <c r="BP17" s="992"/>
      <c r="BQ17" s="992"/>
      <c r="BR17" s="992" t="s">
        <v>1373</v>
      </c>
      <c r="BS17" s="992"/>
      <c r="BT17" s="992"/>
      <c r="BU17" s="992"/>
      <c r="BV17" s="992"/>
      <c r="BW17" s="992"/>
      <c r="BX17" s="992"/>
      <c r="BY17" s="992"/>
      <c r="BZ17" s="992"/>
      <c r="CA17" s="992"/>
      <c r="CB17" s="992"/>
      <c r="CC17" s="992"/>
      <c r="CD17" s="992"/>
      <c r="CE17" s="992"/>
      <c r="CF17" s="992"/>
      <c r="CG17" s="992"/>
      <c r="CH17" s="992"/>
      <c r="CI17" s="992"/>
      <c r="CJ17" s="992"/>
      <c r="CK17" s="992"/>
      <c r="CL17" s="992"/>
      <c r="CM17" s="992"/>
      <c r="CN17" s="992"/>
      <c r="CO17" s="992"/>
      <c r="CP17" s="992"/>
      <c r="CQ17" s="992"/>
      <c r="CR17" s="992"/>
      <c r="CS17" s="992"/>
      <c r="CT17" s="992"/>
      <c r="CU17" s="992"/>
      <c r="CV17" s="992"/>
      <c r="CW17" s="992"/>
      <c r="CX17" s="992"/>
      <c r="CY17" s="992" t="s">
        <v>1373</v>
      </c>
      <c r="CZ17" s="993" t="s">
        <v>1374</v>
      </c>
      <c r="DA17" s="992"/>
      <c r="DB17" s="992"/>
      <c r="DC17" s="992"/>
      <c r="DD17" s="992"/>
      <c r="DE17" s="992"/>
      <c r="DF17" s="992"/>
      <c r="DG17" s="992"/>
      <c r="DH17" s="992"/>
      <c r="DI17" s="992"/>
      <c r="DJ17" s="992" t="s">
        <v>1373</v>
      </c>
      <c r="DK17" s="992"/>
      <c r="DL17" s="992"/>
      <c r="DM17" s="992"/>
      <c r="DN17" s="992"/>
      <c r="DO17" s="992"/>
      <c r="DP17" s="992"/>
      <c r="DQ17" s="992"/>
      <c r="DR17" s="992"/>
      <c r="DS17" s="992"/>
      <c r="DT17" s="992"/>
      <c r="DU17" s="992"/>
      <c r="DV17" s="992"/>
      <c r="DW17" s="992"/>
      <c r="DX17" s="992"/>
      <c r="DY17" s="992"/>
      <c r="DZ17" s="992"/>
      <c r="EA17" s="992"/>
      <c r="EB17" s="992"/>
      <c r="EC17" s="992"/>
      <c r="ED17" s="992"/>
      <c r="EE17" s="992"/>
      <c r="EF17" s="992"/>
      <c r="EG17" s="992"/>
      <c r="EH17" s="992"/>
      <c r="EI17" s="992"/>
      <c r="EJ17" s="992"/>
      <c r="EK17" s="992"/>
      <c r="EL17" s="992"/>
      <c r="EM17" s="992"/>
      <c r="EN17" s="992"/>
      <c r="EO17" s="992"/>
      <c r="EP17" s="992"/>
      <c r="EQ17" s="992"/>
      <c r="ER17" s="992"/>
      <c r="ES17" s="992"/>
      <c r="ET17" s="992"/>
      <c r="EU17" s="992"/>
      <c r="EV17" s="992"/>
      <c r="EW17" s="992"/>
      <c r="EX17" s="992"/>
      <c r="EY17" s="992"/>
      <c r="EZ17" s="992"/>
      <c r="FA17" s="992"/>
      <c r="FB17" s="992"/>
      <c r="FC17" s="992"/>
      <c r="FD17" s="992"/>
      <c r="FE17" s="992"/>
      <c r="FF17" s="992"/>
      <c r="FG17" s="992"/>
      <c r="FH17" s="992"/>
      <c r="FI17" s="992"/>
      <c r="FJ17" s="993"/>
      <c r="FK17" s="992"/>
      <c r="FL17" s="992"/>
      <c r="FM17" s="992"/>
      <c r="FN17" s="992"/>
      <c r="FO17" s="992"/>
      <c r="FP17" s="992"/>
      <c r="FQ17" s="992"/>
      <c r="FR17" s="992"/>
      <c r="FS17" s="992"/>
      <c r="FT17" s="992"/>
      <c r="FU17" s="992"/>
      <c r="FV17" s="992"/>
      <c r="FW17" s="992"/>
      <c r="FX17" s="992"/>
      <c r="FY17" s="992"/>
      <c r="FZ17" s="992" t="s">
        <v>1373</v>
      </c>
      <c r="GA17" s="992"/>
      <c r="GB17" s="992"/>
      <c r="GC17" s="992"/>
      <c r="GD17" s="992"/>
      <c r="GE17" s="992"/>
      <c r="GF17" s="992"/>
      <c r="GG17" s="992"/>
      <c r="GH17" s="992"/>
      <c r="GI17" s="992"/>
      <c r="GJ17" s="992"/>
      <c r="GK17" s="992"/>
      <c r="GL17" s="992"/>
      <c r="GM17" s="992"/>
      <c r="GN17" s="992" t="s">
        <v>100</v>
      </c>
      <c r="GO17" s="992"/>
      <c r="GP17" s="992"/>
      <c r="GQ17" s="992"/>
      <c r="GR17" s="992"/>
      <c r="GS17" s="992"/>
      <c r="GT17" s="992" t="s">
        <v>100</v>
      </c>
      <c r="GU17" s="992"/>
      <c r="GV17" s="992" t="s">
        <v>100</v>
      </c>
      <c r="GW17" s="992"/>
      <c r="GX17" s="992" t="s">
        <v>100</v>
      </c>
      <c r="GY17" s="992" t="s">
        <v>225</v>
      </c>
      <c r="GZ17" s="992"/>
      <c r="HA17" s="992"/>
      <c r="HB17" s="992"/>
      <c r="HC17" s="992"/>
      <c r="HD17" s="992"/>
      <c r="HE17" s="992"/>
      <c r="HF17" s="992"/>
      <c r="HG17" s="992"/>
      <c r="HH17" s="992"/>
      <c r="HI17" s="992"/>
      <c r="HJ17" s="992"/>
      <c r="HK17" s="992"/>
      <c r="HL17" s="992"/>
      <c r="HM17" s="992"/>
      <c r="HN17" s="992"/>
      <c r="HO17" s="992"/>
      <c r="HP17" s="992"/>
      <c r="HQ17" s="992"/>
      <c r="HR17" s="994"/>
      <c r="HS17" s="994"/>
      <c r="HT17" s="992"/>
      <c r="HU17" s="992"/>
      <c r="HV17" s="992"/>
      <c r="HW17" s="992"/>
      <c r="HX17" s="992"/>
      <c r="HY17" s="1056"/>
      <c r="HZ17" s="1056"/>
      <c r="IA17" s="1056"/>
      <c r="IB17" s="1056"/>
      <c r="IC17" s="1056"/>
      <c r="ID17" s="1056"/>
      <c r="IE17" s="1056"/>
      <c r="IF17" s="1056"/>
      <c r="IG17" s="1056"/>
      <c r="IH17" s="1056"/>
      <c r="II17" s="1056"/>
      <c r="IJ17" s="1056"/>
      <c r="IK17" s="1056"/>
      <c r="IL17" s="1056"/>
      <c r="IM17" s="1056"/>
      <c r="IN17" s="1056"/>
      <c r="IO17" s="1056"/>
      <c r="IP17" s="1056"/>
      <c r="IQ17" s="1056"/>
      <c r="IR17" s="1056"/>
      <c r="IS17" s="1056"/>
      <c r="IT17" s="1056"/>
      <c r="IU17" s="1056"/>
      <c r="IV17" s="1056"/>
    </row>
    <row r="18" spans="1:256" ht="19.95" customHeight="1">
      <c r="A18" s="1004" t="s">
        <v>103</v>
      </c>
      <c r="B18" s="992"/>
      <c r="C18" s="992" t="str">
        <f>IF(ISTEXT(IFERROR(VLOOKUP(A18,职业列表!I3:J10,1,FALSE),0)),"★","")</f>
        <v/>
      </c>
      <c r="D18" s="994"/>
      <c r="E18" s="992"/>
      <c r="F18" s="992"/>
      <c r="G18" s="992"/>
      <c r="H18" s="992"/>
      <c r="I18" s="992"/>
      <c r="J18" s="992"/>
      <c r="K18" s="992"/>
      <c r="L18" s="992"/>
      <c r="M18" s="992"/>
      <c r="N18" s="992"/>
      <c r="O18" s="992"/>
      <c r="P18" s="992"/>
      <c r="Q18" s="992"/>
      <c r="R18" s="992"/>
      <c r="S18" s="992"/>
      <c r="T18" s="992"/>
      <c r="U18" s="992"/>
      <c r="V18" s="992"/>
      <c r="W18" s="992"/>
      <c r="X18" s="992"/>
      <c r="Y18" s="992"/>
      <c r="Z18" s="992"/>
      <c r="AA18" s="992"/>
      <c r="AB18" s="992"/>
      <c r="AC18" s="992"/>
      <c r="AD18" s="992"/>
      <c r="AE18" s="992"/>
      <c r="AF18" s="992"/>
      <c r="AG18" s="992"/>
      <c r="AH18" s="992"/>
      <c r="AI18" s="992"/>
      <c r="AJ18" s="992"/>
      <c r="AK18" s="992"/>
      <c r="AL18" s="992"/>
      <c r="AM18" s="992"/>
      <c r="AN18" s="992"/>
      <c r="AO18" s="992"/>
      <c r="AP18" s="992"/>
      <c r="AQ18" s="992"/>
      <c r="AR18" s="992"/>
      <c r="AS18" s="992"/>
      <c r="AT18" s="992"/>
      <c r="AU18" s="992"/>
      <c r="AV18" s="992"/>
      <c r="AW18" s="992"/>
      <c r="AX18" s="992"/>
      <c r="AY18" s="992"/>
      <c r="AZ18" s="992"/>
      <c r="BA18" s="992"/>
      <c r="BB18" s="992"/>
      <c r="BC18" s="992"/>
      <c r="BD18" s="992"/>
      <c r="BE18" s="992"/>
      <c r="BF18" s="992"/>
      <c r="BG18" s="992"/>
      <c r="BH18" s="992"/>
      <c r="BI18" s="992"/>
      <c r="BJ18" s="992"/>
      <c r="BK18" s="992"/>
      <c r="BL18" s="992"/>
      <c r="BM18" s="992"/>
      <c r="BN18" s="992"/>
      <c r="BO18" s="992"/>
      <c r="BP18" s="992"/>
      <c r="BQ18" s="992"/>
      <c r="BR18" s="992"/>
      <c r="BS18" s="992"/>
      <c r="BT18" s="992"/>
      <c r="BU18" s="992"/>
      <c r="BV18" s="992"/>
      <c r="BW18" s="992"/>
      <c r="BX18" s="992"/>
      <c r="BY18" s="992"/>
      <c r="BZ18" s="992"/>
      <c r="CA18" s="992"/>
      <c r="CB18" s="992"/>
      <c r="CC18" s="992"/>
      <c r="CD18" s="992"/>
      <c r="CE18" s="992"/>
      <c r="CF18" s="992"/>
      <c r="CG18" s="992"/>
      <c r="CH18" s="992"/>
      <c r="CI18" s="992"/>
      <c r="CJ18" s="992"/>
      <c r="CK18" s="992"/>
      <c r="CL18" s="992"/>
      <c r="CM18" s="992"/>
      <c r="CN18" s="992"/>
      <c r="CO18" s="992"/>
      <c r="CP18" s="992"/>
      <c r="CQ18" s="992"/>
      <c r="CR18" s="992"/>
      <c r="CS18" s="992"/>
      <c r="CT18" s="992"/>
      <c r="CU18" s="992"/>
      <c r="CV18" s="992"/>
      <c r="CW18" s="992"/>
      <c r="CX18" s="992"/>
      <c r="CY18" s="992"/>
      <c r="CZ18" s="992"/>
      <c r="DA18" s="992"/>
      <c r="DB18" s="992"/>
      <c r="DC18" s="992"/>
      <c r="DD18" s="992"/>
      <c r="DE18" s="992"/>
      <c r="DF18" s="992"/>
      <c r="DG18" s="992"/>
      <c r="DH18" s="992"/>
      <c r="DI18" s="992"/>
      <c r="DJ18" s="992"/>
      <c r="DK18" s="992"/>
      <c r="DL18" s="992"/>
      <c r="DM18" s="992"/>
      <c r="DN18" s="992"/>
      <c r="DO18" s="992"/>
      <c r="DP18" s="992"/>
      <c r="DQ18" s="992"/>
      <c r="DR18" s="992"/>
      <c r="DS18" s="992"/>
      <c r="DT18" s="992"/>
      <c r="DU18" s="992"/>
      <c r="DV18" s="992"/>
      <c r="DW18" s="992"/>
      <c r="DX18" s="992"/>
      <c r="DY18" s="992"/>
      <c r="DZ18" s="992"/>
      <c r="EA18" s="992"/>
      <c r="EB18" s="992"/>
      <c r="EC18" s="992"/>
      <c r="ED18" s="992"/>
      <c r="EE18" s="992"/>
      <c r="EF18" s="992"/>
      <c r="EG18" s="992"/>
      <c r="EH18" s="992"/>
      <c r="EI18" s="992"/>
      <c r="EJ18" s="992"/>
      <c r="EK18" s="992"/>
      <c r="EL18" s="992"/>
      <c r="EM18" s="992"/>
      <c r="EN18" s="992"/>
      <c r="EO18" s="992"/>
      <c r="EP18" s="992"/>
      <c r="EQ18" s="992"/>
      <c r="ER18" s="992"/>
      <c r="ES18" s="992"/>
      <c r="ET18" s="992"/>
      <c r="EU18" s="992"/>
      <c r="EV18" s="992"/>
      <c r="EW18" s="992"/>
      <c r="EX18" s="992"/>
      <c r="EY18" s="992"/>
      <c r="EZ18" s="992"/>
      <c r="FA18" s="992"/>
      <c r="FB18" s="992"/>
      <c r="FC18" s="992"/>
      <c r="FD18" s="992"/>
      <c r="FE18" s="992"/>
      <c r="FF18" s="992"/>
      <c r="FG18" s="992"/>
      <c r="FH18" s="992"/>
      <c r="FI18" s="992"/>
      <c r="FJ18" s="992"/>
      <c r="FK18" s="992"/>
      <c r="FL18" s="992"/>
      <c r="FM18" s="992"/>
      <c r="FN18" s="992"/>
      <c r="FO18" s="992"/>
      <c r="FP18" s="992"/>
      <c r="FQ18" s="992"/>
      <c r="FR18" s="992"/>
      <c r="FS18" s="992"/>
      <c r="FT18" s="992"/>
      <c r="FU18" s="992"/>
      <c r="FV18" s="992"/>
      <c r="FW18" s="992"/>
      <c r="FX18" s="992"/>
      <c r="FY18" s="992"/>
      <c r="FZ18" s="992"/>
      <c r="GA18" s="992"/>
      <c r="GB18" s="992"/>
      <c r="GC18" s="992"/>
      <c r="GD18" s="992"/>
      <c r="GE18" s="992"/>
      <c r="GF18" s="992"/>
      <c r="GG18" s="992"/>
      <c r="GH18" s="992"/>
      <c r="GI18" s="992"/>
      <c r="GJ18" s="992"/>
      <c r="GK18" s="992"/>
      <c r="GL18" s="992"/>
      <c r="GM18" s="992"/>
      <c r="GN18" s="992"/>
      <c r="GO18" s="992"/>
      <c r="GP18" s="992"/>
      <c r="GQ18" s="992"/>
      <c r="GR18" s="992"/>
      <c r="GS18" s="992"/>
      <c r="GT18" s="992"/>
      <c r="GU18" s="992"/>
      <c r="GV18" s="992"/>
      <c r="GW18" s="992"/>
      <c r="GX18" s="992"/>
      <c r="GY18" s="992"/>
      <c r="GZ18" s="992"/>
      <c r="HA18" s="992"/>
      <c r="HB18" s="992"/>
      <c r="HC18" s="992"/>
      <c r="HD18" s="992"/>
      <c r="HE18" s="992"/>
      <c r="HF18" s="992"/>
      <c r="HG18" s="992"/>
      <c r="HH18" s="992"/>
      <c r="HI18" s="992"/>
      <c r="HJ18" s="992"/>
      <c r="HK18" s="992"/>
      <c r="HL18" s="992"/>
      <c r="HM18" s="992"/>
      <c r="HN18" s="992"/>
      <c r="HO18" s="992"/>
      <c r="HP18" s="992"/>
      <c r="HQ18" s="992"/>
      <c r="HR18" s="992"/>
      <c r="HS18" s="992"/>
      <c r="HT18" s="992"/>
      <c r="HU18" s="992"/>
      <c r="HV18" s="992"/>
      <c r="HW18" s="992"/>
      <c r="HX18" s="992"/>
      <c r="HY18" s="1056"/>
      <c r="HZ18" s="1056"/>
      <c r="IA18" s="1056"/>
      <c r="IB18" s="1056"/>
      <c r="IC18" s="1056"/>
      <c r="ID18" s="1056"/>
      <c r="IE18" s="1056"/>
      <c r="IF18" s="1056"/>
      <c r="IG18" s="1056"/>
      <c r="IH18" s="1056"/>
      <c r="II18" s="1056"/>
      <c r="IJ18" s="1056"/>
      <c r="IK18" s="1056"/>
      <c r="IL18" s="1056"/>
      <c r="IM18" s="1056"/>
      <c r="IN18" s="1056"/>
      <c r="IO18" s="1056"/>
      <c r="IP18" s="1056"/>
      <c r="IQ18" s="1056"/>
      <c r="IR18" s="1056"/>
      <c r="IS18" s="1056"/>
      <c r="IT18" s="1056"/>
      <c r="IU18" s="1056"/>
      <c r="IV18" s="1056"/>
    </row>
    <row r="19" spans="1:256" ht="19.95" customHeight="1">
      <c r="A19" s="991" t="s">
        <v>110</v>
      </c>
      <c r="B19" s="992"/>
      <c r="C19" s="992" t="str">
        <f>IF(ISTEXT(IFERROR(VLOOKUP(A19,职业列表!I3:J10,1,FALSE),0)),"★","")</f>
        <v/>
      </c>
      <c r="D19" s="994"/>
      <c r="E19" s="992"/>
      <c r="F19" s="994" t="s">
        <v>100</v>
      </c>
      <c r="G19" s="994" t="s">
        <v>100</v>
      </c>
      <c r="H19" s="992"/>
      <c r="I19" s="992"/>
      <c r="J19" s="992"/>
      <c r="K19" s="992"/>
      <c r="L19" s="992"/>
      <c r="M19" s="992"/>
      <c r="N19" s="992"/>
      <c r="O19" s="992"/>
      <c r="P19" s="992"/>
      <c r="Q19" s="992"/>
      <c r="R19" s="992"/>
      <c r="S19" s="992"/>
      <c r="T19" s="992"/>
      <c r="U19" s="992"/>
      <c r="V19" s="992"/>
      <c r="W19" s="992"/>
      <c r="X19" s="992"/>
      <c r="Y19" s="992"/>
      <c r="Z19" s="992"/>
      <c r="AA19" s="992"/>
      <c r="AB19" s="992"/>
      <c r="AC19" s="992"/>
      <c r="AD19" s="994" t="s">
        <v>100</v>
      </c>
      <c r="AE19" s="992"/>
      <c r="AF19" s="992"/>
      <c r="AG19" s="992"/>
      <c r="AH19" s="992"/>
      <c r="AI19" s="992" t="s">
        <v>1373</v>
      </c>
      <c r="AJ19" s="992"/>
      <c r="AK19" s="992"/>
      <c r="AL19" s="992"/>
      <c r="AM19" s="992"/>
      <c r="AN19" s="992"/>
      <c r="AO19" s="992"/>
      <c r="AP19" s="992"/>
      <c r="AQ19" s="992"/>
      <c r="AR19" s="992"/>
      <c r="AS19" s="992"/>
      <c r="AT19" s="992"/>
      <c r="AU19" s="992"/>
      <c r="AV19" s="992"/>
      <c r="AW19" s="992"/>
      <c r="AX19" s="992"/>
      <c r="AY19" s="992"/>
      <c r="AZ19" s="992"/>
      <c r="BA19" s="992"/>
      <c r="BB19" s="994" t="s">
        <v>100</v>
      </c>
      <c r="BC19" s="992"/>
      <c r="BD19" s="992"/>
      <c r="BE19" s="992"/>
      <c r="BF19" s="992"/>
      <c r="BG19" s="992"/>
      <c r="BH19" s="992"/>
      <c r="BI19" s="992"/>
      <c r="BJ19" s="992"/>
      <c r="BK19" s="992"/>
      <c r="BL19" s="992"/>
      <c r="BM19" s="992"/>
      <c r="BN19" s="992"/>
      <c r="BO19" s="992"/>
      <c r="BP19" s="992"/>
      <c r="BQ19" s="992"/>
      <c r="BR19" s="992"/>
      <c r="BS19" s="992"/>
      <c r="BT19" s="992"/>
      <c r="BU19" s="992"/>
      <c r="BV19" s="992"/>
      <c r="BW19" s="992"/>
      <c r="BX19" s="992"/>
      <c r="BY19" s="992"/>
      <c r="BZ19" s="992"/>
      <c r="CA19" s="992"/>
      <c r="CB19" s="992"/>
      <c r="CC19" s="992"/>
      <c r="CD19" s="992"/>
      <c r="CE19" s="992"/>
      <c r="CF19" s="992"/>
      <c r="CG19" s="992"/>
      <c r="CH19" s="992"/>
      <c r="CI19" s="992"/>
      <c r="CJ19" s="992"/>
      <c r="CK19" s="992"/>
      <c r="CL19" s="992"/>
      <c r="CM19" s="994" t="s">
        <v>1373</v>
      </c>
      <c r="CN19" s="992"/>
      <c r="CO19" s="994" t="s">
        <v>100</v>
      </c>
      <c r="CP19" s="992"/>
      <c r="CQ19" s="992"/>
      <c r="CR19" s="992"/>
      <c r="CS19" s="992"/>
      <c r="CT19" s="992"/>
      <c r="CU19" s="992"/>
      <c r="CV19" s="992"/>
      <c r="CW19" s="992"/>
      <c r="CX19" s="992"/>
      <c r="CY19" s="992"/>
      <c r="CZ19" s="992"/>
      <c r="DA19" s="992"/>
      <c r="DB19" s="992"/>
      <c r="DC19" s="992" t="s">
        <v>1373</v>
      </c>
      <c r="DD19" s="992"/>
      <c r="DE19" s="992"/>
      <c r="DF19" s="992"/>
      <c r="DG19" s="992"/>
      <c r="DH19" s="992"/>
      <c r="DI19" s="992"/>
      <c r="DJ19" s="992"/>
      <c r="DK19" s="992"/>
      <c r="DL19" s="992"/>
      <c r="DM19" s="992"/>
      <c r="DN19" s="992"/>
      <c r="DO19" s="992"/>
      <c r="DP19" s="992"/>
      <c r="DQ19" s="992"/>
      <c r="DR19" s="992"/>
      <c r="DS19" s="992" t="s">
        <v>100</v>
      </c>
      <c r="DT19" s="992"/>
      <c r="DU19" s="992"/>
      <c r="DV19" s="992"/>
      <c r="DW19" s="992"/>
      <c r="DX19" s="992" t="s">
        <v>100</v>
      </c>
      <c r="DY19" s="992"/>
      <c r="DZ19" s="992"/>
      <c r="EA19" s="992"/>
      <c r="EB19" s="992"/>
      <c r="EC19" s="992" t="s">
        <v>100</v>
      </c>
      <c r="ED19" s="992"/>
      <c r="EE19" s="992"/>
      <c r="EF19" s="992"/>
      <c r="EG19" s="992"/>
      <c r="EH19" s="992"/>
      <c r="EI19" s="992"/>
      <c r="EJ19" s="992"/>
      <c r="EK19" s="992"/>
      <c r="EL19" s="992"/>
      <c r="EM19" s="992"/>
      <c r="EN19" s="992"/>
      <c r="EO19" s="992"/>
      <c r="EP19" s="992"/>
      <c r="EQ19" s="992"/>
      <c r="ER19" s="992"/>
      <c r="ES19" s="992"/>
      <c r="ET19" s="992"/>
      <c r="EU19" s="992" t="s">
        <v>100</v>
      </c>
      <c r="EV19" s="992"/>
      <c r="EW19" s="992"/>
      <c r="EX19" s="992"/>
      <c r="EY19" s="992"/>
      <c r="EZ19" s="992"/>
      <c r="FA19" s="992"/>
      <c r="FB19" s="992"/>
      <c r="FC19" s="992"/>
      <c r="FD19" s="992"/>
      <c r="FE19" s="992"/>
      <c r="FF19" s="992"/>
      <c r="FG19" s="992"/>
      <c r="FH19" s="992"/>
      <c r="FI19" s="992"/>
      <c r="FJ19" s="992"/>
      <c r="FK19" s="992"/>
      <c r="FL19" s="992"/>
      <c r="FM19" s="992"/>
      <c r="FN19" s="992" t="s">
        <v>100</v>
      </c>
      <c r="FO19" s="992"/>
      <c r="FP19" s="992"/>
      <c r="FQ19" s="992"/>
      <c r="FR19" s="992"/>
      <c r="FS19" s="992"/>
      <c r="FT19" s="992"/>
      <c r="FU19" s="992"/>
      <c r="FV19" s="992"/>
      <c r="FW19" s="992"/>
      <c r="FX19" s="992"/>
      <c r="FY19" s="992" t="s">
        <v>100</v>
      </c>
      <c r="FZ19" s="992" t="s">
        <v>100</v>
      </c>
      <c r="GA19" s="992"/>
      <c r="GB19" s="992"/>
      <c r="GC19" s="992"/>
      <c r="GD19" s="992"/>
      <c r="GE19" s="992"/>
      <c r="GF19" s="992" t="s">
        <v>100</v>
      </c>
      <c r="GG19" s="992" t="s">
        <v>100</v>
      </c>
      <c r="GH19" s="992" t="s">
        <v>100</v>
      </c>
      <c r="GI19" s="992" t="s">
        <v>100</v>
      </c>
      <c r="GJ19" s="992"/>
      <c r="GK19" s="992"/>
      <c r="GL19" s="992"/>
      <c r="GM19" s="992"/>
      <c r="GN19" s="992" t="s">
        <v>100</v>
      </c>
      <c r="GO19" s="992"/>
      <c r="GP19" s="992"/>
      <c r="GQ19" s="992"/>
      <c r="GR19" s="992"/>
      <c r="GS19" s="992"/>
      <c r="GT19" s="992"/>
      <c r="GU19" s="992"/>
      <c r="GV19" s="992"/>
      <c r="GW19" s="992"/>
      <c r="GX19" s="992"/>
      <c r="GY19" s="994" t="s">
        <v>1373</v>
      </c>
      <c r="GZ19" s="993"/>
      <c r="HA19" s="992"/>
      <c r="HB19" s="992"/>
      <c r="HC19" s="992"/>
      <c r="HD19" s="992"/>
      <c r="HE19" s="992"/>
      <c r="HF19" s="992"/>
      <c r="HG19" s="992"/>
      <c r="HH19" s="992" t="s">
        <v>100</v>
      </c>
      <c r="HI19" s="992"/>
      <c r="HJ19" s="992" t="s">
        <v>100</v>
      </c>
      <c r="HK19" s="992"/>
      <c r="HL19" s="992"/>
      <c r="HM19" s="992"/>
      <c r="HN19" s="992"/>
      <c r="HO19" s="992"/>
      <c r="HP19" s="992"/>
      <c r="HQ19" s="992"/>
      <c r="HR19" s="992"/>
      <c r="HS19" s="992"/>
      <c r="HT19" s="992"/>
      <c r="HU19" s="992"/>
      <c r="HV19" s="994"/>
      <c r="HW19" s="992"/>
      <c r="HX19" s="992" t="s">
        <v>100</v>
      </c>
      <c r="HY19" s="1056"/>
      <c r="HZ19" s="1056"/>
      <c r="IA19" s="1056"/>
      <c r="IB19" s="1056"/>
      <c r="IC19" s="1056"/>
      <c r="ID19" s="1056"/>
      <c r="IE19" s="1056"/>
      <c r="IF19" s="1056"/>
      <c r="IG19" s="1056"/>
      <c r="IH19" s="1056"/>
      <c r="II19" s="1056"/>
      <c r="IJ19" s="1056"/>
      <c r="IK19" s="1056"/>
      <c r="IL19" s="1056"/>
      <c r="IM19" s="1056"/>
      <c r="IN19" s="1056"/>
      <c r="IO19" s="1056"/>
      <c r="IP19" s="1056"/>
      <c r="IQ19" s="1056"/>
      <c r="IR19" s="1056"/>
      <c r="IS19" s="1056"/>
      <c r="IT19" s="1056"/>
      <c r="IU19" s="1056"/>
      <c r="IV19" s="1056"/>
    </row>
    <row r="20" spans="1:256" s="975" customFormat="1" ht="19.95" customHeight="1">
      <c r="A20" s="1005" t="s">
        <v>111</v>
      </c>
      <c r="B20" s="1006"/>
      <c r="C20" s="992" t="str">
        <f>IF(ISTEXT(IFERROR(VLOOKUP(A20,职业列表!I3:J10,1,FALSE),0)),"★","")</f>
        <v/>
      </c>
      <c r="D20" s="1007"/>
      <c r="E20" s="1007" t="s">
        <v>100</v>
      </c>
      <c r="F20" s="1006"/>
      <c r="G20" s="1006"/>
      <c r="H20" s="1006"/>
      <c r="I20" s="1006"/>
      <c r="J20" s="1006"/>
      <c r="K20" s="1006"/>
      <c r="L20" s="1006"/>
      <c r="M20" s="1006"/>
      <c r="N20" s="1006"/>
      <c r="O20" s="1006"/>
      <c r="P20" s="1007" t="s">
        <v>100</v>
      </c>
      <c r="Q20" s="1006"/>
      <c r="R20" s="1006"/>
      <c r="S20" s="1006"/>
      <c r="T20" s="1006"/>
      <c r="U20" s="1006"/>
      <c r="V20" s="1006"/>
      <c r="W20" s="1007" t="s">
        <v>100</v>
      </c>
      <c r="X20" s="1006"/>
      <c r="Y20" s="1006"/>
      <c r="Z20" s="1006"/>
      <c r="AA20" s="1006"/>
      <c r="AB20" s="1007" t="s">
        <v>100</v>
      </c>
      <c r="AC20" s="1006"/>
      <c r="AD20" s="1006"/>
      <c r="AE20" s="1006"/>
      <c r="AF20" s="1006"/>
      <c r="AG20" s="1006"/>
      <c r="AH20" s="1006"/>
      <c r="AI20" s="1006"/>
      <c r="AJ20" s="1006"/>
      <c r="AK20" s="1006"/>
      <c r="AL20" s="1006"/>
      <c r="AM20" s="1006"/>
      <c r="AN20" s="1006"/>
      <c r="AO20" s="1006"/>
      <c r="AP20" s="1006"/>
      <c r="AQ20" s="1006"/>
      <c r="AR20" s="1006"/>
      <c r="AS20" s="1006"/>
      <c r="AT20" s="1006"/>
      <c r="AU20" s="1006"/>
      <c r="AV20" s="1006"/>
      <c r="AW20" s="1006"/>
      <c r="AX20" s="1006"/>
      <c r="AY20" s="1006"/>
      <c r="AZ20" s="1006"/>
      <c r="BA20" s="1006"/>
      <c r="BB20" s="1006"/>
      <c r="BC20" s="1006"/>
      <c r="BD20" s="1006"/>
      <c r="BE20" s="1006"/>
      <c r="BF20" s="1007" t="s">
        <v>100</v>
      </c>
      <c r="BG20" s="1006"/>
      <c r="BH20" s="1006"/>
      <c r="BI20" s="1006"/>
      <c r="BJ20" s="1006"/>
      <c r="BK20" s="1006"/>
      <c r="BL20" s="1006"/>
      <c r="BM20" s="1006"/>
      <c r="BN20" s="1006"/>
      <c r="BO20" s="1006"/>
      <c r="BP20" s="1006"/>
      <c r="BQ20" s="1006"/>
      <c r="BR20" s="1006"/>
      <c r="BS20" s="1006"/>
      <c r="BT20" s="1007" t="s">
        <v>100</v>
      </c>
      <c r="BU20" s="1006"/>
      <c r="BV20" s="1006"/>
      <c r="BW20" s="1006"/>
      <c r="BX20" s="1006"/>
      <c r="BY20" s="1006"/>
      <c r="BZ20" s="1006"/>
      <c r="CA20" s="1006"/>
      <c r="CB20" s="1006"/>
      <c r="CC20" s="1006"/>
      <c r="CD20" s="1006"/>
      <c r="CE20" s="1006"/>
      <c r="CF20" s="1006"/>
      <c r="CG20" s="1006"/>
      <c r="CH20" s="1006"/>
      <c r="CI20" s="1006"/>
      <c r="CJ20" s="1006"/>
      <c r="CK20" s="1006"/>
      <c r="CL20" s="1006"/>
      <c r="CM20" s="1006"/>
      <c r="CN20" s="1006"/>
      <c r="CO20" s="1006"/>
      <c r="CP20" s="1006"/>
      <c r="CQ20" s="1006"/>
      <c r="CR20" s="1007" t="s">
        <v>100</v>
      </c>
      <c r="CS20" s="1006"/>
      <c r="CT20" s="1006"/>
      <c r="CU20" s="1006"/>
      <c r="CV20" s="1006"/>
      <c r="CW20" s="1006"/>
      <c r="CX20" s="1006"/>
      <c r="CY20" s="1006"/>
      <c r="CZ20" s="1006"/>
      <c r="DA20" s="1006"/>
      <c r="DB20" s="1007" t="s">
        <v>100</v>
      </c>
      <c r="DC20" s="1006"/>
      <c r="DD20" s="1006"/>
      <c r="DE20" s="1007" t="s">
        <v>100</v>
      </c>
      <c r="DF20" s="1006"/>
      <c r="DG20" s="1006"/>
      <c r="DH20" s="1006"/>
      <c r="DI20" s="1007" t="s">
        <v>100</v>
      </c>
      <c r="DJ20" s="1006"/>
      <c r="DK20" s="1006"/>
      <c r="DL20" s="1006"/>
      <c r="DM20" s="1007" t="s">
        <v>100</v>
      </c>
      <c r="DN20" s="1006"/>
      <c r="DO20" s="1006"/>
      <c r="DP20" s="1006"/>
      <c r="DQ20" s="1006" t="s">
        <v>100</v>
      </c>
      <c r="DR20" s="1006" t="s">
        <v>100</v>
      </c>
      <c r="DS20" s="1006" t="s">
        <v>100</v>
      </c>
      <c r="DT20" s="1006"/>
      <c r="DU20" s="1006"/>
      <c r="DV20" s="1006"/>
      <c r="DW20" s="1006"/>
      <c r="DX20" s="1006"/>
      <c r="DY20" s="1006"/>
      <c r="DZ20" s="1006"/>
      <c r="EA20" s="1006"/>
      <c r="EB20" s="1006"/>
      <c r="EC20" s="1006"/>
      <c r="ED20" s="1006"/>
      <c r="EE20" s="1006"/>
      <c r="EF20" s="1006"/>
      <c r="EG20" s="1006"/>
      <c r="EH20" s="1006"/>
      <c r="EI20" s="1006"/>
      <c r="EJ20" s="1006"/>
      <c r="EK20" s="1006"/>
      <c r="EL20" s="1006"/>
      <c r="EM20" s="1006" t="s">
        <v>100</v>
      </c>
      <c r="EN20" s="1006"/>
      <c r="EO20" s="1006"/>
      <c r="EP20" s="1006"/>
      <c r="EQ20" s="1006"/>
      <c r="ER20" s="1006"/>
      <c r="ES20" s="1006"/>
      <c r="ET20" s="1006"/>
      <c r="EU20" s="1006"/>
      <c r="EV20" s="1006"/>
      <c r="EW20" s="1006"/>
      <c r="EX20" s="1006"/>
      <c r="EY20" s="1006"/>
      <c r="EZ20" s="1006"/>
      <c r="FA20" s="1006"/>
      <c r="FB20" s="1006"/>
      <c r="FC20" s="1006"/>
      <c r="FD20" s="1006"/>
      <c r="FE20" s="1006"/>
      <c r="FF20" s="1006"/>
      <c r="FG20" s="1006"/>
      <c r="FH20" s="1006"/>
      <c r="FI20" s="1006"/>
      <c r="FJ20" s="1006"/>
      <c r="FK20" s="1006"/>
      <c r="FL20" s="1006"/>
      <c r="FM20" s="1006"/>
      <c r="FN20" s="1006"/>
      <c r="FO20" s="1006" t="s">
        <v>100</v>
      </c>
      <c r="FP20" s="1006"/>
      <c r="FQ20" s="1006"/>
      <c r="FR20" s="1006"/>
      <c r="FS20" s="1006"/>
      <c r="FT20" s="1006"/>
      <c r="FU20" s="1006"/>
      <c r="FV20" s="1006"/>
      <c r="FW20" s="1006"/>
      <c r="FX20" s="1006"/>
      <c r="FY20" s="1006"/>
      <c r="FZ20" s="1006"/>
      <c r="GA20" s="1006"/>
      <c r="GB20" s="1006"/>
      <c r="GC20" s="1006" t="s">
        <v>100</v>
      </c>
      <c r="GD20" s="1006" t="s">
        <v>100</v>
      </c>
      <c r="GE20" s="1006"/>
      <c r="GF20" s="1006"/>
      <c r="GG20" s="1006"/>
      <c r="GH20" s="1006"/>
      <c r="GI20" s="1006"/>
      <c r="GJ20" s="1006" t="s">
        <v>100</v>
      </c>
      <c r="GK20" s="1006"/>
      <c r="GL20" s="1006"/>
      <c r="GM20" s="1006"/>
      <c r="GN20" s="1006"/>
      <c r="GO20" s="1006"/>
      <c r="GP20" s="1006"/>
      <c r="GQ20" s="1006"/>
      <c r="GR20" s="1006"/>
      <c r="GS20" s="1006"/>
      <c r="GT20" s="1006"/>
      <c r="GU20" s="1006" t="s">
        <v>100</v>
      </c>
      <c r="GV20" s="1006"/>
      <c r="GW20" s="1006"/>
      <c r="GX20" s="1006"/>
      <c r="GY20" s="1006"/>
      <c r="GZ20" s="1006"/>
      <c r="HA20" s="1006"/>
      <c r="HB20" s="1006"/>
      <c r="HC20" s="1006"/>
      <c r="HD20" s="1006" t="s">
        <v>100</v>
      </c>
      <c r="HE20" s="1006"/>
      <c r="HF20" s="1006"/>
      <c r="HG20" s="1006"/>
      <c r="HH20" s="1007"/>
      <c r="HI20" s="1006"/>
      <c r="HJ20" s="1054" t="s">
        <v>100</v>
      </c>
      <c r="HK20" s="1006"/>
      <c r="HL20" s="1006"/>
      <c r="HM20" s="1006"/>
      <c r="HN20" s="1006" t="s">
        <v>100</v>
      </c>
      <c r="HO20" s="1007" t="s">
        <v>100</v>
      </c>
      <c r="HP20" s="1006"/>
      <c r="HQ20" s="1006"/>
      <c r="HR20" s="1006" t="s">
        <v>100</v>
      </c>
      <c r="HS20" s="1006"/>
      <c r="HT20" s="1007"/>
      <c r="HU20" s="1006" t="s">
        <v>100</v>
      </c>
      <c r="HV20" s="1006"/>
      <c r="HW20" s="1054" t="s">
        <v>100</v>
      </c>
      <c r="HX20" s="1006"/>
      <c r="HY20" s="1061"/>
      <c r="HZ20" s="1061"/>
      <c r="IA20" s="1061"/>
      <c r="IB20" s="1061"/>
      <c r="IC20" s="1061"/>
      <c r="ID20" s="1061"/>
      <c r="IE20" s="1061"/>
      <c r="IF20" s="1061"/>
      <c r="IG20" s="1061"/>
      <c r="IH20" s="1061"/>
      <c r="II20" s="1061"/>
      <c r="IJ20" s="1061"/>
      <c r="IK20" s="1061"/>
      <c r="IL20" s="1061"/>
      <c r="IM20" s="1061"/>
      <c r="IN20" s="1061"/>
      <c r="IO20" s="1061"/>
      <c r="IP20" s="1061"/>
      <c r="IQ20" s="1061"/>
      <c r="IR20" s="1061"/>
      <c r="IS20" s="1061"/>
      <c r="IT20" s="1061"/>
      <c r="IU20" s="1061"/>
      <c r="IV20" s="1061"/>
    </row>
    <row r="21" spans="1:256" ht="19.95" customHeight="1">
      <c r="A21" s="991" t="s">
        <v>115</v>
      </c>
      <c r="B21" s="992"/>
      <c r="C21" s="992" t="str">
        <f>IF(ISTEXT(IFERROR(VLOOKUP(A21,职业列表!I3:J10,1,FALSE),0)),"★","")</f>
        <v/>
      </c>
      <c r="D21" s="994"/>
      <c r="E21" s="992"/>
      <c r="F21" s="992"/>
      <c r="G21" s="994" t="s">
        <v>100</v>
      </c>
      <c r="H21" s="992"/>
      <c r="I21" s="992"/>
      <c r="J21" s="992"/>
      <c r="K21" s="992"/>
      <c r="L21" s="994" t="s">
        <v>100</v>
      </c>
      <c r="M21" s="992"/>
      <c r="N21" s="992"/>
      <c r="O21" s="992"/>
      <c r="P21" s="992"/>
      <c r="Q21" s="992"/>
      <c r="R21" s="992"/>
      <c r="S21" s="992"/>
      <c r="T21" s="992"/>
      <c r="U21" s="994" t="s">
        <v>100</v>
      </c>
      <c r="V21" s="994" t="s">
        <v>100</v>
      </c>
      <c r="W21" s="992"/>
      <c r="X21" s="992"/>
      <c r="Y21" s="992"/>
      <c r="Z21" s="992"/>
      <c r="AA21" s="992"/>
      <c r="AB21" s="992"/>
      <c r="AC21" s="992"/>
      <c r="AD21" s="992"/>
      <c r="AE21" s="994" t="s">
        <v>100</v>
      </c>
      <c r="AF21" s="994" t="s">
        <v>100</v>
      </c>
      <c r="AG21" s="992"/>
      <c r="AH21" s="992"/>
      <c r="AI21" s="992"/>
      <c r="AJ21" s="994" t="s">
        <v>100</v>
      </c>
      <c r="AK21" s="992"/>
      <c r="AL21" s="992"/>
      <c r="AM21" s="992" t="s">
        <v>1373</v>
      </c>
      <c r="AN21" s="992"/>
      <c r="AO21" s="992"/>
      <c r="AP21" s="994" t="s">
        <v>100</v>
      </c>
      <c r="AQ21" s="992"/>
      <c r="AR21" s="992"/>
      <c r="AS21" s="992"/>
      <c r="AT21" s="992"/>
      <c r="AU21" s="992"/>
      <c r="AV21" s="994" t="s">
        <v>100</v>
      </c>
      <c r="AW21" s="994" t="s">
        <v>100</v>
      </c>
      <c r="AX21" s="994" t="s">
        <v>100</v>
      </c>
      <c r="AY21" s="992"/>
      <c r="AZ21" s="992"/>
      <c r="BA21" s="992"/>
      <c r="BB21" s="992"/>
      <c r="BC21" s="992"/>
      <c r="BD21" s="994" t="s">
        <v>100</v>
      </c>
      <c r="BE21" s="994" t="s">
        <v>100</v>
      </c>
      <c r="BF21" s="994" t="s">
        <v>100</v>
      </c>
      <c r="BG21" s="992"/>
      <c r="BH21" s="992"/>
      <c r="BI21" s="992"/>
      <c r="BJ21" s="992"/>
      <c r="BK21" s="994" t="s">
        <v>100</v>
      </c>
      <c r="BL21" s="992"/>
      <c r="BM21" s="992"/>
      <c r="BN21" s="992"/>
      <c r="BO21" s="992"/>
      <c r="BP21" s="992"/>
      <c r="BQ21" s="992"/>
      <c r="BR21" s="992"/>
      <c r="BS21" s="994" t="s">
        <v>100</v>
      </c>
      <c r="BT21" s="992"/>
      <c r="BU21" s="992"/>
      <c r="BV21" s="992"/>
      <c r="BW21" s="992"/>
      <c r="BX21" s="994" t="s">
        <v>100</v>
      </c>
      <c r="BY21" s="992"/>
      <c r="BZ21" s="992"/>
      <c r="CA21" s="992"/>
      <c r="CB21" s="992"/>
      <c r="CC21" s="992"/>
      <c r="CD21" s="992"/>
      <c r="CE21" s="992"/>
      <c r="CF21" s="992"/>
      <c r="CG21" s="992"/>
      <c r="CH21" s="992"/>
      <c r="CI21" s="992"/>
      <c r="CJ21" s="992"/>
      <c r="CK21" s="992"/>
      <c r="CL21" s="992"/>
      <c r="CM21" s="992"/>
      <c r="CN21" s="993" t="s">
        <v>1373</v>
      </c>
      <c r="CO21" s="992"/>
      <c r="CP21" s="992"/>
      <c r="CQ21" s="992"/>
      <c r="CR21" s="992"/>
      <c r="CS21" s="992"/>
      <c r="CT21" s="992"/>
      <c r="CU21" s="992"/>
      <c r="CV21" s="992"/>
      <c r="CW21" s="992"/>
      <c r="CX21" s="994" t="s">
        <v>100</v>
      </c>
      <c r="CY21" s="992"/>
      <c r="CZ21" s="992"/>
      <c r="DA21" s="992"/>
      <c r="DB21" s="992"/>
      <c r="DC21" s="992"/>
      <c r="DD21" s="992"/>
      <c r="DE21" s="992" t="s">
        <v>1376</v>
      </c>
      <c r="DF21" s="992"/>
      <c r="DG21" s="994" t="s">
        <v>100</v>
      </c>
      <c r="DH21" s="992"/>
      <c r="DI21" s="992"/>
      <c r="DJ21" s="992"/>
      <c r="DK21" s="992"/>
      <c r="DL21" s="992"/>
      <c r="DM21" s="992"/>
      <c r="DN21" s="992"/>
      <c r="DO21" s="992"/>
      <c r="DP21" s="992"/>
      <c r="DQ21" s="992"/>
      <c r="DR21" s="992"/>
      <c r="DS21" s="992"/>
      <c r="DT21" s="992"/>
      <c r="DU21" s="992"/>
      <c r="DV21" s="992"/>
      <c r="DW21" s="992"/>
      <c r="DX21" s="992"/>
      <c r="DY21" s="992"/>
      <c r="DZ21" s="992"/>
      <c r="EA21" s="992"/>
      <c r="EB21" s="992"/>
      <c r="EC21" s="992"/>
      <c r="ED21" s="992"/>
      <c r="EE21" s="992"/>
      <c r="EF21" s="992"/>
      <c r="EG21" s="992"/>
      <c r="EH21" s="992"/>
      <c r="EI21" s="992" t="s">
        <v>100</v>
      </c>
      <c r="EJ21" s="992"/>
      <c r="EK21" s="992" t="s">
        <v>100</v>
      </c>
      <c r="EL21" s="992"/>
      <c r="EM21" s="992"/>
      <c r="EN21" s="992"/>
      <c r="EO21" s="992"/>
      <c r="EP21" s="992" t="s">
        <v>100</v>
      </c>
      <c r="EQ21" s="992"/>
      <c r="ER21" s="992" t="s">
        <v>100</v>
      </c>
      <c r="ES21" s="992" t="s">
        <v>100</v>
      </c>
      <c r="ET21" s="992"/>
      <c r="EU21" s="992"/>
      <c r="EV21" s="992"/>
      <c r="EW21" s="992"/>
      <c r="EX21" s="992"/>
      <c r="EY21" s="992"/>
      <c r="EZ21" s="992"/>
      <c r="FA21" s="992"/>
      <c r="FB21" s="992" t="s">
        <v>100</v>
      </c>
      <c r="FC21" s="992" t="s">
        <v>100</v>
      </c>
      <c r="FD21" s="992" t="s">
        <v>100</v>
      </c>
      <c r="FE21" s="992"/>
      <c r="FF21" s="992"/>
      <c r="FG21" s="992"/>
      <c r="FH21" s="992"/>
      <c r="FI21" s="992"/>
      <c r="FJ21" s="992"/>
      <c r="FK21" s="992"/>
      <c r="FL21" s="992"/>
      <c r="FM21" s="992"/>
      <c r="FN21" s="992"/>
      <c r="FO21" s="992"/>
      <c r="FP21" s="992"/>
      <c r="FQ21" s="992"/>
      <c r="FR21" s="992"/>
      <c r="FS21" s="992"/>
      <c r="FT21" s="992"/>
      <c r="FU21" s="992"/>
      <c r="FV21" s="992"/>
      <c r="FW21" s="992"/>
      <c r="FX21" s="992"/>
      <c r="FY21" s="992"/>
      <c r="FZ21" s="992"/>
      <c r="GA21" s="992"/>
      <c r="GB21" s="992"/>
      <c r="GC21" s="992"/>
      <c r="GD21" s="992"/>
      <c r="GE21" s="992"/>
      <c r="GF21" s="992"/>
      <c r="GG21" s="992"/>
      <c r="GH21" s="992"/>
      <c r="GI21" s="992"/>
      <c r="GJ21" s="992"/>
      <c r="GK21" s="992"/>
      <c r="GL21" s="992"/>
      <c r="GM21" s="992"/>
      <c r="GN21" s="992"/>
      <c r="GO21" s="992" t="s">
        <v>100</v>
      </c>
      <c r="GP21" s="992"/>
      <c r="GQ21" s="992"/>
      <c r="GR21" s="992" t="s">
        <v>100</v>
      </c>
      <c r="GS21" s="992"/>
      <c r="GT21" s="992"/>
      <c r="GU21" s="992"/>
      <c r="GV21" s="992"/>
      <c r="GW21" s="992" t="s">
        <v>1373</v>
      </c>
      <c r="GX21" s="992"/>
      <c r="GY21" s="994"/>
      <c r="GZ21" s="992"/>
      <c r="HA21" s="992"/>
      <c r="HB21" s="992"/>
      <c r="HC21" s="992"/>
      <c r="HD21" s="1041" t="s">
        <v>100</v>
      </c>
      <c r="HE21" s="992"/>
      <c r="HF21" s="992"/>
      <c r="HG21" s="992"/>
      <c r="HH21" s="992"/>
      <c r="HI21" s="992"/>
      <c r="HJ21" s="992"/>
      <c r="HK21" s="992"/>
      <c r="HL21" s="992"/>
      <c r="HM21" s="994"/>
      <c r="HN21" s="994"/>
      <c r="HO21" s="993" t="s">
        <v>1376</v>
      </c>
      <c r="HP21" s="992"/>
      <c r="HQ21" s="992"/>
      <c r="HR21" s="992"/>
      <c r="HS21" s="992"/>
      <c r="HT21" s="992"/>
      <c r="HU21" s="992" t="s">
        <v>1376</v>
      </c>
      <c r="HV21" s="992"/>
      <c r="HW21" s="994"/>
      <c r="HX21" s="994"/>
      <c r="HY21" s="1056"/>
      <c r="HZ21" s="1056"/>
      <c r="IA21" s="1056"/>
      <c r="IB21" s="1056"/>
      <c r="IC21" s="1056"/>
      <c r="ID21" s="1056"/>
      <c r="IE21" s="1056"/>
      <c r="IF21" s="1056"/>
      <c r="IG21" s="1056"/>
      <c r="IH21" s="1056"/>
      <c r="II21" s="1056"/>
      <c r="IJ21" s="1056"/>
      <c r="IK21" s="1056"/>
      <c r="IL21" s="1056"/>
      <c r="IM21" s="1056"/>
      <c r="IN21" s="1056"/>
      <c r="IO21" s="1056"/>
      <c r="IP21" s="1056"/>
      <c r="IQ21" s="1056"/>
      <c r="IR21" s="1056"/>
      <c r="IS21" s="1056"/>
      <c r="IT21" s="1056"/>
      <c r="IU21" s="1056"/>
      <c r="IV21" s="1056"/>
    </row>
    <row r="22" spans="1:256" ht="19.95" customHeight="1">
      <c r="A22" s="991" t="s">
        <v>117</v>
      </c>
      <c r="B22" s="992"/>
      <c r="C22" s="992" t="str">
        <f>IF(ISTEXT(IFERROR(VLOOKUP(A22,职业列表!I3:J10,1,FALSE),0)),"★","")</f>
        <v/>
      </c>
      <c r="D22" s="994"/>
      <c r="E22" s="992"/>
      <c r="F22" s="992"/>
      <c r="G22" s="992"/>
      <c r="H22" s="992"/>
      <c r="I22" s="992"/>
      <c r="J22" s="992"/>
      <c r="K22" s="992"/>
      <c r="L22" s="992"/>
      <c r="M22" s="992"/>
      <c r="N22" s="992"/>
      <c r="O22" s="992"/>
      <c r="P22" s="992"/>
      <c r="Q22" s="992"/>
      <c r="R22" s="992"/>
      <c r="S22" s="992"/>
      <c r="T22" s="992"/>
      <c r="U22" s="992"/>
      <c r="V22" s="992" t="s">
        <v>1373</v>
      </c>
      <c r="W22" s="992"/>
      <c r="X22" s="992"/>
      <c r="Y22" s="992"/>
      <c r="Z22" s="994" t="s">
        <v>100</v>
      </c>
      <c r="AA22" s="994" t="s">
        <v>100</v>
      </c>
      <c r="AB22" s="992"/>
      <c r="AC22" s="992"/>
      <c r="AD22" s="994" t="s">
        <v>100</v>
      </c>
      <c r="AE22" s="992" t="s">
        <v>1373</v>
      </c>
      <c r="AF22" s="992"/>
      <c r="AG22" s="992" t="s">
        <v>1373</v>
      </c>
      <c r="AH22" s="992"/>
      <c r="AI22" s="992"/>
      <c r="AJ22" s="992"/>
      <c r="AK22" s="992"/>
      <c r="AL22" s="992"/>
      <c r="AM22" s="992"/>
      <c r="AN22" s="992"/>
      <c r="AO22" s="992"/>
      <c r="AP22" s="992"/>
      <c r="AQ22" s="992"/>
      <c r="AR22" s="992"/>
      <c r="AS22" s="992"/>
      <c r="AT22" s="992"/>
      <c r="AU22" s="992"/>
      <c r="AV22" s="992"/>
      <c r="AW22" s="992"/>
      <c r="AX22" s="994" t="s">
        <v>100</v>
      </c>
      <c r="AY22" s="992"/>
      <c r="AZ22" s="992"/>
      <c r="BA22" s="994" t="s">
        <v>100</v>
      </c>
      <c r="BB22" s="992"/>
      <c r="BC22" s="992"/>
      <c r="BD22" s="992"/>
      <c r="BE22" s="992"/>
      <c r="BF22" s="992"/>
      <c r="BG22" s="992"/>
      <c r="BH22" s="992"/>
      <c r="BI22" s="992"/>
      <c r="BJ22" s="992"/>
      <c r="BK22" s="992"/>
      <c r="BL22" s="992"/>
      <c r="BM22" s="992"/>
      <c r="BN22" s="994" t="s">
        <v>100</v>
      </c>
      <c r="BO22" s="992"/>
      <c r="BP22" s="992"/>
      <c r="BQ22" s="992"/>
      <c r="BR22" s="994" t="s">
        <v>100</v>
      </c>
      <c r="BS22" s="994" t="s">
        <v>100</v>
      </c>
      <c r="BT22" s="992"/>
      <c r="BU22" s="992"/>
      <c r="BV22" s="992"/>
      <c r="BW22" s="992"/>
      <c r="BX22" s="994" t="s">
        <v>100</v>
      </c>
      <c r="BY22" s="992"/>
      <c r="BZ22" s="992"/>
      <c r="CA22" s="992"/>
      <c r="CB22" s="992"/>
      <c r="CC22" s="992"/>
      <c r="CD22" s="992"/>
      <c r="CE22" s="992"/>
      <c r="CF22" s="992"/>
      <c r="CG22" s="992"/>
      <c r="CH22" s="992"/>
      <c r="CI22" s="992"/>
      <c r="CJ22" s="992"/>
      <c r="CK22" s="994" t="s">
        <v>100</v>
      </c>
      <c r="CL22" s="994" t="s">
        <v>100</v>
      </c>
      <c r="CM22" s="992"/>
      <c r="CN22" s="992"/>
      <c r="CO22" s="992"/>
      <c r="CP22" s="992"/>
      <c r="CQ22" s="992"/>
      <c r="CR22" s="992"/>
      <c r="CS22" s="992"/>
      <c r="CT22" s="992"/>
      <c r="CU22" s="992"/>
      <c r="CV22" s="992" t="s">
        <v>1373</v>
      </c>
      <c r="CW22" s="992"/>
      <c r="CX22" s="992"/>
      <c r="CY22" s="992"/>
      <c r="CZ22" s="992"/>
      <c r="DA22" s="994" t="s">
        <v>100</v>
      </c>
      <c r="DB22" s="992"/>
      <c r="DC22" s="992"/>
      <c r="DD22" s="992"/>
      <c r="DE22" s="992" t="s">
        <v>1373</v>
      </c>
      <c r="DF22" s="992"/>
      <c r="DG22" s="992"/>
      <c r="DH22" s="992"/>
      <c r="DI22" s="992"/>
      <c r="DJ22" s="992"/>
      <c r="DK22" s="992"/>
      <c r="DL22" s="992"/>
      <c r="DM22" s="992"/>
      <c r="DN22" s="992"/>
      <c r="DO22" s="992"/>
      <c r="DP22" s="992"/>
      <c r="DQ22" s="992"/>
      <c r="DR22" s="992"/>
      <c r="DS22" s="992"/>
      <c r="DT22" s="992"/>
      <c r="DU22" s="992"/>
      <c r="DV22" s="992"/>
      <c r="DW22" s="992"/>
      <c r="DX22" s="992"/>
      <c r="DY22" s="992"/>
      <c r="DZ22" s="992"/>
      <c r="EA22" s="992"/>
      <c r="EB22" s="992"/>
      <c r="EC22" s="992"/>
      <c r="ED22" s="992"/>
      <c r="EE22" s="992"/>
      <c r="EF22" s="992"/>
      <c r="EG22" s="992"/>
      <c r="EH22" s="992"/>
      <c r="EI22" s="992" t="s">
        <v>100</v>
      </c>
      <c r="EJ22" s="992"/>
      <c r="EK22" s="992"/>
      <c r="EL22" s="992"/>
      <c r="EM22" s="992"/>
      <c r="EN22" s="992" t="s">
        <v>1373</v>
      </c>
      <c r="EO22" s="992"/>
      <c r="EP22" s="992" t="s">
        <v>100</v>
      </c>
      <c r="EQ22" s="992"/>
      <c r="ER22" s="992"/>
      <c r="ES22" s="992"/>
      <c r="ET22" s="992"/>
      <c r="EU22" s="992"/>
      <c r="EV22" s="992"/>
      <c r="EW22" s="992"/>
      <c r="EX22" s="992"/>
      <c r="EY22" s="992"/>
      <c r="EZ22" s="992" t="s">
        <v>100</v>
      </c>
      <c r="FA22" s="992"/>
      <c r="FB22" s="992" t="s">
        <v>1373</v>
      </c>
      <c r="FC22" s="992"/>
      <c r="FD22" s="992"/>
      <c r="FE22" s="992"/>
      <c r="FF22" s="992"/>
      <c r="FG22" s="992"/>
      <c r="FH22" s="992"/>
      <c r="FI22" s="992"/>
      <c r="FJ22" s="992"/>
      <c r="FK22" s="992"/>
      <c r="FL22" s="992"/>
      <c r="FM22" s="992"/>
      <c r="FN22" s="992"/>
      <c r="FO22" s="992"/>
      <c r="FP22" s="992"/>
      <c r="FQ22" s="992"/>
      <c r="FR22" s="992"/>
      <c r="FS22" s="992"/>
      <c r="FT22" s="992"/>
      <c r="FU22" s="992" t="s">
        <v>100</v>
      </c>
      <c r="FV22" s="992"/>
      <c r="FW22" s="992"/>
      <c r="FX22" s="992"/>
      <c r="FY22" s="992"/>
      <c r="FZ22" s="992"/>
      <c r="GA22" s="992" t="s">
        <v>100</v>
      </c>
      <c r="GB22" s="992"/>
      <c r="GC22" s="992"/>
      <c r="GD22" s="992"/>
      <c r="GE22" s="992"/>
      <c r="GF22" s="992"/>
      <c r="GG22" s="992"/>
      <c r="GH22" s="992"/>
      <c r="GI22" s="992"/>
      <c r="GJ22" s="992"/>
      <c r="GK22" s="992"/>
      <c r="GL22" s="992"/>
      <c r="GM22" s="992"/>
      <c r="GN22" s="992" t="s">
        <v>100</v>
      </c>
      <c r="GO22" s="992"/>
      <c r="GP22" s="992" t="s">
        <v>100</v>
      </c>
      <c r="GQ22" s="992"/>
      <c r="GR22" s="992" t="s">
        <v>100</v>
      </c>
      <c r="GS22" s="992"/>
      <c r="GT22" s="992" t="s">
        <v>100</v>
      </c>
      <c r="GU22" s="992"/>
      <c r="GV22" s="992"/>
      <c r="GW22" s="992"/>
      <c r="GX22" s="992" t="s">
        <v>100</v>
      </c>
      <c r="GY22" s="992"/>
      <c r="GZ22" s="992"/>
      <c r="HA22" s="992"/>
      <c r="HB22" s="992"/>
      <c r="HC22" s="992"/>
      <c r="HD22" s="992"/>
      <c r="HE22" s="992"/>
      <c r="HF22" s="992"/>
      <c r="HG22" s="992"/>
      <c r="HH22" s="992"/>
      <c r="HI22" s="992"/>
      <c r="HJ22" s="992"/>
      <c r="HK22" s="992"/>
      <c r="HL22" s="992"/>
      <c r="HM22" s="992"/>
      <c r="HN22" s="992"/>
      <c r="HO22" s="992"/>
      <c r="HP22" s="992"/>
      <c r="HQ22" s="992"/>
      <c r="HR22" s="994"/>
      <c r="HS22" s="994"/>
      <c r="HT22" s="992"/>
      <c r="HU22" s="992"/>
      <c r="HV22" s="994"/>
      <c r="HW22" s="992"/>
      <c r="HX22" s="992"/>
      <c r="HY22" s="1056"/>
      <c r="HZ22" s="1056"/>
      <c r="IA22" s="1056"/>
      <c r="IB22" s="1056"/>
      <c r="IC22" s="1056"/>
      <c r="ID22" s="1056"/>
      <c r="IE22" s="1056"/>
      <c r="IF22" s="1056"/>
      <c r="IG22" s="1056"/>
      <c r="IH22" s="1056"/>
      <c r="II22" s="1056"/>
      <c r="IJ22" s="1056"/>
      <c r="IK22" s="1056"/>
      <c r="IL22" s="1056"/>
      <c r="IM22" s="1056"/>
      <c r="IN22" s="1056"/>
      <c r="IO22" s="1056"/>
      <c r="IP22" s="1056"/>
      <c r="IQ22" s="1056"/>
      <c r="IR22" s="1056"/>
      <c r="IS22" s="1056"/>
      <c r="IT22" s="1056"/>
      <c r="IU22" s="1056"/>
      <c r="IV22" s="1056"/>
    </row>
    <row r="23" spans="1:256" ht="19.95" customHeight="1">
      <c r="A23" s="1004" t="s">
        <v>120</v>
      </c>
      <c r="B23" s="992"/>
      <c r="C23" s="993" t="str">
        <f>IF(ISTEXT(IFERROR(VLOOKUP(A23,职业列表!I3:J10,1,FALSE),0)),"★","")</f>
        <v/>
      </c>
      <c r="D23" s="994"/>
      <c r="E23" s="992"/>
      <c r="F23" s="992"/>
      <c r="G23" s="992"/>
      <c r="H23" s="992"/>
      <c r="I23" s="992"/>
      <c r="J23" s="992"/>
      <c r="K23" s="992"/>
      <c r="L23" s="992"/>
      <c r="M23" s="992"/>
      <c r="N23" s="992"/>
      <c r="O23" s="992"/>
      <c r="P23" s="992"/>
      <c r="Q23" s="992"/>
      <c r="R23" s="992"/>
      <c r="S23" s="992"/>
      <c r="T23" s="992"/>
      <c r="U23" s="992"/>
      <c r="V23" s="992" t="s">
        <v>1373</v>
      </c>
      <c r="W23" s="992"/>
      <c r="X23" s="992"/>
      <c r="Y23" s="992"/>
      <c r="Z23" s="994" t="s">
        <v>100</v>
      </c>
      <c r="AA23" s="994" t="s">
        <v>100</v>
      </c>
      <c r="AB23" s="992"/>
      <c r="AC23" s="992"/>
      <c r="AD23" s="992"/>
      <c r="AE23" s="992"/>
      <c r="AF23" s="992"/>
      <c r="AG23" s="992"/>
      <c r="AH23" s="992"/>
      <c r="AI23" s="992"/>
      <c r="AJ23" s="992"/>
      <c r="AK23" s="992"/>
      <c r="AL23" s="992"/>
      <c r="AM23" s="992"/>
      <c r="AN23" s="992"/>
      <c r="AO23" s="992"/>
      <c r="AP23" s="992"/>
      <c r="AQ23" s="992"/>
      <c r="AR23" s="992"/>
      <c r="AS23" s="992"/>
      <c r="AT23" s="992"/>
      <c r="AU23" s="992"/>
      <c r="AV23" s="992"/>
      <c r="AW23" s="992"/>
      <c r="AX23" s="992"/>
      <c r="AY23" s="992"/>
      <c r="AZ23" s="992"/>
      <c r="BA23" s="992"/>
      <c r="BB23" s="992"/>
      <c r="BC23" s="992"/>
      <c r="BD23" s="992"/>
      <c r="BE23" s="992"/>
      <c r="BF23" s="992"/>
      <c r="BG23" s="992"/>
      <c r="BH23" s="992"/>
      <c r="BI23" s="992"/>
      <c r="BJ23" s="992"/>
      <c r="BK23" s="992"/>
      <c r="BL23" s="992"/>
      <c r="BM23" s="992"/>
      <c r="BN23" s="992"/>
      <c r="BO23" s="992"/>
      <c r="BP23" s="992"/>
      <c r="BQ23" s="992"/>
      <c r="BR23" s="992"/>
      <c r="BS23" s="992"/>
      <c r="BT23" s="992"/>
      <c r="BU23" s="992"/>
      <c r="BV23" s="992"/>
      <c r="BW23" s="992"/>
      <c r="BX23" s="992"/>
      <c r="BY23" s="992"/>
      <c r="BZ23" s="992"/>
      <c r="CA23" s="992"/>
      <c r="CB23" s="992"/>
      <c r="CC23" s="992"/>
      <c r="CD23" s="992"/>
      <c r="CE23" s="992"/>
      <c r="CF23" s="992"/>
      <c r="CG23" s="992"/>
      <c r="CH23" s="992"/>
      <c r="CI23" s="992"/>
      <c r="CJ23" s="992"/>
      <c r="CK23" s="992"/>
      <c r="CL23" s="992"/>
      <c r="CM23" s="992"/>
      <c r="CN23" s="992"/>
      <c r="CO23" s="992"/>
      <c r="CP23" s="992"/>
      <c r="CQ23" s="992"/>
      <c r="CR23" s="992"/>
      <c r="CS23" s="992"/>
      <c r="CT23" s="992"/>
      <c r="CU23" s="992"/>
      <c r="CV23" s="992"/>
      <c r="CW23" s="992"/>
      <c r="CX23" s="992"/>
      <c r="CY23" s="992"/>
      <c r="CZ23" s="992"/>
      <c r="DA23" s="992"/>
      <c r="DB23" s="992"/>
      <c r="DC23" s="992"/>
      <c r="DD23" s="992"/>
      <c r="DE23" s="992"/>
      <c r="DF23" s="992"/>
      <c r="DG23" s="992"/>
      <c r="DH23" s="992"/>
      <c r="DI23" s="992"/>
      <c r="DJ23" s="992"/>
      <c r="DK23" s="992"/>
      <c r="DL23" s="992"/>
      <c r="DM23" s="992"/>
      <c r="DN23" s="992"/>
      <c r="DO23" s="992"/>
      <c r="DP23" s="992"/>
      <c r="DQ23" s="992"/>
      <c r="DR23" s="992"/>
      <c r="DS23" s="992"/>
      <c r="DT23" s="992"/>
      <c r="DU23" s="992"/>
      <c r="DV23" s="992"/>
      <c r="DW23" s="992"/>
      <c r="DX23" s="992"/>
      <c r="DY23" s="992"/>
      <c r="DZ23" s="992"/>
      <c r="EA23" s="992"/>
      <c r="EB23" s="992"/>
      <c r="EC23" s="992"/>
      <c r="ED23" s="992"/>
      <c r="EE23" s="992"/>
      <c r="EF23" s="992"/>
      <c r="EG23" s="992"/>
      <c r="EH23" s="992"/>
      <c r="EI23" s="992"/>
      <c r="EJ23" s="992"/>
      <c r="EK23" s="992"/>
      <c r="EL23" s="992"/>
      <c r="EM23" s="992"/>
      <c r="EN23" s="992"/>
      <c r="EO23" s="992"/>
      <c r="EP23" s="992"/>
      <c r="EQ23" s="992"/>
      <c r="ER23" s="992"/>
      <c r="ES23" s="992"/>
      <c r="ET23" s="992"/>
      <c r="EU23" s="992"/>
      <c r="EV23" s="992"/>
      <c r="EW23" s="992"/>
      <c r="EX23" s="992"/>
      <c r="EY23" s="992"/>
      <c r="EZ23" s="992"/>
      <c r="FA23" s="992"/>
      <c r="FB23" s="992"/>
      <c r="FC23" s="992"/>
      <c r="FD23" s="992"/>
      <c r="FE23" s="992"/>
      <c r="FF23" s="992"/>
      <c r="FG23" s="992"/>
      <c r="FH23" s="992"/>
      <c r="FI23" s="992"/>
      <c r="FJ23" s="992"/>
      <c r="FK23" s="992"/>
      <c r="FL23" s="992"/>
      <c r="FM23" s="992"/>
      <c r="FN23" s="992"/>
      <c r="FO23" s="992"/>
      <c r="FP23" s="992"/>
      <c r="FQ23" s="992"/>
      <c r="FR23" s="992"/>
      <c r="FS23" s="992"/>
      <c r="FT23" s="992"/>
      <c r="FU23" s="992"/>
      <c r="FV23" s="992"/>
      <c r="FW23" s="992"/>
      <c r="FX23" s="992"/>
      <c r="FY23" s="992"/>
      <c r="FZ23" s="992"/>
      <c r="GA23" s="992"/>
      <c r="GB23" s="992"/>
      <c r="GC23" s="992"/>
      <c r="GD23" s="992"/>
      <c r="GE23" s="992"/>
      <c r="GF23" s="992"/>
      <c r="GG23" s="992"/>
      <c r="GH23" s="992"/>
      <c r="GI23" s="992"/>
      <c r="GJ23" s="992"/>
      <c r="GK23" s="992"/>
      <c r="GL23" s="992"/>
      <c r="GM23" s="992"/>
      <c r="GN23" s="992"/>
      <c r="GO23" s="992"/>
      <c r="GP23" s="992"/>
      <c r="GQ23" s="992"/>
      <c r="GR23" s="992"/>
      <c r="GS23" s="992"/>
      <c r="GT23" s="992" t="s">
        <v>100</v>
      </c>
      <c r="GU23" s="992"/>
      <c r="GV23" s="992"/>
      <c r="GW23" s="992"/>
      <c r="GX23" s="992" t="s">
        <v>100</v>
      </c>
      <c r="GY23" s="992"/>
      <c r="GZ23" s="992"/>
      <c r="HA23" s="992"/>
      <c r="HB23" s="992"/>
      <c r="HC23" s="992"/>
      <c r="HD23" s="992"/>
      <c r="HE23" s="992"/>
      <c r="HF23" s="992"/>
      <c r="HG23" s="992"/>
      <c r="HH23" s="992"/>
      <c r="HI23" s="992"/>
      <c r="HJ23" s="992"/>
      <c r="HK23" s="992"/>
      <c r="HL23" s="992"/>
      <c r="HM23" s="992"/>
      <c r="HN23" s="992"/>
      <c r="HO23" s="992"/>
      <c r="HP23" s="992"/>
      <c r="HQ23" s="992"/>
      <c r="HR23" s="994"/>
      <c r="HS23" s="994"/>
      <c r="HT23" s="992"/>
      <c r="HU23" s="992"/>
      <c r="HV23" s="992"/>
      <c r="HW23" s="992"/>
      <c r="HX23" s="992"/>
      <c r="HY23" s="1056"/>
      <c r="HZ23" s="1056"/>
      <c r="IA23" s="1056"/>
      <c r="IB23" s="1056"/>
      <c r="IC23" s="1056"/>
      <c r="ID23" s="1056"/>
      <c r="IE23" s="1056"/>
      <c r="IF23" s="1056"/>
      <c r="IG23" s="1056"/>
      <c r="IH23" s="1056"/>
      <c r="II23" s="1056"/>
      <c r="IJ23" s="1056"/>
      <c r="IK23" s="1056"/>
      <c r="IL23" s="1056"/>
      <c r="IM23" s="1056"/>
      <c r="IN23" s="1056"/>
      <c r="IO23" s="1056"/>
      <c r="IP23" s="1056"/>
      <c r="IQ23" s="1056"/>
      <c r="IR23" s="1056"/>
      <c r="IS23" s="1056"/>
      <c r="IT23" s="1056"/>
      <c r="IU23" s="1056"/>
      <c r="IV23" s="1056"/>
    </row>
    <row r="24" spans="1:256" s="974" customFormat="1" ht="19.95" customHeight="1">
      <c r="A24" s="1000" t="s">
        <v>122</v>
      </c>
      <c r="B24" s="1001"/>
      <c r="C24" s="992" t="str">
        <f>IF(ISTEXT(IFERROR(VLOOKUP(A24,职业列表!I3:J10,1,FALSE),0)),"★","")</f>
        <v/>
      </c>
      <c r="D24" s="1002"/>
      <c r="E24" s="1001"/>
      <c r="F24" s="1001" t="s">
        <v>1375</v>
      </c>
      <c r="G24" s="1001" t="s">
        <v>1375</v>
      </c>
      <c r="H24" s="1001" t="s">
        <v>1375</v>
      </c>
      <c r="I24" s="1001"/>
      <c r="J24" s="1001"/>
      <c r="K24" s="1001" t="s">
        <v>1375</v>
      </c>
      <c r="L24" s="1001" t="s">
        <v>1375</v>
      </c>
      <c r="M24" s="1001"/>
      <c r="N24" s="1001"/>
      <c r="O24" s="1001" t="s">
        <v>1375</v>
      </c>
      <c r="P24" s="1001" t="s">
        <v>1375</v>
      </c>
      <c r="Q24" s="1001" t="s">
        <v>1375</v>
      </c>
      <c r="R24" s="1001"/>
      <c r="S24" s="1001" t="s">
        <v>1375</v>
      </c>
      <c r="T24" s="1001"/>
      <c r="U24" s="1001" t="s">
        <v>1375</v>
      </c>
      <c r="V24" s="1001" t="s">
        <v>1375</v>
      </c>
      <c r="W24" s="1001"/>
      <c r="X24" s="1001"/>
      <c r="Y24" s="1001" t="s">
        <v>1375</v>
      </c>
      <c r="Z24" s="1001"/>
      <c r="AA24" s="1001" t="s">
        <v>1375</v>
      </c>
      <c r="AB24" s="1001"/>
      <c r="AC24" s="1001"/>
      <c r="AD24" s="1001"/>
      <c r="AE24" s="1001"/>
      <c r="AF24" s="1001" t="s">
        <v>1375</v>
      </c>
      <c r="AG24" s="1001"/>
      <c r="AH24" s="1001" t="s">
        <v>1375</v>
      </c>
      <c r="AI24" s="1001" t="s">
        <v>1375</v>
      </c>
      <c r="AJ24" s="1001" t="s">
        <v>1375</v>
      </c>
      <c r="AK24" s="1001" t="s">
        <v>1375</v>
      </c>
      <c r="AL24" s="1001"/>
      <c r="AM24" s="1001" t="s">
        <v>1375</v>
      </c>
      <c r="AN24" s="1001" t="s">
        <v>1375</v>
      </c>
      <c r="AO24" s="1001" t="s">
        <v>1375</v>
      </c>
      <c r="AP24" s="1001" t="s">
        <v>1375</v>
      </c>
      <c r="AQ24" s="1035"/>
      <c r="AR24" s="1001" t="s">
        <v>1375</v>
      </c>
      <c r="AS24" s="1001"/>
      <c r="AT24" s="1001"/>
      <c r="AU24" s="1001" t="s">
        <v>1375</v>
      </c>
      <c r="AV24" s="1001" t="s">
        <v>1375</v>
      </c>
      <c r="AW24" s="1001" t="s">
        <v>1375</v>
      </c>
      <c r="AX24" s="1002" t="s">
        <v>100</v>
      </c>
      <c r="AY24" s="1001" t="s">
        <v>1375</v>
      </c>
      <c r="AZ24" s="1002" t="s">
        <v>100</v>
      </c>
      <c r="BA24" s="1001"/>
      <c r="BB24" s="1001" t="s">
        <v>1375</v>
      </c>
      <c r="BC24" s="1001"/>
      <c r="BD24" s="1001" t="s">
        <v>1375</v>
      </c>
      <c r="BE24" s="1001"/>
      <c r="BF24" s="1001"/>
      <c r="BG24" s="1001" t="s">
        <v>1375</v>
      </c>
      <c r="BH24" s="1001"/>
      <c r="BI24" s="1001" t="s">
        <v>1375</v>
      </c>
      <c r="BJ24" s="1001" t="s">
        <v>1375</v>
      </c>
      <c r="BK24" s="1001" t="s">
        <v>1375</v>
      </c>
      <c r="BL24" s="1001" t="s">
        <v>1375</v>
      </c>
      <c r="BM24" s="1001"/>
      <c r="BN24" s="1001" t="s">
        <v>1375</v>
      </c>
      <c r="BO24" s="1001" t="s">
        <v>1375</v>
      </c>
      <c r="BP24" s="1001" t="s">
        <v>1375</v>
      </c>
      <c r="BQ24" s="1001"/>
      <c r="BR24" s="1001"/>
      <c r="BS24" s="1001"/>
      <c r="BT24" s="1001"/>
      <c r="BU24" s="1035"/>
      <c r="BV24" s="1001" t="s">
        <v>1375</v>
      </c>
      <c r="BW24" s="1001"/>
      <c r="BX24" s="1001"/>
      <c r="BY24" s="1001" t="s">
        <v>1375</v>
      </c>
      <c r="BZ24" s="1001" t="s">
        <v>1375</v>
      </c>
      <c r="CA24" s="1001"/>
      <c r="CB24" s="1001"/>
      <c r="CC24" s="1001" t="s">
        <v>1375</v>
      </c>
      <c r="CD24" s="1001" t="s">
        <v>1375</v>
      </c>
      <c r="CE24" s="1001" t="s">
        <v>1375</v>
      </c>
      <c r="CF24" s="1001"/>
      <c r="CG24" s="1001"/>
      <c r="CH24" s="1001" t="s">
        <v>1375</v>
      </c>
      <c r="CI24" s="1001" t="s">
        <v>1375</v>
      </c>
      <c r="CJ24" s="1001" t="s">
        <v>1375</v>
      </c>
      <c r="CK24" s="1001"/>
      <c r="CL24" s="1001"/>
      <c r="CM24" s="1001" t="s">
        <v>1375</v>
      </c>
      <c r="CN24" s="1001" t="s">
        <v>1375</v>
      </c>
      <c r="CO24" s="1001" t="s">
        <v>1375</v>
      </c>
      <c r="CP24" s="1001"/>
      <c r="CQ24" s="1001"/>
      <c r="CR24" s="1001" t="s">
        <v>1375</v>
      </c>
      <c r="CS24" s="1001"/>
      <c r="CT24" s="1001"/>
      <c r="CU24" s="1001" t="s">
        <v>1375</v>
      </c>
      <c r="CV24" s="1001"/>
      <c r="CW24" s="1001" t="s">
        <v>1375</v>
      </c>
      <c r="CX24" s="1001" t="s">
        <v>1375</v>
      </c>
      <c r="CY24" s="1001" t="s">
        <v>1375</v>
      </c>
      <c r="CZ24" s="1001" t="s">
        <v>1375</v>
      </c>
      <c r="DA24" s="1001" t="s">
        <v>1375</v>
      </c>
      <c r="DB24" s="1001"/>
      <c r="DC24" s="1001" t="s">
        <v>1375</v>
      </c>
      <c r="DD24" s="1001"/>
      <c r="DE24" s="1001"/>
      <c r="DF24" s="1001"/>
      <c r="DG24" s="1001" t="s">
        <v>1375</v>
      </c>
      <c r="DH24" s="1001" t="s">
        <v>1375</v>
      </c>
      <c r="DI24" s="1001" t="s">
        <v>1375</v>
      </c>
      <c r="DJ24" s="1001" t="s">
        <v>1375</v>
      </c>
      <c r="DK24" s="1001" t="s">
        <v>1375</v>
      </c>
      <c r="DL24" s="1001" t="s">
        <v>1375</v>
      </c>
      <c r="DM24" s="1001"/>
      <c r="DN24" s="1001" t="s">
        <v>100</v>
      </c>
      <c r="DO24" s="1001" t="s">
        <v>1375</v>
      </c>
      <c r="DP24" s="1001" t="s">
        <v>1375</v>
      </c>
      <c r="DQ24" s="1001" t="s">
        <v>1375</v>
      </c>
      <c r="DR24" s="1001" t="s">
        <v>1375</v>
      </c>
      <c r="DS24" s="1001" t="s">
        <v>1375</v>
      </c>
      <c r="DT24" s="1001" t="s">
        <v>1375</v>
      </c>
      <c r="DU24" s="1001" t="s">
        <v>1375</v>
      </c>
      <c r="DV24" s="1001" t="s">
        <v>1375</v>
      </c>
      <c r="DW24" s="1001" t="s">
        <v>1375</v>
      </c>
      <c r="DX24" s="1001" t="s">
        <v>1375</v>
      </c>
      <c r="DY24" s="1001" t="s">
        <v>1375</v>
      </c>
      <c r="DZ24" s="1001" t="s">
        <v>1375</v>
      </c>
      <c r="EA24" s="1001" t="s">
        <v>1375</v>
      </c>
      <c r="EB24" s="1001" t="s">
        <v>1375</v>
      </c>
      <c r="EC24" s="1001" t="s">
        <v>1375</v>
      </c>
      <c r="ED24" s="1001"/>
      <c r="EE24" s="1001" t="s">
        <v>1375</v>
      </c>
      <c r="EF24" s="1001"/>
      <c r="EG24" s="1001"/>
      <c r="EH24" s="1001"/>
      <c r="EI24" s="1001" t="s">
        <v>1375</v>
      </c>
      <c r="EJ24" s="1001" t="s">
        <v>1375</v>
      </c>
      <c r="EK24" s="1001" t="s">
        <v>1375</v>
      </c>
      <c r="EL24" s="1001"/>
      <c r="EM24" s="1001" t="s">
        <v>1375</v>
      </c>
      <c r="EN24" s="1001"/>
      <c r="EO24" s="1001" t="s">
        <v>1375</v>
      </c>
      <c r="EP24" s="1001"/>
      <c r="EQ24" s="1001" t="s">
        <v>100</v>
      </c>
      <c r="ER24" s="1001" t="s">
        <v>1375</v>
      </c>
      <c r="ES24" s="1001" t="s">
        <v>1375</v>
      </c>
      <c r="ET24" s="1001" t="s">
        <v>1375</v>
      </c>
      <c r="EU24" s="1001" t="s">
        <v>1375</v>
      </c>
      <c r="EV24" s="1001" t="s">
        <v>1375</v>
      </c>
      <c r="EW24" s="1001"/>
      <c r="EX24" s="1001" t="s">
        <v>1375</v>
      </c>
      <c r="EY24" s="1001" t="s">
        <v>1375</v>
      </c>
      <c r="EZ24" s="1001"/>
      <c r="FA24" s="1001" t="s">
        <v>1375</v>
      </c>
      <c r="FB24" s="1001" t="s">
        <v>1375</v>
      </c>
      <c r="FC24" s="1001"/>
      <c r="FD24" s="1001" t="s">
        <v>100</v>
      </c>
      <c r="FE24" s="1001" t="s">
        <v>1375</v>
      </c>
      <c r="FF24" s="1001" t="s">
        <v>1375</v>
      </c>
      <c r="FG24" s="1001" t="s">
        <v>1375</v>
      </c>
      <c r="FH24" s="1001"/>
      <c r="FI24" s="1001"/>
      <c r="FJ24" s="1001" t="s">
        <v>1373</v>
      </c>
      <c r="FK24" s="1001"/>
      <c r="FL24" s="1001"/>
      <c r="FM24" s="1001" t="s">
        <v>1375</v>
      </c>
      <c r="FN24" s="1001" t="s">
        <v>100</v>
      </c>
      <c r="FO24" s="1001"/>
      <c r="FP24" s="1001"/>
      <c r="FQ24" s="1001" t="s">
        <v>1375</v>
      </c>
      <c r="FR24" s="1001" t="s">
        <v>1375</v>
      </c>
      <c r="FS24" s="1001"/>
      <c r="FT24" s="1001"/>
      <c r="FU24" s="1001"/>
      <c r="FV24" s="1001" t="s">
        <v>1375</v>
      </c>
      <c r="FW24" s="1001"/>
      <c r="FX24" s="1001"/>
      <c r="FY24" s="1001" t="s">
        <v>1375</v>
      </c>
      <c r="FZ24" s="1001"/>
      <c r="GA24" s="1001"/>
      <c r="GB24" s="1001" t="s">
        <v>1375</v>
      </c>
      <c r="GC24" s="1001"/>
      <c r="GD24" s="1001"/>
      <c r="GE24" s="1001"/>
      <c r="GF24" s="1001" t="s">
        <v>1375</v>
      </c>
      <c r="GG24" s="1001" t="s">
        <v>1375</v>
      </c>
      <c r="GH24" s="1001" t="s">
        <v>1375</v>
      </c>
      <c r="GI24" s="1001" t="s">
        <v>1375</v>
      </c>
      <c r="GJ24" s="1001"/>
      <c r="GK24" s="1001" t="s">
        <v>100</v>
      </c>
      <c r="GL24" s="1001" t="s">
        <v>100</v>
      </c>
      <c r="GM24" s="1001" t="s">
        <v>100</v>
      </c>
      <c r="GN24" s="1001" t="s">
        <v>1375</v>
      </c>
      <c r="GO24" s="1001" t="s">
        <v>1375</v>
      </c>
      <c r="GP24" s="1001" t="s">
        <v>1375</v>
      </c>
      <c r="GQ24" s="1001" t="s">
        <v>1375</v>
      </c>
      <c r="GR24" s="1001"/>
      <c r="GS24" s="1001"/>
      <c r="GT24" s="1001" t="s">
        <v>1375</v>
      </c>
      <c r="GU24" s="1001"/>
      <c r="GV24" s="1001"/>
      <c r="GW24" s="1001" t="s">
        <v>1375</v>
      </c>
      <c r="GX24" s="1001" t="s">
        <v>1375</v>
      </c>
      <c r="GY24" s="1001" t="s">
        <v>1375</v>
      </c>
      <c r="GZ24" s="1001" t="s">
        <v>1375</v>
      </c>
      <c r="HA24" s="1001" t="s">
        <v>1375</v>
      </c>
      <c r="HB24" s="1001"/>
      <c r="HC24" s="1001" t="s">
        <v>1375</v>
      </c>
      <c r="HD24" s="1001"/>
      <c r="HE24" s="1001" t="s">
        <v>1375</v>
      </c>
      <c r="HF24" s="1001"/>
      <c r="HG24" s="1001" t="s">
        <v>1375</v>
      </c>
      <c r="HH24" s="1003" t="s">
        <v>1375</v>
      </c>
      <c r="HI24" s="1001"/>
      <c r="HJ24" s="1003" t="s">
        <v>1375</v>
      </c>
      <c r="HK24" s="1001" t="s">
        <v>1375</v>
      </c>
      <c r="HL24" s="1001"/>
      <c r="HM24" s="1003" t="s">
        <v>1375</v>
      </c>
      <c r="HN24" s="1001" t="s">
        <v>1375</v>
      </c>
      <c r="HO24" s="1001" t="s">
        <v>1375</v>
      </c>
      <c r="HP24" s="1001" t="s">
        <v>1375</v>
      </c>
      <c r="HQ24" s="1001"/>
      <c r="HR24" s="1003" t="s">
        <v>1375</v>
      </c>
      <c r="HS24" s="1003" t="s">
        <v>1375</v>
      </c>
      <c r="HT24" s="1003" t="s">
        <v>1375</v>
      </c>
      <c r="HU24" s="1001"/>
      <c r="HV24" s="1001" t="s">
        <v>1375</v>
      </c>
      <c r="HW24" s="1001"/>
      <c r="HX24" s="1001" t="s">
        <v>1375</v>
      </c>
      <c r="HY24" s="1060"/>
      <c r="HZ24" s="1060"/>
      <c r="IA24" s="1060"/>
      <c r="IB24" s="1060"/>
      <c r="IC24" s="1060"/>
      <c r="ID24" s="1060"/>
      <c r="IE24" s="1060"/>
      <c r="IF24" s="1060"/>
      <c r="IG24" s="1060"/>
      <c r="IH24" s="1060"/>
      <c r="II24" s="1060"/>
      <c r="IJ24" s="1060"/>
      <c r="IK24" s="1060"/>
      <c r="IL24" s="1060"/>
      <c r="IM24" s="1060"/>
      <c r="IN24" s="1060"/>
      <c r="IO24" s="1060"/>
      <c r="IP24" s="1060"/>
      <c r="IQ24" s="1060"/>
      <c r="IR24" s="1060"/>
      <c r="IS24" s="1060"/>
      <c r="IT24" s="1060"/>
      <c r="IU24" s="1060"/>
      <c r="IV24" s="1060"/>
    </row>
    <row r="25" spans="1:256" s="976" customFormat="1" ht="19.95" customHeight="1">
      <c r="A25" s="1008" t="s">
        <v>125</v>
      </c>
      <c r="B25" s="1009"/>
      <c r="C25" s="992" t="str">
        <f>IF(ISTEXT(IFERROR(VLOOKUP(A25,职业列表!I3:J10,1,FALSE),0)),"★","")</f>
        <v/>
      </c>
      <c r="D25" s="1010"/>
      <c r="E25" s="1009"/>
      <c r="F25" s="1010" t="s">
        <v>100</v>
      </c>
      <c r="G25" s="1009"/>
      <c r="H25" s="1009" t="s">
        <v>100</v>
      </c>
      <c r="I25" s="1009"/>
      <c r="J25" s="1009"/>
      <c r="K25" s="1009"/>
      <c r="L25" s="1009"/>
      <c r="M25" s="1009"/>
      <c r="N25" s="1009"/>
      <c r="O25" s="1009"/>
      <c r="P25" s="1009" t="s">
        <v>100</v>
      </c>
      <c r="Q25" s="1009" t="s">
        <v>100</v>
      </c>
      <c r="R25" s="1009"/>
      <c r="S25" s="1009" t="s">
        <v>100</v>
      </c>
      <c r="T25" s="1009"/>
      <c r="U25" s="1009"/>
      <c r="V25" s="1032" t="s">
        <v>1374</v>
      </c>
      <c r="W25" s="1009" t="s">
        <v>100</v>
      </c>
      <c r="X25" s="1009"/>
      <c r="Y25" s="1009"/>
      <c r="Z25" s="1009"/>
      <c r="AA25" s="1009"/>
      <c r="AB25" s="1009" t="s">
        <v>1374</v>
      </c>
      <c r="AC25" s="1009"/>
      <c r="AD25" s="1010" t="s">
        <v>100</v>
      </c>
      <c r="AE25" s="1010" t="s">
        <v>100</v>
      </c>
      <c r="AF25" s="1010" t="s">
        <v>100</v>
      </c>
      <c r="AG25" s="1009"/>
      <c r="AH25" s="1009"/>
      <c r="AI25" s="1009" t="s">
        <v>1374</v>
      </c>
      <c r="AJ25" s="1009" t="s">
        <v>1373</v>
      </c>
      <c r="AK25" s="1009"/>
      <c r="AL25" s="1009"/>
      <c r="AM25" s="1009"/>
      <c r="AN25" s="1010" t="s">
        <v>100</v>
      </c>
      <c r="AO25" s="1009"/>
      <c r="AP25" s="1009" t="s">
        <v>1373</v>
      </c>
      <c r="AQ25" s="1009"/>
      <c r="AR25" s="1009"/>
      <c r="AS25" s="1009"/>
      <c r="AT25" s="1009"/>
      <c r="AU25" s="1009"/>
      <c r="AV25" s="1009"/>
      <c r="AW25" s="1009"/>
      <c r="AX25" s="1009"/>
      <c r="AY25" s="1009"/>
      <c r="AZ25" s="1009"/>
      <c r="BA25" s="1009"/>
      <c r="BB25" s="1009"/>
      <c r="BC25" s="1009"/>
      <c r="BD25" s="1009"/>
      <c r="BE25" s="1009" t="s">
        <v>100</v>
      </c>
      <c r="BF25" s="1009"/>
      <c r="BG25" s="1009"/>
      <c r="BH25" s="1009"/>
      <c r="BI25" s="1009"/>
      <c r="BJ25" s="1010" t="s">
        <v>100</v>
      </c>
      <c r="BK25" s="1010" t="s">
        <v>100</v>
      </c>
      <c r="BL25" s="1009"/>
      <c r="BM25" s="1009"/>
      <c r="BN25" s="1009" t="s">
        <v>100</v>
      </c>
      <c r="BO25" s="1009"/>
      <c r="BP25" s="1009"/>
      <c r="BQ25" s="1009"/>
      <c r="BR25" s="1009"/>
      <c r="BS25" s="1010" t="s">
        <v>100</v>
      </c>
      <c r="BT25" s="1009"/>
      <c r="BU25" s="1009"/>
      <c r="BV25" s="1009"/>
      <c r="BW25" s="1009"/>
      <c r="BX25" s="1009"/>
      <c r="BY25" s="1009"/>
      <c r="BZ25" s="1009"/>
      <c r="CA25" s="1009"/>
      <c r="CB25" s="1009"/>
      <c r="CC25" s="1009"/>
      <c r="CD25" s="1009"/>
      <c r="CE25" s="1009"/>
      <c r="CF25" s="1009"/>
      <c r="CG25" s="1009"/>
      <c r="CH25" s="1009"/>
      <c r="CI25" s="1009"/>
      <c r="CJ25" s="1009"/>
      <c r="CK25" s="1009"/>
      <c r="CL25" s="1009"/>
      <c r="CM25" s="1009"/>
      <c r="CN25" s="1032" t="s">
        <v>100</v>
      </c>
      <c r="CO25" s="1009"/>
      <c r="CP25" s="1009"/>
      <c r="CQ25" s="1009"/>
      <c r="CR25" s="1009"/>
      <c r="CS25" s="1009"/>
      <c r="CT25" s="1009"/>
      <c r="CU25" s="1009"/>
      <c r="CV25" s="1010" t="s">
        <v>100</v>
      </c>
      <c r="CW25" s="1009"/>
      <c r="CX25" s="1009"/>
      <c r="CY25" s="1009"/>
      <c r="CZ25" s="1009"/>
      <c r="DA25" s="1009"/>
      <c r="DB25" s="1010" t="s">
        <v>100</v>
      </c>
      <c r="DC25" s="1009"/>
      <c r="DD25" s="1009"/>
      <c r="DE25" s="1010" t="s">
        <v>100</v>
      </c>
      <c r="DF25" s="1009" t="s">
        <v>1373</v>
      </c>
      <c r="DG25" s="1009"/>
      <c r="DH25" s="1009" t="s">
        <v>100</v>
      </c>
      <c r="DI25" s="1009"/>
      <c r="DJ25" s="1009"/>
      <c r="DK25" s="1009"/>
      <c r="DL25" s="1009"/>
      <c r="DM25" s="1009"/>
      <c r="DN25" s="1009"/>
      <c r="DO25" s="1009" t="s">
        <v>100</v>
      </c>
      <c r="DP25" s="1009" t="s">
        <v>100</v>
      </c>
      <c r="DQ25" s="1009" t="s">
        <v>100</v>
      </c>
      <c r="DR25" s="1009" t="s">
        <v>100</v>
      </c>
      <c r="DS25" s="1009"/>
      <c r="DT25" s="1009"/>
      <c r="DU25" s="1009"/>
      <c r="DV25" s="1009"/>
      <c r="DW25" s="1009"/>
      <c r="DX25" s="1009"/>
      <c r="DY25" s="1009" t="s">
        <v>100</v>
      </c>
      <c r="DZ25" s="1009"/>
      <c r="EA25" s="1009"/>
      <c r="EB25" s="1009"/>
      <c r="EC25" s="1009"/>
      <c r="ED25" s="1009"/>
      <c r="EE25" s="1009"/>
      <c r="EF25" s="1009"/>
      <c r="EG25" s="1009"/>
      <c r="EH25" s="1009"/>
      <c r="EI25" s="1009"/>
      <c r="EJ25" s="1009"/>
      <c r="EK25" s="1009"/>
      <c r="EL25" s="1009"/>
      <c r="EM25" s="1009" t="s">
        <v>100</v>
      </c>
      <c r="EN25" s="1009"/>
      <c r="EO25" s="1009"/>
      <c r="EP25" s="1009"/>
      <c r="EQ25" s="1009"/>
      <c r="ER25" s="1009"/>
      <c r="ES25" s="1009"/>
      <c r="ET25" s="1009"/>
      <c r="EU25" s="1009"/>
      <c r="EV25" s="1009"/>
      <c r="EW25" s="1009"/>
      <c r="EX25" s="1009"/>
      <c r="EY25" s="1009"/>
      <c r="EZ25" s="1009"/>
      <c r="FA25" s="1009"/>
      <c r="FB25" s="1009"/>
      <c r="FC25" s="1009" t="s">
        <v>100</v>
      </c>
      <c r="FD25" s="1009" t="s">
        <v>100</v>
      </c>
      <c r="FE25" s="1009"/>
      <c r="FF25" s="1009"/>
      <c r="FG25" s="1009"/>
      <c r="FH25" s="1009" t="s">
        <v>100</v>
      </c>
      <c r="FI25" s="1009" t="s">
        <v>100</v>
      </c>
      <c r="FJ25" s="1009"/>
      <c r="FK25" s="1009"/>
      <c r="FL25" s="1009"/>
      <c r="FM25" s="1009"/>
      <c r="FN25" s="1009"/>
      <c r="FO25" s="1009" t="s">
        <v>100</v>
      </c>
      <c r="FP25" s="1009"/>
      <c r="FQ25" s="1009"/>
      <c r="FR25" s="1009"/>
      <c r="FS25" s="1009"/>
      <c r="FT25" s="1009"/>
      <c r="FU25" s="1009"/>
      <c r="FV25" s="1009"/>
      <c r="FW25" s="1009"/>
      <c r="FX25" s="1009"/>
      <c r="FY25" s="1009"/>
      <c r="FZ25" s="1009"/>
      <c r="GA25" s="1009" t="s">
        <v>100</v>
      </c>
      <c r="GB25" s="1009"/>
      <c r="GC25" s="1009" t="s">
        <v>100</v>
      </c>
      <c r="GD25" s="1009" t="s">
        <v>100</v>
      </c>
      <c r="GE25" s="1009"/>
      <c r="GF25" s="1009"/>
      <c r="GG25" s="1009"/>
      <c r="GH25" s="1009"/>
      <c r="GI25" s="1009"/>
      <c r="GJ25" s="1009"/>
      <c r="GK25" s="1009"/>
      <c r="GL25" s="1009"/>
      <c r="GM25" s="1009"/>
      <c r="GN25" s="1009"/>
      <c r="GO25" s="1009"/>
      <c r="GP25" s="1009"/>
      <c r="GQ25" s="1009"/>
      <c r="GR25" s="1009"/>
      <c r="GS25" s="1009" t="s">
        <v>100</v>
      </c>
      <c r="GT25" s="1009"/>
      <c r="GU25" s="1009" t="s">
        <v>100</v>
      </c>
      <c r="GV25" s="1009"/>
      <c r="GW25" s="1009" t="s">
        <v>100</v>
      </c>
      <c r="GX25" s="1009"/>
      <c r="GY25" s="1009"/>
      <c r="GZ25" s="1009"/>
      <c r="HA25" s="1009"/>
      <c r="HB25" s="1009"/>
      <c r="HC25" s="1009"/>
      <c r="HD25" s="1032" t="s">
        <v>1404</v>
      </c>
      <c r="HE25" s="1009"/>
      <c r="HF25" s="1009"/>
      <c r="HG25" s="1009"/>
      <c r="HH25" s="1009"/>
      <c r="HI25" s="1009"/>
      <c r="HJ25" s="1009"/>
      <c r="HK25" s="1009"/>
      <c r="HL25" s="1009" t="s">
        <v>100</v>
      </c>
      <c r="HM25" s="1009"/>
      <c r="HN25" s="1009"/>
      <c r="HO25" s="1032" t="s">
        <v>1376</v>
      </c>
      <c r="HP25" s="1009"/>
      <c r="HQ25" s="1009"/>
      <c r="HR25" s="1032" t="s">
        <v>100</v>
      </c>
      <c r="HS25" s="1009"/>
      <c r="HT25" s="1009"/>
      <c r="HU25" s="1009"/>
      <c r="HV25" s="1010"/>
      <c r="HW25" s="1010"/>
      <c r="HX25" s="1010" t="s">
        <v>100</v>
      </c>
      <c r="HY25" s="1062"/>
      <c r="HZ25" s="1062"/>
      <c r="IA25" s="1062"/>
      <c r="IB25" s="1062"/>
      <c r="IC25" s="1062"/>
      <c r="ID25" s="1062"/>
      <c r="IE25" s="1062"/>
      <c r="IF25" s="1062"/>
      <c r="IG25" s="1062"/>
      <c r="IH25" s="1062"/>
      <c r="II25" s="1062"/>
      <c r="IJ25" s="1062"/>
      <c r="IK25" s="1062"/>
      <c r="IL25" s="1062"/>
      <c r="IM25" s="1062"/>
      <c r="IN25" s="1062"/>
      <c r="IO25" s="1062"/>
      <c r="IP25" s="1062"/>
      <c r="IQ25" s="1062"/>
      <c r="IR25" s="1062"/>
      <c r="IS25" s="1062"/>
      <c r="IT25" s="1062"/>
      <c r="IU25" s="1062"/>
      <c r="IV25" s="1062"/>
    </row>
    <row r="26" spans="1:256" ht="19.95" customHeight="1">
      <c r="A26" s="1011" t="s">
        <v>127</v>
      </c>
      <c r="B26" s="992"/>
      <c r="C26" s="992" t="str">
        <f>IF(ISTEXT(IFERROR(VLOOKUP(A26,职业列表!I3:J10,1,FALSE),0)),"★","")</f>
        <v/>
      </c>
      <c r="D26" s="994"/>
      <c r="E26" s="994"/>
      <c r="F26" s="994" t="s">
        <v>100</v>
      </c>
      <c r="G26" s="994"/>
      <c r="H26" s="994"/>
      <c r="I26" s="994"/>
      <c r="J26" s="994"/>
      <c r="K26" s="994"/>
      <c r="L26" s="994"/>
      <c r="M26" s="994"/>
      <c r="N26" s="994"/>
      <c r="O26" s="994"/>
      <c r="P26" s="994"/>
      <c r="Q26" s="994"/>
      <c r="R26" s="994"/>
      <c r="S26" s="994"/>
      <c r="T26" s="994"/>
      <c r="U26" s="994"/>
      <c r="V26" s="992" t="s">
        <v>1374</v>
      </c>
      <c r="W26" s="994"/>
      <c r="X26" s="994"/>
      <c r="Y26" s="994"/>
      <c r="Z26" s="994"/>
      <c r="AA26" s="994"/>
      <c r="AB26" s="992" t="s">
        <v>1374</v>
      </c>
      <c r="AC26" s="994"/>
      <c r="AD26" s="994" t="s">
        <v>100</v>
      </c>
      <c r="AE26" s="994" t="s">
        <v>100</v>
      </c>
      <c r="AF26" s="994" t="s">
        <v>100</v>
      </c>
      <c r="AG26" s="994"/>
      <c r="AH26" s="994"/>
      <c r="AI26" s="992" t="s">
        <v>1374</v>
      </c>
      <c r="AJ26" s="992"/>
      <c r="AK26" s="994"/>
      <c r="AL26" s="994"/>
      <c r="AM26" s="994"/>
      <c r="AN26" s="994" t="s">
        <v>100</v>
      </c>
      <c r="AO26" s="994"/>
      <c r="AP26" s="992"/>
      <c r="AQ26" s="994"/>
      <c r="AR26" s="994"/>
      <c r="AS26" s="994"/>
      <c r="AT26" s="994"/>
      <c r="AU26" s="994"/>
      <c r="AV26" s="994"/>
      <c r="AW26" s="994"/>
      <c r="AX26" s="994"/>
      <c r="AY26" s="994"/>
      <c r="AZ26" s="994"/>
      <c r="BA26" s="994"/>
      <c r="BB26" s="994"/>
      <c r="BC26" s="994"/>
      <c r="BD26" s="994"/>
      <c r="BE26" s="994"/>
      <c r="BF26" s="994"/>
      <c r="BG26" s="994"/>
      <c r="BH26" s="994"/>
      <c r="BI26" s="994"/>
      <c r="BJ26" s="994" t="s">
        <v>100</v>
      </c>
      <c r="BK26" s="994" t="s">
        <v>100</v>
      </c>
      <c r="BL26" s="994"/>
      <c r="BM26" s="994"/>
      <c r="BN26" s="994"/>
      <c r="BO26" s="994"/>
      <c r="BP26" s="994"/>
      <c r="BQ26" s="994"/>
      <c r="BR26" s="994"/>
      <c r="BS26" s="994" t="s">
        <v>100</v>
      </c>
      <c r="BT26" s="1041" t="s">
        <v>1405</v>
      </c>
      <c r="BU26" s="994"/>
      <c r="BV26" s="994"/>
      <c r="BW26" s="994"/>
      <c r="BX26" s="994"/>
      <c r="BY26" s="994"/>
      <c r="BZ26" s="994"/>
      <c r="CA26" s="994"/>
      <c r="CB26" s="994"/>
      <c r="CC26" s="994"/>
      <c r="CD26" s="994"/>
      <c r="CE26" s="994"/>
      <c r="CF26" s="994"/>
      <c r="CG26" s="994"/>
      <c r="CH26" s="994"/>
      <c r="CI26" s="994"/>
      <c r="CJ26" s="994"/>
      <c r="CK26" s="994"/>
      <c r="CL26" s="994"/>
      <c r="CM26" s="994"/>
      <c r="CN26" s="994"/>
      <c r="CO26" s="994"/>
      <c r="CP26" s="994"/>
      <c r="CQ26" s="994"/>
      <c r="CR26" s="994"/>
      <c r="CS26" s="994"/>
      <c r="CT26" s="994"/>
      <c r="CU26" s="994"/>
      <c r="CV26" s="994" t="s">
        <v>100</v>
      </c>
      <c r="CW26" s="994"/>
      <c r="CX26" s="994"/>
      <c r="CY26" s="994"/>
      <c r="CZ26" s="994"/>
      <c r="DA26" s="994"/>
      <c r="DB26" s="994" t="s">
        <v>100</v>
      </c>
      <c r="DC26" s="994"/>
      <c r="DD26" s="994"/>
      <c r="DE26" s="994" t="s">
        <v>100</v>
      </c>
      <c r="DF26" s="992" t="s">
        <v>1373</v>
      </c>
      <c r="DG26" s="994"/>
      <c r="DH26" s="994"/>
      <c r="DI26" s="994"/>
      <c r="DJ26" s="994"/>
      <c r="DK26" s="994"/>
      <c r="DL26" s="994"/>
      <c r="DM26" s="994"/>
      <c r="DN26" s="992"/>
      <c r="DO26" s="992"/>
      <c r="DP26" s="992"/>
      <c r="DQ26" s="992"/>
      <c r="DR26" s="992"/>
      <c r="DS26" s="992"/>
      <c r="DT26" s="992"/>
      <c r="DU26" s="992"/>
      <c r="DV26" s="992"/>
      <c r="DW26" s="992"/>
      <c r="DX26" s="992"/>
      <c r="DY26" s="992"/>
      <c r="DZ26" s="992"/>
      <c r="EA26" s="992"/>
      <c r="EB26" s="992"/>
      <c r="EC26" s="992"/>
      <c r="ED26" s="992"/>
      <c r="EE26" s="992"/>
      <c r="EF26" s="992"/>
      <c r="EG26" s="992"/>
      <c r="EH26" s="992"/>
      <c r="EI26" s="992"/>
      <c r="EJ26" s="992"/>
      <c r="EK26" s="992"/>
      <c r="EL26" s="992"/>
      <c r="EM26" s="992"/>
      <c r="EN26" s="992"/>
      <c r="EO26" s="992"/>
      <c r="EP26" s="992"/>
      <c r="EQ26" s="992"/>
      <c r="ER26" s="992"/>
      <c r="ES26" s="992"/>
      <c r="ET26" s="992"/>
      <c r="EU26" s="992"/>
      <c r="EV26" s="992"/>
      <c r="EW26" s="992"/>
      <c r="EX26" s="992"/>
      <c r="EY26" s="992"/>
      <c r="EZ26" s="992"/>
      <c r="FA26" s="992"/>
      <c r="FB26" s="992"/>
      <c r="FC26" s="992" t="s">
        <v>1404</v>
      </c>
      <c r="FD26" s="992"/>
      <c r="FE26" s="992"/>
      <c r="FF26" s="992"/>
      <c r="FG26" s="992"/>
      <c r="FH26" s="992"/>
      <c r="FI26" s="992"/>
      <c r="FJ26" s="992"/>
      <c r="FK26" s="992"/>
      <c r="FL26" s="992"/>
      <c r="FM26" s="992"/>
      <c r="FN26" s="992"/>
      <c r="FO26" s="992"/>
      <c r="FP26" s="992"/>
      <c r="FQ26" s="992"/>
      <c r="FR26" s="992" t="s">
        <v>1406</v>
      </c>
      <c r="FS26" s="992"/>
      <c r="FT26" s="992"/>
      <c r="FU26" s="992"/>
      <c r="FV26" s="992"/>
      <c r="FW26" s="992"/>
      <c r="FX26" s="992"/>
      <c r="FY26" s="992"/>
      <c r="FZ26" s="992"/>
      <c r="GA26" s="992" t="s">
        <v>100</v>
      </c>
      <c r="GB26" s="992"/>
      <c r="GC26" s="992" t="s">
        <v>100</v>
      </c>
      <c r="GD26" s="992" t="s">
        <v>100</v>
      </c>
      <c r="GE26" s="992"/>
      <c r="GF26" s="992"/>
      <c r="GG26" s="992"/>
      <c r="GH26" s="992"/>
      <c r="GI26" s="992"/>
      <c r="GJ26" s="992"/>
      <c r="GK26" s="992"/>
      <c r="GL26" s="992"/>
      <c r="GM26" s="992"/>
      <c r="GN26" s="992"/>
      <c r="GO26" s="992"/>
      <c r="GP26" s="992"/>
      <c r="GQ26" s="992"/>
      <c r="GR26" s="992"/>
      <c r="GS26" s="992"/>
      <c r="GT26" s="992"/>
      <c r="GU26" s="992" t="s">
        <v>100</v>
      </c>
      <c r="GV26" s="992"/>
      <c r="GW26" s="992"/>
      <c r="GX26" s="992"/>
      <c r="GY26" s="994"/>
      <c r="GZ26" s="994"/>
      <c r="HA26" s="994"/>
      <c r="HB26" s="994"/>
      <c r="HC26" s="994"/>
      <c r="HD26" s="994"/>
      <c r="HE26" s="994"/>
      <c r="HF26" s="994"/>
      <c r="HG26" s="994"/>
      <c r="HH26" s="994" t="s">
        <v>100</v>
      </c>
      <c r="HI26" s="994"/>
      <c r="HJ26" s="994"/>
      <c r="HK26" s="1041" t="s">
        <v>1407</v>
      </c>
      <c r="HL26" s="994"/>
      <c r="HM26" s="994"/>
      <c r="HN26" s="992"/>
      <c r="HO26" s="994"/>
      <c r="HP26" s="994"/>
      <c r="HQ26" s="994"/>
      <c r="HR26" s="994"/>
      <c r="HS26" s="994"/>
      <c r="HT26" s="992"/>
      <c r="HU26" s="994"/>
      <c r="HV26" s="994"/>
      <c r="HW26" s="994"/>
      <c r="HX26" s="994"/>
      <c r="HY26" s="1056"/>
      <c r="HZ26" s="1056"/>
      <c r="IA26" s="1056"/>
      <c r="IB26" s="1056"/>
      <c r="IC26" s="1056"/>
      <c r="ID26" s="1056"/>
      <c r="IE26" s="1056"/>
      <c r="IF26" s="1056"/>
      <c r="IG26" s="1056"/>
      <c r="IH26" s="1056"/>
      <c r="II26" s="1056"/>
      <c r="IJ26" s="1056"/>
      <c r="IK26" s="1056"/>
      <c r="IL26" s="1056"/>
      <c r="IM26" s="1056"/>
      <c r="IN26" s="1056"/>
      <c r="IO26" s="1056"/>
      <c r="IP26" s="1056"/>
      <c r="IQ26" s="1056"/>
      <c r="IR26" s="1056"/>
      <c r="IS26" s="1056"/>
      <c r="IT26" s="1056"/>
      <c r="IU26" s="1056"/>
      <c r="IV26" s="1056"/>
    </row>
    <row r="27" spans="1:256" ht="19.95" customHeight="1">
      <c r="A27" s="1011" t="s">
        <v>131</v>
      </c>
      <c r="B27" s="992"/>
      <c r="C27" s="992" t="str">
        <f>IF(ISTEXT(IFERROR(VLOOKUP(A27,职业列表!I3:P12,1,FALSE),0)),"★","")</f>
        <v/>
      </c>
      <c r="D27" s="994"/>
      <c r="E27" s="994"/>
      <c r="F27" s="994" t="s">
        <v>100</v>
      </c>
      <c r="G27" s="994"/>
      <c r="H27" s="994"/>
      <c r="I27" s="994"/>
      <c r="J27" s="994"/>
      <c r="K27" s="994"/>
      <c r="L27" s="994"/>
      <c r="M27" s="994"/>
      <c r="N27" s="994"/>
      <c r="O27" s="994"/>
      <c r="P27" s="994"/>
      <c r="Q27" s="994"/>
      <c r="R27" s="994"/>
      <c r="S27" s="994"/>
      <c r="T27" s="994"/>
      <c r="U27" s="994"/>
      <c r="V27" s="992" t="s">
        <v>1374</v>
      </c>
      <c r="W27" s="994"/>
      <c r="X27" s="994"/>
      <c r="Y27" s="994"/>
      <c r="Z27" s="994"/>
      <c r="AA27" s="994"/>
      <c r="AB27" s="992" t="s">
        <v>1374</v>
      </c>
      <c r="AC27" s="994"/>
      <c r="AD27" s="994" t="s">
        <v>100</v>
      </c>
      <c r="AE27" s="994" t="s">
        <v>100</v>
      </c>
      <c r="AF27" s="994" t="s">
        <v>100</v>
      </c>
      <c r="AG27" s="994"/>
      <c r="AH27" s="994"/>
      <c r="AI27" s="992" t="s">
        <v>1374</v>
      </c>
      <c r="AJ27" s="992"/>
      <c r="AK27" s="994"/>
      <c r="AL27" s="994"/>
      <c r="AM27" s="994"/>
      <c r="AN27" s="994" t="s">
        <v>100</v>
      </c>
      <c r="AO27" s="994"/>
      <c r="AP27" s="992"/>
      <c r="AQ27" s="994"/>
      <c r="AR27" s="994"/>
      <c r="AS27" s="994"/>
      <c r="AT27" s="994"/>
      <c r="AU27" s="994"/>
      <c r="AV27" s="994"/>
      <c r="AW27" s="994"/>
      <c r="AX27" s="994"/>
      <c r="AY27" s="994"/>
      <c r="AZ27" s="994"/>
      <c r="BA27" s="994"/>
      <c r="BB27" s="994"/>
      <c r="BC27" s="994"/>
      <c r="BD27" s="994"/>
      <c r="BE27" s="994"/>
      <c r="BF27" s="994"/>
      <c r="BG27" s="994"/>
      <c r="BH27" s="994"/>
      <c r="BI27" s="994"/>
      <c r="BJ27" s="994" t="s">
        <v>100</v>
      </c>
      <c r="BK27" s="994" t="s">
        <v>100</v>
      </c>
      <c r="BL27" s="994"/>
      <c r="BM27" s="994"/>
      <c r="BN27" s="994"/>
      <c r="BO27" s="994"/>
      <c r="BP27" s="994"/>
      <c r="BQ27" s="994"/>
      <c r="BR27" s="994"/>
      <c r="BS27" s="994" t="s">
        <v>100</v>
      </c>
      <c r="BT27" s="1041"/>
      <c r="BU27" s="994"/>
      <c r="BV27" s="994"/>
      <c r="BW27" s="994"/>
      <c r="BX27" s="994"/>
      <c r="BY27" s="994"/>
      <c r="BZ27" s="994"/>
      <c r="CA27" s="994"/>
      <c r="CB27" s="994"/>
      <c r="CC27" s="994"/>
      <c r="CD27" s="994"/>
      <c r="CE27" s="994"/>
      <c r="CF27" s="994"/>
      <c r="CG27" s="994"/>
      <c r="CH27" s="994"/>
      <c r="CI27" s="994"/>
      <c r="CJ27" s="994"/>
      <c r="CK27" s="994"/>
      <c r="CL27" s="994"/>
      <c r="CM27" s="994"/>
      <c r="CN27" s="994"/>
      <c r="CO27" s="994"/>
      <c r="CP27" s="994"/>
      <c r="CQ27" s="994"/>
      <c r="CR27" s="994"/>
      <c r="CS27" s="994"/>
      <c r="CT27" s="994"/>
      <c r="CU27" s="994"/>
      <c r="CV27" s="994" t="s">
        <v>100</v>
      </c>
      <c r="CW27" s="994"/>
      <c r="CX27" s="994"/>
      <c r="CY27" s="994"/>
      <c r="CZ27" s="994"/>
      <c r="DA27" s="994"/>
      <c r="DB27" s="994" t="s">
        <v>100</v>
      </c>
      <c r="DC27" s="994"/>
      <c r="DD27" s="994"/>
      <c r="DE27" s="994" t="s">
        <v>100</v>
      </c>
      <c r="DF27" s="992" t="s">
        <v>1373</v>
      </c>
      <c r="DG27" s="994"/>
      <c r="DH27" s="994"/>
      <c r="DI27" s="994"/>
      <c r="DJ27" s="994"/>
      <c r="DK27" s="994"/>
      <c r="DL27" s="994"/>
      <c r="DM27" s="994"/>
      <c r="DN27" s="992"/>
      <c r="DO27" s="992"/>
      <c r="DP27" s="992"/>
      <c r="DQ27" s="992"/>
      <c r="DR27" s="992"/>
      <c r="DS27" s="992"/>
      <c r="DT27" s="992"/>
      <c r="DU27" s="992"/>
      <c r="DV27" s="992"/>
      <c r="DW27" s="992"/>
      <c r="DX27" s="992"/>
      <c r="DY27" s="992"/>
      <c r="DZ27" s="992"/>
      <c r="EA27" s="992"/>
      <c r="EB27" s="992"/>
      <c r="EC27" s="992"/>
      <c r="ED27" s="992"/>
      <c r="EE27" s="992"/>
      <c r="EF27" s="992"/>
      <c r="EG27" s="992"/>
      <c r="EH27" s="992"/>
      <c r="EI27" s="992"/>
      <c r="EJ27" s="992"/>
      <c r="EK27" s="992"/>
      <c r="EL27" s="992"/>
      <c r="EM27" s="992"/>
      <c r="EN27" s="992"/>
      <c r="EO27" s="992"/>
      <c r="EP27" s="992"/>
      <c r="EQ27" s="992"/>
      <c r="ER27" s="992"/>
      <c r="ES27" s="992"/>
      <c r="ET27" s="992"/>
      <c r="EU27" s="992"/>
      <c r="EV27" s="992"/>
      <c r="EW27" s="992"/>
      <c r="EX27" s="992"/>
      <c r="EY27" s="992"/>
      <c r="EZ27" s="992"/>
      <c r="FA27" s="992"/>
      <c r="FB27" s="992"/>
      <c r="FC27" s="992"/>
      <c r="FD27" s="992"/>
      <c r="FE27" s="992"/>
      <c r="FF27" s="992"/>
      <c r="FG27" s="992"/>
      <c r="FH27" s="992"/>
      <c r="FI27" s="992"/>
      <c r="FJ27" s="992"/>
      <c r="FK27" s="992"/>
      <c r="FL27" s="992"/>
      <c r="FM27" s="992"/>
      <c r="FN27" s="992"/>
      <c r="FO27" s="992"/>
      <c r="FP27" s="992"/>
      <c r="FQ27" s="992"/>
      <c r="FR27" s="992"/>
      <c r="FS27" s="992"/>
      <c r="FT27" s="992"/>
      <c r="FU27" s="992"/>
      <c r="FV27" s="992"/>
      <c r="FW27" s="992"/>
      <c r="FX27" s="992"/>
      <c r="FY27" s="992"/>
      <c r="FZ27" s="992"/>
      <c r="GA27" s="992" t="s">
        <v>100</v>
      </c>
      <c r="GB27" s="992"/>
      <c r="GC27" s="992" t="s">
        <v>100</v>
      </c>
      <c r="GD27" s="992" t="s">
        <v>100</v>
      </c>
      <c r="GE27" s="992"/>
      <c r="GF27" s="992"/>
      <c r="GG27" s="992"/>
      <c r="GH27" s="992"/>
      <c r="GI27" s="992"/>
      <c r="GJ27" s="992"/>
      <c r="GK27" s="992"/>
      <c r="GL27" s="992"/>
      <c r="GM27" s="992"/>
      <c r="GN27" s="992"/>
      <c r="GO27" s="992"/>
      <c r="GP27" s="992"/>
      <c r="GQ27" s="992"/>
      <c r="GR27" s="992"/>
      <c r="GS27" s="992"/>
      <c r="GT27" s="992"/>
      <c r="GU27" s="992" t="s">
        <v>100</v>
      </c>
      <c r="GV27" s="992"/>
      <c r="GW27" s="992"/>
      <c r="GX27" s="992"/>
      <c r="GY27" s="994"/>
      <c r="GZ27" s="994"/>
      <c r="HA27" s="994"/>
      <c r="HB27" s="994"/>
      <c r="HC27" s="994"/>
      <c r="HD27" s="994"/>
      <c r="HE27" s="994"/>
      <c r="HF27" s="994"/>
      <c r="HG27" s="994"/>
      <c r="HH27" s="994" t="s">
        <v>100</v>
      </c>
      <c r="HI27" s="994"/>
      <c r="HJ27" s="994"/>
      <c r="HK27" s="1041"/>
      <c r="HL27" s="994"/>
      <c r="HM27" s="994"/>
      <c r="HN27" s="992"/>
      <c r="HO27" s="994"/>
      <c r="HP27" s="994"/>
      <c r="HQ27" s="994"/>
      <c r="HR27" s="994"/>
      <c r="HS27" s="994"/>
      <c r="HT27" s="992"/>
      <c r="HU27" s="994"/>
      <c r="HV27" s="994"/>
      <c r="HW27" s="994"/>
      <c r="HX27" s="994"/>
      <c r="HY27" s="1056"/>
      <c r="HZ27" s="1056"/>
      <c r="IA27" s="1056"/>
      <c r="IB27" s="1056"/>
      <c r="IC27" s="1056"/>
      <c r="ID27" s="1056"/>
      <c r="IE27" s="1056"/>
      <c r="IF27" s="1056"/>
      <c r="IG27" s="1056"/>
      <c r="IH27" s="1056"/>
      <c r="II27" s="1056"/>
      <c r="IJ27" s="1056"/>
      <c r="IK27" s="1056"/>
      <c r="IL27" s="1056"/>
      <c r="IM27" s="1056"/>
      <c r="IN27" s="1056"/>
      <c r="IO27" s="1056"/>
      <c r="IP27" s="1056"/>
      <c r="IQ27" s="1056"/>
      <c r="IR27" s="1056"/>
      <c r="IS27" s="1056"/>
      <c r="IT27" s="1056"/>
      <c r="IU27" s="1056"/>
      <c r="IV27" s="1056"/>
    </row>
    <row r="28" spans="1:256" ht="19.95" customHeight="1">
      <c r="A28" s="1004" t="s">
        <v>136</v>
      </c>
      <c r="B28" s="992"/>
      <c r="C28" s="992" t="str">
        <f>IF(ISTEXT(IFERROR(VLOOKUP(A28,职业列表!I3:J10,1,FALSE),0)),"★","")</f>
        <v/>
      </c>
      <c r="D28" s="994"/>
      <c r="E28" s="994"/>
      <c r="F28" s="994" t="s">
        <v>100</v>
      </c>
      <c r="G28" s="994"/>
      <c r="H28" s="994"/>
      <c r="I28" s="994"/>
      <c r="J28" s="994"/>
      <c r="K28" s="994"/>
      <c r="L28" s="994"/>
      <c r="M28" s="994"/>
      <c r="N28" s="994"/>
      <c r="O28" s="994"/>
      <c r="P28" s="994"/>
      <c r="Q28" s="994"/>
      <c r="R28" s="994"/>
      <c r="S28" s="994"/>
      <c r="T28" s="994"/>
      <c r="U28" s="994"/>
      <c r="V28" s="992" t="s">
        <v>1374</v>
      </c>
      <c r="W28" s="994"/>
      <c r="X28" s="994"/>
      <c r="Y28" s="994"/>
      <c r="Z28" s="994"/>
      <c r="AA28" s="994"/>
      <c r="AB28" s="992" t="s">
        <v>1374</v>
      </c>
      <c r="AC28" s="994"/>
      <c r="AD28" s="994" t="s">
        <v>100</v>
      </c>
      <c r="AE28" s="994" t="s">
        <v>100</v>
      </c>
      <c r="AF28" s="994" t="s">
        <v>100</v>
      </c>
      <c r="AG28" s="994"/>
      <c r="AH28" s="994"/>
      <c r="AI28" s="992" t="s">
        <v>1374</v>
      </c>
      <c r="AJ28" s="992"/>
      <c r="AK28" s="994"/>
      <c r="AL28" s="994"/>
      <c r="AM28" s="994"/>
      <c r="AN28" s="994" t="s">
        <v>100</v>
      </c>
      <c r="AO28" s="994"/>
      <c r="AP28" s="992"/>
      <c r="AQ28" s="994"/>
      <c r="AR28" s="994"/>
      <c r="AS28" s="994"/>
      <c r="AT28" s="994"/>
      <c r="AU28" s="994"/>
      <c r="AV28" s="994"/>
      <c r="AW28" s="994"/>
      <c r="AX28" s="994"/>
      <c r="AY28" s="994"/>
      <c r="AZ28" s="994"/>
      <c r="BA28" s="994"/>
      <c r="BB28" s="994"/>
      <c r="BC28" s="994"/>
      <c r="BD28" s="994"/>
      <c r="BE28" s="994"/>
      <c r="BF28" s="994"/>
      <c r="BG28" s="994"/>
      <c r="BH28" s="994"/>
      <c r="BI28" s="994"/>
      <c r="BJ28" s="994" t="s">
        <v>100</v>
      </c>
      <c r="BK28" s="994" t="s">
        <v>100</v>
      </c>
      <c r="BL28" s="994"/>
      <c r="BM28" s="994"/>
      <c r="BN28" s="994"/>
      <c r="BO28" s="994"/>
      <c r="BP28" s="994"/>
      <c r="BQ28" s="994"/>
      <c r="BR28" s="994"/>
      <c r="BS28" s="994" t="s">
        <v>100</v>
      </c>
      <c r="BT28" s="1041"/>
      <c r="BU28" s="994"/>
      <c r="BV28" s="994"/>
      <c r="BW28" s="994"/>
      <c r="BX28" s="994"/>
      <c r="BY28" s="994"/>
      <c r="BZ28" s="994"/>
      <c r="CA28" s="994"/>
      <c r="CB28" s="994"/>
      <c r="CC28" s="994"/>
      <c r="CD28" s="994"/>
      <c r="CE28" s="994"/>
      <c r="CF28" s="994"/>
      <c r="CG28" s="994"/>
      <c r="CH28" s="994"/>
      <c r="CI28" s="994"/>
      <c r="CJ28" s="994"/>
      <c r="CK28" s="994"/>
      <c r="CL28" s="994"/>
      <c r="CM28" s="994"/>
      <c r="CN28" s="994"/>
      <c r="CO28" s="994"/>
      <c r="CP28" s="994"/>
      <c r="CQ28" s="994"/>
      <c r="CR28" s="994"/>
      <c r="CS28" s="994"/>
      <c r="CT28" s="994"/>
      <c r="CU28" s="994"/>
      <c r="CV28" s="994" t="s">
        <v>100</v>
      </c>
      <c r="CW28" s="994"/>
      <c r="CX28" s="994"/>
      <c r="CY28" s="994"/>
      <c r="CZ28" s="994"/>
      <c r="DA28" s="994"/>
      <c r="DB28" s="994" t="s">
        <v>100</v>
      </c>
      <c r="DC28" s="994"/>
      <c r="DD28" s="994"/>
      <c r="DE28" s="994" t="s">
        <v>100</v>
      </c>
      <c r="DF28" s="992" t="s">
        <v>1373</v>
      </c>
      <c r="DG28" s="994"/>
      <c r="DH28" s="994"/>
      <c r="DI28" s="994"/>
      <c r="DJ28" s="994"/>
      <c r="DK28" s="994"/>
      <c r="DL28" s="994"/>
      <c r="DM28" s="994"/>
      <c r="DN28" s="992"/>
      <c r="DO28" s="992"/>
      <c r="DP28" s="992"/>
      <c r="DQ28" s="992"/>
      <c r="DR28" s="992"/>
      <c r="DS28" s="992"/>
      <c r="DT28" s="992"/>
      <c r="DU28" s="992"/>
      <c r="DV28" s="992"/>
      <c r="DW28" s="992"/>
      <c r="DX28" s="992"/>
      <c r="DY28" s="992"/>
      <c r="DZ28" s="992"/>
      <c r="EA28" s="992"/>
      <c r="EB28" s="992"/>
      <c r="EC28" s="992"/>
      <c r="ED28" s="992"/>
      <c r="EE28" s="992"/>
      <c r="EF28" s="992"/>
      <c r="EG28" s="992"/>
      <c r="EH28" s="992"/>
      <c r="EI28" s="992"/>
      <c r="EJ28" s="992"/>
      <c r="EK28" s="992"/>
      <c r="EL28" s="992"/>
      <c r="EM28" s="992"/>
      <c r="EN28" s="992"/>
      <c r="EO28" s="992"/>
      <c r="EP28" s="992"/>
      <c r="EQ28" s="992"/>
      <c r="ER28" s="992"/>
      <c r="ES28" s="992"/>
      <c r="ET28" s="992"/>
      <c r="EU28" s="992"/>
      <c r="EV28" s="992"/>
      <c r="EW28" s="992"/>
      <c r="EX28" s="992"/>
      <c r="EY28" s="992"/>
      <c r="EZ28" s="992"/>
      <c r="FA28" s="992"/>
      <c r="FB28" s="992"/>
      <c r="FC28" s="992"/>
      <c r="FD28" s="992"/>
      <c r="FE28" s="992"/>
      <c r="FF28" s="992"/>
      <c r="FG28" s="992"/>
      <c r="FH28" s="992"/>
      <c r="FI28" s="992"/>
      <c r="FJ28" s="992"/>
      <c r="FK28" s="992"/>
      <c r="FL28" s="992"/>
      <c r="FM28" s="992"/>
      <c r="FN28" s="992"/>
      <c r="FO28" s="992"/>
      <c r="FP28" s="992"/>
      <c r="FQ28" s="992"/>
      <c r="FR28" s="992"/>
      <c r="FS28" s="992"/>
      <c r="FT28" s="992"/>
      <c r="FU28" s="992"/>
      <c r="FV28" s="992"/>
      <c r="FW28" s="992"/>
      <c r="FX28" s="992"/>
      <c r="FY28" s="992"/>
      <c r="FZ28" s="992"/>
      <c r="GA28" s="992" t="s">
        <v>100</v>
      </c>
      <c r="GB28" s="992"/>
      <c r="GC28" s="992" t="s">
        <v>100</v>
      </c>
      <c r="GD28" s="992" t="s">
        <v>100</v>
      </c>
      <c r="GE28" s="992"/>
      <c r="GF28" s="992"/>
      <c r="GG28" s="992"/>
      <c r="GH28" s="992"/>
      <c r="GI28" s="992"/>
      <c r="GJ28" s="992"/>
      <c r="GK28" s="992"/>
      <c r="GL28" s="992"/>
      <c r="GM28" s="992"/>
      <c r="GN28" s="992"/>
      <c r="GO28" s="992"/>
      <c r="GP28" s="992"/>
      <c r="GQ28" s="992"/>
      <c r="GR28" s="992"/>
      <c r="GS28" s="992"/>
      <c r="GT28" s="992"/>
      <c r="GU28" s="992" t="s">
        <v>100</v>
      </c>
      <c r="GV28" s="992"/>
      <c r="GW28" s="992"/>
      <c r="GX28" s="992"/>
      <c r="GY28" s="994"/>
      <c r="GZ28" s="994"/>
      <c r="HA28" s="994"/>
      <c r="HB28" s="994"/>
      <c r="HC28" s="994"/>
      <c r="HD28" s="994"/>
      <c r="HE28" s="994"/>
      <c r="HF28" s="994"/>
      <c r="HG28" s="994"/>
      <c r="HH28" s="994" t="s">
        <v>100</v>
      </c>
      <c r="HI28" s="994"/>
      <c r="HJ28" s="994"/>
      <c r="HK28" s="1041"/>
      <c r="HL28" s="994"/>
      <c r="HM28" s="994"/>
      <c r="HN28" s="992"/>
      <c r="HO28" s="994"/>
      <c r="HP28" s="994"/>
      <c r="HQ28" s="994"/>
      <c r="HR28" s="994"/>
      <c r="HS28" s="994"/>
      <c r="HT28" s="992"/>
      <c r="HU28" s="994"/>
      <c r="HV28" s="994"/>
      <c r="HW28" s="994"/>
      <c r="HX28" s="994"/>
      <c r="HY28" s="1056"/>
      <c r="HZ28" s="1056"/>
      <c r="IA28" s="1056"/>
      <c r="IB28" s="1056"/>
      <c r="IC28" s="1056"/>
      <c r="ID28" s="1056"/>
      <c r="IE28" s="1056"/>
      <c r="IF28" s="1056"/>
      <c r="IG28" s="1056"/>
      <c r="IH28" s="1056"/>
      <c r="II28" s="1056"/>
      <c r="IJ28" s="1056"/>
      <c r="IK28" s="1056"/>
      <c r="IL28" s="1056"/>
      <c r="IM28" s="1056"/>
      <c r="IN28" s="1056"/>
      <c r="IO28" s="1056"/>
      <c r="IP28" s="1056"/>
      <c r="IQ28" s="1056"/>
      <c r="IR28" s="1056"/>
      <c r="IS28" s="1056"/>
      <c r="IT28" s="1056"/>
      <c r="IU28" s="1056"/>
      <c r="IV28" s="1056"/>
    </row>
    <row r="29" spans="1:256" s="977" customFormat="1" ht="19.95" customHeight="1">
      <c r="A29" s="1012" t="s">
        <v>138</v>
      </c>
      <c r="B29" s="1013"/>
      <c r="C29" s="992" t="str">
        <f>IF(ISTEXT(IFERROR(VLOOKUP(A29,职业列表!I3:J10,1,FALSE),0)),"★","")</f>
        <v/>
      </c>
      <c r="D29" s="1014"/>
      <c r="E29" s="1013"/>
      <c r="F29" s="1013"/>
      <c r="G29" s="1013"/>
      <c r="H29" s="1014" t="s">
        <v>100</v>
      </c>
      <c r="I29" s="1013"/>
      <c r="J29" s="1013"/>
      <c r="K29" s="1013"/>
      <c r="L29" s="1013"/>
      <c r="M29" s="1013"/>
      <c r="N29" s="1013"/>
      <c r="O29" s="1013"/>
      <c r="P29" s="1013"/>
      <c r="Q29" s="1013"/>
      <c r="R29" s="1013"/>
      <c r="S29" s="1013"/>
      <c r="T29" s="1014" t="s">
        <v>100</v>
      </c>
      <c r="U29" s="1013"/>
      <c r="V29" s="1013" t="s">
        <v>1374</v>
      </c>
      <c r="W29" s="1013"/>
      <c r="X29" s="1013"/>
      <c r="Y29" s="1013"/>
      <c r="Z29" s="1013"/>
      <c r="AA29" s="1013"/>
      <c r="AB29" s="1013" t="s">
        <v>1374</v>
      </c>
      <c r="AC29" s="1013"/>
      <c r="AD29" s="1014" t="s">
        <v>100</v>
      </c>
      <c r="AE29" s="1014" t="s">
        <v>100</v>
      </c>
      <c r="AF29" s="1014" t="s">
        <v>100</v>
      </c>
      <c r="AG29" s="1013"/>
      <c r="AH29" s="1013"/>
      <c r="AI29" s="1013" t="s">
        <v>1374</v>
      </c>
      <c r="AJ29" s="1013" t="s">
        <v>1373</v>
      </c>
      <c r="AK29" s="1013"/>
      <c r="AL29" s="1013"/>
      <c r="AM29" s="1014" t="s">
        <v>100</v>
      </c>
      <c r="AN29" s="1014" t="s">
        <v>100</v>
      </c>
      <c r="AO29" s="1013"/>
      <c r="AP29" s="1013" t="s">
        <v>1373</v>
      </c>
      <c r="AQ29" s="1036"/>
      <c r="AR29" s="1014" t="s">
        <v>100</v>
      </c>
      <c r="AS29" s="1013"/>
      <c r="AT29" s="1013"/>
      <c r="AU29" s="1013"/>
      <c r="AV29" s="1013"/>
      <c r="AW29" s="1013"/>
      <c r="AX29" s="1013"/>
      <c r="AY29" s="1013"/>
      <c r="AZ29" s="1013"/>
      <c r="BA29" s="1013"/>
      <c r="BB29" s="1013"/>
      <c r="BC29" s="1014" t="s">
        <v>100</v>
      </c>
      <c r="BD29" s="1013"/>
      <c r="BE29" s="1014" t="s">
        <v>100</v>
      </c>
      <c r="BF29" s="1013"/>
      <c r="BG29" s="1013"/>
      <c r="BH29" s="1013"/>
      <c r="BI29" s="1013"/>
      <c r="BJ29" s="1014" t="s">
        <v>100</v>
      </c>
      <c r="BK29" s="1014" t="s">
        <v>100</v>
      </c>
      <c r="BL29" s="1039"/>
      <c r="BM29" s="1013"/>
      <c r="BN29" s="1013"/>
      <c r="BO29" s="1013"/>
      <c r="BP29" s="1013"/>
      <c r="BQ29" s="1013"/>
      <c r="BR29" s="1013"/>
      <c r="BS29" s="1013"/>
      <c r="BT29" s="1013"/>
      <c r="BU29" s="1013"/>
      <c r="BV29" s="1013"/>
      <c r="BW29" s="1013"/>
      <c r="BX29" s="1013"/>
      <c r="BY29" s="1014" t="s">
        <v>100</v>
      </c>
      <c r="BZ29" s="1013"/>
      <c r="CA29" s="1013"/>
      <c r="CB29" s="1013"/>
      <c r="CC29" s="1013"/>
      <c r="CD29" s="1013"/>
      <c r="CE29" s="1013"/>
      <c r="CF29" s="1014" t="s">
        <v>100</v>
      </c>
      <c r="CG29" s="1013"/>
      <c r="CH29" s="1013"/>
      <c r="CI29" s="1013"/>
      <c r="CJ29" s="1013"/>
      <c r="CK29" s="1013"/>
      <c r="CL29" s="1013"/>
      <c r="CM29" s="1014" t="s">
        <v>100</v>
      </c>
      <c r="CN29" s="1044" t="s">
        <v>100</v>
      </c>
      <c r="CO29" s="1013"/>
      <c r="CP29" s="1013"/>
      <c r="CQ29" s="1013"/>
      <c r="CR29" s="1013"/>
      <c r="CS29" s="1013"/>
      <c r="CT29" s="1013"/>
      <c r="CU29" s="1013"/>
      <c r="CV29" s="1014" t="s">
        <v>100</v>
      </c>
      <c r="CW29" s="1013"/>
      <c r="CX29" s="1013"/>
      <c r="CY29" s="1013"/>
      <c r="CZ29" s="1013"/>
      <c r="DA29" s="1013"/>
      <c r="DB29" s="1014" t="s">
        <v>100</v>
      </c>
      <c r="DC29" s="1014" t="s">
        <v>100</v>
      </c>
      <c r="DD29" s="1013"/>
      <c r="DE29" s="1013"/>
      <c r="DF29" s="1013"/>
      <c r="DG29" s="1013"/>
      <c r="DH29" s="1013"/>
      <c r="DI29" s="1013"/>
      <c r="DJ29" s="1013"/>
      <c r="DK29" s="1013"/>
      <c r="DL29" s="1013"/>
      <c r="DM29" s="1013"/>
      <c r="DN29" s="1013"/>
      <c r="DO29" s="1013"/>
      <c r="DP29" s="1013"/>
      <c r="DQ29" s="1013"/>
      <c r="DR29" s="1013"/>
      <c r="DS29" s="1013"/>
      <c r="DT29" s="1013"/>
      <c r="DU29" s="1013"/>
      <c r="DV29" s="1013"/>
      <c r="DW29" s="1013"/>
      <c r="DX29" s="1013"/>
      <c r="DY29" s="1013" t="s">
        <v>100</v>
      </c>
      <c r="DZ29" s="1013"/>
      <c r="EA29" s="1013"/>
      <c r="EB29" s="1013"/>
      <c r="EC29" s="1013"/>
      <c r="ED29" s="1013"/>
      <c r="EE29" s="1013"/>
      <c r="EF29" s="1013"/>
      <c r="EG29" s="1013"/>
      <c r="EH29" s="1013"/>
      <c r="EI29" s="1013"/>
      <c r="EJ29" s="1013"/>
      <c r="EK29" s="1013"/>
      <c r="EL29" s="1013"/>
      <c r="EM29" s="1013"/>
      <c r="EN29" s="1013"/>
      <c r="EO29" s="1013"/>
      <c r="EP29" s="1013"/>
      <c r="EQ29" s="1013"/>
      <c r="ER29" s="1013"/>
      <c r="ES29" s="1013"/>
      <c r="ET29" s="1013"/>
      <c r="EU29" s="1013"/>
      <c r="EV29" s="1013"/>
      <c r="EW29" s="1013"/>
      <c r="EX29" s="1013"/>
      <c r="EY29" s="1013"/>
      <c r="EZ29" s="1013"/>
      <c r="FA29" s="1013"/>
      <c r="FB29" s="1013"/>
      <c r="FC29" s="1013" t="s">
        <v>100</v>
      </c>
      <c r="FD29" s="1013"/>
      <c r="FE29" s="1013"/>
      <c r="FF29" s="1013"/>
      <c r="FG29" s="1013"/>
      <c r="FH29" s="1013"/>
      <c r="FI29" s="1013"/>
      <c r="FJ29" s="1013"/>
      <c r="FK29" s="1013"/>
      <c r="FL29" s="1013"/>
      <c r="FM29" s="1013"/>
      <c r="FN29" s="1013"/>
      <c r="FO29" s="1013"/>
      <c r="FP29" s="1013"/>
      <c r="FQ29" s="1013"/>
      <c r="FR29" s="1013"/>
      <c r="FS29" s="1013"/>
      <c r="FT29" s="1013"/>
      <c r="FU29" s="1013"/>
      <c r="FV29" s="1013"/>
      <c r="FW29" s="1013"/>
      <c r="FX29" s="1013"/>
      <c r="FY29" s="1013"/>
      <c r="FZ29" s="1013"/>
      <c r="GA29" s="1013" t="s">
        <v>100</v>
      </c>
      <c r="GB29" s="1013"/>
      <c r="GC29" s="1013" t="s">
        <v>100</v>
      </c>
      <c r="GD29" s="1013" t="s">
        <v>100</v>
      </c>
      <c r="GE29" s="1013" t="s">
        <v>100</v>
      </c>
      <c r="GF29" s="1013"/>
      <c r="GG29" s="1013"/>
      <c r="GH29" s="1013"/>
      <c r="GI29" s="1013"/>
      <c r="GJ29" s="1013"/>
      <c r="GK29" s="1013"/>
      <c r="GL29" s="1013"/>
      <c r="GM29" s="1013"/>
      <c r="GN29" s="1013"/>
      <c r="GO29" s="1013"/>
      <c r="GP29" s="1013"/>
      <c r="GQ29" s="1013"/>
      <c r="GR29" s="1013"/>
      <c r="GS29" s="1013"/>
      <c r="GT29" s="1013"/>
      <c r="GU29" s="1013" t="s">
        <v>100</v>
      </c>
      <c r="GV29" s="1013"/>
      <c r="GW29" s="1013" t="s">
        <v>100</v>
      </c>
      <c r="GX29" s="1013"/>
      <c r="GY29" s="1013"/>
      <c r="GZ29" s="1014"/>
      <c r="HA29" s="1013"/>
      <c r="HB29" s="1013"/>
      <c r="HC29" s="1013"/>
      <c r="HD29" s="1013"/>
      <c r="HE29" s="1013"/>
      <c r="HF29" s="1013"/>
      <c r="HG29" s="1013"/>
      <c r="HH29" s="1013"/>
      <c r="HI29" s="1013"/>
      <c r="HJ29" s="1013"/>
      <c r="HK29" s="1039" t="s">
        <v>100</v>
      </c>
      <c r="HL29" s="1044" t="s">
        <v>100</v>
      </c>
      <c r="HM29" s="1013"/>
      <c r="HN29" s="1013"/>
      <c r="HO29" s="1013"/>
      <c r="HP29" s="1013"/>
      <c r="HQ29" s="1013"/>
      <c r="HR29" s="1013" t="s">
        <v>100</v>
      </c>
      <c r="HS29" s="1013"/>
      <c r="HT29" s="1013"/>
      <c r="HU29" s="1013"/>
      <c r="HV29" s="1014"/>
      <c r="HW29" s="1014"/>
      <c r="HX29" s="1014"/>
      <c r="HY29" s="1063"/>
      <c r="HZ29" s="1063"/>
      <c r="IA29" s="1063"/>
      <c r="IB29" s="1063"/>
      <c r="IC29" s="1063"/>
      <c r="ID29" s="1063"/>
      <c r="IE29" s="1063"/>
      <c r="IF29" s="1063"/>
      <c r="IG29" s="1063"/>
      <c r="IH29" s="1063"/>
      <c r="II29" s="1063"/>
      <c r="IJ29" s="1063"/>
      <c r="IK29" s="1063"/>
      <c r="IL29" s="1063"/>
      <c r="IM29" s="1063"/>
      <c r="IN29" s="1063"/>
      <c r="IO29" s="1063"/>
      <c r="IP29" s="1063"/>
      <c r="IQ29" s="1063"/>
      <c r="IR29" s="1063"/>
      <c r="IS29" s="1063"/>
      <c r="IT29" s="1063"/>
      <c r="IU29" s="1063"/>
      <c r="IV29" s="1063"/>
    </row>
    <row r="30" spans="1:256" ht="19.95" customHeight="1">
      <c r="A30" s="1011" t="s">
        <v>142</v>
      </c>
      <c r="B30" s="992"/>
      <c r="C30" s="992" t="str">
        <f>IF(ISTEXT(IFERROR(VLOOKUP(A30,职业列表!I3:J10,1,FALSE),0)),"★","")</f>
        <v/>
      </c>
      <c r="D30" s="994"/>
      <c r="E30" s="994"/>
      <c r="F30" s="994"/>
      <c r="G30" s="994"/>
      <c r="H30" s="994" t="s">
        <v>100</v>
      </c>
      <c r="I30" s="994"/>
      <c r="J30" s="994"/>
      <c r="K30" s="994"/>
      <c r="L30" s="994"/>
      <c r="M30" s="994"/>
      <c r="N30" s="994"/>
      <c r="O30" s="994"/>
      <c r="P30" s="994"/>
      <c r="Q30" s="994"/>
      <c r="R30" s="994"/>
      <c r="S30" s="994"/>
      <c r="T30" s="994" t="s">
        <v>100</v>
      </c>
      <c r="U30" s="994"/>
      <c r="V30" s="992" t="s">
        <v>1374</v>
      </c>
      <c r="W30" s="994"/>
      <c r="X30" s="994"/>
      <c r="Y30" s="994"/>
      <c r="Z30" s="994"/>
      <c r="AA30" s="994"/>
      <c r="AB30" s="992" t="s">
        <v>1374</v>
      </c>
      <c r="AC30" s="994"/>
      <c r="AD30" s="994" t="s">
        <v>100</v>
      </c>
      <c r="AE30" s="994" t="s">
        <v>100</v>
      </c>
      <c r="AF30" s="994" t="s">
        <v>100</v>
      </c>
      <c r="AG30" s="994"/>
      <c r="AH30" s="994"/>
      <c r="AI30" s="992" t="s">
        <v>1374</v>
      </c>
      <c r="AJ30" s="992"/>
      <c r="AK30" s="994"/>
      <c r="AL30" s="994"/>
      <c r="AM30" s="994" t="s">
        <v>100</v>
      </c>
      <c r="AN30" s="994" t="s">
        <v>100</v>
      </c>
      <c r="AO30" s="994"/>
      <c r="AP30" s="994" t="s">
        <v>1373</v>
      </c>
      <c r="AQ30" s="1037"/>
      <c r="AR30" s="994" t="s">
        <v>100</v>
      </c>
      <c r="AS30" s="994"/>
      <c r="AT30" s="994"/>
      <c r="AU30" s="994"/>
      <c r="AV30" s="994"/>
      <c r="AW30" s="994"/>
      <c r="AX30" s="994"/>
      <c r="AY30" s="994"/>
      <c r="AZ30" s="994"/>
      <c r="BA30" s="994"/>
      <c r="BB30" s="994"/>
      <c r="BC30" s="994" t="s">
        <v>100</v>
      </c>
      <c r="BD30" s="994"/>
      <c r="BE30" s="994" t="s">
        <v>100</v>
      </c>
      <c r="BF30" s="994"/>
      <c r="BG30" s="994"/>
      <c r="BH30" s="994"/>
      <c r="BI30" s="994"/>
      <c r="BJ30" s="994" t="s">
        <v>100</v>
      </c>
      <c r="BK30" s="994" t="s">
        <v>100</v>
      </c>
      <c r="BL30" s="994" t="s">
        <v>1408</v>
      </c>
      <c r="BM30" s="994"/>
      <c r="BN30" s="994"/>
      <c r="BO30" s="994"/>
      <c r="BP30" s="994"/>
      <c r="BQ30" s="994"/>
      <c r="BR30" s="994"/>
      <c r="BS30" s="994"/>
      <c r="BT30" s="994"/>
      <c r="BU30" s="994"/>
      <c r="BV30" s="994"/>
      <c r="BW30" s="994"/>
      <c r="BX30" s="994"/>
      <c r="BY30" s="994" t="s">
        <v>100</v>
      </c>
      <c r="BZ30" s="994"/>
      <c r="CA30" s="994"/>
      <c r="CB30" s="994"/>
      <c r="CC30" s="994"/>
      <c r="CD30" s="994"/>
      <c r="CE30" s="994"/>
      <c r="CF30" s="994" t="s">
        <v>100</v>
      </c>
      <c r="CG30" s="994"/>
      <c r="CH30" s="994"/>
      <c r="CI30" s="994"/>
      <c r="CJ30" s="994"/>
      <c r="CK30" s="994"/>
      <c r="CL30" s="994"/>
      <c r="CM30" s="994" t="s">
        <v>100</v>
      </c>
      <c r="CN30" s="994" t="s">
        <v>100</v>
      </c>
      <c r="CO30" s="994"/>
      <c r="CP30" s="994"/>
      <c r="CQ30" s="994"/>
      <c r="CR30" s="994"/>
      <c r="CS30" s="994"/>
      <c r="CT30" s="994"/>
      <c r="CU30" s="994"/>
      <c r="CV30" s="994" t="s">
        <v>100</v>
      </c>
      <c r="CW30" s="994"/>
      <c r="CX30" s="994"/>
      <c r="CY30" s="994"/>
      <c r="CZ30" s="994"/>
      <c r="DA30" s="994"/>
      <c r="DB30" s="994" t="s">
        <v>100</v>
      </c>
      <c r="DC30" s="994" t="s">
        <v>100</v>
      </c>
      <c r="DD30" s="994"/>
      <c r="DE30" s="994"/>
      <c r="DF30" s="994"/>
      <c r="DG30" s="994"/>
      <c r="DH30" s="994"/>
      <c r="DI30" s="994"/>
      <c r="DJ30" s="994"/>
      <c r="DK30" s="994"/>
      <c r="DL30" s="994"/>
      <c r="DM30" s="994"/>
      <c r="DN30" s="992"/>
      <c r="DO30" s="992"/>
      <c r="DP30" s="992"/>
      <c r="DQ30" s="992"/>
      <c r="DR30" s="992"/>
      <c r="DS30" s="992"/>
      <c r="DT30" s="992"/>
      <c r="DU30" s="992"/>
      <c r="DV30" s="992"/>
      <c r="DW30" s="992"/>
      <c r="DX30" s="992"/>
      <c r="DY30" s="992"/>
      <c r="DZ30" s="992"/>
      <c r="EA30" s="992"/>
      <c r="EB30" s="992"/>
      <c r="EC30" s="992"/>
      <c r="ED30" s="992"/>
      <c r="EE30" s="992"/>
      <c r="EF30" s="992"/>
      <c r="EG30" s="992"/>
      <c r="EH30" s="992"/>
      <c r="EI30" s="992"/>
      <c r="EJ30" s="992"/>
      <c r="EK30" s="992"/>
      <c r="EL30" s="992"/>
      <c r="EM30" s="992"/>
      <c r="EN30" s="992"/>
      <c r="EO30" s="992"/>
      <c r="EP30" s="992"/>
      <c r="EQ30" s="992"/>
      <c r="ER30" s="992"/>
      <c r="ES30" s="992"/>
      <c r="ET30" s="992"/>
      <c r="EU30" s="992"/>
      <c r="EV30" s="992"/>
      <c r="EW30" s="992"/>
      <c r="EX30" s="992"/>
      <c r="EY30" s="992"/>
      <c r="EZ30" s="992"/>
      <c r="FA30" s="992"/>
      <c r="FB30" s="992"/>
      <c r="FC30" s="992" t="s">
        <v>100</v>
      </c>
      <c r="FD30" s="992"/>
      <c r="FE30" s="992"/>
      <c r="FF30" s="992"/>
      <c r="FG30" s="992"/>
      <c r="FH30" s="992"/>
      <c r="FI30" s="992"/>
      <c r="FJ30" s="992"/>
      <c r="FK30" s="992"/>
      <c r="FL30" s="992"/>
      <c r="FM30" s="992"/>
      <c r="FN30" s="992"/>
      <c r="FO30" s="992"/>
      <c r="FP30" s="992"/>
      <c r="FQ30" s="992"/>
      <c r="FR30" s="992" t="s">
        <v>1409</v>
      </c>
      <c r="FS30" s="992"/>
      <c r="FT30" s="992"/>
      <c r="FU30" s="992"/>
      <c r="FV30" s="992"/>
      <c r="FW30" s="992"/>
      <c r="FX30" s="992"/>
      <c r="FY30" s="992"/>
      <c r="FZ30" s="992"/>
      <c r="GA30" s="992" t="s">
        <v>100</v>
      </c>
      <c r="GB30" s="992"/>
      <c r="GC30" s="992" t="s">
        <v>100</v>
      </c>
      <c r="GD30" s="992" t="s">
        <v>100</v>
      </c>
      <c r="GE30" s="992" t="s">
        <v>100</v>
      </c>
      <c r="GF30" s="992"/>
      <c r="GG30" s="992"/>
      <c r="GH30" s="992"/>
      <c r="GI30" s="992"/>
      <c r="GJ30" s="992"/>
      <c r="GK30" s="992"/>
      <c r="GL30" s="992"/>
      <c r="GM30" s="992"/>
      <c r="GN30" s="992"/>
      <c r="GO30" s="992"/>
      <c r="GP30" s="992"/>
      <c r="GQ30" s="992"/>
      <c r="GR30" s="992"/>
      <c r="GS30" s="992"/>
      <c r="GT30" s="992"/>
      <c r="GU30" s="992" t="s">
        <v>100</v>
      </c>
      <c r="GV30" s="992"/>
      <c r="GW30" s="992" t="s">
        <v>100</v>
      </c>
      <c r="GX30" s="992"/>
      <c r="GY30" s="994"/>
      <c r="GZ30" s="1041"/>
      <c r="HA30" s="1041" t="s">
        <v>1410</v>
      </c>
      <c r="HB30" s="994"/>
      <c r="HC30" s="994"/>
      <c r="HD30" s="994"/>
      <c r="HE30" s="994"/>
      <c r="HF30" s="994"/>
      <c r="HG30" s="994"/>
      <c r="HH30" s="994"/>
      <c r="HI30" s="994"/>
      <c r="HJ30" s="994"/>
      <c r="HK30" s="1041" t="s">
        <v>1411</v>
      </c>
      <c r="HL30" s="1041" t="s">
        <v>1411</v>
      </c>
      <c r="HM30" s="994"/>
      <c r="HN30" s="992"/>
      <c r="HO30" s="994"/>
      <c r="HP30" s="994"/>
      <c r="HQ30" s="994"/>
      <c r="HR30" s="994"/>
      <c r="HS30" s="994"/>
      <c r="HT30" s="992"/>
      <c r="HU30" s="994"/>
      <c r="HV30" s="994"/>
      <c r="HW30" s="1041" t="s">
        <v>1411</v>
      </c>
      <c r="HX30" s="994"/>
      <c r="HY30" s="1056"/>
      <c r="HZ30" s="1056"/>
      <c r="IA30" s="1056"/>
      <c r="IB30" s="1056"/>
      <c r="IC30" s="1056"/>
      <c r="ID30" s="1056"/>
      <c r="IE30" s="1056"/>
      <c r="IF30" s="1056"/>
      <c r="IG30" s="1056"/>
      <c r="IH30" s="1056"/>
      <c r="II30" s="1056"/>
      <c r="IJ30" s="1056"/>
      <c r="IK30" s="1056"/>
      <c r="IL30" s="1056"/>
      <c r="IM30" s="1056"/>
      <c r="IN30" s="1056"/>
      <c r="IO30" s="1056"/>
      <c r="IP30" s="1056"/>
      <c r="IQ30" s="1056"/>
      <c r="IR30" s="1056"/>
      <c r="IS30" s="1056"/>
      <c r="IT30" s="1056"/>
      <c r="IU30" s="1056"/>
      <c r="IV30" s="1056"/>
    </row>
    <row r="31" spans="1:256" ht="19.95" customHeight="1">
      <c r="A31" s="1011" t="s">
        <v>144</v>
      </c>
      <c r="B31" s="992"/>
      <c r="C31" s="992" t="str">
        <f>IF(ISTEXT(IFERROR(VLOOKUP(A31,职业列表!I3:J10,1,FALSE),0)),"★","")</f>
        <v/>
      </c>
      <c r="D31" s="994"/>
      <c r="E31" s="994"/>
      <c r="F31" s="994"/>
      <c r="G31" s="994"/>
      <c r="H31" s="994" t="s">
        <v>100</v>
      </c>
      <c r="I31" s="994"/>
      <c r="J31" s="994"/>
      <c r="K31" s="994"/>
      <c r="L31" s="994"/>
      <c r="M31" s="994"/>
      <c r="N31" s="994"/>
      <c r="O31" s="994"/>
      <c r="P31" s="994"/>
      <c r="Q31" s="994"/>
      <c r="R31" s="994"/>
      <c r="S31" s="994"/>
      <c r="T31" s="994" t="s">
        <v>100</v>
      </c>
      <c r="U31" s="994"/>
      <c r="V31" s="992" t="s">
        <v>1374</v>
      </c>
      <c r="W31" s="994"/>
      <c r="X31" s="994"/>
      <c r="Y31" s="994"/>
      <c r="Z31" s="994"/>
      <c r="AA31" s="994"/>
      <c r="AB31" s="992" t="s">
        <v>1374</v>
      </c>
      <c r="AC31" s="994"/>
      <c r="AD31" s="994" t="s">
        <v>100</v>
      </c>
      <c r="AE31" s="994" t="s">
        <v>100</v>
      </c>
      <c r="AF31" s="994" t="s">
        <v>100</v>
      </c>
      <c r="AG31" s="994"/>
      <c r="AH31" s="994"/>
      <c r="AI31" s="992" t="s">
        <v>1374</v>
      </c>
      <c r="AJ31" s="992"/>
      <c r="AK31" s="994"/>
      <c r="AL31" s="994"/>
      <c r="AM31" s="994" t="s">
        <v>100</v>
      </c>
      <c r="AN31" s="994" t="s">
        <v>100</v>
      </c>
      <c r="AO31" s="994"/>
      <c r="AP31" s="994" t="s">
        <v>1373</v>
      </c>
      <c r="AQ31" s="1037"/>
      <c r="AR31" s="994" t="s">
        <v>100</v>
      </c>
      <c r="AS31" s="994"/>
      <c r="AT31" s="994"/>
      <c r="AU31" s="994"/>
      <c r="AV31" s="994"/>
      <c r="AW31" s="994"/>
      <c r="AX31" s="994"/>
      <c r="AY31" s="994"/>
      <c r="AZ31" s="994"/>
      <c r="BA31" s="994"/>
      <c r="BB31" s="994"/>
      <c r="BC31" s="994" t="s">
        <v>100</v>
      </c>
      <c r="BD31" s="994"/>
      <c r="BE31" s="994" t="s">
        <v>100</v>
      </c>
      <c r="BF31" s="994"/>
      <c r="BG31" s="994"/>
      <c r="BH31" s="994"/>
      <c r="BI31" s="994"/>
      <c r="BJ31" s="994" t="s">
        <v>100</v>
      </c>
      <c r="BK31" s="994" t="s">
        <v>100</v>
      </c>
      <c r="BL31" s="994"/>
      <c r="BM31" s="994"/>
      <c r="BN31" s="994"/>
      <c r="BO31" s="994"/>
      <c r="BP31" s="994"/>
      <c r="BQ31" s="994"/>
      <c r="BR31" s="994"/>
      <c r="BS31" s="994"/>
      <c r="BT31" s="994"/>
      <c r="BU31" s="994"/>
      <c r="BV31" s="994"/>
      <c r="BW31" s="994"/>
      <c r="BX31" s="994"/>
      <c r="BY31" s="994" t="s">
        <v>100</v>
      </c>
      <c r="BZ31" s="994"/>
      <c r="CA31" s="994"/>
      <c r="CB31" s="994"/>
      <c r="CC31" s="994"/>
      <c r="CD31" s="994"/>
      <c r="CE31" s="994"/>
      <c r="CF31" s="994" t="s">
        <v>100</v>
      </c>
      <c r="CG31" s="994"/>
      <c r="CH31" s="994"/>
      <c r="CI31" s="994"/>
      <c r="CJ31" s="994"/>
      <c r="CK31" s="994"/>
      <c r="CL31" s="994"/>
      <c r="CM31" s="994" t="s">
        <v>100</v>
      </c>
      <c r="CN31" s="994" t="s">
        <v>100</v>
      </c>
      <c r="CO31" s="994"/>
      <c r="CP31" s="994"/>
      <c r="CQ31" s="994"/>
      <c r="CR31" s="994"/>
      <c r="CS31" s="994"/>
      <c r="CT31" s="994"/>
      <c r="CU31" s="994"/>
      <c r="CV31" s="994" t="s">
        <v>100</v>
      </c>
      <c r="CW31" s="994"/>
      <c r="CX31" s="994"/>
      <c r="CY31" s="994"/>
      <c r="CZ31" s="994"/>
      <c r="DA31" s="994"/>
      <c r="DB31" s="994" t="s">
        <v>100</v>
      </c>
      <c r="DC31" s="994" t="s">
        <v>100</v>
      </c>
      <c r="DD31" s="994"/>
      <c r="DE31" s="994"/>
      <c r="DF31" s="994"/>
      <c r="DG31" s="994"/>
      <c r="DH31" s="994"/>
      <c r="DI31" s="994"/>
      <c r="DJ31" s="994"/>
      <c r="DK31" s="994"/>
      <c r="DL31" s="994"/>
      <c r="DM31" s="994"/>
      <c r="DN31" s="992"/>
      <c r="DO31" s="992"/>
      <c r="DP31" s="992"/>
      <c r="DQ31" s="992"/>
      <c r="DR31" s="992"/>
      <c r="DS31" s="992"/>
      <c r="DT31" s="992"/>
      <c r="DU31" s="992"/>
      <c r="DV31" s="992"/>
      <c r="DW31" s="992"/>
      <c r="DX31" s="992"/>
      <c r="DY31" s="992"/>
      <c r="DZ31" s="992"/>
      <c r="EA31" s="992"/>
      <c r="EB31" s="992"/>
      <c r="EC31" s="992"/>
      <c r="ED31" s="992"/>
      <c r="EE31" s="992"/>
      <c r="EF31" s="992"/>
      <c r="EG31" s="992"/>
      <c r="EH31" s="992"/>
      <c r="EI31" s="992"/>
      <c r="EJ31" s="992"/>
      <c r="EK31" s="992"/>
      <c r="EL31" s="992"/>
      <c r="EM31" s="992"/>
      <c r="EN31" s="992"/>
      <c r="EO31" s="992"/>
      <c r="EP31" s="992"/>
      <c r="EQ31" s="992"/>
      <c r="ER31" s="992"/>
      <c r="ES31" s="992"/>
      <c r="ET31" s="992"/>
      <c r="EU31" s="992"/>
      <c r="EV31" s="992"/>
      <c r="EW31" s="992"/>
      <c r="EX31" s="992"/>
      <c r="EY31" s="992"/>
      <c r="EZ31" s="992"/>
      <c r="FA31" s="992"/>
      <c r="FB31" s="992"/>
      <c r="FC31" s="992" t="s">
        <v>100</v>
      </c>
      <c r="FD31" s="992"/>
      <c r="FE31" s="992"/>
      <c r="FF31" s="992"/>
      <c r="FG31" s="992"/>
      <c r="FH31" s="992"/>
      <c r="FI31" s="992"/>
      <c r="FJ31" s="992"/>
      <c r="FK31" s="992"/>
      <c r="FL31" s="992"/>
      <c r="FM31" s="992"/>
      <c r="FN31" s="992"/>
      <c r="FO31" s="992"/>
      <c r="FP31" s="992"/>
      <c r="FQ31" s="992"/>
      <c r="FR31" s="992"/>
      <c r="FS31" s="992"/>
      <c r="FT31" s="992"/>
      <c r="FU31" s="992"/>
      <c r="FV31" s="992"/>
      <c r="FW31" s="992"/>
      <c r="FX31" s="992"/>
      <c r="FY31" s="992"/>
      <c r="FZ31" s="992"/>
      <c r="GA31" s="992" t="s">
        <v>100</v>
      </c>
      <c r="GB31" s="992"/>
      <c r="GC31" s="992" t="s">
        <v>100</v>
      </c>
      <c r="GD31" s="992" t="s">
        <v>100</v>
      </c>
      <c r="GE31" s="992" t="s">
        <v>100</v>
      </c>
      <c r="GF31" s="992"/>
      <c r="GG31" s="992"/>
      <c r="GH31" s="992"/>
      <c r="GI31" s="992"/>
      <c r="GJ31" s="992"/>
      <c r="GK31" s="992"/>
      <c r="GL31" s="992"/>
      <c r="GM31" s="992"/>
      <c r="GN31" s="992"/>
      <c r="GO31" s="992"/>
      <c r="GP31" s="992"/>
      <c r="GQ31" s="992"/>
      <c r="GR31" s="992"/>
      <c r="GS31" s="992"/>
      <c r="GT31" s="992"/>
      <c r="GU31" s="992" t="s">
        <v>100</v>
      </c>
      <c r="GV31" s="992"/>
      <c r="GW31" s="992" t="s">
        <v>100</v>
      </c>
      <c r="GX31" s="992"/>
      <c r="GY31" s="994"/>
      <c r="GZ31" s="1041"/>
      <c r="HA31" s="1041"/>
      <c r="HB31" s="994"/>
      <c r="HC31" s="994"/>
      <c r="HD31" s="994"/>
      <c r="HE31" s="994"/>
      <c r="HF31" s="994"/>
      <c r="HG31" s="994"/>
      <c r="HH31" s="994"/>
      <c r="HI31" s="994"/>
      <c r="HJ31" s="994"/>
      <c r="HK31" s="1041"/>
      <c r="HL31" s="1041"/>
      <c r="HM31" s="994"/>
      <c r="HN31" s="992"/>
      <c r="HO31" s="994"/>
      <c r="HP31" s="994"/>
      <c r="HQ31" s="994"/>
      <c r="HR31" s="994"/>
      <c r="HS31" s="994"/>
      <c r="HT31" s="992"/>
      <c r="HU31" s="994"/>
      <c r="HV31" s="994"/>
      <c r="HW31" s="1041"/>
      <c r="HX31" s="994"/>
      <c r="HY31" s="1056"/>
      <c r="HZ31" s="1056"/>
      <c r="IA31" s="1056"/>
      <c r="IB31" s="1056"/>
      <c r="IC31" s="1056"/>
      <c r="ID31" s="1056"/>
      <c r="IE31" s="1056"/>
      <c r="IF31" s="1056"/>
      <c r="IG31" s="1056"/>
      <c r="IH31" s="1056"/>
      <c r="II31" s="1056"/>
      <c r="IJ31" s="1056"/>
      <c r="IK31" s="1056"/>
      <c r="IL31" s="1056"/>
      <c r="IM31" s="1056"/>
      <c r="IN31" s="1056"/>
      <c r="IO31" s="1056"/>
      <c r="IP31" s="1056"/>
      <c r="IQ31" s="1056"/>
      <c r="IR31" s="1056"/>
      <c r="IS31" s="1056"/>
      <c r="IT31" s="1056"/>
      <c r="IU31" s="1056"/>
      <c r="IV31" s="1056"/>
    </row>
    <row r="32" spans="1:256" ht="19.95" customHeight="1">
      <c r="A32" s="1015" t="s">
        <v>146</v>
      </c>
      <c r="B32" s="1016"/>
      <c r="C32" s="1016" t="str">
        <f>IF(ISTEXT(IFERROR(VLOOKUP(A32,职业列表!I3:J10,1,FALSE),0)),"★","")</f>
        <v/>
      </c>
      <c r="D32" s="994"/>
      <c r="E32" s="994"/>
      <c r="F32" s="994"/>
      <c r="G32" s="994"/>
      <c r="H32" s="994" t="s">
        <v>100</v>
      </c>
      <c r="I32" s="994"/>
      <c r="J32" s="994"/>
      <c r="K32" s="994"/>
      <c r="L32" s="994"/>
      <c r="M32" s="994"/>
      <c r="N32" s="994"/>
      <c r="O32" s="994"/>
      <c r="P32" s="994"/>
      <c r="Q32" s="994"/>
      <c r="R32" s="994"/>
      <c r="S32" s="994"/>
      <c r="T32" s="994" t="s">
        <v>100</v>
      </c>
      <c r="U32" s="994"/>
      <c r="V32" s="992" t="s">
        <v>1374</v>
      </c>
      <c r="W32" s="994"/>
      <c r="X32" s="994"/>
      <c r="Y32" s="994"/>
      <c r="Z32" s="994"/>
      <c r="AA32" s="994"/>
      <c r="AB32" s="992" t="s">
        <v>1374</v>
      </c>
      <c r="AC32" s="994"/>
      <c r="AD32" s="994" t="s">
        <v>100</v>
      </c>
      <c r="AE32" s="994" t="s">
        <v>100</v>
      </c>
      <c r="AF32" s="994" t="s">
        <v>100</v>
      </c>
      <c r="AG32" s="994"/>
      <c r="AH32" s="994"/>
      <c r="AI32" s="992" t="s">
        <v>1374</v>
      </c>
      <c r="AJ32" s="992"/>
      <c r="AK32" s="994"/>
      <c r="AL32" s="994"/>
      <c r="AM32" s="994" t="s">
        <v>100</v>
      </c>
      <c r="AN32" s="994" t="s">
        <v>100</v>
      </c>
      <c r="AO32" s="994"/>
      <c r="AP32" s="994" t="s">
        <v>1373</v>
      </c>
      <c r="AQ32" s="1037"/>
      <c r="AR32" s="994" t="s">
        <v>100</v>
      </c>
      <c r="AS32" s="994"/>
      <c r="AT32" s="994"/>
      <c r="AU32" s="994"/>
      <c r="AV32" s="994"/>
      <c r="AW32" s="994"/>
      <c r="AX32" s="994"/>
      <c r="AY32" s="994"/>
      <c r="AZ32" s="994"/>
      <c r="BA32" s="994"/>
      <c r="BB32" s="994"/>
      <c r="BC32" s="994" t="s">
        <v>100</v>
      </c>
      <c r="BD32" s="994"/>
      <c r="BE32" s="994" t="s">
        <v>100</v>
      </c>
      <c r="BF32" s="994"/>
      <c r="BG32" s="994"/>
      <c r="BH32" s="994"/>
      <c r="BI32" s="994"/>
      <c r="BJ32" s="994" t="s">
        <v>100</v>
      </c>
      <c r="BK32" s="994" t="s">
        <v>100</v>
      </c>
      <c r="BL32" s="994"/>
      <c r="BM32" s="994"/>
      <c r="BN32" s="994"/>
      <c r="BO32" s="994"/>
      <c r="BP32" s="994"/>
      <c r="BQ32" s="994"/>
      <c r="BR32" s="994"/>
      <c r="BS32" s="994"/>
      <c r="BT32" s="994"/>
      <c r="BU32" s="994"/>
      <c r="BV32" s="994"/>
      <c r="BW32" s="994"/>
      <c r="BX32" s="994"/>
      <c r="BY32" s="994" t="s">
        <v>100</v>
      </c>
      <c r="BZ32" s="994"/>
      <c r="CA32" s="994"/>
      <c r="CB32" s="994"/>
      <c r="CC32" s="994"/>
      <c r="CD32" s="994"/>
      <c r="CE32" s="994"/>
      <c r="CF32" s="994" t="s">
        <v>100</v>
      </c>
      <c r="CG32" s="994"/>
      <c r="CH32" s="994"/>
      <c r="CI32" s="994"/>
      <c r="CJ32" s="994"/>
      <c r="CK32" s="994"/>
      <c r="CL32" s="994"/>
      <c r="CM32" s="994" t="s">
        <v>100</v>
      </c>
      <c r="CN32" s="994" t="s">
        <v>100</v>
      </c>
      <c r="CO32" s="994"/>
      <c r="CP32" s="994"/>
      <c r="CQ32" s="994"/>
      <c r="CR32" s="994"/>
      <c r="CS32" s="994"/>
      <c r="CT32" s="994"/>
      <c r="CU32" s="994"/>
      <c r="CV32" s="994" t="s">
        <v>100</v>
      </c>
      <c r="CW32" s="994"/>
      <c r="CX32" s="994"/>
      <c r="CY32" s="994"/>
      <c r="CZ32" s="994"/>
      <c r="DA32" s="994"/>
      <c r="DB32" s="994" t="s">
        <v>100</v>
      </c>
      <c r="DC32" s="994" t="s">
        <v>100</v>
      </c>
      <c r="DD32" s="994"/>
      <c r="DE32" s="994"/>
      <c r="DF32" s="994"/>
      <c r="DG32" s="994"/>
      <c r="DH32" s="994"/>
      <c r="DI32" s="994"/>
      <c r="DJ32" s="994"/>
      <c r="DK32" s="994"/>
      <c r="DL32" s="994"/>
      <c r="DM32" s="994"/>
      <c r="DN32" s="992"/>
      <c r="DO32" s="992"/>
      <c r="DP32" s="992"/>
      <c r="DQ32" s="992"/>
      <c r="DR32" s="992"/>
      <c r="DS32" s="992"/>
      <c r="DT32" s="992"/>
      <c r="DU32" s="992"/>
      <c r="DV32" s="992"/>
      <c r="DW32" s="992"/>
      <c r="DX32" s="992"/>
      <c r="DY32" s="992"/>
      <c r="DZ32" s="992"/>
      <c r="EA32" s="992"/>
      <c r="EB32" s="992"/>
      <c r="EC32" s="992"/>
      <c r="ED32" s="992"/>
      <c r="EE32" s="992"/>
      <c r="EF32" s="992"/>
      <c r="EG32" s="992"/>
      <c r="EH32" s="992"/>
      <c r="EI32" s="992"/>
      <c r="EJ32" s="992"/>
      <c r="EK32" s="992"/>
      <c r="EL32" s="992"/>
      <c r="EM32" s="992"/>
      <c r="EN32" s="992"/>
      <c r="EO32" s="992"/>
      <c r="EP32" s="992"/>
      <c r="EQ32" s="992"/>
      <c r="ER32" s="992"/>
      <c r="ES32" s="992"/>
      <c r="ET32" s="992"/>
      <c r="EU32" s="992"/>
      <c r="EV32" s="992"/>
      <c r="EW32" s="992"/>
      <c r="EX32" s="992"/>
      <c r="EY32" s="992"/>
      <c r="EZ32" s="992"/>
      <c r="FA32" s="992"/>
      <c r="FB32" s="992"/>
      <c r="FC32" s="992" t="s">
        <v>100</v>
      </c>
      <c r="FD32" s="992"/>
      <c r="FE32" s="992"/>
      <c r="FF32" s="992"/>
      <c r="FG32" s="992"/>
      <c r="FH32" s="992"/>
      <c r="FI32" s="992"/>
      <c r="FJ32" s="992"/>
      <c r="FK32" s="992"/>
      <c r="FL32" s="992"/>
      <c r="FM32" s="992"/>
      <c r="FN32" s="992"/>
      <c r="FO32" s="992"/>
      <c r="FP32" s="992"/>
      <c r="FQ32" s="992"/>
      <c r="FR32" s="992"/>
      <c r="FS32" s="992"/>
      <c r="FT32" s="992"/>
      <c r="FU32" s="992"/>
      <c r="FV32" s="992"/>
      <c r="FW32" s="992"/>
      <c r="FX32" s="992"/>
      <c r="FY32" s="992"/>
      <c r="FZ32" s="992"/>
      <c r="GA32" s="992" t="s">
        <v>100</v>
      </c>
      <c r="GB32" s="992"/>
      <c r="GC32" s="992" t="s">
        <v>100</v>
      </c>
      <c r="GD32" s="992" t="s">
        <v>100</v>
      </c>
      <c r="GE32" s="992" t="s">
        <v>100</v>
      </c>
      <c r="GF32" s="992"/>
      <c r="GG32" s="992"/>
      <c r="GH32" s="992"/>
      <c r="GI32" s="992"/>
      <c r="GJ32" s="992"/>
      <c r="GK32" s="992"/>
      <c r="GL32" s="992"/>
      <c r="GM32" s="992"/>
      <c r="GN32" s="992"/>
      <c r="GO32" s="992"/>
      <c r="GP32" s="992"/>
      <c r="GQ32" s="992"/>
      <c r="GR32" s="992"/>
      <c r="GS32" s="992"/>
      <c r="GT32" s="992"/>
      <c r="GU32" s="992" t="s">
        <v>100</v>
      </c>
      <c r="GV32" s="992"/>
      <c r="GW32" s="992" t="s">
        <v>100</v>
      </c>
      <c r="GX32" s="992"/>
      <c r="GY32" s="994"/>
      <c r="GZ32" s="1041"/>
      <c r="HA32" s="1041"/>
      <c r="HB32" s="994"/>
      <c r="HC32" s="994"/>
      <c r="HD32" s="994"/>
      <c r="HE32" s="994"/>
      <c r="HF32" s="994"/>
      <c r="HG32" s="994"/>
      <c r="HH32" s="994"/>
      <c r="HI32" s="994"/>
      <c r="HJ32" s="994"/>
      <c r="HK32" s="1041"/>
      <c r="HL32" s="1041"/>
      <c r="HM32" s="994"/>
      <c r="HN32" s="992"/>
      <c r="HO32" s="994"/>
      <c r="HP32" s="994"/>
      <c r="HQ32" s="994"/>
      <c r="HR32" s="994"/>
      <c r="HS32" s="994"/>
      <c r="HT32" s="992"/>
      <c r="HU32" s="994"/>
      <c r="HV32" s="994"/>
      <c r="HW32" s="1041"/>
      <c r="HX32" s="994"/>
      <c r="HY32" s="1056"/>
      <c r="HZ32" s="1056"/>
      <c r="IA32" s="1056"/>
      <c r="IB32" s="1056"/>
      <c r="IC32" s="1056"/>
      <c r="ID32" s="1056"/>
      <c r="IE32" s="1056"/>
      <c r="IF32" s="1056"/>
      <c r="IG32" s="1056"/>
      <c r="IH32" s="1056"/>
      <c r="II32" s="1056"/>
    </row>
    <row r="33" spans="1:256" ht="19.95" customHeight="1">
      <c r="A33" s="991" t="s">
        <v>148</v>
      </c>
      <c r="B33" s="992"/>
      <c r="C33" s="992" t="str">
        <f>IF(ISTEXT(IFERROR(VLOOKUP(A33,职业列表!I3:J10,1,FALSE),0)),"★","")</f>
        <v/>
      </c>
      <c r="D33" s="994"/>
      <c r="E33" s="992"/>
      <c r="F33" s="992"/>
      <c r="G33" s="992"/>
      <c r="H33" s="992"/>
      <c r="I33" s="992"/>
      <c r="J33" s="992"/>
      <c r="K33" s="992"/>
      <c r="L33" s="992"/>
      <c r="M33" s="992"/>
      <c r="N33" s="992"/>
      <c r="O33" s="992"/>
      <c r="P33" s="994" t="s">
        <v>100</v>
      </c>
      <c r="Q33" s="992"/>
      <c r="R33" s="992"/>
      <c r="S33" s="992"/>
      <c r="T33" s="992"/>
      <c r="U33" s="992"/>
      <c r="V33" s="992"/>
      <c r="W33" s="992"/>
      <c r="X33" s="994" t="s">
        <v>100</v>
      </c>
      <c r="Y33" s="992"/>
      <c r="Z33" s="992"/>
      <c r="AA33" s="992"/>
      <c r="AB33" s="992" t="s">
        <v>1373</v>
      </c>
      <c r="AC33" s="992"/>
      <c r="AD33" s="992"/>
      <c r="AE33" s="992"/>
      <c r="AF33" s="992"/>
      <c r="AG33" s="992"/>
      <c r="AH33" s="992"/>
      <c r="AI33" s="992"/>
      <c r="AJ33" s="992"/>
      <c r="AK33" s="992"/>
      <c r="AL33" s="992"/>
      <c r="AM33" s="992"/>
      <c r="AN33" s="992"/>
      <c r="AO33" s="992"/>
      <c r="AP33" s="992"/>
      <c r="AQ33" s="992"/>
      <c r="AR33" s="992"/>
      <c r="AS33" s="994" t="s">
        <v>100</v>
      </c>
      <c r="AT33" s="994" t="s">
        <v>100</v>
      </c>
      <c r="AU33" s="992"/>
      <c r="AV33" s="992"/>
      <c r="AW33" s="992"/>
      <c r="AX33" s="992"/>
      <c r="AY33" s="992"/>
      <c r="AZ33" s="992"/>
      <c r="BA33" s="992"/>
      <c r="BB33" s="992"/>
      <c r="BC33" s="992"/>
      <c r="BD33" s="992"/>
      <c r="BE33" s="992"/>
      <c r="BF33" s="994" t="s">
        <v>100</v>
      </c>
      <c r="BG33" s="992"/>
      <c r="BH33" s="992"/>
      <c r="BI33" s="992"/>
      <c r="BJ33" s="992"/>
      <c r="BK33" s="992"/>
      <c r="BL33" s="992"/>
      <c r="BM33" s="992"/>
      <c r="BN33" s="994" t="s">
        <v>100</v>
      </c>
      <c r="BO33" s="992"/>
      <c r="BP33" s="992"/>
      <c r="BQ33" s="992"/>
      <c r="BR33" s="992"/>
      <c r="BS33" s="994" t="s">
        <v>100</v>
      </c>
      <c r="BT33" s="994" t="s">
        <v>100</v>
      </c>
      <c r="BU33" s="992"/>
      <c r="BV33" s="992"/>
      <c r="BW33" s="992"/>
      <c r="BX33" s="992"/>
      <c r="BY33" s="994" t="s">
        <v>100</v>
      </c>
      <c r="BZ33" s="994" t="s">
        <v>100</v>
      </c>
      <c r="CA33" s="994" t="s">
        <v>100</v>
      </c>
      <c r="CB33" s="992"/>
      <c r="CC33" s="992"/>
      <c r="CD33" s="994" t="s">
        <v>100</v>
      </c>
      <c r="CE33" s="992"/>
      <c r="CF33" s="994" t="s">
        <v>100</v>
      </c>
      <c r="CG33" s="992"/>
      <c r="CH33" s="994" t="s">
        <v>100</v>
      </c>
      <c r="CI33" s="992"/>
      <c r="CJ33" s="992"/>
      <c r="CK33" s="992"/>
      <c r="CL33" s="992"/>
      <c r="CM33" s="992"/>
      <c r="CN33" s="994" t="s">
        <v>100</v>
      </c>
      <c r="CO33" s="992"/>
      <c r="CP33" s="992"/>
      <c r="CQ33" s="994" t="s">
        <v>100</v>
      </c>
      <c r="CR33" s="992"/>
      <c r="CS33" s="992"/>
      <c r="CT33" s="992"/>
      <c r="CU33" s="992"/>
      <c r="CV33" s="994" t="s">
        <v>100</v>
      </c>
      <c r="CW33" s="994" t="s">
        <v>100</v>
      </c>
      <c r="CX33" s="992"/>
      <c r="CY33" s="992"/>
      <c r="CZ33" s="992"/>
      <c r="DA33" s="992"/>
      <c r="DB33" s="993" t="s">
        <v>1376</v>
      </c>
      <c r="DC33" s="992"/>
      <c r="DD33" s="992"/>
      <c r="DE33" s="994" t="s">
        <v>100</v>
      </c>
      <c r="DF33" s="992"/>
      <c r="DG33" s="992"/>
      <c r="DH33" s="992"/>
      <c r="DI33" s="992"/>
      <c r="DJ33" s="992"/>
      <c r="DK33" s="992"/>
      <c r="DL33" s="992"/>
      <c r="DM33" s="994" t="s">
        <v>100</v>
      </c>
      <c r="DN33" s="992"/>
      <c r="DO33" s="992"/>
      <c r="DP33" s="992"/>
      <c r="DQ33" s="992"/>
      <c r="DR33" s="992"/>
      <c r="DS33" s="992"/>
      <c r="DT33" s="992"/>
      <c r="DU33" s="992"/>
      <c r="DV33" s="992"/>
      <c r="DW33" s="992"/>
      <c r="DX33" s="992"/>
      <c r="DY33" s="992"/>
      <c r="DZ33" s="992"/>
      <c r="EA33" s="992"/>
      <c r="EB33" s="992"/>
      <c r="EC33" s="992"/>
      <c r="ED33" s="992"/>
      <c r="EE33" s="992"/>
      <c r="EF33" s="992" t="s">
        <v>100</v>
      </c>
      <c r="EG33" s="992" t="s">
        <v>100</v>
      </c>
      <c r="EH33" s="992" t="s">
        <v>100</v>
      </c>
      <c r="EI33" s="992"/>
      <c r="EJ33" s="992" t="s">
        <v>100</v>
      </c>
      <c r="EK33" s="992"/>
      <c r="EL33" s="992"/>
      <c r="EM33" s="992" t="s">
        <v>100</v>
      </c>
      <c r="EN33" s="992"/>
      <c r="EO33" s="992"/>
      <c r="EP33" s="992"/>
      <c r="EQ33" s="992"/>
      <c r="ER33" s="992"/>
      <c r="ES33" s="992"/>
      <c r="ET33" s="992"/>
      <c r="EU33" s="992"/>
      <c r="EV33" s="992"/>
      <c r="EW33" s="992"/>
      <c r="EX33" s="992"/>
      <c r="EY33" s="992"/>
      <c r="EZ33" s="992"/>
      <c r="FA33" s="992" t="s">
        <v>100</v>
      </c>
      <c r="FB33" s="992"/>
      <c r="FC33" s="992"/>
      <c r="FD33" s="992"/>
      <c r="FE33" s="992"/>
      <c r="FF33" s="992"/>
      <c r="FG33" s="992"/>
      <c r="FH33" s="992"/>
      <c r="FI33" s="992"/>
      <c r="FJ33" s="992"/>
      <c r="FK33" s="992"/>
      <c r="FL33" s="992" t="s">
        <v>1373</v>
      </c>
      <c r="FM33" s="992"/>
      <c r="FN33" s="992"/>
      <c r="FO33" s="992"/>
      <c r="FP33" s="992"/>
      <c r="FQ33" s="992"/>
      <c r="FR33" s="992" t="s">
        <v>100</v>
      </c>
      <c r="FS33" s="992" t="s">
        <v>100</v>
      </c>
      <c r="FT33" s="992"/>
      <c r="FU33" s="992" t="s">
        <v>100</v>
      </c>
      <c r="FV33" s="992" t="s">
        <v>100</v>
      </c>
      <c r="FW33" s="992"/>
      <c r="FX33" s="992" t="s">
        <v>100</v>
      </c>
      <c r="FY33" s="992"/>
      <c r="FZ33" s="992"/>
      <c r="GA33" s="992" t="s">
        <v>100</v>
      </c>
      <c r="GB33" s="992" t="s">
        <v>100</v>
      </c>
      <c r="GC33" s="992" t="s">
        <v>1376</v>
      </c>
      <c r="GD33" s="992" t="s">
        <v>1376</v>
      </c>
      <c r="GE33" s="992"/>
      <c r="GF33" s="992"/>
      <c r="GG33" s="992"/>
      <c r="GH33" s="992"/>
      <c r="GI33" s="992"/>
      <c r="GJ33" s="992"/>
      <c r="GK33" s="992"/>
      <c r="GL33" s="992"/>
      <c r="GM33" s="992"/>
      <c r="GN33" s="992"/>
      <c r="GO33" s="992"/>
      <c r="GP33" s="992"/>
      <c r="GQ33" s="992"/>
      <c r="GR33" s="992"/>
      <c r="GS33" s="992"/>
      <c r="GT33" s="992"/>
      <c r="GU33" s="992" t="s">
        <v>1376</v>
      </c>
      <c r="GV33" s="992"/>
      <c r="GW33" s="992" t="s">
        <v>100</v>
      </c>
      <c r="GX33" s="992"/>
      <c r="GY33" s="992" t="s">
        <v>100</v>
      </c>
      <c r="GZ33" s="992"/>
      <c r="HA33" s="992"/>
      <c r="HB33" s="992"/>
      <c r="HC33" s="992"/>
      <c r="HD33" s="992"/>
      <c r="HE33" s="992"/>
      <c r="HF33" s="992" t="s">
        <v>100</v>
      </c>
      <c r="HG33" s="992"/>
      <c r="HH33" s="994"/>
      <c r="HI33" s="992"/>
      <c r="HJ33" s="992"/>
      <c r="HK33" s="993" t="s">
        <v>100</v>
      </c>
      <c r="HL33" s="992" t="s">
        <v>100</v>
      </c>
      <c r="HM33" s="992"/>
      <c r="HN33" s="992"/>
      <c r="HO33" s="993" t="s">
        <v>100</v>
      </c>
      <c r="HP33" s="994"/>
      <c r="HQ33" s="993" t="s">
        <v>100</v>
      </c>
      <c r="HR33" s="992" t="s">
        <v>100</v>
      </c>
      <c r="HS33" s="992"/>
      <c r="HT33" s="992"/>
      <c r="HU33" s="992" t="s">
        <v>1376</v>
      </c>
      <c r="HV33" s="992"/>
      <c r="HW33" s="992" t="s">
        <v>100</v>
      </c>
      <c r="HX33" s="992"/>
      <c r="HY33" s="1056"/>
      <c r="HZ33" s="1056"/>
      <c r="IA33" s="1056"/>
      <c r="IB33" s="1056"/>
      <c r="IC33" s="1056"/>
      <c r="ID33" s="1056"/>
      <c r="IE33" s="1056"/>
      <c r="IF33" s="1056"/>
      <c r="IG33" s="1056"/>
      <c r="IH33" s="1056"/>
      <c r="II33" s="1056"/>
      <c r="IJ33" s="1056"/>
      <c r="IK33" s="1056"/>
      <c r="IL33" s="1056"/>
      <c r="IM33" s="1056"/>
      <c r="IN33" s="1056"/>
      <c r="IO33" s="1056"/>
      <c r="IP33" s="1056"/>
      <c r="IQ33" s="1056"/>
      <c r="IR33" s="1056"/>
      <c r="IS33" s="1056"/>
      <c r="IT33" s="1056"/>
      <c r="IU33" s="1056"/>
      <c r="IV33" s="1056"/>
    </row>
    <row r="34" spans="1:256" ht="19.95" customHeight="1">
      <c r="A34" s="991" t="s">
        <v>150</v>
      </c>
      <c r="B34" s="992"/>
      <c r="C34" s="993" t="str">
        <f>IF(ISTEXT(IFERROR(VLOOKUP(A34,职业列表!I3:J10,1,FALSE),0)),"★","")</f>
        <v/>
      </c>
      <c r="D34" s="994"/>
      <c r="E34" s="992"/>
      <c r="F34" s="994" t="s">
        <v>100</v>
      </c>
      <c r="G34" s="992"/>
      <c r="H34" s="992"/>
      <c r="I34" s="992"/>
      <c r="J34" s="992"/>
      <c r="K34" s="994" t="s">
        <v>100</v>
      </c>
      <c r="L34" s="994" t="s">
        <v>100</v>
      </c>
      <c r="M34" s="994" t="s">
        <v>100</v>
      </c>
      <c r="N34" s="992"/>
      <c r="O34" s="992" t="s">
        <v>1373</v>
      </c>
      <c r="P34" s="992"/>
      <c r="Q34" s="992"/>
      <c r="R34" s="994" t="s">
        <v>100</v>
      </c>
      <c r="S34" s="992"/>
      <c r="T34" s="992"/>
      <c r="U34" s="994" t="s">
        <v>100</v>
      </c>
      <c r="V34" s="992"/>
      <c r="W34" s="992"/>
      <c r="X34" s="992"/>
      <c r="Y34" s="994" t="s">
        <v>100</v>
      </c>
      <c r="Z34" s="992"/>
      <c r="AA34" s="992"/>
      <c r="AB34" s="992"/>
      <c r="AC34" s="992"/>
      <c r="AD34" s="992"/>
      <c r="AE34" s="992"/>
      <c r="AF34" s="992"/>
      <c r="AG34" s="992"/>
      <c r="AH34" s="992"/>
      <c r="AI34" s="992"/>
      <c r="AJ34" s="992"/>
      <c r="AK34" s="994" t="s">
        <v>100</v>
      </c>
      <c r="AL34" s="994" t="s">
        <v>100</v>
      </c>
      <c r="AM34" s="992"/>
      <c r="AN34" s="992"/>
      <c r="AO34" s="992"/>
      <c r="AP34" s="994" t="s">
        <v>100</v>
      </c>
      <c r="AQ34" s="992"/>
      <c r="AR34" s="992"/>
      <c r="AS34" s="992"/>
      <c r="AT34" s="992"/>
      <c r="AU34" s="992"/>
      <c r="AV34" s="992"/>
      <c r="AW34" s="992"/>
      <c r="AX34" s="992"/>
      <c r="AY34" s="994" t="s">
        <v>100</v>
      </c>
      <c r="AZ34" s="994" t="s">
        <v>100</v>
      </c>
      <c r="BA34" s="992"/>
      <c r="BB34" s="992"/>
      <c r="BC34" s="994" t="s">
        <v>100</v>
      </c>
      <c r="BD34" s="992"/>
      <c r="BE34" s="992"/>
      <c r="BF34" s="992"/>
      <c r="BG34" s="994" t="s">
        <v>100</v>
      </c>
      <c r="BH34" s="992"/>
      <c r="BI34" s="992"/>
      <c r="BJ34" s="992"/>
      <c r="BK34" s="992"/>
      <c r="BL34" s="994" t="s">
        <v>100</v>
      </c>
      <c r="BM34" s="992"/>
      <c r="BN34" s="992"/>
      <c r="BO34" s="994" t="s">
        <v>100</v>
      </c>
      <c r="BP34" s="994" t="s">
        <v>100</v>
      </c>
      <c r="BQ34" s="994" t="s">
        <v>100</v>
      </c>
      <c r="BR34" s="992"/>
      <c r="BS34" s="992"/>
      <c r="BT34" s="992"/>
      <c r="BU34" s="992"/>
      <c r="BV34" s="992"/>
      <c r="BW34" s="992"/>
      <c r="BX34" s="992"/>
      <c r="BY34" s="992"/>
      <c r="BZ34" s="992"/>
      <c r="CA34" s="992"/>
      <c r="CB34" s="994" t="s">
        <v>100</v>
      </c>
      <c r="CC34" s="992"/>
      <c r="CD34" s="992"/>
      <c r="CE34" s="994" t="s">
        <v>100</v>
      </c>
      <c r="CF34" s="992"/>
      <c r="CG34" s="994" t="s">
        <v>100</v>
      </c>
      <c r="CH34" s="992"/>
      <c r="CI34" s="992"/>
      <c r="CJ34" s="992"/>
      <c r="CK34" s="992"/>
      <c r="CL34" s="992"/>
      <c r="CM34" s="992"/>
      <c r="CN34" s="992"/>
      <c r="CO34" s="992"/>
      <c r="CP34" s="992"/>
      <c r="CQ34" s="994" t="s">
        <v>100</v>
      </c>
      <c r="CR34" s="992"/>
      <c r="CS34" s="992"/>
      <c r="CT34" s="992"/>
      <c r="CU34" s="994" t="s">
        <v>100</v>
      </c>
      <c r="CV34" s="992"/>
      <c r="CW34" s="992"/>
      <c r="CX34" s="992"/>
      <c r="CY34" s="992"/>
      <c r="CZ34" s="992"/>
      <c r="DA34" s="992"/>
      <c r="DB34" s="992"/>
      <c r="DC34" s="992"/>
      <c r="DD34" s="992"/>
      <c r="DE34" s="992"/>
      <c r="DF34" s="992"/>
      <c r="DG34" s="994" t="s">
        <v>100</v>
      </c>
      <c r="DH34" s="992"/>
      <c r="DI34" s="992"/>
      <c r="DJ34" s="992"/>
      <c r="DK34" s="992"/>
      <c r="DL34" s="994" t="s">
        <v>100</v>
      </c>
      <c r="DM34" s="992"/>
      <c r="DN34" s="992" t="s">
        <v>100</v>
      </c>
      <c r="DO34" s="992"/>
      <c r="DP34" s="992"/>
      <c r="DQ34" s="992"/>
      <c r="DR34" s="992"/>
      <c r="DS34" s="992"/>
      <c r="DT34" s="992"/>
      <c r="DU34" s="992"/>
      <c r="DV34" s="992" t="s">
        <v>100</v>
      </c>
      <c r="DW34" s="992" t="s">
        <v>100</v>
      </c>
      <c r="DX34" s="992" t="s">
        <v>100</v>
      </c>
      <c r="DY34" s="992"/>
      <c r="DZ34" s="992" t="s">
        <v>100</v>
      </c>
      <c r="EA34" s="992"/>
      <c r="EB34" s="992"/>
      <c r="EC34" s="992"/>
      <c r="ED34" s="992"/>
      <c r="EE34" s="992"/>
      <c r="EF34" s="992"/>
      <c r="EG34" s="992"/>
      <c r="EH34" s="992"/>
      <c r="EI34" s="992"/>
      <c r="EJ34" s="992"/>
      <c r="EK34" s="992"/>
      <c r="EL34" s="992"/>
      <c r="EM34" s="992"/>
      <c r="EN34" s="992"/>
      <c r="EO34" s="992"/>
      <c r="EP34" s="992"/>
      <c r="EQ34" s="992"/>
      <c r="ER34" s="992"/>
      <c r="ES34" s="992"/>
      <c r="ET34" s="992"/>
      <c r="EU34" s="992"/>
      <c r="EV34" s="992"/>
      <c r="EW34" s="992"/>
      <c r="EX34" s="992"/>
      <c r="EY34" s="992"/>
      <c r="EZ34" s="992"/>
      <c r="FA34" s="992"/>
      <c r="FB34" s="992" t="s">
        <v>100</v>
      </c>
      <c r="FC34" s="992"/>
      <c r="FD34" s="992"/>
      <c r="FE34" s="992" t="s">
        <v>1373</v>
      </c>
      <c r="FF34" s="992"/>
      <c r="FG34" s="992"/>
      <c r="FH34" s="992"/>
      <c r="FI34" s="992" t="s">
        <v>1373</v>
      </c>
      <c r="FJ34" s="992" t="s">
        <v>100</v>
      </c>
      <c r="FK34" s="992" t="s">
        <v>1373</v>
      </c>
      <c r="FL34" s="992"/>
      <c r="FM34" s="992" t="s">
        <v>100</v>
      </c>
      <c r="FN34" s="992"/>
      <c r="FO34" s="992"/>
      <c r="FP34" s="992"/>
      <c r="FQ34" s="992"/>
      <c r="FR34" s="992"/>
      <c r="FS34" s="992"/>
      <c r="FT34" s="992"/>
      <c r="FU34" s="992"/>
      <c r="FV34" s="992"/>
      <c r="FW34" s="992"/>
      <c r="FX34" s="992"/>
      <c r="FY34" s="992"/>
      <c r="FZ34" s="992"/>
      <c r="GA34" s="992"/>
      <c r="GB34" s="992"/>
      <c r="GC34" s="992"/>
      <c r="GD34" s="992"/>
      <c r="GE34" s="992" t="s">
        <v>100</v>
      </c>
      <c r="GF34" s="992" t="s">
        <v>1373</v>
      </c>
      <c r="GG34" s="992"/>
      <c r="GH34" s="992"/>
      <c r="GI34" s="992"/>
      <c r="GJ34" s="992"/>
      <c r="GK34" s="992"/>
      <c r="GL34" s="992"/>
      <c r="GM34" s="992"/>
      <c r="GN34" s="992"/>
      <c r="GO34" s="992"/>
      <c r="GP34" s="992"/>
      <c r="GQ34" s="992" t="s">
        <v>100</v>
      </c>
      <c r="GR34" s="992"/>
      <c r="GS34" s="992"/>
      <c r="GT34" s="992"/>
      <c r="GU34" s="992"/>
      <c r="GV34" s="992"/>
      <c r="GW34" s="992"/>
      <c r="GX34" s="992"/>
      <c r="GY34" s="992"/>
      <c r="GZ34" s="993" t="s">
        <v>100</v>
      </c>
      <c r="HA34" s="992"/>
      <c r="HB34" s="993" t="s">
        <v>100</v>
      </c>
      <c r="HC34" s="1041" t="s">
        <v>100</v>
      </c>
      <c r="HD34" s="994"/>
      <c r="HE34" s="1041" t="s">
        <v>100</v>
      </c>
      <c r="HF34" s="992" t="s">
        <v>100</v>
      </c>
      <c r="HG34" s="992"/>
      <c r="HH34" s="992"/>
      <c r="HI34" s="992"/>
      <c r="HJ34" s="994"/>
      <c r="HK34" s="992"/>
      <c r="HL34" s="992"/>
      <c r="HM34" s="994"/>
      <c r="HN34" s="992"/>
      <c r="HO34" s="992"/>
      <c r="HP34" s="993" t="s">
        <v>100</v>
      </c>
      <c r="HQ34" s="994"/>
      <c r="HR34" s="992"/>
      <c r="HS34" s="992"/>
      <c r="HT34" s="992" t="s">
        <v>100</v>
      </c>
      <c r="HU34" s="992"/>
      <c r="HV34" s="992"/>
      <c r="HW34" s="992"/>
      <c r="HX34" s="992" t="s">
        <v>100</v>
      </c>
      <c r="HY34" s="1056"/>
      <c r="HZ34" s="1056"/>
      <c r="IA34" s="1056"/>
      <c r="IB34" s="1056"/>
      <c r="IC34" s="1056"/>
      <c r="ID34" s="1056"/>
      <c r="IE34" s="1056"/>
      <c r="IF34" s="1056"/>
      <c r="IG34" s="1056"/>
      <c r="IH34" s="1056"/>
      <c r="II34" s="1056"/>
      <c r="IJ34" s="1056"/>
      <c r="IK34" s="1056"/>
      <c r="IL34" s="1056"/>
      <c r="IM34" s="1056"/>
      <c r="IN34" s="1056"/>
      <c r="IO34" s="1056"/>
      <c r="IP34" s="1056"/>
      <c r="IQ34" s="1056"/>
      <c r="IR34" s="1056"/>
      <c r="IS34" s="1056"/>
      <c r="IT34" s="1056"/>
      <c r="IU34" s="1056"/>
      <c r="IV34" s="1056"/>
    </row>
    <row r="35" spans="1:256" s="974" customFormat="1" ht="19.95" customHeight="1">
      <c r="A35" s="1000" t="s">
        <v>153</v>
      </c>
      <c r="B35" s="1001"/>
      <c r="C35" s="993" t="str">
        <f>IF(ISTEXT(IFERROR(VLOOKUP(A35,职业列表!I3:J10,1,FALSE),0)),"★","")</f>
        <v/>
      </c>
      <c r="D35" s="1002"/>
      <c r="E35" s="1001"/>
      <c r="F35" s="1003" t="s">
        <v>1375</v>
      </c>
      <c r="G35" s="1001" t="s">
        <v>1375</v>
      </c>
      <c r="H35" s="1001" t="s">
        <v>1375</v>
      </c>
      <c r="I35" s="1001"/>
      <c r="J35" s="1001"/>
      <c r="K35" s="1001" t="s">
        <v>1375</v>
      </c>
      <c r="L35" s="1001" t="s">
        <v>1375</v>
      </c>
      <c r="M35" s="1001"/>
      <c r="N35" s="1001"/>
      <c r="O35" s="1001" t="s">
        <v>1375</v>
      </c>
      <c r="P35" s="1001" t="s">
        <v>1375</v>
      </c>
      <c r="Q35" s="1001" t="s">
        <v>1375</v>
      </c>
      <c r="R35" s="1001"/>
      <c r="S35" s="1001" t="s">
        <v>1375</v>
      </c>
      <c r="T35" s="1001"/>
      <c r="U35" s="1001" t="s">
        <v>1375</v>
      </c>
      <c r="V35" s="1001" t="s">
        <v>1375</v>
      </c>
      <c r="W35" s="1002" t="s">
        <v>100</v>
      </c>
      <c r="X35" s="1001"/>
      <c r="Y35" s="1001" t="s">
        <v>1375</v>
      </c>
      <c r="Z35" s="1001"/>
      <c r="AA35" s="1001" t="s">
        <v>1375</v>
      </c>
      <c r="AB35" s="1001"/>
      <c r="AC35" s="1001"/>
      <c r="AD35" s="1001"/>
      <c r="AE35" s="1002" t="s">
        <v>100</v>
      </c>
      <c r="AF35" s="1001" t="s">
        <v>1375</v>
      </c>
      <c r="AG35" s="1001"/>
      <c r="AH35" s="1001" t="s">
        <v>1375</v>
      </c>
      <c r="AI35" s="1001" t="s">
        <v>1375</v>
      </c>
      <c r="AJ35" s="1001" t="s">
        <v>1375</v>
      </c>
      <c r="AK35" s="1001" t="s">
        <v>1375</v>
      </c>
      <c r="AL35" s="1001"/>
      <c r="AM35" s="1001" t="s">
        <v>1375</v>
      </c>
      <c r="AN35" s="1001" t="s">
        <v>1375</v>
      </c>
      <c r="AO35" s="1001" t="s">
        <v>1375</v>
      </c>
      <c r="AP35" s="1001" t="s">
        <v>1375</v>
      </c>
      <c r="AQ35" s="1035"/>
      <c r="AR35" s="1001" t="s">
        <v>1375</v>
      </c>
      <c r="AS35" s="1001"/>
      <c r="AT35" s="1001"/>
      <c r="AU35" s="1001" t="s">
        <v>1375</v>
      </c>
      <c r="AV35" s="1001" t="s">
        <v>1375</v>
      </c>
      <c r="AW35" s="1001" t="s">
        <v>1375</v>
      </c>
      <c r="AX35" s="1001"/>
      <c r="AY35" s="1001" t="s">
        <v>1375</v>
      </c>
      <c r="AZ35" s="1002" t="s">
        <v>100</v>
      </c>
      <c r="BA35" s="1001"/>
      <c r="BB35" s="1001" t="s">
        <v>1375</v>
      </c>
      <c r="BC35" s="1001"/>
      <c r="BD35" s="1001" t="s">
        <v>1375</v>
      </c>
      <c r="BE35" s="1001"/>
      <c r="BF35" s="1001"/>
      <c r="BG35" s="1001" t="s">
        <v>1375</v>
      </c>
      <c r="BH35" s="1001"/>
      <c r="BI35" s="1001" t="s">
        <v>1375</v>
      </c>
      <c r="BJ35" s="1001" t="s">
        <v>1375</v>
      </c>
      <c r="BK35" s="1001" t="s">
        <v>1375</v>
      </c>
      <c r="BL35" s="1001" t="s">
        <v>1375</v>
      </c>
      <c r="BM35" s="1001"/>
      <c r="BN35" s="1001" t="s">
        <v>1375</v>
      </c>
      <c r="BO35" s="1001" t="s">
        <v>1375</v>
      </c>
      <c r="BP35" s="1001" t="s">
        <v>1375</v>
      </c>
      <c r="BQ35" s="1002" t="s">
        <v>100</v>
      </c>
      <c r="BR35" s="1001"/>
      <c r="BS35" s="1001"/>
      <c r="BT35" s="1001"/>
      <c r="BU35" s="1035"/>
      <c r="BV35" s="1001" t="s">
        <v>1375</v>
      </c>
      <c r="BW35" s="1001"/>
      <c r="BX35" s="1001"/>
      <c r="BY35" s="1001" t="s">
        <v>1375</v>
      </c>
      <c r="BZ35" s="1001" t="s">
        <v>1375</v>
      </c>
      <c r="CA35" s="1001"/>
      <c r="CB35" s="1001"/>
      <c r="CC35" s="1001" t="s">
        <v>1375</v>
      </c>
      <c r="CD35" s="1001" t="s">
        <v>1375</v>
      </c>
      <c r="CE35" s="1001" t="s">
        <v>1375</v>
      </c>
      <c r="CF35" s="1001"/>
      <c r="CG35" s="1001"/>
      <c r="CH35" s="1001" t="s">
        <v>1375</v>
      </c>
      <c r="CI35" s="1001" t="s">
        <v>1375</v>
      </c>
      <c r="CJ35" s="1001" t="s">
        <v>1375</v>
      </c>
      <c r="CK35" s="1001"/>
      <c r="CL35" s="1001"/>
      <c r="CM35" s="1001" t="s">
        <v>1375</v>
      </c>
      <c r="CN35" s="1001" t="s">
        <v>1375</v>
      </c>
      <c r="CO35" s="1001" t="s">
        <v>1375</v>
      </c>
      <c r="CP35" s="1001"/>
      <c r="CQ35" s="1001"/>
      <c r="CR35" s="1001" t="s">
        <v>1375</v>
      </c>
      <c r="CS35" s="1001"/>
      <c r="CT35" s="1001"/>
      <c r="CU35" s="1001" t="s">
        <v>1375</v>
      </c>
      <c r="CV35" s="1001"/>
      <c r="CW35" s="1001" t="s">
        <v>1375</v>
      </c>
      <c r="CX35" s="1001" t="s">
        <v>1375</v>
      </c>
      <c r="CY35" s="1001" t="s">
        <v>1375</v>
      </c>
      <c r="CZ35" s="1001" t="s">
        <v>1375</v>
      </c>
      <c r="DA35" s="1001" t="s">
        <v>1375</v>
      </c>
      <c r="DB35" s="1001"/>
      <c r="DC35" s="1001" t="s">
        <v>1375</v>
      </c>
      <c r="DD35" s="1001"/>
      <c r="DE35" s="1001"/>
      <c r="DF35" s="1001"/>
      <c r="DG35" s="1001" t="s">
        <v>1375</v>
      </c>
      <c r="DH35" s="1001" t="s">
        <v>1375</v>
      </c>
      <c r="DI35" s="1001" t="s">
        <v>1375</v>
      </c>
      <c r="DJ35" s="1001" t="s">
        <v>1375</v>
      </c>
      <c r="DK35" s="1001" t="s">
        <v>1375</v>
      </c>
      <c r="DL35" s="1001" t="s">
        <v>1375</v>
      </c>
      <c r="DM35" s="1001"/>
      <c r="DN35" s="1001" t="s">
        <v>100</v>
      </c>
      <c r="DO35" s="1001" t="s">
        <v>1375</v>
      </c>
      <c r="DP35" s="1001" t="s">
        <v>1375</v>
      </c>
      <c r="DQ35" s="1001" t="s">
        <v>1375</v>
      </c>
      <c r="DR35" s="1001" t="s">
        <v>1375</v>
      </c>
      <c r="DS35" s="1001" t="s">
        <v>1375</v>
      </c>
      <c r="DT35" s="1001" t="s">
        <v>1375</v>
      </c>
      <c r="DU35" s="1001" t="s">
        <v>1375</v>
      </c>
      <c r="DV35" s="1001" t="s">
        <v>1375</v>
      </c>
      <c r="DW35" s="1001" t="s">
        <v>1375</v>
      </c>
      <c r="DX35" s="1001" t="s">
        <v>1375</v>
      </c>
      <c r="DY35" s="1001" t="s">
        <v>1375</v>
      </c>
      <c r="DZ35" s="1001" t="s">
        <v>1375</v>
      </c>
      <c r="EA35" s="1001" t="s">
        <v>1375</v>
      </c>
      <c r="EB35" s="1001" t="s">
        <v>1375</v>
      </c>
      <c r="EC35" s="1001" t="s">
        <v>1375</v>
      </c>
      <c r="ED35" s="1001"/>
      <c r="EE35" s="1001" t="s">
        <v>1375</v>
      </c>
      <c r="EF35" s="1001"/>
      <c r="EG35" s="1001"/>
      <c r="EH35" s="1001"/>
      <c r="EI35" s="1001" t="s">
        <v>1375</v>
      </c>
      <c r="EJ35" s="1001" t="s">
        <v>1375</v>
      </c>
      <c r="EK35" s="1001" t="s">
        <v>1375</v>
      </c>
      <c r="EL35" s="1001"/>
      <c r="EM35" s="1001" t="s">
        <v>1375</v>
      </c>
      <c r="EN35" s="1001"/>
      <c r="EO35" s="1001" t="s">
        <v>1375</v>
      </c>
      <c r="EP35" s="1001"/>
      <c r="EQ35" s="1001"/>
      <c r="ER35" s="1001" t="s">
        <v>1375</v>
      </c>
      <c r="ES35" s="1001" t="s">
        <v>1375</v>
      </c>
      <c r="ET35" s="1001" t="s">
        <v>1375</v>
      </c>
      <c r="EU35" s="1001" t="s">
        <v>1375</v>
      </c>
      <c r="EV35" s="1001" t="s">
        <v>1375</v>
      </c>
      <c r="EW35" s="1001"/>
      <c r="EX35" s="1001" t="s">
        <v>1375</v>
      </c>
      <c r="EY35" s="1001" t="s">
        <v>1375</v>
      </c>
      <c r="EZ35" s="1001"/>
      <c r="FA35" s="1001" t="s">
        <v>1375</v>
      </c>
      <c r="FB35" s="1001" t="s">
        <v>1375</v>
      </c>
      <c r="FC35" s="1001"/>
      <c r="FD35" s="1001" t="s">
        <v>100</v>
      </c>
      <c r="FE35" s="1001" t="s">
        <v>1375</v>
      </c>
      <c r="FF35" s="1001" t="s">
        <v>1375</v>
      </c>
      <c r="FG35" s="1001" t="s">
        <v>1375</v>
      </c>
      <c r="FH35" s="1001"/>
      <c r="FI35" s="1001"/>
      <c r="FJ35" s="1001"/>
      <c r="FK35" s="1001"/>
      <c r="FL35" s="1001"/>
      <c r="FM35" s="1001" t="s">
        <v>1375</v>
      </c>
      <c r="FN35" s="1001"/>
      <c r="FO35" s="1001" t="s">
        <v>100</v>
      </c>
      <c r="FP35" s="1001"/>
      <c r="FQ35" s="1001" t="s">
        <v>1375</v>
      </c>
      <c r="FR35" s="1001" t="s">
        <v>1375</v>
      </c>
      <c r="FS35" s="1001"/>
      <c r="FT35" s="1001"/>
      <c r="FU35" s="1001"/>
      <c r="FV35" s="1001" t="s">
        <v>1375</v>
      </c>
      <c r="FW35" s="1001"/>
      <c r="FX35" s="1001"/>
      <c r="FY35" s="1001" t="s">
        <v>1375</v>
      </c>
      <c r="FZ35" s="1001"/>
      <c r="GA35" s="1001"/>
      <c r="GB35" s="1001" t="s">
        <v>1375</v>
      </c>
      <c r="GC35" s="1001"/>
      <c r="GD35" s="1001"/>
      <c r="GE35" s="1001"/>
      <c r="GF35" s="1001" t="s">
        <v>1375</v>
      </c>
      <c r="GG35" s="1001" t="s">
        <v>1375</v>
      </c>
      <c r="GH35" s="1001" t="s">
        <v>1375</v>
      </c>
      <c r="GI35" s="1001" t="s">
        <v>1375</v>
      </c>
      <c r="GJ35" s="1001"/>
      <c r="GK35" s="1001"/>
      <c r="GL35" s="1001"/>
      <c r="GM35" s="1001"/>
      <c r="GN35" s="1001" t="s">
        <v>1375</v>
      </c>
      <c r="GO35" s="1001" t="s">
        <v>1375</v>
      </c>
      <c r="GP35" s="1001" t="s">
        <v>1375</v>
      </c>
      <c r="GQ35" s="1001" t="s">
        <v>1375</v>
      </c>
      <c r="GR35" s="1001"/>
      <c r="GS35" s="1001"/>
      <c r="GT35" s="1001" t="s">
        <v>1375</v>
      </c>
      <c r="GU35" s="1001"/>
      <c r="GV35" s="1001"/>
      <c r="GW35" s="1001" t="s">
        <v>1375</v>
      </c>
      <c r="GX35" s="1001" t="s">
        <v>1375</v>
      </c>
      <c r="GY35" s="1001" t="s">
        <v>1375</v>
      </c>
      <c r="GZ35" s="1003" t="s">
        <v>1375</v>
      </c>
      <c r="HA35" s="1003" t="s">
        <v>1375</v>
      </c>
      <c r="HB35" s="1001"/>
      <c r="HC35" s="1003" t="s">
        <v>1375</v>
      </c>
      <c r="HD35" s="1001"/>
      <c r="HE35" s="1003" t="s">
        <v>1375</v>
      </c>
      <c r="HF35" s="1001"/>
      <c r="HG35" s="1001" t="s">
        <v>1375</v>
      </c>
      <c r="HH35" s="1001" t="s">
        <v>1375</v>
      </c>
      <c r="HI35" s="1001"/>
      <c r="HJ35" s="1001" t="s">
        <v>1375</v>
      </c>
      <c r="HK35" s="1001" t="s">
        <v>1375</v>
      </c>
      <c r="HL35" s="1001"/>
      <c r="HM35" s="1001" t="s">
        <v>1375</v>
      </c>
      <c r="HN35" s="1001" t="s">
        <v>1375</v>
      </c>
      <c r="HO35" s="1002" t="s">
        <v>1375</v>
      </c>
      <c r="HP35" s="1001" t="s">
        <v>1375</v>
      </c>
      <c r="HQ35" s="1001"/>
      <c r="HR35" s="1003" t="s">
        <v>1375</v>
      </c>
      <c r="HS35" s="1001" t="s">
        <v>1375</v>
      </c>
      <c r="HT35" s="1001" t="s">
        <v>1375</v>
      </c>
      <c r="HU35" s="1001"/>
      <c r="HV35" s="1001" t="s">
        <v>1375</v>
      </c>
      <c r="HW35" s="1002"/>
      <c r="HX35" s="1001" t="s">
        <v>1375</v>
      </c>
      <c r="HY35" s="1060"/>
      <c r="HZ35" s="1060"/>
      <c r="IA35" s="1060"/>
      <c r="IB35" s="1060"/>
      <c r="IC35" s="1060"/>
      <c r="ID35" s="1060"/>
      <c r="IE35" s="1060"/>
      <c r="IF35" s="1060"/>
      <c r="IG35" s="1060"/>
      <c r="IH35" s="1060"/>
      <c r="II35" s="1060"/>
      <c r="IJ35" s="1060"/>
      <c r="IK35" s="1060"/>
      <c r="IL35" s="1060"/>
      <c r="IM35" s="1060"/>
      <c r="IN35" s="1060"/>
      <c r="IO35" s="1060"/>
      <c r="IP35" s="1060"/>
      <c r="IQ35" s="1060"/>
      <c r="IR35" s="1060"/>
      <c r="IS35" s="1060"/>
      <c r="IT35" s="1060"/>
      <c r="IU35" s="1060"/>
      <c r="IV35" s="1060"/>
    </row>
    <row r="36" spans="1:256" ht="19.95" customHeight="1">
      <c r="A36" s="991" t="s">
        <v>155</v>
      </c>
      <c r="B36" s="992"/>
      <c r="C36" s="993" t="str">
        <f>IF(ISTEXT(IFERROR(VLOOKUP(A36,职业列表!I3:J10,1,FALSE),0)),"★","")</f>
        <v/>
      </c>
      <c r="D36" s="994"/>
      <c r="E36" s="994" t="s">
        <v>100</v>
      </c>
      <c r="F36" s="992"/>
      <c r="G36" s="992"/>
      <c r="H36" s="992"/>
      <c r="I36" s="992"/>
      <c r="J36" s="994" t="s">
        <v>100</v>
      </c>
      <c r="K36" s="992"/>
      <c r="L36" s="992"/>
      <c r="M36" s="992"/>
      <c r="N36" s="992"/>
      <c r="O36" s="992"/>
      <c r="P36" s="992"/>
      <c r="Q36" s="994" t="s">
        <v>100</v>
      </c>
      <c r="R36" s="992"/>
      <c r="S36" s="992"/>
      <c r="T36" s="992"/>
      <c r="U36" s="992"/>
      <c r="V36" s="992"/>
      <c r="W36" s="994" t="s">
        <v>100</v>
      </c>
      <c r="X36" s="992"/>
      <c r="Y36" s="992"/>
      <c r="Z36" s="992"/>
      <c r="AA36" s="992"/>
      <c r="AB36" s="994" t="s">
        <v>100</v>
      </c>
      <c r="AC36" s="992"/>
      <c r="AD36" s="992"/>
      <c r="AE36" s="992"/>
      <c r="AF36" s="992"/>
      <c r="AG36" s="992"/>
      <c r="AH36" s="992"/>
      <c r="AI36" s="992"/>
      <c r="AJ36" s="992"/>
      <c r="AK36" s="992"/>
      <c r="AL36" s="992"/>
      <c r="AM36" s="992"/>
      <c r="AN36" s="994" t="s">
        <v>100</v>
      </c>
      <c r="AO36" s="992"/>
      <c r="AP36" s="992"/>
      <c r="AQ36" s="992"/>
      <c r="AR36" s="992"/>
      <c r="AS36" s="992"/>
      <c r="AT36" s="992"/>
      <c r="AU36" s="994" t="s">
        <v>100</v>
      </c>
      <c r="AV36" s="992"/>
      <c r="AW36" s="992"/>
      <c r="AX36" s="992"/>
      <c r="AY36" s="992"/>
      <c r="AZ36" s="992"/>
      <c r="BA36" s="992"/>
      <c r="BB36" s="992"/>
      <c r="BC36" s="994" t="s">
        <v>100</v>
      </c>
      <c r="BD36" s="999"/>
      <c r="BE36" s="992"/>
      <c r="BF36" s="994" t="s">
        <v>100</v>
      </c>
      <c r="BG36" s="992"/>
      <c r="BH36" s="992"/>
      <c r="BI36" s="992"/>
      <c r="BJ36" s="992"/>
      <c r="BK36" s="992"/>
      <c r="BL36" s="992"/>
      <c r="BM36" s="994" t="s">
        <v>100</v>
      </c>
      <c r="BN36" s="992"/>
      <c r="BO36" s="992"/>
      <c r="BP36" s="992"/>
      <c r="BQ36" s="992"/>
      <c r="BR36" s="992"/>
      <c r="BS36" s="992"/>
      <c r="BT36" s="994" t="s">
        <v>100</v>
      </c>
      <c r="BU36" s="994" t="s">
        <v>100</v>
      </c>
      <c r="BV36" s="992"/>
      <c r="BW36" s="992"/>
      <c r="BX36" s="992"/>
      <c r="BY36" s="992"/>
      <c r="BZ36" s="992"/>
      <c r="CA36" s="994" t="s">
        <v>100</v>
      </c>
      <c r="CB36" s="992"/>
      <c r="CC36" s="992"/>
      <c r="CD36" s="992"/>
      <c r="CE36" s="992"/>
      <c r="CF36" s="992"/>
      <c r="CG36" s="992"/>
      <c r="CH36" s="992"/>
      <c r="CI36" s="992"/>
      <c r="CJ36" s="992"/>
      <c r="CK36" s="992"/>
      <c r="CL36" s="992"/>
      <c r="CM36" s="992"/>
      <c r="CN36" s="992"/>
      <c r="CO36" s="992"/>
      <c r="CP36" s="992"/>
      <c r="CQ36" s="992"/>
      <c r="CR36" s="992"/>
      <c r="CS36" s="992"/>
      <c r="CT36" s="992"/>
      <c r="CU36" s="992"/>
      <c r="CV36" s="992"/>
      <c r="CW36" s="992"/>
      <c r="CX36" s="992"/>
      <c r="CY36" s="992"/>
      <c r="CZ36" s="992"/>
      <c r="DA36" s="992"/>
      <c r="DB36" s="992"/>
      <c r="DC36" s="992"/>
      <c r="DD36" s="992"/>
      <c r="DE36" s="994" t="s">
        <v>100</v>
      </c>
      <c r="DF36" s="992"/>
      <c r="DG36" s="992"/>
      <c r="DH36" s="992"/>
      <c r="DI36" s="992"/>
      <c r="DJ36" s="992"/>
      <c r="DK36" s="992"/>
      <c r="DL36" s="992"/>
      <c r="DM36" s="992"/>
      <c r="DN36" s="992"/>
      <c r="DO36" s="992" t="s">
        <v>100</v>
      </c>
      <c r="DP36" s="992" t="s">
        <v>100</v>
      </c>
      <c r="DQ36" s="992" t="s">
        <v>100</v>
      </c>
      <c r="DR36" s="992" t="s">
        <v>100</v>
      </c>
      <c r="DS36" s="992"/>
      <c r="DT36" s="992"/>
      <c r="DU36" s="992"/>
      <c r="DV36" s="992"/>
      <c r="DW36" s="992"/>
      <c r="DX36" s="992"/>
      <c r="DY36" s="992"/>
      <c r="DZ36" s="992"/>
      <c r="EA36" s="992"/>
      <c r="EB36" s="992"/>
      <c r="EC36" s="992"/>
      <c r="ED36" s="992"/>
      <c r="EE36" s="992"/>
      <c r="EF36" s="992"/>
      <c r="EG36" s="992"/>
      <c r="EH36" s="992"/>
      <c r="EI36" s="992"/>
      <c r="EJ36" s="992" t="s">
        <v>1373</v>
      </c>
      <c r="EK36" s="992"/>
      <c r="EL36" s="992"/>
      <c r="EM36" s="992"/>
      <c r="EN36" s="992" t="s">
        <v>100</v>
      </c>
      <c r="EO36" s="992"/>
      <c r="EP36" s="992"/>
      <c r="EQ36" s="992"/>
      <c r="ER36" s="992"/>
      <c r="ES36" s="992"/>
      <c r="ET36" s="992"/>
      <c r="EU36" s="992"/>
      <c r="EV36" s="992"/>
      <c r="EW36" s="992"/>
      <c r="EX36" s="992"/>
      <c r="EY36" s="992"/>
      <c r="EZ36" s="992"/>
      <c r="FA36" s="992"/>
      <c r="FB36" s="992" t="s">
        <v>100</v>
      </c>
      <c r="FC36" s="992"/>
      <c r="FD36" s="992"/>
      <c r="FE36" s="992"/>
      <c r="FF36" s="992"/>
      <c r="FG36" s="992"/>
      <c r="FH36" s="992"/>
      <c r="FI36" s="992" t="s">
        <v>100</v>
      </c>
      <c r="FJ36" s="992"/>
      <c r="FK36" s="992"/>
      <c r="FL36" s="992"/>
      <c r="FM36" s="992"/>
      <c r="FN36" s="992"/>
      <c r="FO36" s="992" t="s">
        <v>100</v>
      </c>
      <c r="FP36" s="992"/>
      <c r="FQ36" s="992"/>
      <c r="FR36" s="992"/>
      <c r="FS36" s="992"/>
      <c r="FT36" s="992" t="s">
        <v>100</v>
      </c>
      <c r="FU36" s="992" t="s">
        <v>100</v>
      </c>
      <c r="FV36" s="992"/>
      <c r="FW36" s="992"/>
      <c r="FX36" s="992" t="s">
        <v>100</v>
      </c>
      <c r="FY36" s="992"/>
      <c r="FZ36" s="992"/>
      <c r="GA36" s="992"/>
      <c r="GB36" s="992"/>
      <c r="GC36" s="992"/>
      <c r="GD36" s="992"/>
      <c r="GE36" s="992" t="s">
        <v>100</v>
      </c>
      <c r="GF36" s="992"/>
      <c r="GG36" s="992"/>
      <c r="GH36" s="992"/>
      <c r="GI36" s="992"/>
      <c r="GJ36" s="992" t="s">
        <v>100</v>
      </c>
      <c r="GK36" s="992"/>
      <c r="GL36" s="992"/>
      <c r="GM36" s="992"/>
      <c r="GN36" s="992"/>
      <c r="GO36" s="992"/>
      <c r="GP36" s="992"/>
      <c r="GQ36" s="992"/>
      <c r="GR36" s="992"/>
      <c r="GS36" s="992"/>
      <c r="GT36" s="992"/>
      <c r="GU36" s="992"/>
      <c r="GV36" s="992"/>
      <c r="GW36" s="992"/>
      <c r="GX36" s="992"/>
      <c r="GY36" s="992"/>
      <c r="GZ36" s="992"/>
      <c r="HA36" s="992"/>
      <c r="HB36" s="994"/>
      <c r="HC36" s="992"/>
      <c r="HD36" s="992" t="s">
        <v>100</v>
      </c>
      <c r="HE36" s="992"/>
      <c r="HF36" s="992"/>
      <c r="HG36" s="992"/>
      <c r="HH36" s="992"/>
      <c r="HI36" s="994"/>
      <c r="HJ36" s="992"/>
      <c r="HK36" s="992"/>
      <c r="HL36" s="992"/>
      <c r="HM36" s="992"/>
      <c r="HN36" s="992"/>
      <c r="HO36" s="994"/>
      <c r="HP36" s="992"/>
      <c r="HQ36" s="992"/>
      <c r="HR36" s="992"/>
      <c r="HS36" s="992"/>
      <c r="HT36" s="994"/>
      <c r="HU36" s="992"/>
      <c r="HV36" s="992"/>
      <c r="HW36" s="992"/>
      <c r="HX36" s="992"/>
      <c r="HY36" s="1056"/>
      <c r="HZ36" s="1056"/>
      <c r="IA36" s="1056"/>
      <c r="IB36" s="1056"/>
      <c r="IC36" s="1056"/>
      <c r="ID36" s="1056"/>
      <c r="IE36" s="1056"/>
      <c r="IF36" s="1056"/>
      <c r="IG36" s="1056"/>
      <c r="IH36" s="1056"/>
      <c r="II36" s="1056"/>
      <c r="IJ36" s="1056"/>
      <c r="IK36" s="1056"/>
      <c r="IL36" s="1056"/>
      <c r="IM36" s="1056"/>
      <c r="IN36" s="1056"/>
      <c r="IO36" s="1056"/>
      <c r="IP36" s="1056"/>
      <c r="IQ36" s="1056"/>
      <c r="IR36" s="1056"/>
      <c r="IS36" s="1056"/>
      <c r="IT36" s="1056"/>
      <c r="IU36" s="1056"/>
      <c r="IV36" s="1056"/>
    </row>
    <row r="37" spans="1:256" s="978" customFormat="1" ht="19.95" customHeight="1">
      <c r="A37" s="1017" t="s">
        <v>156</v>
      </c>
      <c r="B37" s="1018"/>
      <c r="C37" s="993" t="str">
        <f>IF(ISTEXT(IFERROR(VLOOKUP(A37,职业列表!I3:J10,1,FALSE),0)),"★","")</f>
        <v/>
      </c>
      <c r="D37" s="1019"/>
      <c r="E37" s="1018"/>
      <c r="F37" s="1018"/>
      <c r="G37" s="1018"/>
      <c r="H37" s="1018"/>
      <c r="I37" s="1019" t="s">
        <v>100</v>
      </c>
      <c r="J37" s="1018"/>
      <c r="K37" s="1019" t="s">
        <v>100</v>
      </c>
      <c r="L37" s="1018"/>
      <c r="M37" s="1019" t="s">
        <v>100</v>
      </c>
      <c r="N37" s="1018"/>
      <c r="O37" s="1019" t="s">
        <v>100</v>
      </c>
      <c r="P37" s="1018"/>
      <c r="Q37" s="1018"/>
      <c r="R37" s="1019" t="s">
        <v>100</v>
      </c>
      <c r="S37" s="1018"/>
      <c r="T37" s="1018" t="s">
        <v>1374</v>
      </c>
      <c r="U37" s="1019" t="s">
        <v>100</v>
      </c>
      <c r="V37" s="1018"/>
      <c r="W37" s="1018"/>
      <c r="X37" s="1019" t="s">
        <v>100</v>
      </c>
      <c r="Y37" s="1019" t="s">
        <v>100</v>
      </c>
      <c r="Z37" s="1018"/>
      <c r="AA37" s="1018"/>
      <c r="AB37" s="1018"/>
      <c r="AC37" s="1018"/>
      <c r="AD37" s="1018"/>
      <c r="AE37" s="1018"/>
      <c r="AF37" s="1018"/>
      <c r="AG37" s="1018"/>
      <c r="AH37" s="1018" t="s">
        <v>1373</v>
      </c>
      <c r="AI37" s="1018"/>
      <c r="AJ37" s="1018"/>
      <c r="AK37" s="1018"/>
      <c r="AL37" s="1018"/>
      <c r="AM37" s="1018"/>
      <c r="AN37" s="1018"/>
      <c r="AO37" s="1018"/>
      <c r="AP37" s="1018"/>
      <c r="AQ37" s="1038"/>
      <c r="AR37" s="1019" t="s">
        <v>100</v>
      </c>
      <c r="AS37" s="1038"/>
      <c r="AT37" s="1018" t="s">
        <v>1412</v>
      </c>
      <c r="AU37" s="1018"/>
      <c r="AV37" s="1018"/>
      <c r="AW37" s="1018"/>
      <c r="AX37" s="1018"/>
      <c r="AY37" s="1018"/>
      <c r="AZ37" s="1018"/>
      <c r="BA37" s="1018"/>
      <c r="BB37" s="1018"/>
      <c r="BC37" s="1019" t="s">
        <v>100</v>
      </c>
      <c r="BD37" s="1038"/>
      <c r="BE37" s="1018"/>
      <c r="BF37" s="1018"/>
      <c r="BG37" s="1019" t="s">
        <v>100</v>
      </c>
      <c r="BH37" s="1018" t="s">
        <v>1412</v>
      </c>
      <c r="BI37" s="1018"/>
      <c r="BJ37" s="1018"/>
      <c r="BK37" s="1018"/>
      <c r="BL37" s="1019" t="s">
        <v>100</v>
      </c>
      <c r="BM37" s="1018"/>
      <c r="BN37" s="1018"/>
      <c r="BO37" s="1018"/>
      <c r="BP37" s="1018"/>
      <c r="BQ37" s="1018"/>
      <c r="BR37" s="1019" t="s">
        <v>100</v>
      </c>
      <c r="BS37" s="1018"/>
      <c r="BT37" s="1018"/>
      <c r="BU37" s="1018"/>
      <c r="BV37" s="1018"/>
      <c r="BW37" s="1019" t="s">
        <v>100</v>
      </c>
      <c r="BX37" s="1018"/>
      <c r="BY37" s="1018"/>
      <c r="BZ37" s="1018"/>
      <c r="CA37" s="1019" t="s">
        <v>100</v>
      </c>
      <c r="CB37" s="1019" t="s">
        <v>100</v>
      </c>
      <c r="CC37" s="1018"/>
      <c r="CD37" s="1018"/>
      <c r="CE37" s="1019" t="s">
        <v>100</v>
      </c>
      <c r="CF37" s="1018"/>
      <c r="CG37" s="1019" t="s">
        <v>100</v>
      </c>
      <c r="CH37" s="1018" t="s">
        <v>1412</v>
      </c>
      <c r="CI37" s="1038"/>
      <c r="CJ37" s="1019" t="s">
        <v>100</v>
      </c>
      <c r="CK37" s="1018"/>
      <c r="CL37" s="1018"/>
      <c r="CM37" s="1018"/>
      <c r="CN37" s="1018"/>
      <c r="CO37" s="1018"/>
      <c r="CP37" s="1019" t="s">
        <v>100</v>
      </c>
      <c r="CQ37" s="1018"/>
      <c r="CR37" s="1018"/>
      <c r="CS37" s="1019" t="s">
        <v>100</v>
      </c>
      <c r="CT37" s="1018"/>
      <c r="CU37" s="1019" t="s">
        <v>100</v>
      </c>
      <c r="CV37" s="1018"/>
      <c r="CW37" s="1018"/>
      <c r="CX37" s="1018"/>
      <c r="CY37" s="1019" t="s">
        <v>100</v>
      </c>
      <c r="CZ37" s="1018"/>
      <c r="DA37" s="1018"/>
      <c r="DB37" s="1046" t="s">
        <v>1376</v>
      </c>
      <c r="DC37" s="1019" t="s">
        <v>100</v>
      </c>
      <c r="DD37" s="1018" t="s">
        <v>1373</v>
      </c>
      <c r="DE37" s="1018"/>
      <c r="DF37" s="1018"/>
      <c r="DG37" s="1018"/>
      <c r="DH37" s="1018"/>
      <c r="DI37" s="1018"/>
      <c r="DJ37" s="1019" t="s">
        <v>100</v>
      </c>
      <c r="DK37" s="1019" t="s">
        <v>100</v>
      </c>
      <c r="DL37" s="1018"/>
      <c r="DM37" s="1018"/>
      <c r="DN37" s="1018" t="s">
        <v>1413</v>
      </c>
      <c r="DO37" s="1018" t="s">
        <v>100</v>
      </c>
      <c r="DP37" s="1018"/>
      <c r="DQ37" s="1018"/>
      <c r="DR37" s="1018" t="s">
        <v>100</v>
      </c>
      <c r="DS37" s="1018" t="s">
        <v>100</v>
      </c>
      <c r="DT37" s="1018"/>
      <c r="DU37" s="1018" t="s">
        <v>1412</v>
      </c>
      <c r="DV37" s="1018"/>
      <c r="DW37" s="1018" t="s">
        <v>1414</v>
      </c>
      <c r="DX37" s="1018" t="s">
        <v>100</v>
      </c>
      <c r="DY37" s="1018" t="s">
        <v>100</v>
      </c>
      <c r="DZ37" s="1018"/>
      <c r="EA37" s="1018"/>
      <c r="EB37" s="1018"/>
      <c r="EC37" s="1018"/>
      <c r="ED37" s="1018"/>
      <c r="EE37" s="1018"/>
      <c r="EF37" s="1018" t="s">
        <v>1412</v>
      </c>
      <c r="EG37" s="1018" t="s">
        <v>1412</v>
      </c>
      <c r="EH37" s="1018" t="s">
        <v>1412</v>
      </c>
      <c r="EI37" s="1018"/>
      <c r="EJ37" s="1018" t="s">
        <v>100</v>
      </c>
      <c r="EK37" s="1018"/>
      <c r="EL37" s="1018"/>
      <c r="EM37" s="1018"/>
      <c r="EN37" s="1018" t="s">
        <v>100</v>
      </c>
      <c r="EO37" s="1018"/>
      <c r="EP37" s="1018"/>
      <c r="EQ37" s="1018"/>
      <c r="ER37" s="1018"/>
      <c r="ES37" s="1018"/>
      <c r="ET37" s="1018"/>
      <c r="EU37" s="1018"/>
      <c r="EV37" s="1018"/>
      <c r="EW37" s="1018"/>
      <c r="EX37" s="1018" t="s">
        <v>100</v>
      </c>
      <c r="EY37" s="1018"/>
      <c r="EZ37" s="1018"/>
      <c r="FA37" s="1018"/>
      <c r="FB37" s="1018"/>
      <c r="FC37" s="1018"/>
      <c r="FD37" s="1018"/>
      <c r="FE37" s="1018" t="s">
        <v>1415</v>
      </c>
      <c r="FF37" s="1018"/>
      <c r="FG37" s="1018"/>
      <c r="FH37" s="1018"/>
      <c r="FI37" s="1018" t="s">
        <v>100</v>
      </c>
      <c r="FJ37" s="1018"/>
      <c r="FK37" s="1018"/>
      <c r="FL37" s="1018" t="s">
        <v>1415</v>
      </c>
      <c r="FM37" s="1018"/>
      <c r="FN37" s="1018"/>
      <c r="FO37" s="1018"/>
      <c r="FP37" s="1018"/>
      <c r="FQ37" s="1018" t="s">
        <v>100</v>
      </c>
      <c r="FR37" s="1018" t="s">
        <v>100</v>
      </c>
      <c r="FS37" s="1018" t="s">
        <v>100</v>
      </c>
      <c r="FT37" s="1018"/>
      <c r="FU37" s="1018"/>
      <c r="FV37" s="1018" t="s">
        <v>100</v>
      </c>
      <c r="FW37" s="1018"/>
      <c r="FX37" s="1018" t="s">
        <v>100</v>
      </c>
      <c r="FY37" s="1018"/>
      <c r="FZ37" s="1018"/>
      <c r="GA37" s="1018"/>
      <c r="GB37" s="1018"/>
      <c r="GC37" s="1018" t="s">
        <v>1376</v>
      </c>
      <c r="GD37" s="1018" t="s">
        <v>1376</v>
      </c>
      <c r="GE37" s="1018" t="s">
        <v>100</v>
      </c>
      <c r="GF37" s="1018" t="s">
        <v>100</v>
      </c>
      <c r="GG37" s="1018"/>
      <c r="GH37" s="1018"/>
      <c r="GI37" s="1018"/>
      <c r="GJ37" s="1018"/>
      <c r="GK37" s="1018"/>
      <c r="GL37" s="1018"/>
      <c r="GM37" s="1018"/>
      <c r="GN37" s="1018"/>
      <c r="GO37" s="1018"/>
      <c r="GP37" s="1018"/>
      <c r="GQ37" s="1018"/>
      <c r="GR37" s="1018"/>
      <c r="GS37" s="1018" t="s">
        <v>100</v>
      </c>
      <c r="GT37" s="1018"/>
      <c r="GU37" s="1018" t="s">
        <v>1376</v>
      </c>
      <c r="GV37" s="1018"/>
      <c r="GW37" s="1018"/>
      <c r="GX37" s="1018"/>
      <c r="GY37" s="1018" t="s">
        <v>100</v>
      </c>
      <c r="GZ37" s="1046" t="s">
        <v>1416</v>
      </c>
      <c r="HA37" s="1049" t="s">
        <v>1416</v>
      </c>
      <c r="HB37" s="1046" t="s">
        <v>1416</v>
      </c>
      <c r="HC37" s="1046" t="s">
        <v>1416</v>
      </c>
      <c r="HD37" s="1018"/>
      <c r="HE37" s="1049" t="s">
        <v>1412</v>
      </c>
      <c r="HF37" s="1018" t="s">
        <v>100</v>
      </c>
      <c r="HG37" s="1019"/>
      <c r="HH37" s="1018"/>
      <c r="HI37" s="1018"/>
      <c r="HJ37" s="1019"/>
      <c r="HK37" s="1018" t="s">
        <v>100</v>
      </c>
      <c r="HL37" s="1018" t="s">
        <v>100</v>
      </c>
      <c r="HM37" s="1019"/>
      <c r="HN37" s="1018" t="s">
        <v>1416</v>
      </c>
      <c r="HO37" s="1018"/>
      <c r="HP37" s="1049" t="s">
        <v>1412</v>
      </c>
      <c r="HQ37" s="1019" t="s">
        <v>1412</v>
      </c>
      <c r="HR37" s="1018"/>
      <c r="HS37" s="1046" t="s">
        <v>1416</v>
      </c>
      <c r="HT37" s="1018"/>
      <c r="HU37" s="1046" t="s">
        <v>1376</v>
      </c>
      <c r="HV37" s="1018"/>
      <c r="HW37" s="1018"/>
      <c r="HX37" s="1018" t="s">
        <v>1416</v>
      </c>
      <c r="HY37" s="1064"/>
      <c r="HZ37" s="1064"/>
      <c r="IA37" s="1064"/>
      <c r="IB37" s="1064"/>
      <c r="IC37" s="1064"/>
      <c r="ID37" s="1064"/>
      <c r="IE37" s="1064"/>
      <c r="IF37" s="1064"/>
      <c r="IG37" s="1064"/>
      <c r="IH37" s="1064"/>
      <c r="II37" s="1064"/>
      <c r="IJ37" s="1064"/>
      <c r="IK37" s="1064"/>
      <c r="IL37" s="1064"/>
      <c r="IM37" s="1064"/>
      <c r="IN37" s="1064"/>
      <c r="IO37" s="1064"/>
      <c r="IP37" s="1064"/>
      <c r="IQ37" s="1064"/>
      <c r="IR37" s="1064"/>
      <c r="IS37" s="1064"/>
      <c r="IT37" s="1064"/>
      <c r="IU37" s="1064"/>
      <c r="IV37" s="1064"/>
    </row>
    <row r="38" spans="1:256" ht="19.95" customHeight="1">
      <c r="A38" s="998" t="s">
        <v>158</v>
      </c>
      <c r="B38" s="992"/>
      <c r="C38" s="993" t="str">
        <f>IF(ISTEXT(IFERROR(VLOOKUP(A38,职业列表!I3:J10,1,FALSE),0)),"★","")</f>
        <v/>
      </c>
      <c r="D38" s="999"/>
      <c r="E38" s="999"/>
      <c r="F38" s="999"/>
      <c r="G38" s="999"/>
      <c r="H38" s="999"/>
      <c r="I38" s="994" t="s">
        <v>100</v>
      </c>
      <c r="J38" s="999"/>
      <c r="K38" s="994" t="s">
        <v>100</v>
      </c>
      <c r="L38" s="999"/>
      <c r="M38" s="994" t="s">
        <v>100</v>
      </c>
      <c r="N38" s="999"/>
      <c r="O38" s="994" t="s">
        <v>100</v>
      </c>
      <c r="P38" s="999"/>
      <c r="Q38" s="999"/>
      <c r="R38" s="994" t="s">
        <v>100</v>
      </c>
      <c r="S38" s="999"/>
      <c r="T38" s="992" t="s">
        <v>1374</v>
      </c>
      <c r="U38" s="994" t="s">
        <v>100</v>
      </c>
      <c r="V38" s="999"/>
      <c r="W38" s="999"/>
      <c r="X38" s="994" t="s">
        <v>100</v>
      </c>
      <c r="Y38" s="994" t="s">
        <v>100</v>
      </c>
      <c r="Z38" s="999"/>
      <c r="AA38" s="999"/>
      <c r="AB38" s="999"/>
      <c r="AC38" s="999"/>
      <c r="AD38" s="999"/>
      <c r="AE38" s="999"/>
      <c r="AF38" s="999"/>
      <c r="AG38" s="999"/>
      <c r="AH38" s="992" t="s">
        <v>1373</v>
      </c>
      <c r="AI38" s="999"/>
      <c r="AJ38" s="999"/>
      <c r="AK38" s="999"/>
      <c r="AL38" s="999"/>
      <c r="AM38" s="999"/>
      <c r="AN38" s="999"/>
      <c r="AO38" s="999"/>
      <c r="AP38" s="999"/>
      <c r="AQ38" s="999"/>
      <c r="AR38" s="994" t="s">
        <v>100</v>
      </c>
      <c r="AS38" s="999"/>
      <c r="AT38" s="999"/>
      <c r="AU38" s="999"/>
      <c r="AV38" s="999"/>
      <c r="AW38" s="999"/>
      <c r="AX38" s="999"/>
      <c r="AY38" s="999"/>
      <c r="AZ38" s="999"/>
      <c r="BA38" s="999"/>
      <c r="BB38" s="999"/>
      <c r="BC38" s="994" t="s">
        <v>100</v>
      </c>
      <c r="BD38" s="999"/>
      <c r="BE38" s="999"/>
      <c r="BF38" s="999"/>
      <c r="BG38" s="994" t="s">
        <v>100</v>
      </c>
      <c r="BH38" s="999"/>
      <c r="BI38" s="999"/>
      <c r="BJ38" s="999"/>
      <c r="BK38" s="999"/>
      <c r="BL38" s="999"/>
      <c r="BM38" s="999"/>
      <c r="BN38" s="999"/>
      <c r="BO38" s="999"/>
      <c r="BP38" s="999"/>
      <c r="BQ38" s="999"/>
      <c r="BR38" s="994"/>
      <c r="BS38" s="999"/>
      <c r="BT38" s="999"/>
      <c r="BU38" s="999"/>
      <c r="BV38" s="999"/>
      <c r="BW38" s="994" t="s">
        <v>100</v>
      </c>
      <c r="BX38" s="999"/>
      <c r="BY38" s="999"/>
      <c r="BZ38" s="999"/>
      <c r="CA38" s="994" t="s">
        <v>100</v>
      </c>
      <c r="CB38" s="994" t="s">
        <v>100</v>
      </c>
      <c r="CC38" s="999"/>
      <c r="CD38" s="999"/>
      <c r="CE38" s="994" t="s">
        <v>100</v>
      </c>
      <c r="CF38" s="999"/>
      <c r="CG38" s="994" t="s">
        <v>100</v>
      </c>
      <c r="CH38" s="999"/>
      <c r="CI38" s="999"/>
      <c r="CJ38" s="994" t="s">
        <v>100</v>
      </c>
      <c r="CK38" s="999"/>
      <c r="CL38" s="999"/>
      <c r="CM38" s="999"/>
      <c r="CN38" s="999"/>
      <c r="CO38" s="999"/>
      <c r="CP38" s="994" t="s">
        <v>100</v>
      </c>
      <c r="CQ38" s="999"/>
      <c r="CR38" s="999"/>
      <c r="CS38" s="994" t="s">
        <v>100</v>
      </c>
      <c r="CT38" s="999"/>
      <c r="CU38" s="994" t="s">
        <v>100</v>
      </c>
      <c r="CV38" s="999"/>
      <c r="CW38" s="999"/>
      <c r="CX38" s="999"/>
      <c r="CY38" s="994" t="s">
        <v>100</v>
      </c>
      <c r="CZ38" s="999"/>
      <c r="DA38" s="999"/>
      <c r="DB38" s="993"/>
      <c r="DC38" s="994" t="s">
        <v>100</v>
      </c>
      <c r="DD38" s="992" t="s">
        <v>1373</v>
      </c>
      <c r="DE38" s="999"/>
      <c r="DF38" s="999"/>
      <c r="DG38" s="999"/>
      <c r="DH38" s="999"/>
      <c r="DI38" s="999"/>
      <c r="DJ38" s="994" t="s">
        <v>100</v>
      </c>
      <c r="DK38" s="994" t="s">
        <v>100</v>
      </c>
      <c r="DL38" s="999"/>
      <c r="DM38" s="999"/>
      <c r="DN38" s="992" t="s">
        <v>1413</v>
      </c>
      <c r="DO38" s="992"/>
      <c r="DP38" s="992"/>
      <c r="DQ38" s="992"/>
      <c r="DR38" s="992"/>
      <c r="DS38" s="992" t="s">
        <v>100</v>
      </c>
      <c r="DT38" s="992"/>
      <c r="DU38" s="992"/>
      <c r="DV38" s="992"/>
      <c r="DW38" s="992"/>
      <c r="DX38" s="992" t="s">
        <v>100</v>
      </c>
      <c r="DY38" s="992" t="s">
        <v>100</v>
      </c>
      <c r="DZ38" s="992"/>
      <c r="EA38" s="992"/>
      <c r="EB38" s="992"/>
      <c r="EC38" s="992"/>
      <c r="ED38" s="992"/>
      <c r="EE38" s="992"/>
      <c r="EF38" s="992"/>
      <c r="EG38" s="992"/>
      <c r="EH38" s="992"/>
      <c r="EI38" s="992"/>
      <c r="EJ38" s="992" t="s">
        <v>100</v>
      </c>
      <c r="EK38" s="992"/>
      <c r="EL38" s="992"/>
      <c r="EM38" s="992"/>
      <c r="EN38" s="992" t="s">
        <v>100</v>
      </c>
      <c r="EO38" s="992"/>
      <c r="EP38" s="992"/>
      <c r="EQ38" s="992"/>
      <c r="ER38" s="992"/>
      <c r="ES38" s="992"/>
      <c r="ET38" s="992"/>
      <c r="EU38" s="992"/>
      <c r="EV38" s="992"/>
      <c r="EW38" s="992"/>
      <c r="EX38" s="992" t="s">
        <v>100</v>
      </c>
      <c r="EY38" s="992"/>
      <c r="EZ38" s="992"/>
      <c r="FA38" s="992"/>
      <c r="FB38" s="992"/>
      <c r="FC38" s="992"/>
      <c r="FD38" s="992"/>
      <c r="FE38" s="992" t="s">
        <v>1417</v>
      </c>
      <c r="FF38" s="992"/>
      <c r="FG38" s="992"/>
      <c r="FH38" s="992"/>
      <c r="FI38" s="992"/>
      <c r="FJ38" s="992"/>
      <c r="FK38" s="992"/>
      <c r="FL38" s="992"/>
      <c r="FM38" s="992"/>
      <c r="FN38" s="992"/>
      <c r="FO38" s="992"/>
      <c r="FP38" s="992"/>
      <c r="FQ38" s="992" t="s">
        <v>100</v>
      </c>
      <c r="FR38" s="992" t="s">
        <v>100</v>
      </c>
      <c r="FS38" s="992"/>
      <c r="FT38" s="992"/>
      <c r="FU38" s="992"/>
      <c r="FV38" s="992" t="s">
        <v>100</v>
      </c>
      <c r="FW38" s="992"/>
      <c r="FX38" s="992" t="s">
        <v>100</v>
      </c>
      <c r="FY38" s="992"/>
      <c r="FZ38" s="992"/>
      <c r="GA38" s="992"/>
      <c r="GB38" s="992"/>
      <c r="GC38" s="992"/>
      <c r="GD38" s="992"/>
      <c r="GE38" s="992" t="s">
        <v>100</v>
      </c>
      <c r="GF38" s="992" t="s">
        <v>100</v>
      </c>
      <c r="GG38" s="992"/>
      <c r="GH38" s="992"/>
      <c r="GI38" s="992"/>
      <c r="GJ38" s="992"/>
      <c r="GK38" s="992"/>
      <c r="GL38" s="992"/>
      <c r="GM38" s="992"/>
      <c r="GN38" s="992"/>
      <c r="GO38" s="992"/>
      <c r="GP38" s="992"/>
      <c r="GQ38" s="992"/>
      <c r="GR38" s="992"/>
      <c r="GS38" s="992" t="s">
        <v>100</v>
      </c>
      <c r="GT38" s="992"/>
      <c r="GU38" s="992"/>
      <c r="GV38" s="992"/>
      <c r="GW38" s="992"/>
      <c r="GX38" s="992"/>
      <c r="GY38" s="999"/>
      <c r="GZ38" s="999"/>
      <c r="HA38" s="1041" t="s">
        <v>1412</v>
      </c>
      <c r="HB38" s="999"/>
      <c r="HC38" s="994"/>
      <c r="HD38" s="999"/>
      <c r="HE38" s="994"/>
      <c r="HF38" s="999"/>
      <c r="HG38" s="994"/>
      <c r="HH38" s="999"/>
      <c r="HI38" s="999"/>
      <c r="HJ38" s="994"/>
      <c r="HK38" s="999"/>
      <c r="HL38" s="992"/>
      <c r="HM38" s="994"/>
      <c r="HN38" s="999"/>
      <c r="HO38" s="999"/>
      <c r="HP38" s="994"/>
      <c r="HQ38" s="994"/>
      <c r="HR38" s="999"/>
      <c r="HS38" s="999"/>
      <c r="HT38" s="999"/>
      <c r="HU38" s="999"/>
      <c r="HV38" s="999"/>
      <c r="HW38" s="999"/>
      <c r="HX38" s="999"/>
      <c r="HY38" s="1056"/>
      <c r="HZ38" s="1056"/>
      <c r="IA38" s="1056"/>
      <c r="IB38" s="1056"/>
      <c r="IC38" s="1056"/>
      <c r="ID38" s="1056"/>
      <c r="IE38" s="1056"/>
      <c r="IF38" s="1056"/>
      <c r="IG38" s="1056"/>
      <c r="IH38" s="1056"/>
      <c r="II38" s="1056"/>
      <c r="IJ38" s="1056"/>
      <c r="IK38" s="1056"/>
      <c r="IL38" s="1056"/>
      <c r="IM38" s="1056"/>
      <c r="IN38" s="1056"/>
      <c r="IO38" s="1056"/>
      <c r="IP38" s="1056"/>
      <c r="IQ38" s="1056"/>
      <c r="IR38" s="1056"/>
      <c r="IS38" s="1056"/>
      <c r="IT38" s="1056"/>
      <c r="IU38" s="1056"/>
      <c r="IV38" s="1056"/>
    </row>
    <row r="39" spans="1:256" ht="19.95" customHeight="1">
      <c r="A39" s="998" t="s">
        <v>160</v>
      </c>
      <c r="B39" s="992"/>
      <c r="C39" s="992" t="str">
        <f>IF(ISTEXT(IFERROR(VLOOKUP(A39,职业列表!I3:J10,1,FALSE),0)),"★","")</f>
        <v/>
      </c>
      <c r="D39" s="999"/>
      <c r="E39" s="999"/>
      <c r="F39" s="999"/>
      <c r="G39" s="999"/>
      <c r="H39" s="999"/>
      <c r="I39" s="994" t="s">
        <v>100</v>
      </c>
      <c r="J39" s="999"/>
      <c r="K39" s="994" t="s">
        <v>100</v>
      </c>
      <c r="L39" s="999"/>
      <c r="M39" s="994" t="s">
        <v>100</v>
      </c>
      <c r="N39" s="999"/>
      <c r="O39" s="994" t="s">
        <v>100</v>
      </c>
      <c r="P39" s="999"/>
      <c r="Q39" s="999"/>
      <c r="R39" s="994" t="s">
        <v>100</v>
      </c>
      <c r="S39" s="999"/>
      <c r="T39" s="992" t="s">
        <v>1374</v>
      </c>
      <c r="U39" s="994" t="s">
        <v>100</v>
      </c>
      <c r="V39" s="999"/>
      <c r="W39" s="999"/>
      <c r="X39" s="994" t="s">
        <v>100</v>
      </c>
      <c r="Y39" s="994" t="s">
        <v>100</v>
      </c>
      <c r="Z39" s="999"/>
      <c r="AA39" s="999"/>
      <c r="AB39" s="999"/>
      <c r="AC39" s="999"/>
      <c r="AD39" s="999"/>
      <c r="AE39" s="999"/>
      <c r="AF39" s="999"/>
      <c r="AG39" s="999"/>
      <c r="AH39" s="992" t="s">
        <v>1373</v>
      </c>
      <c r="AI39" s="999"/>
      <c r="AJ39" s="999"/>
      <c r="AK39" s="999"/>
      <c r="AL39" s="999"/>
      <c r="AM39" s="999"/>
      <c r="AN39" s="999"/>
      <c r="AO39" s="999"/>
      <c r="AP39" s="999"/>
      <c r="AQ39" s="999"/>
      <c r="AR39" s="994" t="s">
        <v>100</v>
      </c>
      <c r="AS39" s="999"/>
      <c r="AT39" s="999"/>
      <c r="AU39" s="999"/>
      <c r="AV39" s="999"/>
      <c r="AW39" s="999"/>
      <c r="AX39" s="999"/>
      <c r="AY39" s="999"/>
      <c r="AZ39" s="999"/>
      <c r="BA39" s="999"/>
      <c r="BB39" s="999"/>
      <c r="BC39" s="994" t="s">
        <v>100</v>
      </c>
      <c r="BD39" s="999"/>
      <c r="BE39" s="999"/>
      <c r="BF39" s="999"/>
      <c r="BG39" s="994" t="s">
        <v>100</v>
      </c>
      <c r="BH39" s="999"/>
      <c r="BI39" s="999"/>
      <c r="BJ39" s="999"/>
      <c r="BK39" s="999"/>
      <c r="BL39" s="999"/>
      <c r="BM39" s="999"/>
      <c r="BN39" s="999"/>
      <c r="BO39" s="999"/>
      <c r="BP39" s="999"/>
      <c r="BQ39" s="999"/>
      <c r="BR39" s="994"/>
      <c r="BS39" s="999"/>
      <c r="BT39" s="999"/>
      <c r="BU39" s="999"/>
      <c r="BV39" s="999"/>
      <c r="BW39" s="994" t="s">
        <v>100</v>
      </c>
      <c r="BX39" s="999"/>
      <c r="BY39" s="999"/>
      <c r="BZ39" s="999"/>
      <c r="CA39" s="994" t="s">
        <v>100</v>
      </c>
      <c r="CB39" s="994" t="s">
        <v>100</v>
      </c>
      <c r="CC39" s="999"/>
      <c r="CD39" s="999"/>
      <c r="CE39" s="994" t="s">
        <v>100</v>
      </c>
      <c r="CF39" s="999"/>
      <c r="CG39" s="994" t="s">
        <v>100</v>
      </c>
      <c r="CH39" s="999"/>
      <c r="CI39" s="999"/>
      <c r="CJ39" s="994" t="s">
        <v>100</v>
      </c>
      <c r="CK39" s="999"/>
      <c r="CL39" s="999"/>
      <c r="CM39" s="999"/>
      <c r="CN39" s="999"/>
      <c r="CO39" s="999"/>
      <c r="CP39" s="994" t="s">
        <v>100</v>
      </c>
      <c r="CQ39" s="999"/>
      <c r="CR39" s="999"/>
      <c r="CS39" s="994" t="s">
        <v>100</v>
      </c>
      <c r="CT39" s="999"/>
      <c r="CU39" s="994" t="s">
        <v>100</v>
      </c>
      <c r="CV39" s="999"/>
      <c r="CW39" s="999"/>
      <c r="CX39" s="999"/>
      <c r="CY39" s="994" t="s">
        <v>100</v>
      </c>
      <c r="CZ39" s="999"/>
      <c r="DA39" s="999"/>
      <c r="DB39" s="993"/>
      <c r="DC39" s="994" t="s">
        <v>100</v>
      </c>
      <c r="DD39" s="992" t="s">
        <v>1373</v>
      </c>
      <c r="DE39" s="999"/>
      <c r="DF39" s="999"/>
      <c r="DG39" s="999"/>
      <c r="DH39" s="999"/>
      <c r="DI39" s="999"/>
      <c r="DJ39" s="994" t="s">
        <v>100</v>
      </c>
      <c r="DK39" s="994" t="s">
        <v>100</v>
      </c>
      <c r="DL39" s="999"/>
      <c r="DM39" s="999"/>
      <c r="DN39" s="992"/>
      <c r="DO39" s="992"/>
      <c r="DP39" s="992"/>
      <c r="DQ39" s="992"/>
      <c r="DR39" s="992"/>
      <c r="DS39" s="992" t="s">
        <v>100</v>
      </c>
      <c r="DT39" s="992"/>
      <c r="DU39" s="992"/>
      <c r="DV39" s="992"/>
      <c r="DW39" s="992"/>
      <c r="DX39" s="992" t="s">
        <v>100</v>
      </c>
      <c r="DY39" s="992" t="s">
        <v>100</v>
      </c>
      <c r="DZ39" s="992"/>
      <c r="EA39" s="992"/>
      <c r="EB39" s="992"/>
      <c r="EC39" s="992"/>
      <c r="ED39" s="992"/>
      <c r="EE39" s="992"/>
      <c r="EF39" s="992"/>
      <c r="EG39" s="992"/>
      <c r="EH39" s="992"/>
      <c r="EI39" s="992"/>
      <c r="EJ39" s="992" t="s">
        <v>100</v>
      </c>
      <c r="EK39" s="992"/>
      <c r="EL39" s="992"/>
      <c r="EM39" s="992"/>
      <c r="EN39" s="992" t="s">
        <v>100</v>
      </c>
      <c r="EO39" s="992"/>
      <c r="EP39" s="992"/>
      <c r="EQ39" s="992"/>
      <c r="ER39" s="992"/>
      <c r="ES39" s="992"/>
      <c r="ET39" s="992"/>
      <c r="EU39" s="992"/>
      <c r="EV39" s="992"/>
      <c r="EW39" s="992"/>
      <c r="EX39" s="992" t="s">
        <v>100</v>
      </c>
      <c r="EY39" s="992"/>
      <c r="EZ39" s="992"/>
      <c r="FA39" s="992"/>
      <c r="FB39" s="992"/>
      <c r="FC39" s="992"/>
      <c r="FD39" s="992"/>
      <c r="FE39" s="992"/>
      <c r="FF39" s="992"/>
      <c r="FG39" s="992"/>
      <c r="FH39" s="992"/>
      <c r="FI39" s="992"/>
      <c r="FJ39" s="992"/>
      <c r="FK39" s="992"/>
      <c r="FL39" s="992"/>
      <c r="FM39" s="992"/>
      <c r="FN39" s="992"/>
      <c r="FO39" s="992"/>
      <c r="FP39" s="992"/>
      <c r="FQ39" s="992" t="s">
        <v>100</v>
      </c>
      <c r="FR39" s="992" t="s">
        <v>100</v>
      </c>
      <c r="FS39" s="992"/>
      <c r="FT39" s="992"/>
      <c r="FU39" s="992"/>
      <c r="FV39" s="992" t="s">
        <v>100</v>
      </c>
      <c r="FW39" s="992"/>
      <c r="FX39" s="992" t="s">
        <v>100</v>
      </c>
      <c r="FY39" s="992"/>
      <c r="FZ39" s="992"/>
      <c r="GA39" s="992"/>
      <c r="GB39" s="992"/>
      <c r="GC39" s="992"/>
      <c r="GD39" s="992"/>
      <c r="GE39" s="992" t="s">
        <v>100</v>
      </c>
      <c r="GF39" s="992" t="s">
        <v>100</v>
      </c>
      <c r="GG39" s="992"/>
      <c r="GH39" s="992"/>
      <c r="GI39" s="992"/>
      <c r="GJ39" s="992"/>
      <c r="GK39" s="992"/>
      <c r="GL39" s="992"/>
      <c r="GM39" s="992"/>
      <c r="GN39" s="992"/>
      <c r="GO39" s="992"/>
      <c r="GP39" s="992"/>
      <c r="GQ39" s="992"/>
      <c r="GR39" s="992"/>
      <c r="GS39" s="992" t="s">
        <v>100</v>
      </c>
      <c r="GT39" s="992"/>
      <c r="GU39" s="992"/>
      <c r="GV39" s="992"/>
      <c r="GW39" s="992"/>
      <c r="GX39" s="992"/>
      <c r="GY39" s="999"/>
      <c r="GZ39" s="999"/>
      <c r="HA39" s="1041"/>
      <c r="HB39" s="999"/>
      <c r="HC39" s="994"/>
      <c r="HD39" s="999"/>
      <c r="HE39" s="994"/>
      <c r="HF39" s="999"/>
      <c r="HG39" s="994"/>
      <c r="HH39" s="999"/>
      <c r="HI39" s="999"/>
      <c r="HJ39" s="994"/>
      <c r="HK39" s="999"/>
      <c r="HL39" s="992"/>
      <c r="HM39" s="994"/>
      <c r="HN39" s="999"/>
      <c r="HO39" s="999"/>
      <c r="HP39" s="994"/>
      <c r="HQ39" s="994"/>
      <c r="HR39" s="999"/>
      <c r="HS39" s="999"/>
      <c r="HT39" s="999"/>
      <c r="HU39" s="999"/>
      <c r="HV39" s="999"/>
      <c r="HW39" s="999"/>
      <c r="HX39" s="999"/>
      <c r="HY39" s="1056"/>
      <c r="HZ39" s="1056"/>
      <c r="IA39" s="1056"/>
      <c r="IB39" s="1056"/>
      <c r="IC39" s="1056"/>
      <c r="ID39" s="1056"/>
      <c r="IE39" s="1056"/>
      <c r="IF39" s="1056"/>
      <c r="IG39" s="1056"/>
      <c r="IH39" s="1056"/>
      <c r="II39" s="1056"/>
      <c r="IJ39" s="1056"/>
      <c r="IK39" s="1056"/>
      <c r="IL39" s="1056"/>
      <c r="IM39" s="1056"/>
      <c r="IN39" s="1056"/>
      <c r="IO39" s="1056"/>
      <c r="IP39" s="1056"/>
      <c r="IQ39" s="1056"/>
      <c r="IR39" s="1056"/>
      <c r="IS39" s="1056"/>
      <c r="IT39" s="1056"/>
      <c r="IU39" s="1056"/>
      <c r="IV39" s="1056"/>
    </row>
    <row r="40" spans="1:256" s="978" customFormat="1" ht="19.95" customHeight="1">
      <c r="A40" s="1017" t="s">
        <v>162</v>
      </c>
      <c r="B40" s="1018"/>
      <c r="C40" s="992" t="str">
        <f>IF(ISTEXT(IFERROR(VLOOKUP(A40,职业列表!I3:J10,1,FALSE),0)),"★","")</f>
        <v/>
      </c>
      <c r="D40" s="1019"/>
      <c r="E40" s="1018"/>
      <c r="F40" s="1018"/>
      <c r="G40" s="1018"/>
      <c r="H40" s="1018"/>
      <c r="I40" s="1018"/>
      <c r="J40" s="1018"/>
      <c r="K40" s="1018"/>
      <c r="L40" s="1018"/>
      <c r="M40" s="1018"/>
      <c r="N40" s="1019" t="s">
        <v>100</v>
      </c>
      <c r="O40" s="1018"/>
      <c r="P40" s="1018"/>
      <c r="Q40" s="1018"/>
      <c r="R40" s="1019" t="s">
        <v>100</v>
      </c>
      <c r="S40" s="1018"/>
      <c r="T40" s="1018"/>
      <c r="U40" s="1019" t="s">
        <v>100</v>
      </c>
      <c r="V40" s="1018"/>
      <c r="W40" s="1018"/>
      <c r="X40" s="1018"/>
      <c r="Y40" s="1018"/>
      <c r="Z40" s="1018"/>
      <c r="AA40" s="1018"/>
      <c r="AB40" s="1018"/>
      <c r="AC40" s="1018"/>
      <c r="AD40" s="1018"/>
      <c r="AE40" s="1018"/>
      <c r="AF40" s="1018"/>
      <c r="AG40" s="1018"/>
      <c r="AH40" s="1018"/>
      <c r="AI40" s="1018"/>
      <c r="AJ40" s="1018"/>
      <c r="AK40" s="1018"/>
      <c r="AL40" s="1018"/>
      <c r="AM40" s="1018"/>
      <c r="AN40" s="1018"/>
      <c r="AO40" s="1018"/>
      <c r="AP40" s="1018"/>
      <c r="AQ40" s="1018"/>
      <c r="AR40" s="1018"/>
      <c r="AS40" s="1018"/>
      <c r="AT40" s="1018"/>
      <c r="AU40" s="1018"/>
      <c r="AV40" s="1018"/>
      <c r="AW40" s="1018"/>
      <c r="AX40" s="1018"/>
      <c r="AY40" s="1019" t="s">
        <v>100</v>
      </c>
      <c r="AZ40" s="1019" t="s">
        <v>100</v>
      </c>
      <c r="BA40" s="1018"/>
      <c r="BB40" s="1018"/>
      <c r="BC40" s="1018"/>
      <c r="BD40" s="1018"/>
      <c r="BE40" s="1018"/>
      <c r="BF40" s="1018"/>
      <c r="BG40" s="1019" t="s">
        <v>100</v>
      </c>
      <c r="BH40" s="1018"/>
      <c r="BI40" s="1018"/>
      <c r="BJ40" s="1018"/>
      <c r="BK40" s="1018"/>
      <c r="BL40" s="1018"/>
      <c r="BM40" s="1018"/>
      <c r="BN40" s="1018"/>
      <c r="BO40" s="1019" t="s">
        <v>100</v>
      </c>
      <c r="BP40" s="1038"/>
      <c r="BQ40" s="1019" t="s">
        <v>100</v>
      </c>
      <c r="BR40" s="1018"/>
      <c r="BS40" s="1018"/>
      <c r="BT40" s="1018"/>
      <c r="BU40" s="1018"/>
      <c r="BV40" s="1018"/>
      <c r="BW40" s="1019" t="s">
        <v>100</v>
      </c>
      <c r="BX40" s="1018"/>
      <c r="BY40" s="1018"/>
      <c r="BZ40" s="1018"/>
      <c r="CA40" s="1018"/>
      <c r="CB40" s="1018"/>
      <c r="CC40" s="1018"/>
      <c r="CD40" s="1018"/>
      <c r="CE40" s="1018"/>
      <c r="CF40" s="1018"/>
      <c r="CG40" s="1018"/>
      <c r="CH40" s="1018"/>
      <c r="CI40" s="1018"/>
      <c r="CJ40" s="1018"/>
      <c r="CK40" s="1018"/>
      <c r="CL40" s="1018"/>
      <c r="CM40" s="1018"/>
      <c r="CN40" s="1018"/>
      <c r="CO40" s="1018"/>
      <c r="CP40" s="1019" t="s">
        <v>100</v>
      </c>
      <c r="CQ40" s="1018"/>
      <c r="CR40" s="1018"/>
      <c r="CS40" s="1018"/>
      <c r="CT40" s="1018"/>
      <c r="CU40" s="1018"/>
      <c r="CV40" s="1018"/>
      <c r="CW40" s="1018"/>
      <c r="CX40" s="1018"/>
      <c r="CY40" s="1019" t="s">
        <v>100</v>
      </c>
      <c r="CZ40" s="1019" t="s">
        <v>100</v>
      </c>
      <c r="DA40" s="1018"/>
      <c r="DB40" s="1018"/>
      <c r="DC40" s="1018"/>
      <c r="DD40" s="1018" t="s">
        <v>1373</v>
      </c>
      <c r="DE40" s="1018"/>
      <c r="DF40" s="1018"/>
      <c r="DG40" s="1018"/>
      <c r="DH40" s="1018"/>
      <c r="DI40" s="1018"/>
      <c r="DJ40" s="1019" t="s">
        <v>100</v>
      </c>
      <c r="DK40" s="1018"/>
      <c r="DL40" s="1018"/>
      <c r="DM40" s="1018"/>
      <c r="DN40" s="1018" t="s">
        <v>100</v>
      </c>
      <c r="DO40" s="1018"/>
      <c r="DP40" s="1018"/>
      <c r="DQ40" s="1018"/>
      <c r="DR40" s="1018"/>
      <c r="DS40" s="1018"/>
      <c r="DT40" s="1018"/>
      <c r="DU40" s="1018" t="s">
        <v>100</v>
      </c>
      <c r="DV40" s="1018"/>
      <c r="DW40" s="1018" t="s">
        <v>100</v>
      </c>
      <c r="DX40" s="1018" t="s">
        <v>100</v>
      </c>
      <c r="DY40" s="1018"/>
      <c r="DZ40" s="1018" t="s">
        <v>100</v>
      </c>
      <c r="EA40" s="1018"/>
      <c r="EB40" s="1018"/>
      <c r="EC40" s="1018"/>
      <c r="ED40" s="1018"/>
      <c r="EE40" s="1018"/>
      <c r="EF40" s="1018"/>
      <c r="EG40" s="1018"/>
      <c r="EH40" s="1018"/>
      <c r="EI40" s="1018"/>
      <c r="EJ40" s="1018"/>
      <c r="EK40" s="1018"/>
      <c r="EL40" s="1018"/>
      <c r="EM40" s="1018"/>
      <c r="EN40" s="1018"/>
      <c r="EO40" s="1018"/>
      <c r="EP40" s="1018"/>
      <c r="EQ40" s="1018" t="s">
        <v>100</v>
      </c>
      <c r="ER40" s="1018"/>
      <c r="ES40" s="1018"/>
      <c r="ET40" s="1018"/>
      <c r="EU40" s="1018" t="s">
        <v>100</v>
      </c>
      <c r="EV40" s="1018" t="s">
        <v>100</v>
      </c>
      <c r="EW40" s="1018"/>
      <c r="EX40" s="1018" t="s">
        <v>100</v>
      </c>
      <c r="EY40" s="1018"/>
      <c r="EZ40" s="1018"/>
      <c r="FA40" s="1018"/>
      <c r="FB40" s="1018"/>
      <c r="FC40" s="1018"/>
      <c r="FD40" s="1018"/>
      <c r="FE40" s="1018"/>
      <c r="FF40" s="1018"/>
      <c r="FG40" s="1018"/>
      <c r="FH40" s="1018"/>
      <c r="FI40" s="1018" t="s">
        <v>100</v>
      </c>
      <c r="FJ40" s="1018"/>
      <c r="FK40" s="1018"/>
      <c r="FL40" s="1018"/>
      <c r="FM40" s="1018" t="s">
        <v>100</v>
      </c>
      <c r="FN40" s="1018"/>
      <c r="FO40" s="1018"/>
      <c r="FP40" s="1018"/>
      <c r="FQ40" s="1018"/>
      <c r="FR40" s="1018"/>
      <c r="FS40" s="1018"/>
      <c r="FT40" s="1018"/>
      <c r="FU40" s="1018"/>
      <c r="FV40" s="1018"/>
      <c r="FW40" s="1018"/>
      <c r="FX40" s="1018"/>
      <c r="FY40" s="1018"/>
      <c r="FZ40" s="1018"/>
      <c r="GA40" s="1018"/>
      <c r="GB40" s="1018"/>
      <c r="GC40" s="1018"/>
      <c r="GD40" s="1018"/>
      <c r="GE40" s="1018"/>
      <c r="GF40" s="1018" t="s">
        <v>100</v>
      </c>
      <c r="GG40" s="1018"/>
      <c r="GH40" s="1018"/>
      <c r="GI40" s="1018"/>
      <c r="GJ40" s="1018"/>
      <c r="GK40" s="1018" t="s">
        <v>100</v>
      </c>
      <c r="GL40" s="1018" t="s">
        <v>100</v>
      </c>
      <c r="GM40" s="1018" t="s">
        <v>100</v>
      </c>
      <c r="GN40" s="1018"/>
      <c r="GO40" s="1018"/>
      <c r="GP40" s="1018"/>
      <c r="GQ40" s="1018"/>
      <c r="GR40" s="1018"/>
      <c r="GS40" s="1018"/>
      <c r="GT40" s="1018"/>
      <c r="GU40" s="1018"/>
      <c r="GV40" s="1018" t="s">
        <v>100</v>
      </c>
      <c r="GW40" s="1018"/>
      <c r="GX40" s="1018"/>
      <c r="GY40" s="1018"/>
      <c r="GZ40" s="1018"/>
      <c r="HA40" s="1018"/>
      <c r="HB40" s="1018"/>
      <c r="HC40" s="1018" t="s">
        <v>100</v>
      </c>
      <c r="HD40" s="1018"/>
      <c r="HE40" s="1018"/>
      <c r="HF40" s="1019"/>
      <c r="HG40" s="1018"/>
      <c r="HH40" s="1018"/>
      <c r="HI40" s="1018"/>
      <c r="HJ40" s="1019" t="s">
        <v>100</v>
      </c>
      <c r="HK40" s="1018"/>
      <c r="HL40" s="1018"/>
      <c r="HM40" s="1019"/>
      <c r="HN40" s="1018" t="s">
        <v>100</v>
      </c>
      <c r="HO40" s="1018"/>
      <c r="HP40" s="1018"/>
      <c r="HQ40" s="1018"/>
      <c r="HR40" s="1018"/>
      <c r="HS40" s="1018"/>
      <c r="HT40" s="1018"/>
      <c r="HU40" s="1018"/>
      <c r="HV40" s="1018"/>
      <c r="HW40" s="1018"/>
      <c r="HX40" s="1018"/>
      <c r="HY40" s="1064"/>
      <c r="HZ40" s="1064"/>
      <c r="IA40" s="1064"/>
      <c r="IB40" s="1064"/>
      <c r="IC40" s="1064"/>
      <c r="ID40" s="1064"/>
      <c r="IE40" s="1064"/>
      <c r="IF40" s="1064"/>
      <c r="IG40" s="1064"/>
      <c r="IH40" s="1064"/>
      <c r="II40" s="1064"/>
      <c r="IJ40" s="1064"/>
      <c r="IK40" s="1064"/>
      <c r="IL40" s="1064"/>
      <c r="IM40" s="1064"/>
      <c r="IN40" s="1064"/>
      <c r="IO40" s="1064"/>
      <c r="IP40" s="1064"/>
      <c r="IQ40" s="1064"/>
      <c r="IR40" s="1064"/>
      <c r="IS40" s="1064"/>
      <c r="IT40" s="1064"/>
      <c r="IU40" s="1064"/>
      <c r="IV40" s="1064"/>
    </row>
    <row r="41" spans="1:256" ht="19.95" customHeight="1">
      <c r="A41" s="991" t="s">
        <v>66</v>
      </c>
      <c r="B41" s="992"/>
      <c r="C41" s="992" t="str">
        <f>IF(ISTEXT(IFERROR(VLOOKUP(A41,职业列表!I3:J10,1,FALSE),0)),"★","")</f>
        <v/>
      </c>
      <c r="D41" s="994" t="s">
        <v>100</v>
      </c>
      <c r="E41" s="992"/>
      <c r="F41" s="992"/>
      <c r="G41" s="992"/>
      <c r="H41" s="994" t="s">
        <v>100</v>
      </c>
      <c r="I41" s="994" t="s">
        <v>100</v>
      </c>
      <c r="J41" s="992"/>
      <c r="K41" s="992"/>
      <c r="L41" s="992"/>
      <c r="M41" s="992"/>
      <c r="N41" s="994" t="s">
        <v>100</v>
      </c>
      <c r="O41" s="992"/>
      <c r="P41" s="992"/>
      <c r="Q41" s="992"/>
      <c r="R41" s="992"/>
      <c r="S41" s="992"/>
      <c r="T41" s="992"/>
      <c r="U41" s="992"/>
      <c r="V41" s="994" t="s">
        <v>100</v>
      </c>
      <c r="W41" s="992"/>
      <c r="X41" s="992"/>
      <c r="Y41" s="992"/>
      <c r="Z41" s="992"/>
      <c r="AA41" s="992"/>
      <c r="AB41" s="992"/>
      <c r="AC41" s="992"/>
      <c r="AD41" s="992"/>
      <c r="AE41" s="992"/>
      <c r="AF41" s="992"/>
      <c r="AG41" s="992"/>
      <c r="AH41" s="992" t="s">
        <v>1373</v>
      </c>
      <c r="AI41" s="992"/>
      <c r="AJ41" s="992"/>
      <c r="AK41" s="992"/>
      <c r="AL41" s="992"/>
      <c r="AM41" s="992"/>
      <c r="AN41" s="992"/>
      <c r="AO41" s="992"/>
      <c r="AP41" s="992"/>
      <c r="AQ41" s="992"/>
      <c r="AR41" s="992"/>
      <c r="AS41" s="992"/>
      <c r="AT41" s="992"/>
      <c r="AU41" s="992"/>
      <c r="AV41" s="992"/>
      <c r="AW41" s="992"/>
      <c r="AX41" s="992"/>
      <c r="AY41" s="992"/>
      <c r="AZ41" s="992"/>
      <c r="BA41" s="992"/>
      <c r="BB41" s="992"/>
      <c r="BC41" s="992"/>
      <c r="BD41" s="992"/>
      <c r="BE41" s="994" t="s">
        <v>100</v>
      </c>
      <c r="BF41" s="992"/>
      <c r="BG41" s="992"/>
      <c r="BH41" s="992"/>
      <c r="BI41" s="992"/>
      <c r="BJ41" s="994" t="s">
        <v>100</v>
      </c>
      <c r="BK41" s="992"/>
      <c r="BL41" s="992"/>
      <c r="BM41" s="992"/>
      <c r="BN41" s="992"/>
      <c r="BO41" s="992"/>
      <c r="BP41" s="992"/>
      <c r="BQ41" s="994" t="s">
        <v>100</v>
      </c>
      <c r="BR41" s="992"/>
      <c r="BS41" s="992"/>
      <c r="BT41" s="992"/>
      <c r="BU41" s="992"/>
      <c r="BV41" s="994" t="s">
        <v>100</v>
      </c>
      <c r="BW41" s="992"/>
      <c r="BX41" s="992"/>
      <c r="BY41" s="992"/>
      <c r="BZ41" s="992"/>
      <c r="CA41" s="992"/>
      <c r="CB41" s="992"/>
      <c r="CC41" s="992"/>
      <c r="CD41" s="992"/>
      <c r="CE41" s="992"/>
      <c r="CF41" s="992"/>
      <c r="CG41" s="992"/>
      <c r="CH41" s="992"/>
      <c r="CI41" s="992"/>
      <c r="CJ41" s="992"/>
      <c r="CK41" s="992"/>
      <c r="CL41" s="992"/>
      <c r="CM41" s="994" t="s">
        <v>100</v>
      </c>
      <c r="CN41" s="994" t="s">
        <v>100</v>
      </c>
      <c r="CO41" s="994" t="s">
        <v>100</v>
      </c>
      <c r="CP41" s="992"/>
      <c r="CQ41" s="992"/>
      <c r="CR41" s="992"/>
      <c r="CS41" s="992"/>
      <c r="CT41" s="992"/>
      <c r="CU41" s="992"/>
      <c r="CV41" s="992"/>
      <c r="CW41" s="992"/>
      <c r="CX41" s="992"/>
      <c r="CY41" s="992"/>
      <c r="CZ41" s="992"/>
      <c r="DA41" s="992"/>
      <c r="DB41" s="992"/>
      <c r="DC41" s="992"/>
      <c r="DD41" s="992"/>
      <c r="DE41" s="992"/>
      <c r="DF41" s="992"/>
      <c r="DG41" s="992"/>
      <c r="DH41" s="994" t="s">
        <v>100</v>
      </c>
      <c r="DI41" s="992"/>
      <c r="DJ41" s="994" t="s">
        <v>100</v>
      </c>
      <c r="DK41" s="994" t="s">
        <v>100</v>
      </c>
      <c r="DL41" s="992"/>
      <c r="DM41" s="992"/>
      <c r="DN41" s="992"/>
      <c r="DO41" s="992"/>
      <c r="DP41" s="992"/>
      <c r="DQ41" s="992"/>
      <c r="DR41" s="992"/>
      <c r="DS41" s="992"/>
      <c r="DT41" s="992" t="s">
        <v>100</v>
      </c>
      <c r="DU41" s="992"/>
      <c r="DV41" s="992"/>
      <c r="DW41" s="992"/>
      <c r="DX41" s="992"/>
      <c r="DY41" s="992"/>
      <c r="DZ41" s="992"/>
      <c r="EA41" s="992"/>
      <c r="EB41" s="992"/>
      <c r="EC41" s="992"/>
      <c r="ED41" s="992" t="s">
        <v>100</v>
      </c>
      <c r="EE41" s="992" t="s">
        <v>100</v>
      </c>
      <c r="EF41" s="992"/>
      <c r="EG41" s="992"/>
      <c r="EH41" s="992"/>
      <c r="EI41" s="992"/>
      <c r="EJ41" s="992"/>
      <c r="EK41" s="992"/>
      <c r="EL41" s="992" t="s">
        <v>100</v>
      </c>
      <c r="EM41" s="992"/>
      <c r="EN41" s="992"/>
      <c r="EO41" s="992"/>
      <c r="EP41" s="992"/>
      <c r="EQ41" s="992"/>
      <c r="ER41" s="992"/>
      <c r="ES41" s="992"/>
      <c r="ET41" s="992"/>
      <c r="EU41" s="992"/>
      <c r="EV41" s="992"/>
      <c r="EW41" s="992"/>
      <c r="EX41" s="992"/>
      <c r="EY41" s="992" t="s">
        <v>100</v>
      </c>
      <c r="EZ41" s="992"/>
      <c r="FA41" s="992"/>
      <c r="FB41" s="992"/>
      <c r="FC41" s="992" t="s">
        <v>100</v>
      </c>
      <c r="FD41" s="992"/>
      <c r="FE41" s="992"/>
      <c r="FF41" s="992"/>
      <c r="FG41" s="992"/>
      <c r="FH41" s="992"/>
      <c r="FI41" s="992"/>
      <c r="FJ41" s="992"/>
      <c r="FK41" s="992"/>
      <c r="FL41" s="992"/>
      <c r="FM41" s="992"/>
      <c r="FN41" s="992"/>
      <c r="FO41" s="992"/>
      <c r="FP41" s="992"/>
      <c r="FQ41" s="992" t="s">
        <v>100</v>
      </c>
      <c r="FR41" s="992"/>
      <c r="FS41" s="992"/>
      <c r="FT41" s="992"/>
      <c r="FU41" s="992"/>
      <c r="FV41" s="992" t="s">
        <v>100</v>
      </c>
      <c r="FW41" s="992" t="s">
        <v>100</v>
      </c>
      <c r="FX41" s="992"/>
      <c r="FY41" s="992"/>
      <c r="FZ41" s="992"/>
      <c r="GA41" s="992"/>
      <c r="GB41" s="992"/>
      <c r="GC41" s="992"/>
      <c r="GD41" s="992"/>
      <c r="GE41" s="992"/>
      <c r="GF41" s="992"/>
      <c r="GG41" s="992"/>
      <c r="GH41" s="992"/>
      <c r="GI41" s="992"/>
      <c r="GJ41" s="992"/>
      <c r="GK41" s="992"/>
      <c r="GL41" s="992"/>
      <c r="GM41" s="992"/>
      <c r="GN41" s="992"/>
      <c r="GO41" s="992" t="s">
        <v>100</v>
      </c>
      <c r="GP41" s="992"/>
      <c r="GQ41" s="992"/>
      <c r="GR41" s="992"/>
      <c r="GS41" s="992"/>
      <c r="GT41" s="992"/>
      <c r="GU41" s="992"/>
      <c r="GV41" s="992"/>
      <c r="GW41" s="992" t="s">
        <v>100</v>
      </c>
      <c r="GX41" s="992"/>
      <c r="GY41" s="992"/>
      <c r="GZ41" s="994"/>
      <c r="HA41" s="1041" t="s">
        <v>100</v>
      </c>
      <c r="HB41" s="992"/>
      <c r="HC41" s="992"/>
      <c r="HD41" s="992"/>
      <c r="HE41" s="992"/>
      <c r="HF41" s="994" t="s">
        <v>100</v>
      </c>
      <c r="HG41" s="992"/>
      <c r="HH41" s="992"/>
      <c r="HI41" s="992"/>
      <c r="HJ41" s="992"/>
      <c r="HK41" s="992"/>
      <c r="HL41" s="992"/>
      <c r="HM41" s="993" t="s">
        <v>100</v>
      </c>
      <c r="HN41" s="994"/>
      <c r="HO41" s="992"/>
      <c r="HP41" s="992" t="s">
        <v>100</v>
      </c>
      <c r="HQ41" s="992"/>
      <c r="HR41" s="992" t="s">
        <v>100</v>
      </c>
      <c r="HS41" s="992"/>
      <c r="HT41" s="992"/>
      <c r="HU41" s="992"/>
      <c r="HV41" s="992"/>
      <c r="HW41" s="992"/>
      <c r="HX41" s="992"/>
      <c r="HY41" s="1056"/>
      <c r="HZ41" s="1056"/>
      <c r="IA41" s="1056"/>
      <c r="IB41" s="1056"/>
      <c r="IC41" s="1056"/>
      <c r="ID41" s="1056"/>
      <c r="IE41" s="1056"/>
      <c r="IF41" s="1056"/>
      <c r="IG41" s="1056"/>
      <c r="IH41" s="1056"/>
      <c r="II41" s="1056"/>
      <c r="IJ41" s="1056"/>
      <c r="IK41" s="1056"/>
      <c r="IL41" s="1056"/>
      <c r="IM41" s="1056"/>
      <c r="IN41" s="1056"/>
      <c r="IO41" s="1056"/>
      <c r="IP41" s="1056"/>
      <c r="IQ41" s="1056"/>
      <c r="IR41" s="1056"/>
      <c r="IS41" s="1056"/>
      <c r="IT41" s="1056"/>
      <c r="IU41" s="1056"/>
      <c r="IV41" s="1056"/>
    </row>
    <row r="42" spans="1:256" s="979" customFormat="1" ht="19.95" customHeight="1">
      <c r="A42" s="1020" t="s">
        <v>68</v>
      </c>
      <c r="B42" s="1021"/>
      <c r="C42" s="992" t="str">
        <f>IF(ISTEXT(IFERROR(VLOOKUP(A42,职业列表!I3:J10,1,FALSE),0)),"★","")</f>
        <v/>
      </c>
      <c r="D42" s="1022" t="s">
        <v>100</v>
      </c>
      <c r="E42" s="1021"/>
      <c r="F42" s="1021"/>
      <c r="G42" s="1021"/>
      <c r="H42" s="1022" t="s">
        <v>100</v>
      </c>
      <c r="I42" s="1021"/>
      <c r="J42" s="1021"/>
      <c r="K42" s="1022" t="s">
        <v>100</v>
      </c>
      <c r="L42" s="1022" t="s">
        <v>100</v>
      </c>
      <c r="M42" s="1022" t="s">
        <v>100</v>
      </c>
      <c r="N42" s="1021" t="s">
        <v>1373</v>
      </c>
      <c r="O42" s="1021"/>
      <c r="P42" s="1021"/>
      <c r="Q42" s="1021"/>
      <c r="R42" s="1022" t="s">
        <v>100</v>
      </c>
      <c r="S42" s="1021"/>
      <c r="T42" s="1021"/>
      <c r="U42" s="1022" t="s">
        <v>100</v>
      </c>
      <c r="V42" s="1021"/>
      <c r="W42" s="1021"/>
      <c r="X42" s="1021"/>
      <c r="Y42" s="1022" t="s">
        <v>100</v>
      </c>
      <c r="Z42" s="1022" t="s">
        <v>100</v>
      </c>
      <c r="AA42" s="1022" t="s">
        <v>100</v>
      </c>
      <c r="AB42" s="1021"/>
      <c r="AC42" s="1021"/>
      <c r="AD42" s="1021"/>
      <c r="AE42" s="1021"/>
      <c r="AF42" s="1021"/>
      <c r="AG42" s="1021"/>
      <c r="AH42" s="1021"/>
      <c r="AI42" s="1021"/>
      <c r="AJ42" s="1021"/>
      <c r="AK42" s="1022" t="s">
        <v>100</v>
      </c>
      <c r="AL42" s="1022" t="s">
        <v>100</v>
      </c>
      <c r="AM42" s="1021"/>
      <c r="AN42" s="1021"/>
      <c r="AO42" s="1021"/>
      <c r="AP42" s="1021"/>
      <c r="AQ42" s="1021" t="s">
        <v>1373</v>
      </c>
      <c r="AR42" s="1021"/>
      <c r="AS42" s="1021"/>
      <c r="AT42" s="1021"/>
      <c r="AU42" s="1021"/>
      <c r="AV42" s="1021"/>
      <c r="AW42" s="1021"/>
      <c r="AX42" s="1021"/>
      <c r="AY42" s="1021"/>
      <c r="AZ42" s="1021"/>
      <c r="BA42" s="1022" t="s">
        <v>100</v>
      </c>
      <c r="BB42" s="1021"/>
      <c r="BC42" s="1021"/>
      <c r="BD42" s="1021"/>
      <c r="BE42" s="1021"/>
      <c r="BF42" s="1021"/>
      <c r="BG42" s="1021"/>
      <c r="BH42" s="1022" t="s">
        <v>100</v>
      </c>
      <c r="BI42" s="1021"/>
      <c r="BJ42" s="1021"/>
      <c r="BK42" s="1021"/>
      <c r="BL42" s="1021"/>
      <c r="BM42" s="1021"/>
      <c r="BN42" s="1021"/>
      <c r="BO42" s="1022" t="s">
        <v>100</v>
      </c>
      <c r="BP42" s="1021"/>
      <c r="BQ42" s="1022" t="s">
        <v>100</v>
      </c>
      <c r="BR42" s="1021" t="s">
        <v>1373</v>
      </c>
      <c r="BS42" s="1021"/>
      <c r="BT42" s="1021"/>
      <c r="BU42" s="1021"/>
      <c r="BV42" s="1022" t="s">
        <v>100</v>
      </c>
      <c r="BW42" s="1022" t="s">
        <v>100</v>
      </c>
      <c r="BX42" s="1021"/>
      <c r="BY42" s="1021"/>
      <c r="BZ42" s="1021"/>
      <c r="CA42" s="1021"/>
      <c r="CB42" s="1022" t="s">
        <v>100</v>
      </c>
      <c r="CC42" s="1021"/>
      <c r="CD42" s="1021"/>
      <c r="CE42" s="1022" t="s">
        <v>100</v>
      </c>
      <c r="CF42" s="1021"/>
      <c r="CG42" s="1022" t="s">
        <v>100</v>
      </c>
      <c r="CH42" s="1022" t="s">
        <v>100</v>
      </c>
      <c r="CI42" s="1021"/>
      <c r="CJ42" s="1021"/>
      <c r="CK42" s="1021"/>
      <c r="CL42" s="1021"/>
      <c r="CM42" s="1021"/>
      <c r="CN42" s="1021"/>
      <c r="CO42" s="1022" t="s">
        <v>100</v>
      </c>
      <c r="CP42" s="1022" t="s">
        <v>100</v>
      </c>
      <c r="CQ42" s="1021"/>
      <c r="CR42" s="1021"/>
      <c r="CS42" s="1021"/>
      <c r="CT42" s="1022" t="s">
        <v>100</v>
      </c>
      <c r="CU42" s="1022" t="s">
        <v>100</v>
      </c>
      <c r="CV42" s="1021"/>
      <c r="CW42" s="1021"/>
      <c r="CX42" s="1021"/>
      <c r="CY42" s="1021" t="s">
        <v>1373</v>
      </c>
      <c r="CZ42" s="1021" t="s">
        <v>1374</v>
      </c>
      <c r="DA42" s="1021"/>
      <c r="DB42" s="1021"/>
      <c r="DC42" s="1021"/>
      <c r="DD42" s="1022" t="s">
        <v>100</v>
      </c>
      <c r="DE42" s="1021"/>
      <c r="DF42" s="1021"/>
      <c r="DG42" s="1021"/>
      <c r="DH42" s="1021"/>
      <c r="DI42" s="1021"/>
      <c r="DJ42" s="1021" t="s">
        <v>1373</v>
      </c>
      <c r="DK42" s="1021"/>
      <c r="DL42" s="1021"/>
      <c r="DM42" s="1021"/>
      <c r="DN42" s="1021"/>
      <c r="DO42" s="1021"/>
      <c r="DP42" s="1021"/>
      <c r="DQ42" s="1021"/>
      <c r="DR42" s="1021"/>
      <c r="DS42" s="1021"/>
      <c r="DT42" s="1021" t="s">
        <v>100</v>
      </c>
      <c r="DU42" s="1021" t="s">
        <v>100</v>
      </c>
      <c r="DV42" s="1021" t="s">
        <v>100</v>
      </c>
      <c r="DW42" s="1021" t="s">
        <v>100</v>
      </c>
      <c r="DX42" s="1021" t="s">
        <v>100</v>
      </c>
      <c r="DY42" s="1021"/>
      <c r="DZ42" s="1021" t="s">
        <v>100</v>
      </c>
      <c r="EA42" s="1021"/>
      <c r="EB42" s="1021"/>
      <c r="EC42" s="1021"/>
      <c r="ED42" s="1021" t="s">
        <v>100</v>
      </c>
      <c r="EE42" s="1021" t="s">
        <v>100</v>
      </c>
      <c r="EF42" s="1021"/>
      <c r="EG42" s="1021"/>
      <c r="EH42" s="1021"/>
      <c r="EI42" s="1021"/>
      <c r="EJ42" s="1021" t="s">
        <v>100</v>
      </c>
      <c r="EK42" s="1021"/>
      <c r="EL42" s="1021"/>
      <c r="EM42" s="1021"/>
      <c r="EN42" s="1021"/>
      <c r="EO42" s="1021"/>
      <c r="EP42" s="1021"/>
      <c r="EQ42" s="1021"/>
      <c r="ER42" s="1021"/>
      <c r="ES42" s="1021"/>
      <c r="ET42" s="1021"/>
      <c r="EU42" s="1021"/>
      <c r="EV42" s="1021"/>
      <c r="EW42" s="1021" t="s">
        <v>100</v>
      </c>
      <c r="EX42" s="1021"/>
      <c r="EY42" s="1021"/>
      <c r="EZ42" s="1021" t="s">
        <v>100</v>
      </c>
      <c r="FA42" s="1021"/>
      <c r="FB42" s="1021"/>
      <c r="FC42" s="1021"/>
      <c r="FD42" s="1021"/>
      <c r="FE42" s="1021" t="s">
        <v>1373</v>
      </c>
      <c r="FF42" s="1021" t="s">
        <v>100</v>
      </c>
      <c r="FG42" s="1021" t="s">
        <v>100</v>
      </c>
      <c r="FH42" s="1021"/>
      <c r="FI42" s="1021" t="s">
        <v>100</v>
      </c>
      <c r="FJ42" s="1021"/>
      <c r="FK42" s="1021" t="s">
        <v>1373</v>
      </c>
      <c r="FL42" s="1021" t="s">
        <v>100</v>
      </c>
      <c r="FM42" s="1021"/>
      <c r="FN42" s="1021"/>
      <c r="FO42" s="1021"/>
      <c r="FP42" s="1021"/>
      <c r="FQ42" s="1021"/>
      <c r="FR42" s="1021" t="s">
        <v>100</v>
      </c>
      <c r="FS42" s="1021" t="s">
        <v>100</v>
      </c>
      <c r="FT42" s="1021"/>
      <c r="FU42" s="1021"/>
      <c r="FV42" s="1021"/>
      <c r="FW42" s="1021"/>
      <c r="FX42" s="1021"/>
      <c r="FY42" s="1021"/>
      <c r="FZ42" s="1021" t="s">
        <v>1373</v>
      </c>
      <c r="GA42" s="1021"/>
      <c r="GB42" s="1021"/>
      <c r="GC42" s="1021"/>
      <c r="GD42" s="1021"/>
      <c r="GE42" s="1021"/>
      <c r="GF42" s="1021" t="s">
        <v>1373</v>
      </c>
      <c r="GG42" s="1021"/>
      <c r="GH42" s="1021"/>
      <c r="GI42" s="1021"/>
      <c r="GJ42" s="1021"/>
      <c r="GK42" s="1021"/>
      <c r="GL42" s="1021"/>
      <c r="GM42" s="1021"/>
      <c r="GN42" s="1021"/>
      <c r="GO42" s="1021"/>
      <c r="GP42" s="1021"/>
      <c r="GQ42" s="1021" t="s">
        <v>100</v>
      </c>
      <c r="GR42" s="1021"/>
      <c r="GS42" s="1021"/>
      <c r="GT42" s="1021" t="s">
        <v>100</v>
      </c>
      <c r="GU42" s="1021"/>
      <c r="GV42" s="1021" t="s">
        <v>100</v>
      </c>
      <c r="GW42" s="1021"/>
      <c r="GX42" s="1021"/>
      <c r="GY42" s="1021"/>
      <c r="GZ42" s="1022" t="s">
        <v>100</v>
      </c>
      <c r="HA42" s="1021"/>
      <c r="HB42" s="1050" t="s">
        <v>100</v>
      </c>
      <c r="HC42" s="1022" t="s">
        <v>100</v>
      </c>
      <c r="HD42" s="1022"/>
      <c r="HE42" s="1022" t="s">
        <v>100</v>
      </c>
      <c r="HF42" s="1021" t="s">
        <v>100</v>
      </c>
      <c r="HG42" s="1021"/>
      <c r="HH42" s="1021"/>
      <c r="HI42" s="1021"/>
      <c r="HJ42" s="1022"/>
      <c r="HK42" s="1021"/>
      <c r="HL42" s="1021"/>
      <c r="HM42" s="1022" t="s">
        <v>100</v>
      </c>
      <c r="HN42" s="1021" t="s">
        <v>100</v>
      </c>
      <c r="HO42" s="1021"/>
      <c r="HP42" s="1021" t="s">
        <v>100</v>
      </c>
      <c r="HQ42" s="1022" t="s">
        <v>100</v>
      </c>
      <c r="HR42" s="1022"/>
      <c r="HS42" s="1034" t="s">
        <v>100</v>
      </c>
      <c r="HT42" s="1050" t="s">
        <v>100</v>
      </c>
      <c r="HU42" s="1021"/>
      <c r="HV42" s="1021"/>
      <c r="HW42" s="1021"/>
      <c r="HX42" s="1021" t="s">
        <v>100</v>
      </c>
      <c r="HY42" s="1065"/>
      <c r="HZ42" s="1065"/>
      <c r="IA42" s="1065"/>
      <c r="IB42" s="1065"/>
      <c r="IC42" s="1065"/>
      <c r="ID42" s="1065"/>
      <c r="IE42" s="1065"/>
      <c r="IF42" s="1065"/>
      <c r="IG42" s="1065"/>
      <c r="IH42" s="1065"/>
      <c r="II42" s="1065"/>
      <c r="IJ42" s="1065"/>
      <c r="IK42" s="1065"/>
      <c r="IL42" s="1065"/>
      <c r="IM42" s="1065"/>
      <c r="IN42" s="1065"/>
      <c r="IO42" s="1065"/>
      <c r="IP42" s="1065"/>
      <c r="IQ42" s="1065"/>
      <c r="IR42" s="1065"/>
      <c r="IS42" s="1065"/>
      <c r="IT42" s="1065"/>
      <c r="IU42" s="1065"/>
      <c r="IV42" s="1065"/>
    </row>
    <row r="43" spans="1:256" s="979" customFormat="1" ht="19.95" customHeight="1">
      <c r="A43" s="1020" t="s">
        <v>72</v>
      </c>
      <c r="B43" s="1021"/>
      <c r="C43" s="992" t="str">
        <f>IF(ISTEXT(IFERROR(VLOOKUP(A43,职业列表!I3:J10,1,FALSE),0)),"★","")</f>
        <v/>
      </c>
      <c r="D43" s="1022" t="s">
        <v>100</v>
      </c>
      <c r="E43" s="1021"/>
      <c r="F43" s="1021"/>
      <c r="G43" s="1021"/>
      <c r="H43" s="1021"/>
      <c r="I43" s="1022" t="s">
        <v>100</v>
      </c>
      <c r="J43" s="1022" t="s">
        <v>100</v>
      </c>
      <c r="K43" s="1021"/>
      <c r="L43" s="1021"/>
      <c r="M43" s="1021"/>
      <c r="N43" s="1021"/>
      <c r="O43" s="1021"/>
      <c r="P43" s="1022" t="s">
        <v>100</v>
      </c>
      <c r="Q43" s="1021"/>
      <c r="R43" s="1021"/>
      <c r="S43" s="1022" t="s">
        <v>100</v>
      </c>
      <c r="T43" s="1021" t="s">
        <v>1373</v>
      </c>
      <c r="U43" s="1021"/>
      <c r="V43" s="1021"/>
      <c r="W43" s="1021"/>
      <c r="X43" s="1022" t="s">
        <v>100</v>
      </c>
      <c r="Y43" s="1022" t="s">
        <v>100</v>
      </c>
      <c r="Z43" s="1021"/>
      <c r="AA43" s="1021"/>
      <c r="AB43" s="1021"/>
      <c r="AC43" s="1021"/>
      <c r="AD43" s="1021"/>
      <c r="AE43" s="1021"/>
      <c r="AF43" s="1021"/>
      <c r="AG43" s="1022" t="s">
        <v>100</v>
      </c>
      <c r="AH43" s="1022" t="s">
        <v>100</v>
      </c>
      <c r="AI43" s="1021"/>
      <c r="AJ43" s="1022" t="s">
        <v>100</v>
      </c>
      <c r="AK43" s="1021"/>
      <c r="AL43" s="1021"/>
      <c r="AM43" s="1022" t="s">
        <v>100</v>
      </c>
      <c r="AN43" s="1021"/>
      <c r="AO43" s="1021"/>
      <c r="AP43" s="1021"/>
      <c r="AQ43" s="1021"/>
      <c r="AR43" s="1021"/>
      <c r="AS43" s="1021"/>
      <c r="AT43" s="1021"/>
      <c r="AU43" s="1022" t="s">
        <v>100</v>
      </c>
      <c r="AV43" s="1022" t="s">
        <v>100</v>
      </c>
      <c r="AW43" s="1022" t="s">
        <v>100</v>
      </c>
      <c r="AX43" s="1021"/>
      <c r="AY43" s="1021"/>
      <c r="AZ43" s="1022" t="s">
        <v>100</v>
      </c>
      <c r="BA43" s="1021"/>
      <c r="BB43" s="1022" t="s">
        <v>100</v>
      </c>
      <c r="BC43" s="1021"/>
      <c r="BD43" s="1021"/>
      <c r="BE43" s="1021"/>
      <c r="BF43" s="1021"/>
      <c r="BG43" s="1022" t="s">
        <v>100</v>
      </c>
      <c r="BH43" s="1021"/>
      <c r="BI43" s="1022" t="s">
        <v>100</v>
      </c>
      <c r="BJ43" s="1022" t="s">
        <v>100</v>
      </c>
      <c r="BK43" s="1021"/>
      <c r="BL43" s="1021"/>
      <c r="BM43" s="1022" t="s">
        <v>100</v>
      </c>
      <c r="BN43" s="1022" t="s">
        <v>100</v>
      </c>
      <c r="BO43" s="1042"/>
      <c r="BP43" s="1022" t="s">
        <v>100</v>
      </c>
      <c r="BQ43" s="1022" t="s">
        <v>100</v>
      </c>
      <c r="BR43" s="1021"/>
      <c r="BS43" s="1021"/>
      <c r="BT43" s="1021"/>
      <c r="BU43" s="1021"/>
      <c r="BV43" s="1021"/>
      <c r="BW43" s="1021"/>
      <c r="BX43" s="1021"/>
      <c r="BY43" s="1021"/>
      <c r="BZ43" s="1021"/>
      <c r="CA43" s="1022" t="s">
        <v>100</v>
      </c>
      <c r="CB43" s="1021"/>
      <c r="CC43" s="1022" t="s">
        <v>100</v>
      </c>
      <c r="CD43" s="1022" t="s">
        <v>100</v>
      </c>
      <c r="CE43" s="1021"/>
      <c r="CF43" s="1022" t="s">
        <v>100</v>
      </c>
      <c r="CG43" s="1021"/>
      <c r="CH43" s="1021"/>
      <c r="CI43" s="1021"/>
      <c r="CJ43" s="1021"/>
      <c r="CK43" s="1021"/>
      <c r="CL43" s="1022" t="s">
        <v>100</v>
      </c>
      <c r="CM43" s="1022" t="s">
        <v>100</v>
      </c>
      <c r="CN43" s="1021"/>
      <c r="CO43" s="1021"/>
      <c r="CP43" s="1021"/>
      <c r="CQ43" s="1021"/>
      <c r="CR43" s="1021"/>
      <c r="CS43" s="1022" t="s">
        <v>100</v>
      </c>
      <c r="CT43" s="1022" t="s">
        <v>100</v>
      </c>
      <c r="CU43" s="1021"/>
      <c r="CV43" s="1021"/>
      <c r="CW43" s="1021"/>
      <c r="CX43" s="1022" t="s">
        <v>100</v>
      </c>
      <c r="CY43" s="1021"/>
      <c r="CZ43" s="1021"/>
      <c r="DA43" s="1022" t="s">
        <v>100</v>
      </c>
      <c r="DB43" s="1021"/>
      <c r="DC43" s="1022" t="s">
        <v>100</v>
      </c>
      <c r="DD43" s="1022" t="s">
        <v>100</v>
      </c>
      <c r="DE43" s="1021"/>
      <c r="DF43" s="1022" t="s">
        <v>100</v>
      </c>
      <c r="DG43" s="1021"/>
      <c r="DH43" s="1022" t="s">
        <v>100</v>
      </c>
      <c r="DI43" s="1022" t="s">
        <v>100</v>
      </c>
      <c r="DJ43" s="1022" t="s">
        <v>100</v>
      </c>
      <c r="DK43" s="1021"/>
      <c r="DL43" s="1021"/>
      <c r="DM43" s="1021"/>
      <c r="DN43" s="1021" t="s">
        <v>100</v>
      </c>
      <c r="DO43" s="1021"/>
      <c r="DP43" s="1021"/>
      <c r="DQ43" s="1021"/>
      <c r="DR43" s="1021"/>
      <c r="DS43" s="1021"/>
      <c r="DT43" s="1021"/>
      <c r="DU43" s="1021"/>
      <c r="DV43" s="1021" t="s">
        <v>100</v>
      </c>
      <c r="DW43" s="1021"/>
      <c r="DX43" s="1021"/>
      <c r="DY43" s="1021"/>
      <c r="DZ43" s="1021" t="s">
        <v>100</v>
      </c>
      <c r="EA43" s="1021"/>
      <c r="EB43" s="1021"/>
      <c r="EC43" s="1021" t="s">
        <v>100</v>
      </c>
      <c r="ED43" s="1021" t="s">
        <v>100</v>
      </c>
      <c r="EE43" s="1021"/>
      <c r="EF43" s="1021"/>
      <c r="EG43" s="1021"/>
      <c r="EH43" s="1021"/>
      <c r="EI43" s="1021"/>
      <c r="EJ43" s="1021"/>
      <c r="EK43" s="1021"/>
      <c r="EL43" s="1021"/>
      <c r="EM43" s="1021"/>
      <c r="EN43" s="1021"/>
      <c r="EO43" s="1021" t="s">
        <v>100</v>
      </c>
      <c r="EP43" s="1021"/>
      <c r="EQ43" s="1021"/>
      <c r="ER43" s="1021" t="s">
        <v>100</v>
      </c>
      <c r="ES43" s="1021" t="s">
        <v>100</v>
      </c>
      <c r="ET43" s="1021"/>
      <c r="EU43" s="1021"/>
      <c r="EV43" s="1021"/>
      <c r="EW43" s="1021"/>
      <c r="EX43" s="1021" t="s">
        <v>100</v>
      </c>
      <c r="EY43" s="1021"/>
      <c r="EZ43" s="1021"/>
      <c r="FA43" s="1021"/>
      <c r="FB43" s="1021"/>
      <c r="FC43" s="1021"/>
      <c r="FD43" s="1021"/>
      <c r="FE43" s="1021" t="s">
        <v>100</v>
      </c>
      <c r="FF43" s="1021"/>
      <c r="FG43" s="1021"/>
      <c r="FH43" s="1021"/>
      <c r="FI43" s="1021"/>
      <c r="FJ43" s="1021" t="s">
        <v>100</v>
      </c>
      <c r="FK43" s="1021"/>
      <c r="FL43" s="1021"/>
      <c r="FM43" s="1021" t="s">
        <v>100</v>
      </c>
      <c r="FN43" s="1021" t="s">
        <v>100</v>
      </c>
      <c r="FO43" s="1021"/>
      <c r="FP43" s="1021"/>
      <c r="FQ43" s="1021"/>
      <c r="FR43" s="1021" t="s">
        <v>100</v>
      </c>
      <c r="FS43" s="1021"/>
      <c r="FT43" s="1021" t="s">
        <v>100</v>
      </c>
      <c r="FU43" s="1021"/>
      <c r="FV43" s="1021"/>
      <c r="FW43" s="1021"/>
      <c r="FX43" s="1021" t="s">
        <v>100</v>
      </c>
      <c r="FY43" s="1021" t="s">
        <v>100</v>
      </c>
      <c r="FZ43" s="1021"/>
      <c r="GA43" s="1021"/>
      <c r="GB43" s="1021"/>
      <c r="GC43" s="1021"/>
      <c r="GD43" s="1021"/>
      <c r="GE43" s="1021"/>
      <c r="GF43" s="1021"/>
      <c r="GG43" s="1021" t="s">
        <v>100</v>
      </c>
      <c r="GH43" s="1021" t="s">
        <v>100</v>
      </c>
      <c r="GI43" s="1021" t="s">
        <v>100</v>
      </c>
      <c r="GJ43" s="1021"/>
      <c r="GK43" s="1021"/>
      <c r="GL43" s="1021"/>
      <c r="GM43" s="1021"/>
      <c r="GN43" s="1021" t="s">
        <v>100</v>
      </c>
      <c r="GO43" s="1021" t="s">
        <v>100</v>
      </c>
      <c r="GP43" s="1021"/>
      <c r="GQ43" s="1021"/>
      <c r="GR43" s="1021"/>
      <c r="GS43" s="1021"/>
      <c r="GT43" s="1021"/>
      <c r="GU43" s="1021"/>
      <c r="GV43" s="1021" t="s">
        <v>100</v>
      </c>
      <c r="GW43" s="1021"/>
      <c r="GX43" s="1021" t="s">
        <v>100</v>
      </c>
      <c r="GY43" s="1021"/>
      <c r="GZ43" s="1021"/>
      <c r="HA43" s="1022"/>
      <c r="HB43" s="1022"/>
      <c r="HC43" s="1021"/>
      <c r="HD43" s="1050" t="s">
        <v>100</v>
      </c>
      <c r="HE43" s="1021"/>
      <c r="HF43" s="1021" t="s">
        <v>100</v>
      </c>
      <c r="HG43" s="1021"/>
      <c r="HH43" s="1022"/>
      <c r="HI43" s="1021"/>
      <c r="HJ43" s="1021" t="s">
        <v>100</v>
      </c>
      <c r="HK43" s="1022"/>
      <c r="HL43" s="1021"/>
      <c r="HM43" s="1021" t="s">
        <v>100</v>
      </c>
      <c r="HN43" s="1050" t="s">
        <v>100</v>
      </c>
      <c r="HO43" s="1021"/>
      <c r="HP43" s="1022" t="s">
        <v>100</v>
      </c>
      <c r="HQ43" s="1022"/>
      <c r="HR43" s="1021" t="s">
        <v>100</v>
      </c>
      <c r="HS43" s="1021"/>
      <c r="HT43" s="1021"/>
      <c r="HU43" s="1021" t="s">
        <v>100</v>
      </c>
      <c r="HV43" s="1050" t="s">
        <v>100</v>
      </c>
      <c r="HW43" s="1050" t="s">
        <v>100</v>
      </c>
      <c r="HX43" s="1021" t="s">
        <v>100</v>
      </c>
      <c r="HY43" s="1065"/>
      <c r="HZ43" s="1065"/>
      <c r="IA43" s="1065"/>
      <c r="IB43" s="1065"/>
      <c r="IC43" s="1065"/>
      <c r="ID43" s="1065"/>
      <c r="IE43" s="1065"/>
      <c r="IF43" s="1065"/>
      <c r="IG43" s="1065"/>
      <c r="IH43" s="1065"/>
      <c r="II43" s="1065"/>
      <c r="IJ43" s="1065"/>
      <c r="IK43" s="1065"/>
      <c r="IL43" s="1065"/>
      <c r="IM43" s="1065"/>
      <c r="IN43" s="1065"/>
      <c r="IO43" s="1065"/>
      <c r="IP43" s="1065"/>
      <c r="IQ43" s="1065"/>
      <c r="IR43" s="1065"/>
      <c r="IS43" s="1065"/>
      <c r="IT43" s="1065"/>
      <c r="IU43" s="1065"/>
      <c r="IV43" s="1065"/>
    </row>
    <row r="44" spans="1:256" ht="19.95" customHeight="1">
      <c r="A44" s="991" t="s">
        <v>76</v>
      </c>
      <c r="B44" s="992"/>
      <c r="C44" s="992" t="str">
        <f>IF(ISTEXT(IFERROR(VLOOKUP(A44,职业列表!I3:J10,1,FALSE),0)),"★","")</f>
        <v/>
      </c>
      <c r="D44" s="994"/>
      <c r="E44" s="992"/>
      <c r="F44" s="992"/>
      <c r="G44" s="992"/>
      <c r="H44" s="992"/>
      <c r="I44" s="992"/>
      <c r="J44" s="992"/>
      <c r="K44" s="992"/>
      <c r="L44" s="992"/>
      <c r="M44" s="992"/>
      <c r="N44" s="992"/>
      <c r="O44" s="992"/>
      <c r="P44" s="992"/>
      <c r="Q44" s="992"/>
      <c r="R44" s="992"/>
      <c r="S44" s="992"/>
      <c r="T44" s="992"/>
      <c r="U44" s="992"/>
      <c r="V44" s="992"/>
      <c r="W44" s="992"/>
      <c r="X44" s="992"/>
      <c r="Y44" s="992"/>
      <c r="Z44" s="992"/>
      <c r="AA44" s="992"/>
      <c r="AB44" s="992"/>
      <c r="AC44" s="992"/>
      <c r="AD44" s="994" t="s">
        <v>100</v>
      </c>
      <c r="AE44" s="994" t="s">
        <v>100</v>
      </c>
      <c r="AF44" s="992"/>
      <c r="AG44" s="994" t="s">
        <v>100</v>
      </c>
      <c r="AH44" s="992"/>
      <c r="AI44" s="992" t="s">
        <v>1376</v>
      </c>
      <c r="AJ44" s="992"/>
      <c r="AK44" s="992"/>
      <c r="AL44" s="992"/>
      <c r="AM44" s="992"/>
      <c r="AN44" s="992"/>
      <c r="AO44" s="992"/>
      <c r="AP44" s="992"/>
      <c r="AQ44" s="992"/>
      <c r="AR44" s="992"/>
      <c r="AS44" s="992"/>
      <c r="AT44" s="992"/>
      <c r="AU44" s="992"/>
      <c r="AV44" s="992"/>
      <c r="AW44" s="992"/>
      <c r="AX44" s="992"/>
      <c r="AY44" s="992"/>
      <c r="AZ44" s="992"/>
      <c r="BA44" s="992"/>
      <c r="BB44" s="992"/>
      <c r="BC44" s="992"/>
      <c r="BD44" s="992"/>
      <c r="BE44" s="992"/>
      <c r="BF44" s="992"/>
      <c r="BG44" s="992"/>
      <c r="BH44" s="992"/>
      <c r="BI44" s="992"/>
      <c r="BJ44" s="992"/>
      <c r="BK44" s="992"/>
      <c r="BL44" s="992"/>
      <c r="BM44" s="992" t="s">
        <v>1373</v>
      </c>
      <c r="BN44" s="992"/>
      <c r="BO44" s="992"/>
      <c r="BP44" s="992"/>
      <c r="BQ44" s="992"/>
      <c r="BR44" s="992"/>
      <c r="BS44" s="992"/>
      <c r="BT44" s="992"/>
      <c r="BU44" s="992"/>
      <c r="BV44" s="992"/>
      <c r="BW44" s="992"/>
      <c r="BX44" s="992"/>
      <c r="BY44" s="992"/>
      <c r="BZ44" s="992"/>
      <c r="CA44" s="992"/>
      <c r="CB44" s="992"/>
      <c r="CC44" s="992"/>
      <c r="CD44" s="992"/>
      <c r="CE44" s="992"/>
      <c r="CF44" s="992"/>
      <c r="CG44" s="992"/>
      <c r="CH44" s="992"/>
      <c r="CI44" s="992"/>
      <c r="CJ44" s="992"/>
      <c r="CK44" s="992"/>
      <c r="CL44" s="992"/>
      <c r="CM44" s="992"/>
      <c r="CN44" s="992"/>
      <c r="CO44" s="992"/>
      <c r="CP44" s="992"/>
      <c r="CQ44" s="992"/>
      <c r="CR44" s="992"/>
      <c r="CS44" s="992"/>
      <c r="CT44" s="992"/>
      <c r="CU44" s="992"/>
      <c r="CV44" s="992"/>
      <c r="CW44" s="992"/>
      <c r="CX44" s="992"/>
      <c r="CY44" s="992"/>
      <c r="CZ44" s="992"/>
      <c r="DA44" s="992"/>
      <c r="DB44" s="992"/>
      <c r="DC44" s="992"/>
      <c r="DD44" s="992"/>
      <c r="DE44" s="992"/>
      <c r="DF44" s="992"/>
      <c r="DG44" s="992"/>
      <c r="DH44" s="992"/>
      <c r="DI44" s="992"/>
      <c r="DJ44" s="992"/>
      <c r="DK44" s="992"/>
      <c r="DL44" s="992"/>
      <c r="DM44" s="992"/>
      <c r="DN44" s="992"/>
      <c r="DO44" s="992"/>
      <c r="DP44" s="992"/>
      <c r="DQ44" s="992"/>
      <c r="DR44" s="992"/>
      <c r="DS44" s="992"/>
      <c r="DT44" s="992"/>
      <c r="DU44" s="992"/>
      <c r="DV44" s="992"/>
      <c r="DW44" s="992"/>
      <c r="DX44" s="992"/>
      <c r="DY44" s="992"/>
      <c r="DZ44" s="992"/>
      <c r="EA44" s="992"/>
      <c r="EB44" s="992"/>
      <c r="EC44" s="992"/>
      <c r="ED44" s="992"/>
      <c r="EE44" s="992"/>
      <c r="EF44" s="992"/>
      <c r="EG44" s="992"/>
      <c r="EH44" s="992"/>
      <c r="EI44" s="992"/>
      <c r="EJ44" s="992"/>
      <c r="EK44" s="992"/>
      <c r="EL44" s="992"/>
      <c r="EM44" s="992"/>
      <c r="EN44" s="992"/>
      <c r="EO44" s="992"/>
      <c r="EP44" s="992"/>
      <c r="EQ44" s="992"/>
      <c r="ER44" s="992"/>
      <c r="ES44" s="992"/>
      <c r="ET44" s="992"/>
      <c r="EU44" s="992"/>
      <c r="EV44" s="992"/>
      <c r="EW44" s="992"/>
      <c r="EX44" s="992"/>
      <c r="EY44" s="992"/>
      <c r="EZ44" s="992"/>
      <c r="FA44" s="992"/>
      <c r="FB44" s="992"/>
      <c r="FC44" s="992"/>
      <c r="FD44" s="992"/>
      <c r="FE44" s="992"/>
      <c r="FF44" s="992"/>
      <c r="FG44" s="992"/>
      <c r="FH44" s="992"/>
      <c r="FI44" s="992"/>
      <c r="FJ44" s="992"/>
      <c r="FK44" s="992"/>
      <c r="FL44" s="992"/>
      <c r="FM44" s="992"/>
      <c r="FN44" s="992"/>
      <c r="FO44" s="992"/>
      <c r="FP44" s="992"/>
      <c r="FQ44" s="992"/>
      <c r="FR44" s="992"/>
      <c r="FS44" s="992"/>
      <c r="FT44" s="992"/>
      <c r="FU44" s="992" t="s">
        <v>100</v>
      </c>
      <c r="FV44" s="992"/>
      <c r="FW44" s="992"/>
      <c r="FX44" s="992"/>
      <c r="FY44" s="992"/>
      <c r="FZ44" s="992"/>
      <c r="GA44" s="992"/>
      <c r="GB44" s="992"/>
      <c r="GC44" s="992"/>
      <c r="GD44" s="992"/>
      <c r="GE44" s="992"/>
      <c r="GF44" s="992"/>
      <c r="GG44" s="992"/>
      <c r="GH44" s="992"/>
      <c r="GI44" s="992"/>
      <c r="GJ44" s="992"/>
      <c r="GK44" s="992"/>
      <c r="GL44" s="992"/>
      <c r="GM44" s="992"/>
      <c r="GN44" s="992"/>
      <c r="GO44" s="992"/>
      <c r="GP44" s="992"/>
      <c r="GQ44" s="992"/>
      <c r="GR44" s="992"/>
      <c r="GS44" s="992"/>
      <c r="GT44" s="992"/>
      <c r="GU44" s="992"/>
      <c r="GV44" s="992"/>
      <c r="GW44" s="992"/>
      <c r="GX44" s="992"/>
      <c r="GY44" s="992" t="s">
        <v>1373</v>
      </c>
      <c r="GZ44" s="992"/>
      <c r="HA44" s="992"/>
      <c r="HB44" s="992"/>
      <c r="HC44" s="992"/>
      <c r="HD44" s="992"/>
      <c r="HE44" s="992"/>
      <c r="HF44" s="992"/>
      <c r="HG44" s="992"/>
      <c r="HH44" s="992" t="s">
        <v>100</v>
      </c>
      <c r="HI44" s="992"/>
      <c r="HJ44" s="992"/>
      <c r="HK44" s="992"/>
      <c r="HL44" s="992"/>
      <c r="HM44" s="993" t="s">
        <v>100</v>
      </c>
      <c r="HN44" s="992"/>
      <c r="HO44" s="992"/>
      <c r="HP44" s="992"/>
      <c r="HQ44" s="992"/>
      <c r="HR44" s="992"/>
      <c r="HS44" s="992"/>
      <c r="HT44" s="992"/>
      <c r="HU44" s="992"/>
      <c r="HV44" s="994"/>
      <c r="HW44" s="994"/>
      <c r="HX44" s="992" t="s">
        <v>100</v>
      </c>
      <c r="HY44" s="1056"/>
      <c r="HZ44" s="1056"/>
      <c r="IA44" s="1056"/>
      <c r="IB44" s="1056"/>
      <c r="IC44" s="1056"/>
      <c r="ID44" s="1056"/>
      <c r="IE44" s="1056"/>
      <c r="IF44" s="1056"/>
      <c r="IG44" s="1056"/>
      <c r="IH44" s="1056"/>
      <c r="II44" s="1056"/>
      <c r="IJ44" s="1056"/>
      <c r="IK44" s="1056"/>
      <c r="IL44" s="1056"/>
      <c r="IM44" s="1056"/>
      <c r="IN44" s="1056"/>
      <c r="IO44" s="1056"/>
      <c r="IP44" s="1056"/>
      <c r="IQ44" s="1056"/>
      <c r="IR44" s="1056"/>
      <c r="IS44" s="1056"/>
      <c r="IT44" s="1056"/>
      <c r="IU44" s="1056"/>
      <c r="IV44" s="1056"/>
    </row>
    <row r="45" spans="1:256" ht="19.95" customHeight="1">
      <c r="A45" s="991" t="s">
        <v>79</v>
      </c>
      <c r="B45" s="992"/>
      <c r="C45" s="992" t="str">
        <f>IF(ISTEXT(IFERROR(VLOOKUP(A45,职业列表!I3:J10,1,FALSE),0)),"★","")</f>
        <v/>
      </c>
      <c r="D45" s="994"/>
      <c r="E45" s="992"/>
      <c r="F45" s="992"/>
      <c r="G45" s="992"/>
      <c r="H45" s="992"/>
      <c r="I45" s="992"/>
      <c r="J45" s="992"/>
      <c r="K45" s="992"/>
      <c r="L45" s="992"/>
      <c r="M45" s="994" t="s">
        <v>100</v>
      </c>
      <c r="N45" s="992"/>
      <c r="O45" s="992"/>
      <c r="P45" s="992"/>
      <c r="Q45" s="992"/>
      <c r="R45" s="992"/>
      <c r="S45" s="992"/>
      <c r="T45" s="992"/>
      <c r="U45" s="992"/>
      <c r="V45" s="992"/>
      <c r="W45" s="992"/>
      <c r="X45" s="992"/>
      <c r="Y45" s="992"/>
      <c r="Z45" s="992"/>
      <c r="AA45" s="992"/>
      <c r="AB45" s="992"/>
      <c r="AC45" s="994" t="s">
        <v>100</v>
      </c>
      <c r="AD45" s="992"/>
      <c r="AE45" s="992" t="s">
        <v>1373</v>
      </c>
      <c r="AF45" s="992"/>
      <c r="AG45" s="992" t="s">
        <v>1373</v>
      </c>
      <c r="AH45" s="992"/>
      <c r="AI45" s="993" t="s">
        <v>1376</v>
      </c>
      <c r="AJ45" s="992"/>
      <c r="AK45" s="992"/>
      <c r="AL45" s="992"/>
      <c r="AM45" s="992"/>
      <c r="AN45" s="992"/>
      <c r="AO45" s="992"/>
      <c r="AP45" s="992"/>
      <c r="AQ45" s="994" t="s">
        <v>100</v>
      </c>
      <c r="AR45" s="992"/>
      <c r="AS45" s="994" t="s">
        <v>100</v>
      </c>
      <c r="AT45" s="992"/>
      <c r="AU45" s="992"/>
      <c r="AV45" s="994" t="s">
        <v>100</v>
      </c>
      <c r="AW45" s="994" t="s">
        <v>100</v>
      </c>
      <c r="AX45" s="994" t="s">
        <v>100</v>
      </c>
      <c r="AY45" s="992"/>
      <c r="AZ45" s="992"/>
      <c r="BA45" s="994" t="s">
        <v>100</v>
      </c>
      <c r="BB45" s="992"/>
      <c r="BC45" s="992"/>
      <c r="BD45" s="994" t="s">
        <v>100</v>
      </c>
      <c r="BE45" s="992"/>
      <c r="BF45" s="994" t="s">
        <v>100</v>
      </c>
      <c r="BG45" s="992"/>
      <c r="BH45" s="992"/>
      <c r="BI45" s="992"/>
      <c r="BJ45" s="992"/>
      <c r="BK45" s="992"/>
      <c r="BL45" s="992"/>
      <c r="BM45" s="992"/>
      <c r="BN45" s="994" t="s">
        <v>100</v>
      </c>
      <c r="BO45" s="992"/>
      <c r="BP45" s="992"/>
      <c r="BQ45" s="992"/>
      <c r="BR45" s="992"/>
      <c r="BS45" s="994" t="s">
        <v>100</v>
      </c>
      <c r="BT45" s="994" t="s">
        <v>100</v>
      </c>
      <c r="BU45" s="994" t="s">
        <v>100</v>
      </c>
      <c r="BV45" s="992"/>
      <c r="BW45" s="992"/>
      <c r="BX45" s="994" t="s">
        <v>100</v>
      </c>
      <c r="BY45" s="992"/>
      <c r="BZ45" s="994" t="s">
        <v>100</v>
      </c>
      <c r="CA45" s="992"/>
      <c r="CB45" s="992"/>
      <c r="CC45" s="992"/>
      <c r="CD45" s="992"/>
      <c r="CE45" s="992"/>
      <c r="CF45" s="992"/>
      <c r="CG45" s="992"/>
      <c r="CH45" s="992"/>
      <c r="CI45" s="992"/>
      <c r="CJ45" s="992"/>
      <c r="CK45" s="994" t="s">
        <v>100</v>
      </c>
      <c r="CL45" s="994" t="s">
        <v>100</v>
      </c>
      <c r="CM45" s="992"/>
      <c r="CN45" s="992"/>
      <c r="CO45" s="992"/>
      <c r="CP45" s="992"/>
      <c r="CQ45" s="994" t="s">
        <v>100</v>
      </c>
      <c r="CR45" s="992"/>
      <c r="CS45" s="992"/>
      <c r="CT45" s="992"/>
      <c r="CU45" s="992"/>
      <c r="CV45" s="992" t="s">
        <v>1373</v>
      </c>
      <c r="CW45" s="994" t="s">
        <v>100</v>
      </c>
      <c r="CX45" s="992"/>
      <c r="CY45" s="992"/>
      <c r="CZ45" s="992"/>
      <c r="DA45" s="994" t="s">
        <v>100</v>
      </c>
      <c r="DB45" s="993" t="s">
        <v>1376</v>
      </c>
      <c r="DC45" s="992"/>
      <c r="DD45" s="992"/>
      <c r="DE45" s="992" t="s">
        <v>1373</v>
      </c>
      <c r="DF45" s="992"/>
      <c r="DG45" s="992"/>
      <c r="DH45" s="992"/>
      <c r="DI45" s="992"/>
      <c r="DJ45" s="992"/>
      <c r="DK45" s="992"/>
      <c r="DL45" s="992"/>
      <c r="DM45" s="992"/>
      <c r="DN45" s="992"/>
      <c r="DO45" s="992"/>
      <c r="DP45" s="992"/>
      <c r="DQ45" s="992"/>
      <c r="DR45" s="992"/>
      <c r="DS45" s="992"/>
      <c r="DT45" s="992"/>
      <c r="DU45" s="992"/>
      <c r="DV45" s="992"/>
      <c r="DW45" s="992"/>
      <c r="DX45" s="992"/>
      <c r="DY45" s="992"/>
      <c r="DZ45" s="992"/>
      <c r="EA45" s="992"/>
      <c r="EB45" s="992"/>
      <c r="EC45" s="992"/>
      <c r="ED45" s="992"/>
      <c r="EE45" s="992"/>
      <c r="EF45" s="992"/>
      <c r="EG45" s="992"/>
      <c r="EH45" s="992"/>
      <c r="EI45" s="992" t="s">
        <v>100</v>
      </c>
      <c r="EJ45" s="992"/>
      <c r="EK45" s="992" t="s">
        <v>100</v>
      </c>
      <c r="EL45" s="992"/>
      <c r="EM45" s="992"/>
      <c r="EN45" s="992" t="s">
        <v>1373</v>
      </c>
      <c r="EO45" s="992"/>
      <c r="EP45" s="992" t="s">
        <v>100</v>
      </c>
      <c r="EQ45" s="992"/>
      <c r="ER45" s="992"/>
      <c r="ES45" s="992"/>
      <c r="ET45" s="992"/>
      <c r="EU45" s="992"/>
      <c r="EV45" s="992"/>
      <c r="EW45" s="992"/>
      <c r="EX45" s="992"/>
      <c r="EY45" s="992"/>
      <c r="EZ45" s="992" t="s">
        <v>100</v>
      </c>
      <c r="FA45" s="992"/>
      <c r="FB45" s="992" t="s">
        <v>1373</v>
      </c>
      <c r="FC45" s="992"/>
      <c r="FD45" s="992" t="s">
        <v>100</v>
      </c>
      <c r="FE45" s="992"/>
      <c r="FF45" s="992"/>
      <c r="FG45" s="992"/>
      <c r="FH45" s="992"/>
      <c r="FI45" s="992"/>
      <c r="FJ45" s="992"/>
      <c r="FK45" s="992"/>
      <c r="FL45" s="992"/>
      <c r="FM45" s="992"/>
      <c r="FN45" s="992"/>
      <c r="FO45" s="992"/>
      <c r="FP45" s="992" t="s">
        <v>100</v>
      </c>
      <c r="FQ45" s="992"/>
      <c r="FR45" s="992"/>
      <c r="FS45" s="992"/>
      <c r="FT45" s="992"/>
      <c r="FU45" s="992" t="s">
        <v>100</v>
      </c>
      <c r="FV45" s="992"/>
      <c r="FW45" s="992"/>
      <c r="FX45" s="992"/>
      <c r="FY45" s="992"/>
      <c r="FZ45" s="992"/>
      <c r="GA45" s="992" t="s">
        <v>100</v>
      </c>
      <c r="GB45" s="992" t="s">
        <v>100</v>
      </c>
      <c r="GC45" s="992" t="s">
        <v>1376</v>
      </c>
      <c r="GD45" s="992" t="s">
        <v>1376</v>
      </c>
      <c r="GE45" s="992"/>
      <c r="GF45" s="992"/>
      <c r="GG45" s="992"/>
      <c r="GH45" s="992"/>
      <c r="GI45" s="992"/>
      <c r="GJ45" s="992"/>
      <c r="GK45" s="992"/>
      <c r="GL45" s="992"/>
      <c r="GM45" s="992"/>
      <c r="GN45" s="992"/>
      <c r="GO45" s="992"/>
      <c r="GP45" s="992" t="s">
        <v>100</v>
      </c>
      <c r="GQ45" s="992"/>
      <c r="GR45" s="992" t="s">
        <v>100</v>
      </c>
      <c r="GS45" s="992"/>
      <c r="GT45" s="992"/>
      <c r="GU45" s="992" t="s">
        <v>1376</v>
      </c>
      <c r="GV45" s="992"/>
      <c r="GW45" s="992"/>
      <c r="GX45" s="992"/>
      <c r="GY45" s="992"/>
      <c r="GZ45" s="992"/>
      <c r="HA45" s="992"/>
      <c r="HB45" s="992"/>
      <c r="HC45" s="992"/>
      <c r="HD45" s="992" t="s">
        <v>100</v>
      </c>
      <c r="HE45" s="994"/>
      <c r="HF45" s="992"/>
      <c r="HG45" s="993" t="s">
        <v>100</v>
      </c>
      <c r="HH45" s="992"/>
      <c r="HI45" s="992"/>
      <c r="HJ45" s="992"/>
      <c r="HK45" s="992"/>
      <c r="HL45" s="992"/>
      <c r="HM45" s="992"/>
      <c r="HN45" s="992"/>
      <c r="HO45" s="992" t="s">
        <v>100</v>
      </c>
      <c r="HP45" s="992"/>
      <c r="HQ45" s="992"/>
      <c r="HR45" s="992"/>
      <c r="HS45" s="992"/>
      <c r="HT45" s="992" t="s">
        <v>100</v>
      </c>
      <c r="HU45" s="994"/>
      <c r="HV45" s="992"/>
      <c r="HW45" s="992" t="s">
        <v>100</v>
      </c>
      <c r="HX45" s="992"/>
      <c r="HY45" s="1056"/>
      <c r="HZ45" s="1056"/>
      <c r="IA45" s="1056"/>
      <c r="IB45" s="1056"/>
      <c r="IC45" s="1056"/>
      <c r="ID45" s="1056"/>
      <c r="IE45" s="1056"/>
      <c r="IF45" s="1056"/>
      <c r="IG45" s="1056"/>
      <c r="IH45" s="1056"/>
      <c r="II45" s="1056"/>
      <c r="IJ45" s="1056"/>
      <c r="IK45" s="1056"/>
      <c r="IL45" s="1056"/>
      <c r="IM45" s="1056"/>
      <c r="IN45" s="1056"/>
      <c r="IO45" s="1056"/>
      <c r="IP45" s="1056"/>
      <c r="IQ45" s="1056"/>
      <c r="IR45" s="1056"/>
      <c r="IS45" s="1056"/>
      <c r="IT45" s="1056"/>
      <c r="IU45" s="1056"/>
      <c r="IV45" s="1056"/>
    </row>
    <row r="46" spans="1:256" ht="19.95" customHeight="1">
      <c r="A46" s="991" t="s">
        <v>82</v>
      </c>
      <c r="B46" s="992"/>
      <c r="C46" s="992" t="str">
        <f>IF(ISTEXT(IFERROR(VLOOKUP(A46,职业列表!I3:J10,1,FALSE),0)),"★","")</f>
        <v/>
      </c>
      <c r="D46" s="994"/>
      <c r="E46" s="992"/>
      <c r="F46" s="992"/>
      <c r="G46" s="992"/>
      <c r="H46" s="992"/>
      <c r="I46" s="994" t="s">
        <v>100</v>
      </c>
      <c r="J46" s="992"/>
      <c r="K46" s="992"/>
      <c r="L46" s="992"/>
      <c r="M46" s="992"/>
      <c r="N46" s="992"/>
      <c r="O46" s="992"/>
      <c r="P46" s="992"/>
      <c r="Q46" s="992"/>
      <c r="R46" s="992"/>
      <c r="S46" s="992"/>
      <c r="T46" s="992"/>
      <c r="U46" s="992"/>
      <c r="V46" s="992"/>
      <c r="W46" s="992"/>
      <c r="X46" s="992"/>
      <c r="Y46" s="992"/>
      <c r="Z46" s="992"/>
      <c r="AA46" s="992"/>
      <c r="AB46" s="992"/>
      <c r="AC46" s="992"/>
      <c r="AD46" s="992"/>
      <c r="AE46" s="992"/>
      <c r="AF46" s="992"/>
      <c r="AG46" s="992"/>
      <c r="AH46" s="992"/>
      <c r="AI46" s="992"/>
      <c r="AJ46" s="992"/>
      <c r="AK46" s="992"/>
      <c r="AL46" s="992"/>
      <c r="AM46" s="992"/>
      <c r="AN46" s="992"/>
      <c r="AO46" s="992"/>
      <c r="AP46" s="992"/>
      <c r="AQ46" s="992"/>
      <c r="AR46" s="992"/>
      <c r="AS46" s="992"/>
      <c r="AT46" s="994" t="s">
        <v>100</v>
      </c>
      <c r="AU46" s="992"/>
      <c r="AV46" s="992"/>
      <c r="AW46" s="992"/>
      <c r="AX46" s="992"/>
      <c r="AY46" s="992"/>
      <c r="AZ46" s="992"/>
      <c r="BA46" s="992"/>
      <c r="BB46" s="992"/>
      <c r="BC46" s="992"/>
      <c r="BD46" s="992"/>
      <c r="BE46" s="992"/>
      <c r="BF46" s="992"/>
      <c r="BG46" s="992"/>
      <c r="BH46" s="994" t="s">
        <v>100</v>
      </c>
      <c r="BI46" s="992"/>
      <c r="BJ46" s="992"/>
      <c r="BK46" s="992"/>
      <c r="BL46" s="992"/>
      <c r="BM46" s="992"/>
      <c r="BN46" s="992"/>
      <c r="BO46" s="992"/>
      <c r="BP46" s="992"/>
      <c r="BQ46" s="992"/>
      <c r="BR46" s="992"/>
      <c r="BS46" s="992"/>
      <c r="BT46" s="992"/>
      <c r="BU46" s="992"/>
      <c r="BV46" s="992"/>
      <c r="BW46" s="992"/>
      <c r="BX46" s="992"/>
      <c r="BY46" s="992"/>
      <c r="BZ46" s="994" t="s">
        <v>100</v>
      </c>
      <c r="CA46" s="992"/>
      <c r="CB46" s="992"/>
      <c r="CC46" s="992"/>
      <c r="CD46" s="994" t="s">
        <v>100</v>
      </c>
      <c r="CE46" s="992"/>
      <c r="CF46" s="992"/>
      <c r="CG46" s="992"/>
      <c r="CH46" s="992"/>
      <c r="CI46" s="992"/>
      <c r="CJ46" s="992"/>
      <c r="CK46" s="992"/>
      <c r="CL46" s="992"/>
      <c r="CM46" s="992"/>
      <c r="CN46" s="992"/>
      <c r="CO46" s="992"/>
      <c r="CP46" s="992"/>
      <c r="CQ46" s="992"/>
      <c r="CR46" s="992"/>
      <c r="CS46" s="994" t="s">
        <v>100</v>
      </c>
      <c r="CT46" s="992"/>
      <c r="CU46" s="992"/>
      <c r="CV46" s="992"/>
      <c r="CW46" s="992"/>
      <c r="CX46" s="992"/>
      <c r="CY46" s="992"/>
      <c r="CZ46" s="992"/>
      <c r="DA46" s="992"/>
      <c r="DB46" s="992"/>
      <c r="DC46" s="992"/>
      <c r="DD46" s="992"/>
      <c r="DE46" s="992"/>
      <c r="DF46" s="992"/>
      <c r="DG46" s="992"/>
      <c r="DH46" s="992"/>
      <c r="DI46" s="992"/>
      <c r="DJ46" s="992"/>
      <c r="DK46" s="992"/>
      <c r="DL46" s="992"/>
      <c r="DM46" s="994" t="s">
        <v>100</v>
      </c>
      <c r="DN46" s="992"/>
      <c r="DO46" s="992"/>
      <c r="DP46" s="992"/>
      <c r="DQ46" s="992"/>
      <c r="DR46" s="992"/>
      <c r="DS46" s="992"/>
      <c r="DT46" s="992"/>
      <c r="DU46" s="992"/>
      <c r="DV46" s="992"/>
      <c r="DW46" s="992"/>
      <c r="DX46" s="992"/>
      <c r="DY46" s="992"/>
      <c r="DZ46" s="992"/>
      <c r="EA46" s="992"/>
      <c r="EB46" s="992"/>
      <c r="EC46" s="992"/>
      <c r="ED46" s="992"/>
      <c r="EE46" s="992"/>
      <c r="EF46" s="992" t="s">
        <v>100</v>
      </c>
      <c r="EG46" s="992" t="s">
        <v>100</v>
      </c>
      <c r="EH46" s="992" t="s">
        <v>100</v>
      </c>
      <c r="EI46" s="992"/>
      <c r="EJ46" s="992"/>
      <c r="EK46" s="992"/>
      <c r="EL46" s="992" t="s">
        <v>100</v>
      </c>
      <c r="EM46" s="992"/>
      <c r="EN46" s="992"/>
      <c r="EO46" s="992"/>
      <c r="EP46" s="992"/>
      <c r="EQ46" s="992"/>
      <c r="ER46" s="992"/>
      <c r="ES46" s="992"/>
      <c r="ET46" s="992"/>
      <c r="EU46" s="992"/>
      <c r="EV46" s="992"/>
      <c r="EW46" s="992"/>
      <c r="EX46" s="992"/>
      <c r="EY46" s="992"/>
      <c r="EZ46" s="992" t="s">
        <v>100</v>
      </c>
      <c r="FA46" s="992" t="s">
        <v>100</v>
      </c>
      <c r="FB46" s="992"/>
      <c r="FC46" s="992"/>
      <c r="FD46" s="992"/>
      <c r="FE46" s="992"/>
      <c r="FF46" s="992"/>
      <c r="FG46" s="992"/>
      <c r="FH46" s="992"/>
      <c r="FI46" s="992"/>
      <c r="FJ46" s="992"/>
      <c r="FK46" s="992"/>
      <c r="FL46" s="992" t="s">
        <v>100</v>
      </c>
      <c r="FM46" s="992"/>
      <c r="FN46" s="992"/>
      <c r="FO46" s="992"/>
      <c r="FP46" s="992"/>
      <c r="FQ46" s="992"/>
      <c r="FR46" s="992"/>
      <c r="FS46" s="992"/>
      <c r="FT46" s="992"/>
      <c r="FU46" s="992" t="s">
        <v>100</v>
      </c>
      <c r="FV46" s="992" t="s">
        <v>100</v>
      </c>
      <c r="FW46" s="992" t="s">
        <v>100</v>
      </c>
      <c r="FX46" s="992"/>
      <c r="FY46" s="992"/>
      <c r="FZ46" s="992"/>
      <c r="GA46" s="992"/>
      <c r="GB46" s="992"/>
      <c r="GC46" s="992"/>
      <c r="GD46" s="992"/>
      <c r="GE46" s="992"/>
      <c r="GF46" s="992"/>
      <c r="GG46" s="992"/>
      <c r="GH46" s="992"/>
      <c r="GI46" s="992"/>
      <c r="GJ46" s="992"/>
      <c r="GK46" s="992"/>
      <c r="GL46" s="992"/>
      <c r="GM46" s="992"/>
      <c r="GN46" s="992"/>
      <c r="GO46" s="992"/>
      <c r="GP46" s="992"/>
      <c r="GQ46" s="992"/>
      <c r="GR46" s="992"/>
      <c r="GS46" s="992"/>
      <c r="GT46" s="992"/>
      <c r="GU46" s="992"/>
      <c r="GV46" s="992"/>
      <c r="GW46" s="992"/>
      <c r="GX46" s="992"/>
      <c r="GY46" s="992"/>
      <c r="GZ46" s="992"/>
      <c r="HA46" s="994"/>
      <c r="HB46" s="992"/>
      <c r="HC46" s="992"/>
      <c r="HD46" s="992"/>
      <c r="HE46" s="992"/>
      <c r="HF46" s="992"/>
      <c r="HG46" s="992"/>
      <c r="HH46" s="992"/>
      <c r="HI46" s="992"/>
      <c r="HJ46" s="992"/>
      <c r="HK46" s="992"/>
      <c r="HL46" s="992"/>
      <c r="HM46" s="992"/>
      <c r="HN46" s="992"/>
      <c r="HO46" s="992"/>
      <c r="HP46" s="992"/>
      <c r="HQ46" s="992" t="s">
        <v>100</v>
      </c>
      <c r="HR46" s="992"/>
      <c r="HS46" s="992"/>
      <c r="HT46" s="992"/>
      <c r="HU46" s="992"/>
      <c r="HV46" s="992"/>
      <c r="HW46" s="992"/>
      <c r="HX46" s="992"/>
      <c r="HY46" s="1056"/>
      <c r="HZ46" s="1056"/>
      <c r="IA46" s="1056"/>
      <c r="IB46" s="1056"/>
      <c r="IC46" s="1056"/>
      <c r="ID46" s="1056"/>
      <c r="IE46" s="1056"/>
      <c r="IF46" s="1056"/>
      <c r="IG46" s="1056"/>
      <c r="IH46" s="1056"/>
      <c r="II46" s="1056"/>
      <c r="IJ46" s="1056"/>
      <c r="IK46" s="1056"/>
      <c r="IL46" s="1056"/>
      <c r="IM46" s="1056"/>
      <c r="IN46" s="1056"/>
      <c r="IO46" s="1056"/>
      <c r="IP46" s="1056"/>
      <c r="IQ46" s="1056"/>
      <c r="IR46" s="1056"/>
      <c r="IS46" s="1056"/>
      <c r="IT46" s="1056"/>
      <c r="IU46" s="1056"/>
      <c r="IV46" s="1056"/>
    </row>
    <row r="47" spans="1:256" ht="19.95" customHeight="1">
      <c r="A47" s="991" t="s">
        <v>84</v>
      </c>
      <c r="B47" s="992"/>
      <c r="C47" s="993" t="str">
        <f>IF(ISTEXT(IFERROR(VLOOKUP(A47,职业列表!I3:J10,1,FALSE),0)),"★","")</f>
        <v/>
      </c>
      <c r="D47" s="994"/>
      <c r="E47" s="992"/>
      <c r="F47" s="992"/>
      <c r="G47" s="992"/>
      <c r="H47" s="992"/>
      <c r="I47" s="992"/>
      <c r="J47" s="994" t="s">
        <v>100</v>
      </c>
      <c r="K47" s="992"/>
      <c r="L47" s="992"/>
      <c r="M47" s="992"/>
      <c r="N47" s="992"/>
      <c r="O47" s="992" t="s">
        <v>1373</v>
      </c>
      <c r="P47" s="992"/>
      <c r="Q47" s="992"/>
      <c r="R47" s="992" t="s">
        <v>1373</v>
      </c>
      <c r="S47" s="992"/>
      <c r="T47" s="994" t="s">
        <v>100</v>
      </c>
      <c r="U47" s="992"/>
      <c r="V47" s="992"/>
      <c r="W47" s="992"/>
      <c r="X47" s="992"/>
      <c r="Y47" s="992"/>
      <c r="Z47" s="992"/>
      <c r="AA47" s="992"/>
      <c r="AB47" s="992" t="s">
        <v>1373</v>
      </c>
      <c r="AC47" s="994" t="s">
        <v>100</v>
      </c>
      <c r="AD47" s="992"/>
      <c r="AE47" s="992"/>
      <c r="AF47" s="992"/>
      <c r="AG47" s="992"/>
      <c r="AH47" s="992"/>
      <c r="AI47" s="992"/>
      <c r="AJ47" s="992"/>
      <c r="AK47" s="992"/>
      <c r="AL47" s="992"/>
      <c r="AM47" s="992"/>
      <c r="AN47" s="992"/>
      <c r="AO47" s="992"/>
      <c r="AP47" s="992"/>
      <c r="AQ47" s="992"/>
      <c r="AR47" s="992"/>
      <c r="AS47" s="992"/>
      <c r="AT47" s="992"/>
      <c r="AU47" s="992"/>
      <c r="AV47" s="992"/>
      <c r="AW47" s="992"/>
      <c r="AX47" s="992"/>
      <c r="AY47" s="992"/>
      <c r="AZ47" s="992"/>
      <c r="BA47" s="992"/>
      <c r="BB47" s="992"/>
      <c r="BC47" s="994" t="s">
        <v>100</v>
      </c>
      <c r="BD47" s="994" t="s">
        <v>100</v>
      </c>
      <c r="BE47" s="992"/>
      <c r="BF47" s="992"/>
      <c r="BG47" s="992"/>
      <c r="BH47" s="992"/>
      <c r="BI47" s="992"/>
      <c r="BJ47" s="992"/>
      <c r="BK47" s="992"/>
      <c r="BL47" s="992"/>
      <c r="BM47" s="992"/>
      <c r="BN47" s="992"/>
      <c r="BO47" s="992"/>
      <c r="BP47" s="992"/>
      <c r="BQ47" s="992"/>
      <c r="BR47" s="992"/>
      <c r="BS47" s="999"/>
      <c r="BT47" s="992" t="s">
        <v>1373</v>
      </c>
      <c r="BU47" s="992"/>
      <c r="BV47" s="992"/>
      <c r="BW47" s="992"/>
      <c r="BX47" s="992"/>
      <c r="BY47" s="992"/>
      <c r="BZ47" s="994" t="s">
        <v>100</v>
      </c>
      <c r="CA47" s="992"/>
      <c r="CB47" s="992"/>
      <c r="CC47" s="992"/>
      <c r="CD47" s="992"/>
      <c r="CE47" s="992"/>
      <c r="CF47" s="994" t="s">
        <v>100</v>
      </c>
      <c r="CG47" s="992"/>
      <c r="CH47" s="992"/>
      <c r="CI47" s="992"/>
      <c r="CJ47" s="992"/>
      <c r="CK47" s="992"/>
      <c r="CL47" s="992"/>
      <c r="CM47" s="992"/>
      <c r="CN47" s="992"/>
      <c r="CO47" s="992"/>
      <c r="CP47" s="992"/>
      <c r="CQ47" s="992"/>
      <c r="CR47" s="992"/>
      <c r="CS47" s="992"/>
      <c r="CT47" s="992"/>
      <c r="CU47" s="992"/>
      <c r="CV47" s="992"/>
      <c r="CW47" s="994" t="s">
        <v>100</v>
      </c>
      <c r="CX47" s="992"/>
      <c r="CY47" s="992"/>
      <c r="CZ47" s="992"/>
      <c r="DA47" s="992"/>
      <c r="DB47" s="992"/>
      <c r="DC47" s="992"/>
      <c r="DD47" s="992"/>
      <c r="DE47" s="992"/>
      <c r="DF47" s="994" t="s">
        <v>100</v>
      </c>
      <c r="DG47" s="992"/>
      <c r="DH47" s="992"/>
      <c r="DI47" s="992"/>
      <c r="DJ47" s="992"/>
      <c r="DK47" s="992"/>
      <c r="DL47" s="992"/>
      <c r="DM47" s="994" t="s">
        <v>100</v>
      </c>
      <c r="DN47" s="992"/>
      <c r="DO47" s="992"/>
      <c r="DP47" s="992"/>
      <c r="DQ47" s="992"/>
      <c r="DR47" s="992"/>
      <c r="DS47" s="992"/>
      <c r="DT47" s="992"/>
      <c r="DU47" s="992"/>
      <c r="DV47" s="992"/>
      <c r="DW47" s="992"/>
      <c r="DX47" s="992"/>
      <c r="DY47" s="992"/>
      <c r="DZ47" s="992"/>
      <c r="EA47" s="992"/>
      <c r="EB47" s="992"/>
      <c r="EC47" s="992"/>
      <c r="ED47" s="992"/>
      <c r="EE47" s="992"/>
      <c r="EF47" s="992"/>
      <c r="EG47" s="992"/>
      <c r="EH47" s="992"/>
      <c r="EI47" s="992"/>
      <c r="EJ47" s="992"/>
      <c r="EK47" s="992"/>
      <c r="EL47" s="992"/>
      <c r="EM47" s="992"/>
      <c r="EN47" s="992"/>
      <c r="EO47" s="992"/>
      <c r="EP47" s="992"/>
      <c r="EQ47" s="992"/>
      <c r="ER47" s="992"/>
      <c r="ES47" s="992"/>
      <c r="ET47" s="992"/>
      <c r="EU47" s="992"/>
      <c r="EV47" s="992"/>
      <c r="EW47" s="992" t="s">
        <v>100</v>
      </c>
      <c r="EX47" s="992"/>
      <c r="EY47" s="992"/>
      <c r="EZ47" s="992"/>
      <c r="FA47" s="992"/>
      <c r="FB47" s="992"/>
      <c r="FC47" s="992"/>
      <c r="FD47" s="992"/>
      <c r="FE47" s="992"/>
      <c r="FF47" s="992"/>
      <c r="FG47" s="992"/>
      <c r="FH47" s="992" t="s">
        <v>100</v>
      </c>
      <c r="FI47" s="992"/>
      <c r="FJ47" s="992"/>
      <c r="FK47" s="992"/>
      <c r="FL47" s="992" t="s">
        <v>100</v>
      </c>
      <c r="FM47" s="992"/>
      <c r="FN47" s="992"/>
      <c r="FO47" s="992"/>
      <c r="FP47" s="992" t="s">
        <v>100</v>
      </c>
      <c r="FQ47" s="992"/>
      <c r="FR47" s="992"/>
      <c r="FS47" s="992"/>
      <c r="FT47" s="992" t="s">
        <v>100</v>
      </c>
      <c r="FU47" s="992"/>
      <c r="FV47" s="992"/>
      <c r="FW47" s="992"/>
      <c r="FX47" s="992"/>
      <c r="FY47" s="992"/>
      <c r="FZ47" s="992"/>
      <c r="GA47" s="992"/>
      <c r="GB47" s="992" t="s">
        <v>100</v>
      </c>
      <c r="GC47" s="992"/>
      <c r="GD47" s="992"/>
      <c r="GE47" s="992" t="s">
        <v>100</v>
      </c>
      <c r="GF47" s="992"/>
      <c r="GG47" s="992"/>
      <c r="GH47" s="992"/>
      <c r="GI47" s="992"/>
      <c r="GJ47" s="992"/>
      <c r="GK47" s="992"/>
      <c r="GL47" s="992"/>
      <c r="GM47" s="992"/>
      <c r="GN47" s="992"/>
      <c r="GO47" s="992"/>
      <c r="GP47" s="992"/>
      <c r="GQ47" s="992"/>
      <c r="GR47" s="992"/>
      <c r="GS47" s="992" t="s">
        <v>100</v>
      </c>
      <c r="GT47" s="992"/>
      <c r="GU47" s="992"/>
      <c r="GV47" s="992"/>
      <c r="GW47" s="992"/>
      <c r="GX47" s="992"/>
      <c r="GY47" s="992"/>
      <c r="GZ47" s="992"/>
      <c r="HA47" s="992"/>
      <c r="HB47" s="994"/>
      <c r="HC47" s="992"/>
      <c r="HD47" s="992" t="s">
        <v>100</v>
      </c>
      <c r="HE47" s="992"/>
      <c r="HF47" s="992"/>
      <c r="HG47" s="992"/>
      <c r="HH47" s="992"/>
      <c r="HI47" s="992"/>
      <c r="HJ47" s="992"/>
      <c r="HK47" s="992"/>
      <c r="HL47" s="994" t="s">
        <v>100</v>
      </c>
      <c r="HM47" s="992"/>
      <c r="HN47" s="992"/>
      <c r="HO47" s="992"/>
      <c r="HP47" s="992"/>
      <c r="HQ47" s="992"/>
      <c r="HR47" s="992"/>
      <c r="HS47" s="992"/>
      <c r="HT47" s="992"/>
      <c r="HU47" s="994"/>
      <c r="HV47" s="992"/>
      <c r="HW47" s="992"/>
      <c r="HX47" s="992"/>
      <c r="HY47" s="1056"/>
      <c r="HZ47" s="1056"/>
      <c r="IA47" s="1056"/>
      <c r="IB47" s="1056"/>
      <c r="IC47" s="1056"/>
      <c r="ID47" s="1056"/>
      <c r="IE47" s="1056"/>
      <c r="IF47" s="1056"/>
      <c r="IG47" s="1056"/>
      <c r="IH47" s="1056"/>
      <c r="II47" s="1056"/>
      <c r="IJ47" s="1056"/>
      <c r="IK47" s="1056"/>
      <c r="IL47" s="1056"/>
      <c r="IM47" s="1056"/>
      <c r="IN47" s="1056"/>
      <c r="IO47" s="1056"/>
      <c r="IP47" s="1056"/>
      <c r="IQ47" s="1056"/>
      <c r="IR47" s="1056"/>
      <c r="IS47" s="1056"/>
      <c r="IT47" s="1056"/>
      <c r="IU47" s="1056"/>
      <c r="IV47" s="1056"/>
    </row>
    <row r="48" spans="1:256" ht="19.95" customHeight="1">
      <c r="A48" s="991" t="s">
        <v>86</v>
      </c>
      <c r="B48" s="992"/>
      <c r="C48" s="992" t="str">
        <f>IF(ISTEXT(IFERROR(VLOOKUP(A48,职业列表!I3:J10,1,FALSE),0)),"★","")</f>
        <v/>
      </c>
      <c r="D48" s="994"/>
      <c r="E48" s="992"/>
      <c r="F48" s="992"/>
      <c r="G48" s="992"/>
      <c r="H48" s="992"/>
      <c r="I48" s="992"/>
      <c r="J48" s="992"/>
      <c r="K48" s="992"/>
      <c r="L48" s="994" t="s">
        <v>100</v>
      </c>
      <c r="M48" s="992" t="s">
        <v>1373</v>
      </c>
      <c r="N48" s="992"/>
      <c r="O48" s="992"/>
      <c r="P48" s="992"/>
      <c r="Q48" s="992"/>
      <c r="R48" s="992"/>
      <c r="S48" s="992"/>
      <c r="T48" s="994" t="s">
        <v>100</v>
      </c>
      <c r="U48" s="992"/>
      <c r="V48" s="992"/>
      <c r="W48" s="992"/>
      <c r="X48" s="992"/>
      <c r="Y48" s="992"/>
      <c r="Z48" s="992"/>
      <c r="AA48" s="992"/>
      <c r="AB48" s="992"/>
      <c r="AC48" s="992"/>
      <c r="AD48" s="992"/>
      <c r="AE48" s="992"/>
      <c r="AF48" s="992"/>
      <c r="AG48" s="992"/>
      <c r="AH48" s="992"/>
      <c r="AI48" s="992"/>
      <c r="AJ48" s="992"/>
      <c r="AK48" s="992"/>
      <c r="AL48" s="992"/>
      <c r="AM48" s="994" t="s">
        <v>100</v>
      </c>
      <c r="AN48" s="992"/>
      <c r="AO48" s="992"/>
      <c r="AP48" s="992"/>
      <c r="AQ48" s="992"/>
      <c r="AR48" s="992"/>
      <c r="AS48" s="992"/>
      <c r="AT48" s="992"/>
      <c r="AU48" s="994" t="s">
        <v>100</v>
      </c>
      <c r="AV48" s="994" t="s">
        <v>100</v>
      </c>
      <c r="AW48" s="994" t="s">
        <v>100</v>
      </c>
      <c r="AX48" s="994" t="s">
        <v>100</v>
      </c>
      <c r="AY48" s="992"/>
      <c r="AZ48" s="992"/>
      <c r="BA48" s="992"/>
      <c r="BB48" s="992"/>
      <c r="BC48" s="994" t="s">
        <v>100</v>
      </c>
      <c r="BD48" s="999"/>
      <c r="BE48" s="992"/>
      <c r="BF48" s="992"/>
      <c r="BG48" s="992"/>
      <c r="BH48" s="992"/>
      <c r="BI48" s="992"/>
      <c r="BJ48" s="992"/>
      <c r="BK48" s="992"/>
      <c r="BL48" s="994" t="s">
        <v>100</v>
      </c>
      <c r="BM48" s="994" t="s">
        <v>100</v>
      </c>
      <c r="BN48" s="992"/>
      <c r="BO48" s="992"/>
      <c r="BP48" s="992"/>
      <c r="BQ48" s="992"/>
      <c r="BR48" s="992"/>
      <c r="BS48" s="992"/>
      <c r="BT48" s="992"/>
      <c r="BU48" s="992"/>
      <c r="BV48" s="992"/>
      <c r="BW48" s="992"/>
      <c r="BX48" s="992"/>
      <c r="BY48" s="994" t="s">
        <v>100</v>
      </c>
      <c r="BZ48" s="992"/>
      <c r="CA48" s="994" t="s">
        <v>100</v>
      </c>
      <c r="CB48" s="992"/>
      <c r="CC48" s="992"/>
      <c r="CD48" s="992"/>
      <c r="CE48" s="992"/>
      <c r="CF48" s="994" t="s">
        <v>100</v>
      </c>
      <c r="CG48" s="992"/>
      <c r="CH48" s="992"/>
      <c r="CI48" s="992"/>
      <c r="CJ48" s="992"/>
      <c r="CK48" s="994" t="s">
        <v>100</v>
      </c>
      <c r="CL48" s="994" t="s">
        <v>100</v>
      </c>
      <c r="CM48" s="992"/>
      <c r="CN48" s="992"/>
      <c r="CO48" s="992"/>
      <c r="CP48" s="992"/>
      <c r="CQ48" s="994" t="s">
        <v>100</v>
      </c>
      <c r="CR48" s="992"/>
      <c r="CS48" s="992"/>
      <c r="CT48" s="992"/>
      <c r="CU48" s="992"/>
      <c r="CV48" s="994" t="s">
        <v>100</v>
      </c>
      <c r="CW48" s="994" t="s">
        <v>100</v>
      </c>
      <c r="CX48" s="992"/>
      <c r="CY48" s="992"/>
      <c r="CZ48" s="992"/>
      <c r="DA48" s="992"/>
      <c r="DB48" s="992"/>
      <c r="DC48" s="992"/>
      <c r="DD48" s="992"/>
      <c r="DE48" s="992"/>
      <c r="DF48" s="992"/>
      <c r="DG48" s="992"/>
      <c r="DH48" s="992"/>
      <c r="DI48" s="992"/>
      <c r="DJ48" s="992"/>
      <c r="DK48" s="992"/>
      <c r="DL48" s="992"/>
      <c r="DM48" s="992"/>
      <c r="DN48" s="992"/>
      <c r="DO48" s="992"/>
      <c r="DP48" s="992"/>
      <c r="DQ48" s="992"/>
      <c r="DR48" s="992"/>
      <c r="DS48" s="992"/>
      <c r="DT48" s="992"/>
      <c r="DU48" s="992"/>
      <c r="DV48" s="992"/>
      <c r="DW48" s="992"/>
      <c r="DX48" s="992"/>
      <c r="DY48" s="992"/>
      <c r="DZ48" s="992"/>
      <c r="EA48" s="992"/>
      <c r="EB48" s="992"/>
      <c r="EC48" s="992"/>
      <c r="ED48" s="992"/>
      <c r="EE48" s="992"/>
      <c r="EF48" s="992"/>
      <c r="EG48" s="992"/>
      <c r="EH48" s="992"/>
      <c r="EI48" s="992" t="s">
        <v>100</v>
      </c>
      <c r="EJ48" s="992"/>
      <c r="EK48" s="992"/>
      <c r="EL48" s="992"/>
      <c r="EM48" s="992"/>
      <c r="EN48" s="992"/>
      <c r="EO48" s="992"/>
      <c r="EP48" s="992"/>
      <c r="EQ48" s="992"/>
      <c r="ER48" s="992"/>
      <c r="ES48" s="992" t="s">
        <v>100</v>
      </c>
      <c r="ET48" s="992"/>
      <c r="EU48" s="992"/>
      <c r="EV48" s="992"/>
      <c r="EW48" s="992" t="s">
        <v>100</v>
      </c>
      <c r="EX48" s="992"/>
      <c r="EY48" s="992"/>
      <c r="EZ48" s="992"/>
      <c r="FA48" s="992"/>
      <c r="FB48" s="992"/>
      <c r="FC48" s="992"/>
      <c r="FD48" s="992"/>
      <c r="FE48" s="992"/>
      <c r="FF48" s="992"/>
      <c r="FG48" s="992"/>
      <c r="FH48" s="992"/>
      <c r="FI48" s="992"/>
      <c r="FJ48" s="992"/>
      <c r="FK48" s="992"/>
      <c r="FL48" s="992"/>
      <c r="FM48" s="992"/>
      <c r="FN48" s="992"/>
      <c r="FO48" s="992"/>
      <c r="FP48" s="992" t="s">
        <v>100</v>
      </c>
      <c r="FQ48" s="992"/>
      <c r="FR48" s="992"/>
      <c r="FS48" s="992"/>
      <c r="FT48" s="992"/>
      <c r="FU48" s="992"/>
      <c r="FV48" s="992"/>
      <c r="FW48" s="992"/>
      <c r="FX48" s="992" t="s">
        <v>100</v>
      </c>
      <c r="FY48" s="992"/>
      <c r="FZ48" s="992"/>
      <c r="GA48" s="992" t="s">
        <v>100</v>
      </c>
      <c r="GB48" s="992" t="s">
        <v>100</v>
      </c>
      <c r="GC48" s="992"/>
      <c r="GD48" s="992"/>
      <c r="GE48" s="992" t="s">
        <v>100</v>
      </c>
      <c r="GF48" s="992"/>
      <c r="GG48" s="992"/>
      <c r="GH48" s="992"/>
      <c r="GI48" s="992"/>
      <c r="GJ48" s="992"/>
      <c r="GK48" s="992"/>
      <c r="GL48" s="992"/>
      <c r="GM48" s="992"/>
      <c r="GN48" s="992"/>
      <c r="GO48" s="992"/>
      <c r="GP48" s="992"/>
      <c r="GQ48" s="992"/>
      <c r="GR48" s="992"/>
      <c r="GS48" s="992"/>
      <c r="GT48" s="992"/>
      <c r="GU48" s="992"/>
      <c r="GV48" s="992"/>
      <c r="GW48" s="992"/>
      <c r="GX48" s="992"/>
      <c r="GY48" s="992"/>
      <c r="GZ48" s="992"/>
      <c r="HA48" s="992"/>
      <c r="HB48" s="992"/>
      <c r="HC48" s="992"/>
      <c r="HD48" s="994" t="s">
        <v>100</v>
      </c>
      <c r="HE48" s="992"/>
      <c r="HF48" s="992"/>
      <c r="HG48" s="992"/>
      <c r="HH48" s="992"/>
      <c r="HI48" s="992"/>
      <c r="HJ48" s="992"/>
      <c r="HK48" s="993" t="s">
        <v>100</v>
      </c>
      <c r="HL48" s="994" t="s">
        <v>100</v>
      </c>
      <c r="HM48" s="992"/>
      <c r="HN48" s="992"/>
      <c r="HO48" s="992"/>
      <c r="HP48" s="992"/>
      <c r="HQ48" s="992"/>
      <c r="HR48" s="992"/>
      <c r="HS48" s="992"/>
      <c r="HT48" s="992"/>
      <c r="HU48" s="992"/>
      <c r="HV48" s="992"/>
      <c r="HW48" s="992"/>
      <c r="HX48" s="993" t="s">
        <v>100</v>
      </c>
      <c r="HY48" s="1056"/>
      <c r="HZ48" s="1056"/>
      <c r="IA48" s="1056"/>
      <c r="IB48" s="1056"/>
      <c r="IC48" s="1056"/>
      <c r="ID48" s="1056"/>
      <c r="IE48" s="1056"/>
      <c r="IF48" s="1056"/>
      <c r="IG48" s="1056"/>
      <c r="IH48" s="1056"/>
      <c r="II48" s="1056"/>
      <c r="IJ48" s="1056"/>
      <c r="IK48" s="1056"/>
      <c r="IL48" s="1056"/>
      <c r="IM48" s="1056"/>
      <c r="IN48" s="1056"/>
      <c r="IO48" s="1056"/>
      <c r="IP48" s="1056"/>
      <c r="IQ48" s="1056"/>
      <c r="IR48" s="1056"/>
      <c r="IS48" s="1056"/>
      <c r="IT48" s="1056"/>
      <c r="IU48" s="1056"/>
      <c r="IV48" s="1056"/>
    </row>
    <row r="49" spans="1:256" ht="19.95" customHeight="1">
      <c r="A49" s="991" t="s">
        <v>89</v>
      </c>
      <c r="B49" s="992"/>
      <c r="C49" s="992" t="str">
        <f>IF(ISTEXT(IFERROR(VLOOKUP(A49,职业列表!I3:J10,1,FALSE),0)),"★","")</f>
        <v/>
      </c>
      <c r="D49" s="994"/>
      <c r="E49" s="992"/>
      <c r="F49" s="992"/>
      <c r="G49" s="992"/>
      <c r="H49" s="992"/>
      <c r="I49" s="992"/>
      <c r="J49" s="992"/>
      <c r="K49" s="992"/>
      <c r="L49" s="992"/>
      <c r="M49" s="992"/>
      <c r="N49" s="992"/>
      <c r="O49" s="992"/>
      <c r="P49" s="992"/>
      <c r="Q49" s="992"/>
      <c r="R49" s="992" t="s">
        <v>1373</v>
      </c>
      <c r="S49" s="992"/>
      <c r="T49" s="992"/>
      <c r="U49" s="992"/>
      <c r="V49" s="992"/>
      <c r="W49" s="992"/>
      <c r="X49" s="992"/>
      <c r="Y49" s="992"/>
      <c r="Z49" s="992"/>
      <c r="AA49" s="992"/>
      <c r="AB49" s="992"/>
      <c r="AC49" s="992"/>
      <c r="AD49" s="992"/>
      <c r="AE49" s="992"/>
      <c r="AF49" s="992"/>
      <c r="AG49" s="992"/>
      <c r="AH49" s="992"/>
      <c r="AI49" s="992"/>
      <c r="AJ49" s="992"/>
      <c r="AK49" s="992"/>
      <c r="AL49" s="992"/>
      <c r="AM49" s="992"/>
      <c r="AN49" s="992"/>
      <c r="AO49" s="994" t="s">
        <v>100</v>
      </c>
      <c r="AP49" s="994" t="s">
        <v>100</v>
      </c>
      <c r="AQ49" s="992"/>
      <c r="AR49" s="992"/>
      <c r="AS49" s="992"/>
      <c r="AT49" s="992"/>
      <c r="AU49" s="992"/>
      <c r="AV49" s="992"/>
      <c r="AW49" s="992"/>
      <c r="AX49" s="992"/>
      <c r="AY49" s="992"/>
      <c r="AZ49" s="992"/>
      <c r="BA49" s="992"/>
      <c r="BB49" s="992"/>
      <c r="BC49" s="992"/>
      <c r="BD49" s="992"/>
      <c r="BE49" s="992"/>
      <c r="BF49" s="992"/>
      <c r="BG49" s="992"/>
      <c r="BH49" s="992"/>
      <c r="BI49" s="992"/>
      <c r="BJ49" s="992"/>
      <c r="BK49" s="992"/>
      <c r="BL49" s="992"/>
      <c r="BM49" s="992"/>
      <c r="BN49" s="992"/>
      <c r="BO49" s="992"/>
      <c r="BP49" s="992"/>
      <c r="BQ49" s="992"/>
      <c r="BR49" s="992"/>
      <c r="BS49" s="992"/>
      <c r="BT49" s="992"/>
      <c r="BU49" s="992"/>
      <c r="BV49" s="992"/>
      <c r="BW49" s="992"/>
      <c r="BX49" s="992"/>
      <c r="BY49" s="992"/>
      <c r="BZ49" s="992"/>
      <c r="CA49" s="992"/>
      <c r="CB49" s="994" t="s">
        <v>100</v>
      </c>
      <c r="CC49" s="992"/>
      <c r="CD49" s="992"/>
      <c r="CE49" s="994" t="s">
        <v>100</v>
      </c>
      <c r="CF49" s="992"/>
      <c r="CG49" s="994" t="s">
        <v>100</v>
      </c>
      <c r="CH49" s="992"/>
      <c r="CI49" s="992"/>
      <c r="CJ49" s="992"/>
      <c r="CK49" s="992"/>
      <c r="CL49" s="992"/>
      <c r="CM49" s="992"/>
      <c r="CN49" s="992"/>
      <c r="CO49" s="992"/>
      <c r="CP49" s="992"/>
      <c r="CQ49" s="992"/>
      <c r="CR49" s="992"/>
      <c r="CS49" s="992"/>
      <c r="CT49" s="992"/>
      <c r="CU49" s="992"/>
      <c r="CV49" s="992"/>
      <c r="CW49" s="992"/>
      <c r="CX49" s="992"/>
      <c r="CY49" s="992"/>
      <c r="CZ49" s="992"/>
      <c r="DA49" s="992"/>
      <c r="DB49" s="992"/>
      <c r="DC49" s="992"/>
      <c r="DD49" s="992"/>
      <c r="DE49" s="992"/>
      <c r="DF49" s="994" t="s">
        <v>100</v>
      </c>
      <c r="DG49" s="994" t="s">
        <v>100</v>
      </c>
      <c r="DH49" s="992"/>
      <c r="DI49" s="992"/>
      <c r="DJ49" s="992"/>
      <c r="DK49" s="992"/>
      <c r="DL49" s="992"/>
      <c r="DM49" s="992"/>
      <c r="DN49" s="992"/>
      <c r="DO49" s="992"/>
      <c r="DP49" s="992"/>
      <c r="DQ49" s="992"/>
      <c r="DR49" s="992"/>
      <c r="DS49" s="992"/>
      <c r="DT49" s="992"/>
      <c r="DU49" s="992" t="s">
        <v>100</v>
      </c>
      <c r="DV49" s="992"/>
      <c r="DW49" s="992" t="s">
        <v>100</v>
      </c>
      <c r="DX49" s="992"/>
      <c r="DY49" s="992"/>
      <c r="DZ49" s="992"/>
      <c r="EA49" s="992"/>
      <c r="EB49" s="992"/>
      <c r="EC49" s="992"/>
      <c r="ED49" s="992"/>
      <c r="EE49" s="992"/>
      <c r="EF49" s="992"/>
      <c r="EG49" s="992"/>
      <c r="EH49" s="992"/>
      <c r="EI49" s="992"/>
      <c r="EJ49" s="992"/>
      <c r="EK49" s="992"/>
      <c r="EL49" s="992"/>
      <c r="EM49" s="992"/>
      <c r="EN49" s="992"/>
      <c r="EO49" s="992"/>
      <c r="EP49" s="992"/>
      <c r="EQ49" s="992"/>
      <c r="ER49" s="992"/>
      <c r="ES49" s="992"/>
      <c r="ET49" s="992"/>
      <c r="EU49" s="992"/>
      <c r="EV49" s="992"/>
      <c r="EW49" s="992"/>
      <c r="EX49" s="992"/>
      <c r="EY49" s="992"/>
      <c r="EZ49" s="992"/>
      <c r="FA49" s="992"/>
      <c r="FB49" s="992"/>
      <c r="FC49" s="992"/>
      <c r="FD49" s="992"/>
      <c r="FE49" s="992"/>
      <c r="FF49" s="992" t="s">
        <v>100</v>
      </c>
      <c r="FG49" s="992" t="s">
        <v>100</v>
      </c>
      <c r="FH49" s="992" t="s">
        <v>100</v>
      </c>
      <c r="FI49" s="992"/>
      <c r="FJ49" s="992" t="s">
        <v>100</v>
      </c>
      <c r="FK49" s="992" t="s">
        <v>100</v>
      </c>
      <c r="FL49" s="992" t="s">
        <v>100</v>
      </c>
      <c r="FM49" s="992"/>
      <c r="FN49" s="992"/>
      <c r="FO49" s="992"/>
      <c r="FP49" s="992"/>
      <c r="FQ49" s="992"/>
      <c r="FR49" s="992"/>
      <c r="FS49" s="992"/>
      <c r="FT49" s="992"/>
      <c r="FU49" s="992"/>
      <c r="FV49" s="992"/>
      <c r="FW49" s="992"/>
      <c r="FX49" s="992"/>
      <c r="FY49" s="992"/>
      <c r="FZ49" s="992"/>
      <c r="GA49" s="992"/>
      <c r="GB49" s="992"/>
      <c r="GC49" s="992"/>
      <c r="GD49" s="992"/>
      <c r="GE49" s="992"/>
      <c r="GF49" s="992"/>
      <c r="GG49" s="992"/>
      <c r="GH49" s="992"/>
      <c r="GI49" s="992"/>
      <c r="GJ49" s="992"/>
      <c r="GK49" s="992"/>
      <c r="GL49" s="992"/>
      <c r="GM49" s="992"/>
      <c r="GN49" s="992"/>
      <c r="GO49" s="992"/>
      <c r="GP49" s="992" t="s">
        <v>100</v>
      </c>
      <c r="GQ49" s="992" t="s">
        <v>100</v>
      </c>
      <c r="GR49" s="992"/>
      <c r="GS49" s="992"/>
      <c r="GT49" s="992"/>
      <c r="GU49" s="992"/>
      <c r="GV49" s="992"/>
      <c r="GW49" s="992"/>
      <c r="GX49" s="992"/>
      <c r="GY49" s="992"/>
      <c r="GZ49" s="992"/>
      <c r="HA49" s="992"/>
      <c r="HB49" s="992"/>
      <c r="HC49" s="992"/>
      <c r="HD49" s="992"/>
      <c r="HE49" s="992"/>
      <c r="HF49" s="992"/>
      <c r="HG49" s="992"/>
      <c r="HH49" s="992"/>
      <c r="HI49" s="992"/>
      <c r="HJ49" s="992"/>
      <c r="HK49" s="992"/>
      <c r="HL49" s="992"/>
      <c r="HM49" s="992"/>
      <c r="HN49" s="992"/>
      <c r="HO49" s="992"/>
      <c r="HP49" s="992"/>
      <c r="HQ49" s="992"/>
      <c r="HR49" s="992"/>
      <c r="HS49" s="992"/>
      <c r="HT49" s="992"/>
      <c r="HU49" s="992"/>
      <c r="HV49" s="992"/>
      <c r="HW49" s="992"/>
      <c r="HX49" s="992"/>
      <c r="HY49" s="1056"/>
      <c r="HZ49" s="1056"/>
      <c r="IA49" s="1056"/>
      <c r="IB49" s="1056"/>
      <c r="IC49" s="1056"/>
      <c r="ID49" s="1056"/>
      <c r="IE49" s="1056"/>
      <c r="IF49" s="1056"/>
      <c r="IG49" s="1056"/>
      <c r="IH49" s="1056"/>
      <c r="II49" s="1056"/>
      <c r="IJ49" s="1056"/>
      <c r="IK49" s="1056"/>
      <c r="IL49" s="1056"/>
      <c r="IM49" s="1056"/>
      <c r="IN49" s="1056"/>
      <c r="IO49" s="1056"/>
      <c r="IP49" s="1056"/>
      <c r="IQ49" s="1056"/>
      <c r="IR49" s="1056"/>
      <c r="IS49" s="1056"/>
      <c r="IT49" s="1056"/>
      <c r="IU49" s="1056"/>
      <c r="IV49" s="1056"/>
    </row>
    <row r="50" spans="1:256" ht="19.95" customHeight="1">
      <c r="A50" s="991" t="s">
        <v>94</v>
      </c>
      <c r="B50" s="992"/>
      <c r="C50" s="992" t="str">
        <f>IF(ISTEXT(IFERROR(VLOOKUP(A50,职业列表!I3:J10,1,FALSE),0)),"★","")</f>
        <v/>
      </c>
      <c r="D50" s="994"/>
      <c r="E50" s="992"/>
      <c r="F50" s="992"/>
      <c r="G50" s="992"/>
      <c r="H50" s="992"/>
      <c r="I50" s="992"/>
      <c r="J50" s="992"/>
      <c r="K50" s="992"/>
      <c r="L50" s="992"/>
      <c r="M50" s="992"/>
      <c r="N50" s="992"/>
      <c r="O50" s="992"/>
      <c r="P50" s="992"/>
      <c r="Q50" s="992"/>
      <c r="R50" s="992"/>
      <c r="S50" s="992"/>
      <c r="T50" s="992"/>
      <c r="U50" s="992"/>
      <c r="V50" s="992"/>
      <c r="W50" s="992"/>
      <c r="X50" s="992"/>
      <c r="Y50" s="992"/>
      <c r="Z50" s="992"/>
      <c r="AA50" s="992"/>
      <c r="AB50" s="992"/>
      <c r="AC50" s="992"/>
      <c r="AD50" s="994"/>
      <c r="AE50" s="994" t="s">
        <v>100</v>
      </c>
      <c r="AF50" s="992"/>
      <c r="AG50" s="992"/>
      <c r="AH50" s="992"/>
      <c r="AI50" s="992"/>
      <c r="AJ50" s="992"/>
      <c r="AK50" s="992"/>
      <c r="AL50" s="992"/>
      <c r="AM50" s="992"/>
      <c r="AN50" s="992"/>
      <c r="AO50" s="992"/>
      <c r="AP50" s="992"/>
      <c r="AQ50" s="992"/>
      <c r="AR50" s="992"/>
      <c r="AS50" s="992"/>
      <c r="AT50" s="992"/>
      <c r="AU50" s="992"/>
      <c r="AV50" s="992"/>
      <c r="AW50" s="992"/>
      <c r="AX50" s="992"/>
      <c r="AY50" s="992"/>
      <c r="AZ50" s="992"/>
      <c r="BA50" s="994" t="s">
        <v>100</v>
      </c>
      <c r="BB50" s="992"/>
      <c r="BC50" s="992"/>
      <c r="BD50" s="994" t="s">
        <v>100</v>
      </c>
      <c r="BE50" s="992"/>
      <c r="BF50" s="994" t="s">
        <v>100</v>
      </c>
      <c r="BG50" s="992"/>
      <c r="BH50" s="992"/>
      <c r="BI50" s="992"/>
      <c r="BJ50" s="992"/>
      <c r="BK50" s="992"/>
      <c r="BL50" s="992"/>
      <c r="BM50" s="992"/>
      <c r="BN50" s="992"/>
      <c r="BO50" s="992"/>
      <c r="BP50" s="992"/>
      <c r="BQ50" s="992"/>
      <c r="BR50" s="992"/>
      <c r="BS50" s="994" t="s">
        <v>100</v>
      </c>
      <c r="BT50" s="992"/>
      <c r="BU50" s="994" t="s">
        <v>100</v>
      </c>
      <c r="BV50" s="992"/>
      <c r="BW50" s="992"/>
      <c r="BX50" s="994" t="s">
        <v>100</v>
      </c>
      <c r="BY50" s="992"/>
      <c r="BZ50" s="992"/>
      <c r="CA50" s="992"/>
      <c r="CB50" s="992"/>
      <c r="CC50" s="992"/>
      <c r="CD50" s="992"/>
      <c r="CE50" s="992"/>
      <c r="CF50" s="992"/>
      <c r="CG50" s="992"/>
      <c r="CH50" s="992"/>
      <c r="CI50" s="992"/>
      <c r="CJ50" s="992"/>
      <c r="CK50" s="994" t="s">
        <v>100</v>
      </c>
      <c r="CL50" s="992"/>
      <c r="CM50" s="992"/>
      <c r="CN50" s="992"/>
      <c r="CO50" s="992"/>
      <c r="CP50" s="992"/>
      <c r="CQ50" s="992"/>
      <c r="CR50" s="992"/>
      <c r="CS50" s="992"/>
      <c r="CT50" s="992"/>
      <c r="CU50" s="992"/>
      <c r="CV50" s="992"/>
      <c r="CW50" s="992"/>
      <c r="CX50" s="992"/>
      <c r="CY50" s="992"/>
      <c r="CZ50" s="992"/>
      <c r="DA50" s="992"/>
      <c r="DB50" s="992"/>
      <c r="DC50" s="992"/>
      <c r="DD50" s="992"/>
      <c r="DE50" s="992"/>
      <c r="DF50" s="992"/>
      <c r="DG50" s="992"/>
      <c r="DH50" s="994" t="s">
        <v>100</v>
      </c>
      <c r="DI50" s="992"/>
      <c r="DJ50" s="992"/>
      <c r="DK50" s="992"/>
      <c r="DL50" s="992"/>
      <c r="DM50" s="992"/>
      <c r="DN50" s="992"/>
      <c r="DO50" s="992"/>
      <c r="DP50" s="992"/>
      <c r="DQ50" s="992"/>
      <c r="DR50" s="992"/>
      <c r="DS50" s="992"/>
      <c r="DT50" s="992"/>
      <c r="DU50" s="992"/>
      <c r="DV50" s="992"/>
      <c r="DW50" s="992"/>
      <c r="DX50" s="992"/>
      <c r="DY50" s="992"/>
      <c r="DZ50" s="992"/>
      <c r="EA50" s="992"/>
      <c r="EB50" s="992"/>
      <c r="EC50" s="992"/>
      <c r="ED50" s="992"/>
      <c r="EE50" s="992"/>
      <c r="EF50" s="992"/>
      <c r="EG50" s="992"/>
      <c r="EH50" s="992"/>
      <c r="EI50" s="992"/>
      <c r="EJ50" s="992"/>
      <c r="EK50" s="992"/>
      <c r="EL50" s="992"/>
      <c r="EM50" s="992"/>
      <c r="EN50" s="992" t="s">
        <v>100</v>
      </c>
      <c r="EO50" s="992"/>
      <c r="EP50" s="992"/>
      <c r="EQ50" s="992"/>
      <c r="ER50" s="992"/>
      <c r="ES50" s="992"/>
      <c r="ET50" s="992"/>
      <c r="EU50" s="992"/>
      <c r="EV50" s="992"/>
      <c r="EW50" s="992"/>
      <c r="EX50" s="992"/>
      <c r="EY50" s="992"/>
      <c r="EZ50" s="992"/>
      <c r="FA50" s="992"/>
      <c r="FB50" s="992"/>
      <c r="FC50" s="992"/>
      <c r="FD50" s="992"/>
      <c r="FE50" s="992"/>
      <c r="FF50" s="992"/>
      <c r="FG50" s="992"/>
      <c r="FH50" s="992"/>
      <c r="FI50" s="992"/>
      <c r="FJ50" s="992"/>
      <c r="FK50" s="992"/>
      <c r="FL50" s="992"/>
      <c r="FM50" s="992"/>
      <c r="FN50" s="992"/>
      <c r="FO50" s="992"/>
      <c r="FP50" s="992" t="s">
        <v>100</v>
      </c>
      <c r="FQ50" s="992"/>
      <c r="FR50" s="992"/>
      <c r="FS50" s="992"/>
      <c r="FT50" s="992"/>
      <c r="FU50" s="992"/>
      <c r="FV50" s="992"/>
      <c r="FW50" s="992"/>
      <c r="FX50" s="992"/>
      <c r="FY50" s="992"/>
      <c r="FZ50" s="992"/>
      <c r="GA50" s="992"/>
      <c r="GB50" s="992"/>
      <c r="GC50" s="992"/>
      <c r="GD50" s="992"/>
      <c r="GE50" s="992"/>
      <c r="GF50" s="992"/>
      <c r="GG50" s="992"/>
      <c r="GH50" s="992"/>
      <c r="GI50" s="992"/>
      <c r="GJ50" s="992"/>
      <c r="GK50" s="992"/>
      <c r="GL50" s="992"/>
      <c r="GM50" s="992"/>
      <c r="GN50" s="992"/>
      <c r="GO50" s="992"/>
      <c r="GP50" s="992"/>
      <c r="GQ50" s="992"/>
      <c r="GR50" s="992" t="s">
        <v>100</v>
      </c>
      <c r="GS50" s="992"/>
      <c r="GT50" s="992"/>
      <c r="GU50" s="992"/>
      <c r="GV50" s="992"/>
      <c r="GW50" s="992"/>
      <c r="GX50" s="992"/>
      <c r="GY50" s="992"/>
      <c r="GZ50" s="992"/>
      <c r="HA50" s="992"/>
      <c r="HB50" s="992"/>
      <c r="HC50" s="992"/>
      <c r="HD50" s="992"/>
      <c r="HE50" s="992"/>
      <c r="HF50" s="992"/>
      <c r="HG50" s="992"/>
      <c r="HH50" s="992"/>
      <c r="HI50" s="992"/>
      <c r="HJ50" s="992"/>
      <c r="HK50" s="992"/>
      <c r="HL50" s="992"/>
      <c r="HM50" s="992"/>
      <c r="HN50" s="992"/>
      <c r="HO50" s="993" t="s">
        <v>100</v>
      </c>
      <c r="HP50" s="992"/>
      <c r="HQ50" s="992"/>
      <c r="HR50" s="992"/>
      <c r="HS50" s="992"/>
      <c r="HT50" s="992"/>
      <c r="HU50" s="992"/>
      <c r="HV50" s="994"/>
      <c r="HW50" s="994"/>
      <c r="HX50" s="992"/>
      <c r="HY50" s="1056"/>
      <c r="HZ50" s="1056"/>
      <c r="IA50" s="1056"/>
      <c r="IB50" s="1056"/>
      <c r="IC50" s="1056"/>
      <c r="ID50" s="1056"/>
      <c r="IE50" s="1056"/>
      <c r="IF50" s="1056"/>
      <c r="IG50" s="1056"/>
      <c r="IH50" s="1056"/>
      <c r="II50" s="1056"/>
      <c r="IJ50" s="1056"/>
      <c r="IK50" s="1056"/>
      <c r="IL50" s="1056"/>
      <c r="IM50" s="1056"/>
      <c r="IN50" s="1056"/>
      <c r="IO50" s="1056"/>
      <c r="IP50" s="1056"/>
      <c r="IQ50" s="1056"/>
      <c r="IR50" s="1056"/>
      <c r="IS50" s="1056"/>
      <c r="IT50" s="1056"/>
      <c r="IU50" s="1056"/>
      <c r="IV50" s="1056"/>
    </row>
    <row r="51" spans="1:256" s="974" customFormat="1" ht="19.95" customHeight="1">
      <c r="A51" s="1000" t="s">
        <v>102</v>
      </c>
      <c r="B51" s="1001"/>
      <c r="C51" s="992" t="str">
        <f>IF(ISTEXT(IFERROR(VLOOKUP(A51,职业列表!I3:J10,1,FALSE),0)),"★","")</f>
        <v/>
      </c>
      <c r="D51" s="1002" t="s">
        <v>100</v>
      </c>
      <c r="E51" s="1001"/>
      <c r="F51" s="1001" t="s">
        <v>1375</v>
      </c>
      <c r="G51" s="1001" t="s">
        <v>1375</v>
      </c>
      <c r="H51" s="1001" t="s">
        <v>1375</v>
      </c>
      <c r="I51" s="1001"/>
      <c r="J51" s="1001"/>
      <c r="K51" s="1001" t="s">
        <v>1375</v>
      </c>
      <c r="L51" s="1001" t="s">
        <v>1375</v>
      </c>
      <c r="M51" s="1001"/>
      <c r="N51" s="1002" t="s">
        <v>100</v>
      </c>
      <c r="O51" s="1001" t="s">
        <v>1375</v>
      </c>
      <c r="P51" s="1001" t="s">
        <v>1375</v>
      </c>
      <c r="Q51" s="1001" t="s">
        <v>1375</v>
      </c>
      <c r="R51" s="1001"/>
      <c r="S51" s="1001" t="s">
        <v>1375</v>
      </c>
      <c r="T51" s="1001"/>
      <c r="U51" s="1001" t="s">
        <v>1375</v>
      </c>
      <c r="V51" s="1001" t="s">
        <v>1375</v>
      </c>
      <c r="W51" s="1001"/>
      <c r="X51" s="1001"/>
      <c r="Y51" s="1001" t="s">
        <v>1375</v>
      </c>
      <c r="Z51" s="1001"/>
      <c r="AA51" s="1003" t="s">
        <v>1375</v>
      </c>
      <c r="AB51" s="1001"/>
      <c r="AC51" s="1001"/>
      <c r="AD51" s="1001"/>
      <c r="AE51" s="1001"/>
      <c r="AF51" s="1001" t="s">
        <v>1375</v>
      </c>
      <c r="AG51" s="1001"/>
      <c r="AH51" s="1001" t="s">
        <v>1375</v>
      </c>
      <c r="AI51" s="1001" t="s">
        <v>1375</v>
      </c>
      <c r="AJ51" s="1001" t="s">
        <v>1375</v>
      </c>
      <c r="AK51" s="1001" t="s">
        <v>1375</v>
      </c>
      <c r="AL51" s="1001"/>
      <c r="AM51" s="1001" t="s">
        <v>1375</v>
      </c>
      <c r="AN51" s="1001" t="s">
        <v>1375</v>
      </c>
      <c r="AO51" s="1001" t="s">
        <v>1375</v>
      </c>
      <c r="AP51" s="1001" t="s">
        <v>1375</v>
      </c>
      <c r="AQ51" s="1035"/>
      <c r="AR51" s="1001" t="s">
        <v>1375</v>
      </c>
      <c r="AS51" s="1001"/>
      <c r="AT51" s="1001"/>
      <c r="AU51" s="1001" t="s">
        <v>1375</v>
      </c>
      <c r="AV51" s="1001" t="s">
        <v>1375</v>
      </c>
      <c r="AW51" s="1001" t="s">
        <v>1375</v>
      </c>
      <c r="AX51" s="1001"/>
      <c r="AY51" s="1001" t="s">
        <v>1375</v>
      </c>
      <c r="AZ51" s="1002" t="s">
        <v>100</v>
      </c>
      <c r="BA51" s="1001"/>
      <c r="BB51" s="1001" t="s">
        <v>1375</v>
      </c>
      <c r="BC51" s="1001"/>
      <c r="BD51" s="1001" t="s">
        <v>1375</v>
      </c>
      <c r="BE51" s="1002" t="s">
        <v>100</v>
      </c>
      <c r="BF51" s="1001"/>
      <c r="BG51" s="1001" t="s">
        <v>1375</v>
      </c>
      <c r="BH51" s="1002" t="s">
        <v>100</v>
      </c>
      <c r="BI51" s="1001" t="s">
        <v>1375</v>
      </c>
      <c r="BJ51" s="1001" t="s">
        <v>1375</v>
      </c>
      <c r="BK51" s="1001" t="s">
        <v>1375</v>
      </c>
      <c r="BL51" s="1001" t="s">
        <v>1375</v>
      </c>
      <c r="BM51" s="1001"/>
      <c r="BN51" s="1001" t="s">
        <v>1375</v>
      </c>
      <c r="BO51" s="1001" t="s">
        <v>1375</v>
      </c>
      <c r="BP51" s="1001" t="s">
        <v>1375</v>
      </c>
      <c r="BQ51" s="1002" t="s">
        <v>100</v>
      </c>
      <c r="BR51" s="1001"/>
      <c r="BS51" s="1001"/>
      <c r="BT51" s="1001"/>
      <c r="BU51" s="1035"/>
      <c r="BV51" s="1001" t="s">
        <v>1375</v>
      </c>
      <c r="BW51" s="1001"/>
      <c r="BX51" s="1001"/>
      <c r="BY51" s="1001" t="s">
        <v>1375</v>
      </c>
      <c r="BZ51" s="1001" t="s">
        <v>1375</v>
      </c>
      <c r="CA51" s="1001"/>
      <c r="CB51" s="1001"/>
      <c r="CC51" s="1001" t="s">
        <v>1375</v>
      </c>
      <c r="CD51" s="1001" t="s">
        <v>1375</v>
      </c>
      <c r="CE51" s="1001" t="s">
        <v>1375</v>
      </c>
      <c r="CF51" s="1001"/>
      <c r="CG51" s="1001"/>
      <c r="CH51" s="1001" t="s">
        <v>1375</v>
      </c>
      <c r="CI51" s="1001" t="s">
        <v>1375</v>
      </c>
      <c r="CJ51" s="1001" t="s">
        <v>1375</v>
      </c>
      <c r="CK51" s="1001"/>
      <c r="CL51" s="1001"/>
      <c r="CM51" s="1001" t="s">
        <v>1375</v>
      </c>
      <c r="CN51" s="1001" t="s">
        <v>1375</v>
      </c>
      <c r="CO51" s="1001" t="s">
        <v>1375</v>
      </c>
      <c r="CP51" s="1001"/>
      <c r="CQ51" s="1001"/>
      <c r="CR51" s="1001" t="s">
        <v>1375</v>
      </c>
      <c r="CS51" s="1002" t="s">
        <v>100</v>
      </c>
      <c r="CT51" s="1002" t="s">
        <v>100</v>
      </c>
      <c r="CU51" s="1001" t="s">
        <v>1375</v>
      </c>
      <c r="CV51" s="1001"/>
      <c r="CW51" s="1001" t="s">
        <v>1375</v>
      </c>
      <c r="CX51" s="1001" t="s">
        <v>1375</v>
      </c>
      <c r="CY51" s="1001" t="s">
        <v>1375</v>
      </c>
      <c r="CZ51" s="1001" t="s">
        <v>1375</v>
      </c>
      <c r="DA51" s="1001" t="s">
        <v>1375</v>
      </c>
      <c r="DB51" s="1001"/>
      <c r="DC51" s="1001" t="s">
        <v>1375</v>
      </c>
      <c r="DD51" s="1001"/>
      <c r="DE51" s="1001"/>
      <c r="DF51" s="1001"/>
      <c r="DG51" s="1001" t="s">
        <v>1375</v>
      </c>
      <c r="DH51" s="1001" t="s">
        <v>1375</v>
      </c>
      <c r="DI51" s="1001" t="s">
        <v>1375</v>
      </c>
      <c r="DJ51" s="1001" t="s">
        <v>1375</v>
      </c>
      <c r="DK51" s="1001" t="s">
        <v>1375</v>
      </c>
      <c r="DL51" s="1001" t="s">
        <v>1375</v>
      </c>
      <c r="DM51" s="1001"/>
      <c r="DN51" s="1001" t="s">
        <v>100</v>
      </c>
      <c r="DO51" s="1001" t="s">
        <v>1375</v>
      </c>
      <c r="DP51" s="1001" t="s">
        <v>1375</v>
      </c>
      <c r="DQ51" s="1001" t="s">
        <v>1375</v>
      </c>
      <c r="DR51" s="1001" t="s">
        <v>1375</v>
      </c>
      <c r="DS51" s="1001" t="s">
        <v>1375</v>
      </c>
      <c r="DT51" s="1001" t="s">
        <v>1375</v>
      </c>
      <c r="DU51" s="1001" t="s">
        <v>1375</v>
      </c>
      <c r="DV51" s="1001" t="s">
        <v>1375</v>
      </c>
      <c r="DW51" s="1001" t="s">
        <v>1375</v>
      </c>
      <c r="DX51" s="1001" t="s">
        <v>1375</v>
      </c>
      <c r="DY51" s="1001" t="s">
        <v>1375</v>
      </c>
      <c r="DZ51" s="1001" t="s">
        <v>1375</v>
      </c>
      <c r="EA51" s="1001" t="s">
        <v>1375</v>
      </c>
      <c r="EB51" s="1001" t="s">
        <v>1375</v>
      </c>
      <c r="EC51" s="1001" t="s">
        <v>1375</v>
      </c>
      <c r="ED51" s="1001" t="s">
        <v>100</v>
      </c>
      <c r="EE51" s="1001" t="s">
        <v>1375</v>
      </c>
      <c r="EF51" s="1001"/>
      <c r="EG51" s="1001"/>
      <c r="EH51" s="1001"/>
      <c r="EI51" s="1001" t="s">
        <v>1375</v>
      </c>
      <c r="EJ51" s="1001" t="s">
        <v>1375</v>
      </c>
      <c r="EK51" s="1001" t="s">
        <v>1375</v>
      </c>
      <c r="EL51" s="1001"/>
      <c r="EM51" s="1001" t="s">
        <v>1375</v>
      </c>
      <c r="EN51" s="1001"/>
      <c r="EO51" s="1001" t="s">
        <v>1375</v>
      </c>
      <c r="EP51" s="1001"/>
      <c r="EQ51" s="1001" t="s">
        <v>100</v>
      </c>
      <c r="ER51" s="1001" t="s">
        <v>1375</v>
      </c>
      <c r="ES51" s="1001" t="s">
        <v>1375</v>
      </c>
      <c r="ET51" s="1001" t="s">
        <v>1375</v>
      </c>
      <c r="EU51" s="1001" t="s">
        <v>1375</v>
      </c>
      <c r="EV51" s="1001" t="s">
        <v>1375</v>
      </c>
      <c r="EW51" s="1001"/>
      <c r="EX51" s="1001" t="s">
        <v>1375</v>
      </c>
      <c r="EY51" s="1001" t="s">
        <v>1375</v>
      </c>
      <c r="EZ51" s="1001"/>
      <c r="FA51" s="1001" t="s">
        <v>1375</v>
      </c>
      <c r="FB51" s="1001" t="s">
        <v>1375</v>
      </c>
      <c r="FC51" s="1001" t="s">
        <v>1373</v>
      </c>
      <c r="FD51" s="1001"/>
      <c r="FE51" s="1001" t="s">
        <v>1375</v>
      </c>
      <c r="FF51" s="1001" t="s">
        <v>1375</v>
      </c>
      <c r="FG51" s="1001" t="s">
        <v>1375</v>
      </c>
      <c r="FH51" s="1001"/>
      <c r="FI51" s="1001"/>
      <c r="FJ51" s="1001" t="s">
        <v>1373</v>
      </c>
      <c r="FK51" s="1001"/>
      <c r="FL51" s="1001"/>
      <c r="FM51" s="1001" t="s">
        <v>1375</v>
      </c>
      <c r="FN51" s="1001"/>
      <c r="FO51" s="1001"/>
      <c r="FP51" s="1001"/>
      <c r="FQ51" s="1001" t="s">
        <v>1375</v>
      </c>
      <c r="FR51" s="1001" t="s">
        <v>1375</v>
      </c>
      <c r="FS51" s="1001" t="s">
        <v>100</v>
      </c>
      <c r="FT51" s="1001"/>
      <c r="FU51" s="1001"/>
      <c r="FV51" s="1001" t="s">
        <v>1375</v>
      </c>
      <c r="FW51" s="1001"/>
      <c r="FX51" s="1001"/>
      <c r="FY51" s="1001" t="s">
        <v>1375</v>
      </c>
      <c r="FZ51" s="1001"/>
      <c r="GA51" s="1001"/>
      <c r="GB51" s="1001" t="s">
        <v>1375</v>
      </c>
      <c r="GC51" s="1001"/>
      <c r="GD51" s="1001"/>
      <c r="GE51" s="1001"/>
      <c r="GF51" s="1001" t="s">
        <v>1375</v>
      </c>
      <c r="GG51" s="1001" t="s">
        <v>1375</v>
      </c>
      <c r="GH51" s="1001" t="s">
        <v>1375</v>
      </c>
      <c r="GI51" s="1001" t="s">
        <v>1375</v>
      </c>
      <c r="GJ51" s="1001"/>
      <c r="GK51" s="1001" t="s">
        <v>100</v>
      </c>
      <c r="GL51" s="1001" t="s">
        <v>100</v>
      </c>
      <c r="GM51" s="1001" t="s">
        <v>100</v>
      </c>
      <c r="GN51" s="1001" t="s">
        <v>1375</v>
      </c>
      <c r="GO51" s="1001" t="s">
        <v>1375</v>
      </c>
      <c r="GP51" s="1001" t="s">
        <v>1375</v>
      </c>
      <c r="GQ51" s="1001" t="s">
        <v>1375</v>
      </c>
      <c r="GR51" s="1001"/>
      <c r="GS51" s="1001"/>
      <c r="GT51" s="1001" t="s">
        <v>1375</v>
      </c>
      <c r="GU51" s="1001"/>
      <c r="GV51" s="1001"/>
      <c r="GW51" s="1001" t="s">
        <v>1375</v>
      </c>
      <c r="GX51" s="1001" t="s">
        <v>1375</v>
      </c>
      <c r="GY51" s="1001" t="s">
        <v>1375</v>
      </c>
      <c r="GZ51" s="1001" t="s">
        <v>1375</v>
      </c>
      <c r="HA51" s="1001" t="s">
        <v>1375</v>
      </c>
      <c r="HB51" s="1001"/>
      <c r="HC51" s="1001" t="s">
        <v>1375</v>
      </c>
      <c r="HD51" s="1001"/>
      <c r="HE51" s="1001" t="s">
        <v>1375</v>
      </c>
      <c r="HF51" s="1002"/>
      <c r="HG51" s="1001" t="s">
        <v>1375</v>
      </c>
      <c r="HH51" s="1001" t="s">
        <v>1375</v>
      </c>
      <c r="HI51" s="1001"/>
      <c r="HJ51" s="1003" t="s">
        <v>1375</v>
      </c>
      <c r="HK51" s="1001" t="s">
        <v>1375</v>
      </c>
      <c r="HL51" s="1001"/>
      <c r="HM51" s="1001" t="s">
        <v>1375</v>
      </c>
      <c r="HN51" s="1001" t="s">
        <v>1375</v>
      </c>
      <c r="HO51" s="1001" t="s">
        <v>1375</v>
      </c>
      <c r="HP51" s="1001" t="s">
        <v>1375</v>
      </c>
      <c r="HQ51" s="1001"/>
      <c r="HR51" s="1003" t="s">
        <v>1375</v>
      </c>
      <c r="HS51" s="1001" t="s">
        <v>1375</v>
      </c>
      <c r="HT51" s="1001" t="s">
        <v>1375</v>
      </c>
      <c r="HU51" s="1001" t="s">
        <v>1376</v>
      </c>
      <c r="HV51" s="1001" t="s">
        <v>1375</v>
      </c>
      <c r="HW51" s="1001"/>
      <c r="HX51" s="1001" t="s">
        <v>1375</v>
      </c>
      <c r="HY51" s="1060"/>
      <c r="HZ51" s="1060"/>
      <c r="IA51" s="1060"/>
      <c r="IB51" s="1060"/>
      <c r="IC51" s="1060"/>
      <c r="ID51" s="1060"/>
      <c r="IE51" s="1060"/>
      <c r="IF51" s="1060"/>
      <c r="IG51" s="1060"/>
      <c r="IH51" s="1060"/>
      <c r="II51" s="1060"/>
      <c r="IJ51" s="1060"/>
      <c r="IK51" s="1060"/>
      <c r="IL51" s="1060"/>
      <c r="IM51" s="1060"/>
      <c r="IN51" s="1060"/>
      <c r="IO51" s="1060"/>
      <c r="IP51" s="1060"/>
      <c r="IQ51" s="1060"/>
      <c r="IR51" s="1060"/>
      <c r="IS51" s="1060"/>
      <c r="IT51" s="1060"/>
      <c r="IU51" s="1060"/>
      <c r="IV51" s="1060"/>
    </row>
    <row r="52" spans="1:256" ht="19.95" customHeight="1">
      <c r="A52" s="1023" t="s">
        <v>104</v>
      </c>
      <c r="B52" s="992"/>
      <c r="C52" s="992" t="str">
        <f>IF(ISTEXT(IFERROR(VLOOKUP(A52,职业列表!I3:J10,1,FALSE),0)),"★","")</f>
        <v/>
      </c>
      <c r="D52" s="992"/>
      <c r="E52" s="992"/>
      <c r="F52" s="992"/>
      <c r="G52" s="992"/>
      <c r="H52" s="992"/>
      <c r="I52" s="992"/>
      <c r="J52" s="992"/>
      <c r="K52" s="992"/>
      <c r="L52" s="992"/>
      <c r="M52" s="992"/>
      <c r="N52" s="992"/>
      <c r="O52" s="992"/>
      <c r="P52" s="992"/>
      <c r="Q52" s="992"/>
      <c r="R52" s="992"/>
      <c r="S52" s="992"/>
      <c r="T52" s="992"/>
      <c r="U52" s="992"/>
      <c r="V52" s="992"/>
      <c r="W52" s="992"/>
      <c r="X52" s="992"/>
      <c r="Y52" s="992"/>
      <c r="Z52" s="992"/>
      <c r="AA52" s="992"/>
      <c r="AB52" s="992"/>
      <c r="AC52" s="992"/>
      <c r="AD52" s="992"/>
      <c r="AE52" s="992"/>
      <c r="AF52" s="992"/>
      <c r="AG52" s="992"/>
      <c r="AH52" s="992"/>
      <c r="AI52" s="992"/>
      <c r="AJ52" s="992"/>
      <c r="AK52" s="992"/>
      <c r="AL52" s="992"/>
      <c r="AM52" s="992" t="s">
        <v>1373</v>
      </c>
      <c r="AN52" s="992"/>
      <c r="AO52" s="992"/>
      <c r="AP52" s="992"/>
      <c r="AQ52" s="992"/>
      <c r="AR52" s="992"/>
      <c r="AS52" s="992" t="s">
        <v>1418</v>
      </c>
      <c r="AT52" s="992"/>
      <c r="AU52" s="992"/>
      <c r="AV52" s="992"/>
      <c r="AW52" s="992"/>
      <c r="AX52" s="992"/>
      <c r="AY52" s="992"/>
      <c r="AZ52" s="992"/>
      <c r="BA52" s="992"/>
      <c r="BB52" s="992"/>
      <c r="BC52" s="992"/>
      <c r="BD52" s="992"/>
      <c r="BE52" s="992"/>
      <c r="BF52" s="992"/>
      <c r="BG52" s="992"/>
      <c r="BH52" s="992"/>
      <c r="BI52" s="992"/>
      <c r="BJ52" s="992"/>
      <c r="BK52" s="992"/>
      <c r="BL52" s="992"/>
      <c r="BM52" s="992"/>
      <c r="BN52" s="992"/>
      <c r="BO52" s="992"/>
      <c r="BP52" s="992"/>
      <c r="BQ52" s="992"/>
      <c r="BR52" s="992"/>
      <c r="BS52" s="992"/>
      <c r="BT52" s="992"/>
      <c r="BU52" s="992"/>
      <c r="BV52" s="992"/>
      <c r="BW52" s="992"/>
      <c r="BX52" s="992"/>
      <c r="BY52" s="992"/>
      <c r="BZ52" s="992"/>
      <c r="CA52" s="992"/>
      <c r="CB52" s="992"/>
      <c r="CC52" s="992"/>
      <c r="CD52" s="992"/>
      <c r="CE52" s="992"/>
      <c r="CF52" s="992"/>
      <c r="CG52" s="992"/>
      <c r="CH52" s="992"/>
      <c r="CI52" s="992"/>
      <c r="CJ52" s="992"/>
      <c r="CK52" s="993" t="s">
        <v>1419</v>
      </c>
      <c r="CL52" s="993" t="s">
        <v>1419</v>
      </c>
      <c r="CM52" s="992"/>
      <c r="CN52" s="992"/>
      <c r="CO52" s="992"/>
      <c r="CP52" s="992"/>
      <c r="CQ52" s="992"/>
      <c r="CR52" s="992"/>
      <c r="CS52" s="992"/>
      <c r="CT52" s="992"/>
      <c r="CU52" s="992"/>
      <c r="CV52" s="992" t="s">
        <v>1418</v>
      </c>
      <c r="CW52" s="992" t="s">
        <v>1418</v>
      </c>
      <c r="CX52" s="992"/>
      <c r="CY52" s="992"/>
      <c r="CZ52" s="992"/>
      <c r="DA52" s="992"/>
      <c r="DB52" s="992"/>
      <c r="DC52" s="992"/>
      <c r="DD52" s="992"/>
      <c r="DE52" s="992" t="s">
        <v>1376</v>
      </c>
      <c r="DF52" s="992"/>
      <c r="DG52" s="992"/>
      <c r="DH52" s="992"/>
      <c r="DI52" s="992"/>
      <c r="DJ52" s="992"/>
      <c r="DK52" s="992"/>
      <c r="DL52" s="992"/>
      <c r="DM52" s="992"/>
      <c r="DN52" s="992"/>
      <c r="DO52" s="992"/>
      <c r="DP52" s="992"/>
      <c r="DQ52" s="992"/>
      <c r="DR52" s="992"/>
      <c r="DS52" s="992"/>
      <c r="DT52" s="992"/>
      <c r="DU52" s="992"/>
      <c r="DV52" s="992"/>
      <c r="DW52" s="992"/>
      <c r="DX52" s="992"/>
      <c r="DY52" s="992"/>
      <c r="DZ52" s="992"/>
      <c r="EA52" s="992"/>
      <c r="EB52" s="992"/>
      <c r="EC52" s="992"/>
      <c r="ED52" s="992"/>
      <c r="EE52" s="992"/>
      <c r="EF52" s="992"/>
      <c r="EG52" s="992"/>
      <c r="EH52" s="992"/>
      <c r="EI52" s="992"/>
      <c r="EJ52" s="992"/>
      <c r="EK52" s="992"/>
      <c r="EL52" s="992"/>
      <c r="EM52" s="992"/>
      <c r="EN52" s="992"/>
      <c r="EO52" s="992"/>
      <c r="EP52" s="992" t="s">
        <v>1418</v>
      </c>
      <c r="EQ52" s="992"/>
      <c r="ER52" s="992"/>
      <c r="ES52" s="992"/>
      <c r="ET52" s="992"/>
      <c r="EU52" s="992"/>
      <c r="EV52" s="992"/>
      <c r="EW52" s="992"/>
      <c r="EX52" s="992"/>
      <c r="EY52" s="992"/>
      <c r="EZ52" s="992"/>
      <c r="FA52" s="992"/>
      <c r="FB52" s="992" t="s">
        <v>100</v>
      </c>
      <c r="FC52" s="992"/>
      <c r="FD52" s="992"/>
      <c r="FE52" s="992"/>
      <c r="FF52" s="992"/>
      <c r="FG52" s="992"/>
      <c r="FH52" s="992"/>
      <c r="FI52" s="992"/>
      <c r="FJ52" s="992"/>
      <c r="FK52" s="992"/>
      <c r="FL52" s="992"/>
      <c r="FM52" s="992"/>
      <c r="FN52" s="992"/>
      <c r="FO52" s="992"/>
      <c r="FP52" s="992" t="s">
        <v>1418</v>
      </c>
      <c r="FQ52" s="992"/>
      <c r="FR52" s="992"/>
      <c r="FS52" s="992"/>
      <c r="FT52" s="992"/>
      <c r="FU52" s="992"/>
      <c r="FV52" s="992"/>
      <c r="FW52" s="992"/>
      <c r="FX52" s="992"/>
      <c r="FY52" s="992"/>
      <c r="FZ52" s="992"/>
      <c r="GA52" s="992" t="s">
        <v>1418</v>
      </c>
      <c r="GB52" s="992" t="s">
        <v>1418</v>
      </c>
      <c r="GC52" s="992"/>
      <c r="GD52" s="992"/>
      <c r="GE52" s="992"/>
      <c r="GF52" s="992"/>
      <c r="GG52" s="992"/>
      <c r="GH52" s="992"/>
      <c r="GI52" s="992"/>
      <c r="GJ52" s="992"/>
      <c r="GK52" s="992"/>
      <c r="GL52" s="992"/>
      <c r="GM52" s="992"/>
      <c r="GN52" s="992"/>
      <c r="GO52" s="992"/>
      <c r="GP52" s="992"/>
      <c r="GQ52" s="992"/>
      <c r="GR52" s="992"/>
      <c r="GS52" s="992"/>
      <c r="GT52" s="992"/>
      <c r="GU52" s="992"/>
      <c r="GV52" s="992"/>
      <c r="GW52" s="992"/>
      <c r="GX52" s="992"/>
      <c r="GY52" s="992"/>
      <c r="GZ52" s="992"/>
      <c r="HA52" s="992"/>
      <c r="HB52" s="992"/>
      <c r="HC52" s="992"/>
      <c r="HD52" s="992"/>
      <c r="HE52" s="992"/>
      <c r="HF52" s="992"/>
      <c r="HG52" s="992"/>
      <c r="HH52" s="992"/>
      <c r="HI52" s="992"/>
      <c r="HJ52" s="992"/>
      <c r="HK52" s="992"/>
      <c r="HL52" s="993" t="s">
        <v>1420</v>
      </c>
      <c r="HM52" s="992"/>
      <c r="HN52" s="992"/>
      <c r="HO52" s="993" t="s">
        <v>1376</v>
      </c>
      <c r="HP52" s="992"/>
      <c r="HQ52" s="992"/>
      <c r="HR52" s="992"/>
      <c r="HS52" s="992"/>
      <c r="HT52" s="992"/>
      <c r="HU52" s="992"/>
      <c r="HV52" s="992"/>
      <c r="HW52" s="992"/>
      <c r="HX52" s="992"/>
      <c r="HY52" s="1056"/>
      <c r="HZ52" s="1056"/>
      <c r="IA52" s="1056"/>
      <c r="IB52" s="1056"/>
      <c r="IC52" s="1056"/>
      <c r="ID52" s="1056"/>
      <c r="IE52" s="1056"/>
      <c r="IF52" s="1056"/>
      <c r="IG52" s="1056"/>
      <c r="IH52" s="1056"/>
      <c r="II52" s="1056"/>
      <c r="IJ52" s="1056"/>
      <c r="IK52" s="1056"/>
      <c r="IL52" s="1056"/>
      <c r="IM52" s="1056"/>
      <c r="IN52" s="1056"/>
      <c r="IO52" s="1056"/>
      <c r="IP52" s="1056"/>
      <c r="IQ52" s="1056"/>
      <c r="IR52" s="1056"/>
      <c r="IS52" s="1056"/>
      <c r="IT52" s="1056"/>
      <c r="IU52" s="1056"/>
      <c r="IV52" s="1056"/>
    </row>
    <row r="53" spans="1:256" ht="19.95" customHeight="1">
      <c r="A53" s="1024" t="s">
        <v>77</v>
      </c>
      <c r="B53" s="992"/>
      <c r="C53" s="992" t="str">
        <f>IF(ISTEXT(IFERROR(VLOOKUP(A53,职业列表!I3:J10,1,FALSE),0)),"★","")</f>
        <v/>
      </c>
      <c r="D53" s="992"/>
      <c r="E53" s="992"/>
      <c r="F53" s="992"/>
      <c r="G53" s="992"/>
      <c r="H53" s="992"/>
      <c r="I53" s="994" t="s">
        <v>100</v>
      </c>
      <c r="J53" s="992"/>
      <c r="K53" s="992"/>
      <c r="L53" s="992"/>
      <c r="M53" s="992"/>
      <c r="N53" s="992"/>
      <c r="O53" s="992"/>
      <c r="P53" s="992"/>
      <c r="Q53" s="992"/>
      <c r="R53" s="992"/>
      <c r="S53" s="992"/>
      <c r="T53" s="992"/>
      <c r="U53" s="992"/>
      <c r="V53" s="992"/>
      <c r="W53" s="992"/>
      <c r="X53" s="992"/>
      <c r="Y53" s="992"/>
      <c r="Z53" s="992"/>
      <c r="AA53" s="992"/>
      <c r="AB53" s="992"/>
      <c r="AC53" s="992"/>
      <c r="AD53" s="992"/>
      <c r="AE53" s="992"/>
      <c r="AF53" s="992"/>
      <c r="AG53" s="992"/>
      <c r="AH53" s="992"/>
      <c r="AI53" s="992"/>
      <c r="AJ53" s="992"/>
      <c r="AK53" s="992"/>
      <c r="AL53" s="992"/>
      <c r="AM53" s="992"/>
      <c r="AN53" s="992"/>
      <c r="AO53" s="992"/>
      <c r="AP53" s="992"/>
      <c r="AQ53" s="992"/>
      <c r="AR53" s="992"/>
      <c r="AS53" s="992"/>
      <c r="AT53" s="992"/>
      <c r="AU53" s="992"/>
      <c r="AV53" s="992"/>
      <c r="AW53" s="992"/>
      <c r="AX53" s="992"/>
      <c r="AY53" s="992"/>
      <c r="AZ53" s="992"/>
      <c r="BA53" s="992"/>
      <c r="BB53" s="992"/>
      <c r="BC53" s="992"/>
      <c r="BD53" s="992"/>
      <c r="BE53" s="992"/>
      <c r="BF53" s="992"/>
      <c r="BG53" s="992"/>
      <c r="BH53" s="992"/>
      <c r="BI53" s="992"/>
      <c r="BJ53" s="992"/>
      <c r="BK53" s="992"/>
      <c r="BL53" s="992"/>
      <c r="BM53" s="992"/>
      <c r="BN53" s="992"/>
      <c r="BO53" s="992"/>
      <c r="BP53" s="992"/>
      <c r="BQ53" s="992"/>
      <c r="BR53" s="992"/>
      <c r="BS53" s="992"/>
      <c r="BT53" s="992"/>
      <c r="BU53" s="992"/>
      <c r="BV53" s="992"/>
      <c r="BW53" s="992"/>
      <c r="BX53" s="992"/>
      <c r="BY53" s="992"/>
      <c r="BZ53" s="992"/>
      <c r="CA53" s="992"/>
      <c r="CB53" s="992"/>
      <c r="CC53" s="992"/>
      <c r="CD53" s="992"/>
      <c r="CE53" s="992"/>
      <c r="CF53" s="992"/>
      <c r="CG53" s="992"/>
      <c r="CH53" s="992"/>
      <c r="CI53" s="992"/>
      <c r="CJ53" s="992"/>
      <c r="CK53" s="992"/>
      <c r="CL53" s="992"/>
      <c r="CM53" s="992"/>
      <c r="CN53" s="992"/>
      <c r="CO53" s="992"/>
      <c r="CP53" s="992"/>
      <c r="CQ53" s="992"/>
      <c r="CR53" s="992"/>
      <c r="CS53" s="994" t="s">
        <v>100</v>
      </c>
      <c r="CT53" s="994" t="s">
        <v>100</v>
      </c>
      <c r="CU53" s="992"/>
      <c r="CV53" s="992"/>
      <c r="CW53" s="992"/>
      <c r="CX53" s="992"/>
      <c r="CY53" s="992"/>
      <c r="CZ53" s="992"/>
      <c r="DA53" s="992"/>
      <c r="DB53" s="992"/>
      <c r="DC53" s="992"/>
      <c r="DD53" s="992"/>
      <c r="DE53" s="992"/>
      <c r="DF53" s="992"/>
      <c r="DG53" s="992"/>
      <c r="DH53" s="992"/>
      <c r="DI53" s="992"/>
      <c r="DJ53" s="992"/>
      <c r="DK53" s="992"/>
      <c r="DL53" s="992"/>
      <c r="DM53" s="992"/>
      <c r="DN53" s="992"/>
      <c r="DO53" s="992"/>
      <c r="DP53" s="992"/>
      <c r="DQ53" s="992"/>
      <c r="DR53" s="992"/>
      <c r="DS53" s="992"/>
      <c r="DT53" s="992"/>
      <c r="DU53" s="992"/>
      <c r="DV53" s="992"/>
      <c r="DW53" s="992"/>
      <c r="DX53" s="992"/>
      <c r="DY53" s="992"/>
      <c r="DZ53" s="992"/>
      <c r="EA53" s="992"/>
      <c r="EB53" s="992"/>
      <c r="EC53" s="992"/>
      <c r="ED53" s="992"/>
      <c r="EE53" s="992"/>
      <c r="EF53" s="992"/>
      <c r="EG53" s="992"/>
      <c r="EH53" s="992"/>
      <c r="EI53" s="992"/>
      <c r="EJ53" s="992"/>
      <c r="EK53" s="992"/>
      <c r="EL53" s="992"/>
      <c r="EM53" s="992"/>
      <c r="EN53" s="992"/>
      <c r="EO53" s="992"/>
      <c r="EP53" s="992"/>
      <c r="EQ53" s="992"/>
      <c r="ER53" s="992"/>
      <c r="ES53" s="992"/>
      <c r="ET53" s="992"/>
      <c r="EU53" s="992"/>
      <c r="EV53" s="992"/>
      <c r="EW53" s="992"/>
      <c r="EX53" s="992"/>
      <c r="EY53" s="992"/>
      <c r="EZ53" s="992"/>
      <c r="FA53" s="992"/>
      <c r="FB53" s="992"/>
      <c r="FC53" s="992"/>
      <c r="FD53" s="992"/>
      <c r="FE53" s="992"/>
      <c r="FF53" s="992"/>
      <c r="FG53" s="992"/>
      <c r="FH53" s="992"/>
      <c r="FI53" s="992"/>
      <c r="FJ53" s="992"/>
      <c r="FK53" s="992"/>
      <c r="FL53" s="992" t="s">
        <v>1373</v>
      </c>
      <c r="FM53" s="992"/>
      <c r="FN53" s="992"/>
      <c r="FO53" s="992"/>
      <c r="FP53" s="992"/>
      <c r="FQ53" s="992" t="s">
        <v>100</v>
      </c>
      <c r="FR53" s="992"/>
      <c r="FS53" s="992"/>
      <c r="FT53" s="992" t="s">
        <v>100</v>
      </c>
      <c r="FU53" s="992"/>
      <c r="FV53" s="992"/>
      <c r="FW53" s="992"/>
      <c r="FX53" s="992"/>
      <c r="FY53" s="992"/>
      <c r="FZ53" s="992"/>
      <c r="GA53" s="992"/>
      <c r="GB53" s="992"/>
      <c r="GC53" s="992"/>
      <c r="GD53" s="992"/>
      <c r="GE53" s="992"/>
      <c r="GF53" s="992"/>
      <c r="GG53" s="992"/>
      <c r="GH53" s="992"/>
      <c r="GI53" s="992"/>
      <c r="GJ53" s="992"/>
      <c r="GK53" s="992"/>
      <c r="GL53" s="992"/>
      <c r="GM53" s="992"/>
      <c r="GN53" s="992"/>
      <c r="GO53" s="992"/>
      <c r="GP53" s="992"/>
      <c r="GQ53" s="992"/>
      <c r="GR53" s="992"/>
      <c r="GS53" s="992"/>
      <c r="GT53" s="992"/>
      <c r="GU53" s="992"/>
      <c r="GV53" s="992"/>
      <c r="GW53" s="992"/>
      <c r="GX53" s="992"/>
      <c r="GY53" s="992"/>
      <c r="GZ53" s="992"/>
      <c r="HA53" s="994"/>
      <c r="HB53" s="992"/>
      <c r="HC53" s="992"/>
      <c r="HD53" s="992"/>
      <c r="HE53" s="992"/>
      <c r="HF53" s="992"/>
      <c r="HG53" s="992"/>
      <c r="HH53" s="992"/>
      <c r="HI53" s="992"/>
      <c r="HJ53" s="992"/>
      <c r="HK53" s="992"/>
      <c r="HL53" s="992"/>
      <c r="HM53" s="992"/>
      <c r="HN53" s="992"/>
      <c r="HO53" s="992"/>
      <c r="HP53" s="992"/>
      <c r="HQ53" s="992"/>
      <c r="HR53" s="992"/>
      <c r="HS53" s="992"/>
      <c r="HT53" s="992"/>
      <c r="HU53" s="992"/>
      <c r="HV53" s="992"/>
      <c r="HW53" s="992"/>
      <c r="HX53" s="992"/>
      <c r="HY53" s="1056"/>
      <c r="HZ53" s="1056"/>
      <c r="IA53" s="1056"/>
      <c r="IB53" s="1056"/>
      <c r="IC53" s="1056"/>
      <c r="ID53" s="1056"/>
      <c r="IE53" s="1056"/>
      <c r="IF53" s="1056"/>
      <c r="IG53" s="1056"/>
      <c r="IH53" s="1056"/>
      <c r="II53" s="1056"/>
      <c r="IJ53" s="1056"/>
      <c r="IK53" s="1056"/>
      <c r="IL53" s="1056"/>
      <c r="IM53" s="1056"/>
      <c r="IN53" s="1056"/>
      <c r="IO53" s="1056"/>
      <c r="IP53" s="1056"/>
      <c r="IQ53" s="1056"/>
      <c r="IR53" s="1056"/>
      <c r="IS53" s="1056"/>
      <c r="IT53" s="1056"/>
      <c r="IU53" s="1056"/>
      <c r="IV53" s="1056"/>
    </row>
    <row r="54" spans="1:256" s="980" customFormat="1" ht="19.95" customHeight="1">
      <c r="A54" s="1025" t="s">
        <v>112</v>
      </c>
      <c r="B54" s="1026"/>
      <c r="C54" s="992" t="str">
        <f>IF(ISTEXT(IFERROR(VLOOKUP(A54,职业列表!I3:J10,1,FALSE),0)),"★","")</f>
        <v/>
      </c>
      <c r="D54" s="1026"/>
      <c r="E54" s="1026"/>
      <c r="F54" s="1027" t="s">
        <v>100</v>
      </c>
      <c r="G54" s="1027" t="s">
        <v>100</v>
      </c>
      <c r="H54" s="1027" t="s">
        <v>100</v>
      </c>
      <c r="I54" s="1027" t="s">
        <v>100</v>
      </c>
      <c r="J54" s="1027" t="s">
        <v>100</v>
      </c>
      <c r="K54" s="1026"/>
      <c r="L54" s="1026"/>
      <c r="M54" s="1026"/>
      <c r="N54" s="1027" t="s">
        <v>100</v>
      </c>
      <c r="O54" s="1027" t="s">
        <v>100</v>
      </c>
      <c r="P54" s="1027" t="s">
        <v>100</v>
      </c>
      <c r="Q54" s="1026"/>
      <c r="R54" s="1027" t="s">
        <v>100</v>
      </c>
      <c r="S54" s="1027" t="s">
        <v>100</v>
      </c>
      <c r="T54" s="1026"/>
      <c r="U54" s="1026"/>
      <c r="V54" s="1027" t="s">
        <v>100</v>
      </c>
      <c r="W54" s="1027" t="s">
        <v>100</v>
      </c>
      <c r="X54" s="1027" t="s">
        <v>100</v>
      </c>
      <c r="Y54" s="1027" t="s">
        <v>100</v>
      </c>
      <c r="Z54" s="1026"/>
      <c r="AA54" s="1026"/>
      <c r="AB54" s="1026"/>
      <c r="AC54" s="1026"/>
      <c r="AD54" s="1026" t="s">
        <v>100</v>
      </c>
      <c r="AE54" s="1026"/>
      <c r="AF54" s="1027" t="s">
        <v>100</v>
      </c>
      <c r="AG54" s="1026"/>
      <c r="AH54" s="1027" t="s">
        <v>100</v>
      </c>
      <c r="AI54" s="1027" t="s">
        <v>100</v>
      </c>
      <c r="AJ54" s="1026"/>
      <c r="AK54" s="1026"/>
      <c r="AL54" s="1026"/>
      <c r="AM54" s="1027" t="s">
        <v>100</v>
      </c>
      <c r="AN54" s="1026"/>
      <c r="AO54" s="1027" t="s">
        <v>100</v>
      </c>
      <c r="AP54" s="1027" t="s">
        <v>100</v>
      </c>
      <c r="AQ54" s="1027" t="s">
        <v>100</v>
      </c>
      <c r="AR54" s="1026"/>
      <c r="AS54" s="1026"/>
      <c r="AT54" s="1027" t="s">
        <v>100</v>
      </c>
      <c r="AU54" s="1026"/>
      <c r="AV54" s="1026"/>
      <c r="AW54" s="1027" t="s">
        <v>100</v>
      </c>
      <c r="AX54" s="1026"/>
      <c r="AY54" s="1027" t="s">
        <v>100</v>
      </c>
      <c r="AZ54" s="1027" t="s">
        <v>100</v>
      </c>
      <c r="BA54" s="1026"/>
      <c r="BB54" s="1027" t="s">
        <v>100</v>
      </c>
      <c r="BC54" s="1026"/>
      <c r="BD54" s="1026"/>
      <c r="BE54" s="1026"/>
      <c r="BF54" s="1026"/>
      <c r="BG54" s="1027" t="s">
        <v>100</v>
      </c>
      <c r="BH54" s="1026"/>
      <c r="BI54" s="1027" t="s">
        <v>100</v>
      </c>
      <c r="BJ54" s="1027" t="s">
        <v>100</v>
      </c>
      <c r="BK54" s="1027" t="s">
        <v>100</v>
      </c>
      <c r="BL54" s="1026"/>
      <c r="BM54" s="1026"/>
      <c r="BN54" s="1027" t="s">
        <v>100</v>
      </c>
      <c r="BO54" s="1027" t="s">
        <v>100</v>
      </c>
      <c r="BP54" s="1027" t="s">
        <v>100</v>
      </c>
      <c r="BQ54" s="1027" t="s">
        <v>100</v>
      </c>
      <c r="BR54" s="1026"/>
      <c r="BS54" s="1026"/>
      <c r="BT54" s="1026"/>
      <c r="BU54" s="1026"/>
      <c r="BV54" s="1027" t="s">
        <v>100</v>
      </c>
      <c r="BW54" s="1026"/>
      <c r="BX54" s="1026"/>
      <c r="BY54" s="1027" t="s">
        <v>100</v>
      </c>
      <c r="BZ54" s="1026"/>
      <c r="CA54" s="1026"/>
      <c r="CB54" s="1026"/>
      <c r="CC54" s="1027" t="s">
        <v>100</v>
      </c>
      <c r="CD54" s="1027" t="s">
        <v>100</v>
      </c>
      <c r="CE54" s="1026"/>
      <c r="CF54" s="1026"/>
      <c r="CG54" s="1027" t="s">
        <v>100</v>
      </c>
      <c r="CH54" s="1027" t="s">
        <v>100</v>
      </c>
      <c r="CI54" s="1027" t="s">
        <v>100</v>
      </c>
      <c r="CJ54" s="1027" t="s">
        <v>100</v>
      </c>
      <c r="CK54" s="1026"/>
      <c r="CL54" s="1026"/>
      <c r="CM54" s="1027" t="s">
        <v>100</v>
      </c>
      <c r="CN54" s="1027" t="s">
        <v>100</v>
      </c>
      <c r="CO54" s="1027" t="s">
        <v>100</v>
      </c>
      <c r="CP54" s="1027" t="s">
        <v>100</v>
      </c>
      <c r="CQ54" s="1026"/>
      <c r="CR54" s="1027" t="s">
        <v>100</v>
      </c>
      <c r="CS54" s="1027" t="s">
        <v>100</v>
      </c>
      <c r="CT54" s="1027" t="s">
        <v>100</v>
      </c>
      <c r="CU54" s="1026"/>
      <c r="CV54" s="1026"/>
      <c r="CW54" s="1026"/>
      <c r="CX54" s="1027" t="s">
        <v>100</v>
      </c>
      <c r="CY54" s="1026"/>
      <c r="CZ54" s="1027" t="s">
        <v>100</v>
      </c>
      <c r="DA54" s="1027" t="s">
        <v>100</v>
      </c>
      <c r="DB54" s="1026"/>
      <c r="DC54" s="1027" t="s">
        <v>100</v>
      </c>
      <c r="DD54" s="1026"/>
      <c r="DE54" s="1026"/>
      <c r="DF54" s="1026"/>
      <c r="DG54" s="1027" t="s">
        <v>100</v>
      </c>
      <c r="DH54" s="1027" t="s">
        <v>100</v>
      </c>
      <c r="DI54" s="1027" t="s">
        <v>100</v>
      </c>
      <c r="DJ54" s="1026"/>
      <c r="DK54" s="1027" t="s">
        <v>100</v>
      </c>
      <c r="DL54" s="1027" t="s">
        <v>100</v>
      </c>
      <c r="DM54" s="1026"/>
      <c r="DN54" s="1026" t="s">
        <v>100</v>
      </c>
      <c r="DO54" s="1026"/>
      <c r="DP54" s="1026"/>
      <c r="DQ54" s="1026" t="s">
        <v>100</v>
      </c>
      <c r="DR54" s="1026"/>
      <c r="DS54" s="1026" t="s">
        <v>100</v>
      </c>
      <c r="DT54" s="1026" t="s">
        <v>100</v>
      </c>
      <c r="DU54" s="1026" t="s">
        <v>100</v>
      </c>
      <c r="DV54" s="1026" t="s">
        <v>100</v>
      </c>
      <c r="DW54" s="1026" t="s">
        <v>100</v>
      </c>
      <c r="DX54" s="1026" t="s">
        <v>100</v>
      </c>
      <c r="DY54" s="1026" t="s">
        <v>100</v>
      </c>
      <c r="DZ54" s="1026" t="s">
        <v>100</v>
      </c>
      <c r="EA54" s="1026" t="s">
        <v>100</v>
      </c>
      <c r="EB54" s="1026" t="s">
        <v>100</v>
      </c>
      <c r="EC54" s="1026" t="s">
        <v>100</v>
      </c>
      <c r="ED54" s="1026"/>
      <c r="EE54" s="1026" t="s">
        <v>100</v>
      </c>
      <c r="EF54" s="1026" t="s">
        <v>100</v>
      </c>
      <c r="EG54" s="1026" t="s">
        <v>100</v>
      </c>
      <c r="EH54" s="1026" t="s">
        <v>100</v>
      </c>
      <c r="EI54" s="1026" t="s">
        <v>100</v>
      </c>
      <c r="EJ54" s="1026"/>
      <c r="EK54" s="1026"/>
      <c r="EL54" s="1026"/>
      <c r="EM54" s="1026" t="s">
        <v>100</v>
      </c>
      <c r="EN54" s="1026"/>
      <c r="EO54" s="1026" t="s">
        <v>100</v>
      </c>
      <c r="EP54" s="1026" t="s">
        <v>100</v>
      </c>
      <c r="EQ54" s="1026" t="s">
        <v>100</v>
      </c>
      <c r="ER54" s="1026" t="s">
        <v>100</v>
      </c>
      <c r="ES54" s="1026" t="s">
        <v>100</v>
      </c>
      <c r="ET54" s="1026" t="s">
        <v>100</v>
      </c>
      <c r="EU54" s="1026" t="s">
        <v>100</v>
      </c>
      <c r="EV54" s="1026" t="s">
        <v>100</v>
      </c>
      <c r="EW54" s="1026"/>
      <c r="EX54" s="1026" t="s">
        <v>100</v>
      </c>
      <c r="EY54" s="1026" t="s">
        <v>100</v>
      </c>
      <c r="EZ54" s="1026"/>
      <c r="FA54" s="1026" t="s">
        <v>100</v>
      </c>
      <c r="FB54" s="1026"/>
      <c r="FC54" s="1026" t="s">
        <v>1373</v>
      </c>
      <c r="FD54" s="1026"/>
      <c r="FE54" s="1026" t="s">
        <v>100</v>
      </c>
      <c r="FF54" s="1026" t="s">
        <v>100</v>
      </c>
      <c r="FG54" s="1026"/>
      <c r="FH54" s="1026" t="s">
        <v>100</v>
      </c>
      <c r="FI54" s="1026"/>
      <c r="FJ54" s="1026" t="s">
        <v>100</v>
      </c>
      <c r="FK54" s="1026"/>
      <c r="FL54" s="1026"/>
      <c r="FM54" s="1026" t="s">
        <v>100</v>
      </c>
      <c r="FN54" s="1026" t="s">
        <v>100</v>
      </c>
      <c r="FO54" s="1026" t="s">
        <v>100</v>
      </c>
      <c r="FP54" s="1026"/>
      <c r="FQ54" s="1026" t="s">
        <v>100</v>
      </c>
      <c r="FR54" s="1026"/>
      <c r="FS54" s="1026"/>
      <c r="FT54" s="1026" t="s">
        <v>100</v>
      </c>
      <c r="FU54" s="1026"/>
      <c r="FV54" s="1026"/>
      <c r="FW54" s="1026"/>
      <c r="FX54" s="1026"/>
      <c r="FY54" s="1026" t="s">
        <v>100</v>
      </c>
      <c r="FZ54" s="1026" t="s">
        <v>100</v>
      </c>
      <c r="GA54" s="1026"/>
      <c r="GB54" s="1026"/>
      <c r="GC54" s="1026"/>
      <c r="GD54" s="1026"/>
      <c r="GE54" s="1026"/>
      <c r="GF54" s="1026" t="s">
        <v>100</v>
      </c>
      <c r="GG54" s="1026" t="s">
        <v>100</v>
      </c>
      <c r="GH54" s="1026" t="s">
        <v>100</v>
      </c>
      <c r="GI54" s="1026" t="s">
        <v>100</v>
      </c>
      <c r="GJ54" s="1026"/>
      <c r="GK54" s="1026" t="s">
        <v>100</v>
      </c>
      <c r="GL54" s="1026" t="s">
        <v>100</v>
      </c>
      <c r="GM54" s="1026" t="s">
        <v>100</v>
      </c>
      <c r="GN54" s="1026" t="s">
        <v>100</v>
      </c>
      <c r="GO54" s="1026"/>
      <c r="GP54" s="1026"/>
      <c r="GQ54" s="1026" t="s">
        <v>100</v>
      </c>
      <c r="GR54" s="1026"/>
      <c r="GS54" s="1026"/>
      <c r="GT54" s="1026"/>
      <c r="GU54" s="1026"/>
      <c r="GV54" s="1026"/>
      <c r="GW54" s="1026" t="s">
        <v>100</v>
      </c>
      <c r="GX54" s="1026"/>
      <c r="GY54" s="1027" t="s">
        <v>100</v>
      </c>
      <c r="GZ54" s="1027" t="s">
        <v>100</v>
      </c>
      <c r="HA54" s="1027"/>
      <c r="HB54" s="1027"/>
      <c r="HC54" s="1026" t="s">
        <v>100</v>
      </c>
      <c r="HD54" s="1051" t="s">
        <v>100</v>
      </c>
      <c r="HE54" s="1052" t="s">
        <v>100</v>
      </c>
      <c r="HF54" s="1027" t="s">
        <v>100</v>
      </c>
      <c r="HG54" s="1027"/>
      <c r="HH54" s="1027"/>
      <c r="HI54" s="1026"/>
      <c r="HJ54" s="1027" t="s">
        <v>100</v>
      </c>
      <c r="HK54" s="1055" t="s">
        <v>100</v>
      </c>
      <c r="HL54" s="1026"/>
      <c r="HM54" s="1026"/>
      <c r="HN54" s="1055" t="s">
        <v>100</v>
      </c>
      <c r="HO54" s="1027"/>
      <c r="HP54" s="1055" t="s">
        <v>100</v>
      </c>
      <c r="HQ54" s="1027" t="s">
        <v>100</v>
      </c>
      <c r="HR54" s="1026" t="s">
        <v>100</v>
      </c>
      <c r="HS54" s="1026" t="s">
        <v>100</v>
      </c>
      <c r="HT54" s="1026"/>
      <c r="HU54" s="1026"/>
      <c r="HV54" s="1026" t="s">
        <v>100</v>
      </c>
      <c r="HW54" s="1026"/>
      <c r="HX54" s="1027" t="s">
        <v>100</v>
      </c>
      <c r="HY54" s="1066"/>
      <c r="HZ54" s="1066"/>
      <c r="IA54" s="1066"/>
      <c r="IB54" s="1066"/>
      <c r="IC54" s="1066"/>
      <c r="ID54" s="1066"/>
      <c r="IE54" s="1066"/>
      <c r="IF54" s="1066"/>
      <c r="IG54" s="1066"/>
      <c r="IH54" s="1066"/>
      <c r="II54" s="1066"/>
      <c r="IJ54" s="1066"/>
      <c r="IK54" s="1066"/>
      <c r="IL54" s="1066"/>
      <c r="IM54" s="1066"/>
      <c r="IN54" s="1066"/>
      <c r="IO54" s="1066"/>
      <c r="IP54" s="1066"/>
      <c r="IQ54" s="1066"/>
      <c r="IR54" s="1066"/>
      <c r="IS54" s="1066"/>
      <c r="IT54" s="1066"/>
      <c r="IU54" s="1066"/>
      <c r="IV54" s="1066"/>
    </row>
    <row r="55" spans="1:256" ht="19.95" customHeight="1">
      <c r="A55" s="1024" t="s">
        <v>116</v>
      </c>
      <c r="B55" s="992"/>
      <c r="C55" s="993" t="str">
        <f>IF(ISTEXT(IFERROR(VLOOKUP(A55,职业列表!I3:J10,1,FALSE),0)),"★","")</f>
        <v/>
      </c>
      <c r="D55" s="992"/>
      <c r="E55" s="992"/>
      <c r="F55" s="992"/>
      <c r="G55" s="992"/>
      <c r="H55" s="992"/>
      <c r="I55" s="992"/>
      <c r="J55" s="992"/>
      <c r="K55" s="992"/>
      <c r="L55" s="992"/>
      <c r="M55" s="992"/>
      <c r="N55" s="992"/>
      <c r="O55" s="992"/>
      <c r="P55" s="992"/>
      <c r="Q55" s="994" t="s">
        <v>100</v>
      </c>
      <c r="R55" s="992"/>
      <c r="S55" s="992"/>
      <c r="T55" s="992"/>
      <c r="U55" s="992"/>
      <c r="V55" s="992"/>
      <c r="W55" s="992"/>
      <c r="X55" s="992"/>
      <c r="Y55" s="992"/>
      <c r="Z55" s="992"/>
      <c r="AA55" s="992"/>
      <c r="AB55" s="994" t="s">
        <v>100</v>
      </c>
      <c r="AC55" s="992"/>
      <c r="AD55" s="992"/>
      <c r="AE55" s="992"/>
      <c r="AF55" s="992"/>
      <c r="AG55" s="992"/>
      <c r="AH55" s="992"/>
      <c r="AI55" s="992"/>
      <c r="AJ55" s="992"/>
      <c r="AK55" s="992"/>
      <c r="AL55" s="992"/>
      <c r="AM55" s="992"/>
      <c r="AN55" s="992"/>
      <c r="AO55" s="992"/>
      <c r="AP55" s="992"/>
      <c r="AQ55" s="999"/>
      <c r="AR55" s="994" t="s">
        <v>100</v>
      </c>
      <c r="AS55" s="992"/>
      <c r="AT55" s="992"/>
      <c r="AU55" s="992"/>
      <c r="AV55" s="992"/>
      <c r="AW55" s="992"/>
      <c r="AX55" s="992"/>
      <c r="AY55" s="992"/>
      <c r="AZ55" s="992"/>
      <c r="BA55" s="992"/>
      <c r="BB55" s="992"/>
      <c r="BC55" s="992"/>
      <c r="BD55" s="992"/>
      <c r="BE55" s="992"/>
      <c r="BF55" s="992"/>
      <c r="BG55" s="992"/>
      <c r="BH55" s="992"/>
      <c r="BI55" s="992"/>
      <c r="BJ55" s="992"/>
      <c r="BK55" s="992"/>
      <c r="BL55" s="994" t="s">
        <v>100</v>
      </c>
      <c r="BM55" s="992"/>
      <c r="BN55" s="992"/>
      <c r="BO55" s="992"/>
      <c r="BP55" s="992"/>
      <c r="BQ55" s="992"/>
      <c r="BR55" s="992"/>
      <c r="BS55" s="992"/>
      <c r="BT55" s="992"/>
      <c r="BU55" s="992"/>
      <c r="BV55" s="992"/>
      <c r="BW55" s="992"/>
      <c r="BX55" s="992"/>
      <c r="BY55" s="992"/>
      <c r="BZ55" s="992"/>
      <c r="CA55" s="992"/>
      <c r="CB55" s="992"/>
      <c r="CC55" s="992"/>
      <c r="CD55" s="992"/>
      <c r="CE55" s="992"/>
      <c r="CF55" s="992"/>
      <c r="CG55" s="992"/>
      <c r="CH55" s="992"/>
      <c r="CI55" s="992"/>
      <c r="CJ55" s="992"/>
      <c r="CK55" s="992"/>
      <c r="CL55" s="992"/>
      <c r="CM55" s="992"/>
      <c r="CN55" s="992" t="s">
        <v>1373</v>
      </c>
      <c r="CO55" s="992"/>
      <c r="CP55" s="992"/>
      <c r="CQ55" s="992"/>
      <c r="CR55" s="992"/>
      <c r="CS55" s="992"/>
      <c r="CT55" s="992"/>
      <c r="CU55" s="992"/>
      <c r="CV55" s="992"/>
      <c r="CW55" s="992"/>
      <c r="CX55" s="992"/>
      <c r="CY55" s="992"/>
      <c r="CZ55" s="992"/>
      <c r="DA55" s="992"/>
      <c r="DB55" s="992"/>
      <c r="DC55" s="992"/>
      <c r="DD55" s="992"/>
      <c r="DE55" s="992" t="s">
        <v>1376</v>
      </c>
      <c r="DF55" s="992"/>
      <c r="DG55" s="992"/>
      <c r="DH55" s="992"/>
      <c r="DI55" s="992"/>
      <c r="DJ55" s="992"/>
      <c r="DK55" s="992"/>
      <c r="DL55" s="992"/>
      <c r="DM55" s="992"/>
      <c r="DN55" s="992"/>
      <c r="DO55" s="992"/>
      <c r="DP55" s="992" t="s">
        <v>100</v>
      </c>
      <c r="DQ55" s="992"/>
      <c r="DR55" s="992"/>
      <c r="DS55" s="992"/>
      <c r="DT55" s="992"/>
      <c r="DU55" s="992"/>
      <c r="DV55" s="992"/>
      <c r="DW55" s="992"/>
      <c r="DX55" s="992"/>
      <c r="DY55" s="992"/>
      <c r="DZ55" s="992"/>
      <c r="EA55" s="992"/>
      <c r="EB55" s="992"/>
      <c r="EC55" s="992"/>
      <c r="ED55" s="992"/>
      <c r="EE55" s="992"/>
      <c r="EF55" s="992"/>
      <c r="EG55" s="992"/>
      <c r="EH55" s="992"/>
      <c r="EI55" s="992"/>
      <c r="EJ55" s="992"/>
      <c r="EK55" s="992"/>
      <c r="EL55" s="992"/>
      <c r="EM55" s="992"/>
      <c r="EN55" s="992"/>
      <c r="EO55" s="992"/>
      <c r="EP55" s="992"/>
      <c r="EQ55" s="992"/>
      <c r="ER55" s="992"/>
      <c r="ES55" s="992"/>
      <c r="ET55" s="992"/>
      <c r="EU55" s="992"/>
      <c r="EV55" s="992"/>
      <c r="EW55" s="992"/>
      <c r="EX55" s="992"/>
      <c r="EY55" s="992"/>
      <c r="EZ55" s="992"/>
      <c r="FA55" s="992"/>
      <c r="FB55" s="992"/>
      <c r="FC55" s="992" t="s">
        <v>100</v>
      </c>
      <c r="FD55" s="992"/>
      <c r="FE55" s="992"/>
      <c r="FF55" s="992"/>
      <c r="FG55" s="992"/>
      <c r="FH55" s="992"/>
      <c r="FI55" s="992"/>
      <c r="FJ55" s="992"/>
      <c r="FK55" s="992"/>
      <c r="FL55" s="992"/>
      <c r="FM55" s="992"/>
      <c r="FN55" s="992"/>
      <c r="FO55" s="992"/>
      <c r="FP55" s="992"/>
      <c r="FQ55" s="992"/>
      <c r="FR55" s="992" t="s">
        <v>100</v>
      </c>
      <c r="FS55" s="992"/>
      <c r="FT55" s="992"/>
      <c r="FU55" s="992"/>
      <c r="FV55" s="992"/>
      <c r="FW55" s="992"/>
      <c r="FX55" s="992"/>
      <c r="FY55" s="992"/>
      <c r="FZ55" s="992"/>
      <c r="GA55" s="992"/>
      <c r="GB55" s="992"/>
      <c r="GC55" s="992"/>
      <c r="GD55" s="992"/>
      <c r="GE55" s="992"/>
      <c r="GF55" s="992"/>
      <c r="GG55" s="992"/>
      <c r="GH55" s="992"/>
      <c r="GI55" s="992"/>
      <c r="GJ55" s="992"/>
      <c r="GK55" s="992"/>
      <c r="GL55" s="992"/>
      <c r="GM55" s="992"/>
      <c r="GN55" s="992"/>
      <c r="GO55" s="992"/>
      <c r="GP55" s="992"/>
      <c r="GQ55" s="992"/>
      <c r="GR55" s="992"/>
      <c r="GS55" s="992"/>
      <c r="GT55" s="992"/>
      <c r="GU55" s="992"/>
      <c r="GV55" s="992"/>
      <c r="GW55" s="992" t="s">
        <v>1373</v>
      </c>
      <c r="GX55" s="992"/>
      <c r="GY55" s="992" t="s">
        <v>100</v>
      </c>
      <c r="GZ55" s="992"/>
      <c r="HA55" s="992" t="s">
        <v>100</v>
      </c>
      <c r="HB55" s="992"/>
      <c r="HC55" s="992"/>
      <c r="HD55" s="992"/>
      <c r="HE55" s="992"/>
      <c r="HF55" s="992"/>
      <c r="HG55" s="992"/>
      <c r="HH55" s="992"/>
      <c r="HI55" s="994"/>
      <c r="HJ55" s="992"/>
      <c r="HK55" s="992" t="s">
        <v>100</v>
      </c>
      <c r="HL55" s="992" t="s">
        <v>100</v>
      </c>
      <c r="HM55" s="992"/>
      <c r="HN55" s="992"/>
      <c r="HO55" s="992"/>
      <c r="HP55" s="992"/>
      <c r="HQ55" s="992"/>
      <c r="HR55" s="992"/>
      <c r="HS55" s="992"/>
      <c r="HT55" s="994"/>
      <c r="HU55" s="992"/>
      <c r="HV55" s="992"/>
      <c r="HW55" s="992"/>
      <c r="HX55" s="992"/>
      <c r="HY55" s="1056"/>
      <c r="HZ55" s="1056"/>
      <c r="IA55" s="1056"/>
      <c r="IB55" s="1056"/>
      <c r="IC55" s="1056"/>
      <c r="ID55" s="1056"/>
      <c r="IE55" s="1056"/>
      <c r="IF55" s="1056"/>
      <c r="IG55" s="1056"/>
      <c r="IH55" s="1056"/>
      <c r="II55" s="1056"/>
      <c r="IJ55" s="1056"/>
      <c r="IK55" s="1056"/>
      <c r="IL55" s="1056"/>
      <c r="IM55" s="1056"/>
      <c r="IN55" s="1056"/>
      <c r="IO55" s="1056"/>
      <c r="IP55" s="1056"/>
      <c r="IQ55" s="1056"/>
      <c r="IR55" s="1056"/>
      <c r="IS55" s="1056"/>
      <c r="IT55" s="1056"/>
      <c r="IU55" s="1056"/>
      <c r="IV55" s="1056"/>
    </row>
    <row r="56" spans="1:256" s="981" customFormat="1" ht="19.95" customHeight="1">
      <c r="A56" s="1028" t="s">
        <v>118</v>
      </c>
      <c r="B56" s="1029"/>
      <c r="C56" s="992" t="str">
        <f>IF(ISTEXT(IFERROR(VLOOKUP(A56,职业列表!I3:J10,1,FALSE),0)),"★","")</f>
        <v/>
      </c>
      <c r="D56" s="1029"/>
      <c r="E56" s="1029"/>
      <c r="F56" s="1029"/>
      <c r="G56" s="1029"/>
      <c r="H56" s="1029"/>
      <c r="I56" s="1029" t="s">
        <v>1421</v>
      </c>
      <c r="J56" s="1029" t="s">
        <v>1422</v>
      </c>
      <c r="K56" s="1029"/>
      <c r="L56" s="1029"/>
      <c r="M56" s="1031" t="s">
        <v>1373</v>
      </c>
      <c r="N56" s="1029" t="s">
        <v>1423</v>
      </c>
      <c r="O56" s="1029"/>
      <c r="P56" s="1029"/>
      <c r="Q56" s="1029"/>
      <c r="R56" s="1029"/>
      <c r="S56" s="1029"/>
      <c r="T56" s="1029" t="s">
        <v>1421</v>
      </c>
      <c r="U56" s="1029"/>
      <c r="V56" s="1029"/>
      <c r="W56" s="1029"/>
      <c r="X56" s="1029"/>
      <c r="Y56" s="1029"/>
      <c r="Z56" s="1029" t="s">
        <v>1423</v>
      </c>
      <c r="AA56" s="1029"/>
      <c r="AB56" s="1029"/>
      <c r="AC56" s="1029"/>
      <c r="AD56" s="1029"/>
      <c r="AE56" s="1029"/>
      <c r="AF56" s="1029"/>
      <c r="AG56" s="1029"/>
      <c r="AH56" s="1029"/>
      <c r="AI56" s="1029"/>
      <c r="AJ56" s="1029"/>
      <c r="AK56" s="1029"/>
      <c r="AL56" s="1029"/>
      <c r="AM56" s="1029"/>
      <c r="AN56" s="1029"/>
      <c r="AO56" s="1029"/>
      <c r="AP56" s="1029"/>
      <c r="AQ56" s="1029"/>
      <c r="AR56" s="1029"/>
      <c r="AS56" s="1029" t="s">
        <v>1421</v>
      </c>
      <c r="AT56" s="1029" t="s">
        <v>1421</v>
      </c>
      <c r="AU56" s="1029"/>
      <c r="AV56" s="1029"/>
      <c r="AW56" s="1029"/>
      <c r="AX56" s="1029"/>
      <c r="AY56" s="1029"/>
      <c r="AZ56" s="1029"/>
      <c r="BA56" s="1029" t="s">
        <v>1424</v>
      </c>
      <c r="BB56" s="1029"/>
      <c r="BC56" s="1029"/>
      <c r="BD56" s="1029"/>
      <c r="BE56" s="1029"/>
      <c r="BF56" s="1029"/>
      <c r="BG56" s="1029"/>
      <c r="BH56" s="1029" t="s">
        <v>1421</v>
      </c>
      <c r="BI56" s="1029"/>
      <c r="BJ56" s="1029"/>
      <c r="BK56" s="1029"/>
      <c r="BL56" s="1029"/>
      <c r="BM56" s="1029"/>
      <c r="BN56" s="1029"/>
      <c r="BO56" s="1029"/>
      <c r="BP56" s="1029"/>
      <c r="BQ56" s="1029"/>
      <c r="BR56" s="1029" t="s">
        <v>1425</v>
      </c>
      <c r="BS56" s="1043"/>
      <c r="BT56" s="1029" t="s">
        <v>1426</v>
      </c>
      <c r="BU56" s="1029" t="s">
        <v>1427</v>
      </c>
      <c r="BV56" s="1029"/>
      <c r="BW56" s="1029"/>
      <c r="BX56" s="1029"/>
      <c r="BY56" s="1029"/>
      <c r="BZ56" s="1029"/>
      <c r="CA56" s="1029"/>
      <c r="CB56" s="1029"/>
      <c r="CC56" s="1029"/>
      <c r="CD56" s="1029" t="s">
        <v>1421</v>
      </c>
      <c r="CE56" s="1031" t="s">
        <v>1428</v>
      </c>
      <c r="CF56" s="1029"/>
      <c r="CG56" s="1029"/>
      <c r="CH56" s="1029" t="s">
        <v>1425</v>
      </c>
      <c r="CI56" s="1029" t="s">
        <v>1425</v>
      </c>
      <c r="CJ56" s="1029" t="s">
        <v>1425</v>
      </c>
      <c r="CK56" s="1029" t="s">
        <v>1429</v>
      </c>
      <c r="CL56" s="1029"/>
      <c r="CM56" s="1029"/>
      <c r="CN56" s="1029"/>
      <c r="CO56" s="1029"/>
      <c r="CP56" s="1029"/>
      <c r="CQ56" s="1029" t="s">
        <v>1427</v>
      </c>
      <c r="CR56" s="1029"/>
      <c r="CS56" s="1029" t="s">
        <v>1421</v>
      </c>
      <c r="CT56" s="1029"/>
      <c r="CU56" s="1029"/>
      <c r="CV56" s="1029"/>
      <c r="CW56" s="1029"/>
      <c r="CX56" s="1029"/>
      <c r="CY56" s="1045" t="s">
        <v>100</v>
      </c>
      <c r="CZ56" s="1029"/>
      <c r="DA56" s="1029"/>
      <c r="DB56" s="1029"/>
      <c r="DC56" s="1029"/>
      <c r="DD56" s="1029"/>
      <c r="DE56" s="1029"/>
      <c r="DF56" s="1029"/>
      <c r="DG56" s="1029" t="s">
        <v>1421</v>
      </c>
      <c r="DH56" s="1029"/>
      <c r="DI56" s="1029"/>
      <c r="DJ56" s="1029"/>
      <c r="DK56" s="1029"/>
      <c r="DL56" s="1029"/>
      <c r="DM56" s="1029" t="s">
        <v>1430</v>
      </c>
      <c r="DN56" s="1029"/>
      <c r="DO56" s="1029"/>
      <c r="DP56" s="1029"/>
      <c r="DQ56" s="1029"/>
      <c r="DR56" s="1029"/>
      <c r="DS56" s="1029"/>
      <c r="DT56" s="1029"/>
      <c r="DU56" s="1029"/>
      <c r="DV56" s="1029"/>
      <c r="DW56" s="1029"/>
      <c r="DX56" s="1029"/>
      <c r="DY56" s="1029"/>
      <c r="DZ56" s="1029"/>
      <c r="EA56" s="1029"/>
      <c r="EB56" s="1029"/>
      <c r="EC56" s="1029"/>
      <c r="ED56" s="1029"/>
      <c r="EE56" s="1029"/>
      <c r="EF56" s="1029" t="s">
        <v>1421</v>
      </c>
      <c r="EG56" s="1029" t="s">
        <v>1421</v>
      </c>
      <c r="EH56" s="1029" t="s">
        <v>1421</v>
      </c>
      <c r="EI56" s="1029"/>
      <c r="EJ56" s="1029"/>
      <c r="EK56" s="1029"/>
      <c r="EL56" s="1029" t="s">
        <v>1425</v>
      </c>
      <c r="EM56" s="1029"/>
      <c r="EN56" s="1029"/>
      <c r="EO56" s="1029"/>
      <c r="EP56" s="1029"/>
      <c r="EQ56" s="1029"/>
      <c r="ER56" s="1029"/>
      <c r="ES56" s="1029"/>
      <c r="ET56" s="1029"/>
      <c r="EU56" s="1029"/>
      <c r="EV56" s="1029"/>
      <c r="EW56" s="1029"/>
      <c r="EX56" s="1029"/>
      <c r="EY56" s="1029"/>
      <c r="EZ56" s="1029" t="s">
        <v>1421</v>
      </c>
      <c r="FA56" s="1029" t="s">
        <v>1430</v>
      </c>
      <c r="FB56" s="1029"/>
      <c r="FC56" s="1029"/>
      <c r="FD56" s="1029"/>
      <c r="FE56" s="1029"/>
      <c r="FF56" s="1029"/>
      <c r="FG56" s="1029" t="s">
        <v>1429</v>
      </c>
      <c r="FH56" s="1029"/>
      <c r="FI56" s="1029" t="s">
        <v>1373</v>
      </c>
      <c r="FJ56" s="1029"/>
      <c r="FK56" s="1029" t="s">
        <v>1429</v>
      </c>
      <c r="FL56" s="1029" t="s">
        <v>1425</v>
      </c>
      <c r="FM56" s="1029"/>
      <c r="FN56" s="1029"/>
      <c r="FO56" s="1029"/>
      <c r="FP56" s="1029" t="s">
        <v>1429</v>
      </c>
      <c r="FQ56" s="1029"/>
      <c r="FR56" s="1029"/>
      <c r="FS56" s="1029"/>
      <c r="FT56" s="1029" t="s">
        <v>1422</v>
      </c>
      <c r="FU56" s="1029" t="s">
        <v>1425</v>
      </c>
      <c r="FV56" s="1029" t="s">
        <v>1430</v>
      </c>
      <c r="FW56" s="1029" t="s">
        <v>1425</v>
      </c>
      <c r="FX56" s="1029"/>
      <c r="FY56" s="1029"/>
      <c r="FZ56" s="1029"/>
      <c r="GA56" s="1029"/>
      <c r="GB56" s="1029"/>
      <c r="GC56" s="1029"/>
      <c r="GD56" s="1029"/>
      <c r="GE56" s="1029"/>
      <c r="GF56" s="1029"/>
      <c r="GG56" s="1029"/>
      <c r="GH56" s="1029"/>
      <c r="GI56" s="1029"/>
      <c r="GJ56" s="1029"/>
      <c r="GK56" s="1029"/>
      <c r="GL56" s="1029"/>
      <c r="GM56" s="1029"/>
      <c r="GN56" s="1029"/>
      <c r="GO56" s="1029"/>
      <c r="GP56" s="1029" t="s">
        <v>1431</v>
      </c>
      <c r="GQ56" s="1029"/>
      <c r="GR56" s="1029"/>
      <c r="GS56" s="1029" t="s">
        <v>1421</v>
      </c>
      <c r="GT56" s="1029"/>
      <c r="GU56" s="1029"/>
      <c r="GV56" s="1029"/>
      <c r="GW56" s="1029"/>
      <c r="GX56" s="1029"/>
      <c r="GY56" s="1029"/>
      <c r="GZ56" s="1029"/>
      <c r="HA56" s="1029"/>
      <c r="HB56" s="1029"/>
      <c r="HC56" s="1029"/>
      <c r="HD56" s="1029"/>
      <c r="HE56" s="1029"/>
      <c r="HF56" s="1031" t="s">
        <v>1425</v>
      </c>
      <c r="HG56" s="1029"/>
      <c r="HH56" s="1029"/>
      <c r="HI56" s="1029"/>
      <c r="HJ56" s="1029"/>
      <c r="HK56" s="1029"/>
      <c r="HL56" s="1029" t="s">
        <v>1421</v>
      </c>
      <c r="HM56" s="1029"/>
      <c r="HN56" s="1029"/>
      <c r="HO56" s="1029"/>
      <c r="HP56" s="1029"/>
      <c r="HQ56" s="1031" t="s">
        <v>1421</v>
      </c>
      <c r="HR56" s="1029"/>
      <c r="HS56" s="1029"/>
      <c r="HT56" s="1029"/>
      <c r="HU56" s="1029"/>
      <c r="HV56" s="1029"/>
      <c r="HW56" s="1029"/>
      <c r="HX56" s="1029"/>
      <c r="HY56" s="1067"/>
      <c r="HZ56" s="1067"/>
      <c r="IA56" s="1067"/>
      <c r="IB56" s="1067"/>
      <c r="IC56" s="1067"/>
      <c r="ID56" s="1067"/>
      <c r="IE56" s="1067"/>
      <c r="IF56" s="1067"/>
      <c r="IG56" s="1067"/>
      <c r="IH56" s="1067"/>
      <c r="II56" s="1067"/>
      <c r="IJ56" s="1067"/>
      <c r="IK56" s="1067"/>
      <c r="IL56" s="1067"/>
      <c r="IM56" s="1067"/>
      <c r="IN56" s="1067"/>
      <c r="IO56" s="1067"/>
      <c r="IP56" s="1067"/>
      <c r="IQ56" s="1067"/>
      <c r="IR56" s="1067"/>
      <c r="IS56" s="1067"/>
      <c r="IT56" s="1067"/>
      <c r="IU56" s="1067"/>
      <c r="IV56" s="1067"/>
    </row>
    <row r="57" spans="1:256" ht="19.95" customHeight="1">
      <c r="A57" s="998" t="s">
        <v>121</v>
      </c>
      <c r="B57" s="992"/>
      <c r="C57" s="992" t="str">
        <f>IF(ISTEXT(IFERROR(VLOOKUP(A57,职业列表!I3:J10,1,FALSE),0)),"★","")</f>
        <v/>
      </c>
      <c r="D57" s="999"/>
      <c r="E57" s="999"/>
      <c r="F57" s="999"/>
      <c r="G57" s="999"/>
      <c r="H57" s="999"/>
      <c r="I57" s="999" t="s">
        <v>1425</v>
      </c>
      <c r="J57" s="999"/>
      <c r="K57" s="999"/>
      <c r="L57" s="999"/>
      <c r="M57" s="999"/>
      <c r="N57" s="999"/>
      <c r="O57" s="999"/>
      <c r="P57" s="999"/>
      <c r="Q57" s="999"/>
      <c r="R57" s="999"/>
      <c r="S57" s="999"/>
      <c r="T57" s="999" t="s">
        <v>1432</v>
      </c>
      <c r="U57" s="999"/>
      <c r="V57" s="999"/>
      <c r="W57" s="999"/>
      <c r="X57" s="999"/>
      <c r="Y57" s="999"/>
      <c r="Z57" s="999"/>
      <c r="AA57" s="999"/>
      <c r="AB57" s="999"/>
      <c r="AC57" s="999"/>
      <c r="AD57" s="999"/>
      <c r="AE57" s="999"/>
      <c r="AF57" s="999"/>
      <c r="AG57" s="999"/>
      <c r="AH57" s="999"/>
      <c r="AI57" s="999"/>
      <c r="AJ57" s="999"/>
      <c r="AK57" s="999"/>
      <c r="AL57" s="999"/>
      <c r="AM57" s="999"/>
      <c r="AN57" s="999"/>
      <c r="AO57" s="999"/>
      <c r="AP57" s="999"/>
      <c r="AQ57" s="999"/>
      <c r="AR57" s="999"/>
      <c r="AS57" s="999"/>
      <c r="AT57" s="999" t="s">
        <v>1430</v>
      </c>
      <c r="AU57" s="999"/>
      <c r="AV57" s="999"/>
      <c r="AW57" s="999"/>
      <c r="AX57" s="999"/>
      <c r="AY57" s="999"/>
      <c r="AZ57" s="999"/>
      <c r="BA57" s="999" t="s">
        <v>1431</v>
      </c>
      <c r="BB57" s="999"/>
      <c r="BC57" s="999"/>
      <c r="BD57" s="999"/>
      <c r="BE57" s="999"/>
      <c r="BF57" s="999"/>
      <c r="BG57" s="999"/>
      <c r="BH57" s="999" t="s">
        <v>1433</v>
      </c>
      <c r="BI57" s="999"/>
      <c r="BJ57" s="999"/>
      <c r="BK57" s="999"/>
      <c r="BL57" s="999"/>
      <c r="BM57" s="999"/>
      <c r="BN57" s="999"/>
      <c r="BO57" s="999"/>
      <c r="BP57" s="999"/>
      <c r="BQ57" s="999"/>
      <c r="BR57" s="994" t="s">
        <v>100</v>
      </c>
      <c r="BS57" s="999"/>
      <c r="BT57" s="1033" t="s">
        <v>1434</v>
      </c>
      <c r="BU57" s="999"/>
      <c r="BV57" s="999"/>
      <c r="BW57" s="999"/>
      <c r="BX57" s="999"/>
      <c r="BY57" s="999"/>
      <c r="BZ57" s="999"/>
      <c r="CA57" s="999"/>
      <c r="CB57" s="999"/>
      <c r="CC57" s="999"/>
      <c r="CD57" s="999" t="s">
        <v>1425</v>
      </c>
      <c r="CE57" s="999"/>
      <c r="CF57" s="999"/>
      <c r="CG57" s="999"/>
      <c r="CH57" s="999" t="s">
        <v>1435</v>
      </c>
      <c r="CI57" s="999"/>
      <c r="CJ57" s="999"/>
      <c r="CK57" s="999"/>
      <c r="CL57" s="999"/>
      <c r="CM57" s="999"/>
      <c r="CN57" s="999"/>
      <c r="CO57" s="999"/>
      <c r="CP57" s="999"/>
      <c r="CQ57" s="999"/>
      <c r="CR57" s="999"/>
      <c r="CS57" s="999" t="s">
        <v>1425</v>
      </c>
      <c r="CT57" s="999"/>
      <c r="CU57" s="999"/>
      <c r="CV57" s="999"/>
      <c r="CW57" s="999"/>
      <c r="CX57" s="999"/>
      <c r="CY57" s="994" t="s">
        <v>100</v>
      </c>
      <c r="CZ57" s="999"/>
      <c r="DA57" s="999"/>
      <c r="DB57" s="999"/>
      <c r="DC57" s="999"/>
      <c r="DD57" s="999"/>
      <c r="DE57" s="999"/>
      <c r="DF57" s="999"/>
      <c r="DG57" s="999" t="s">
        <v>1425</v>
      </c>
      <c r="DH57" s="999"/>
      <c r="DI57" s="999"/>
      <c r="DJ57" s="999"/>
      <c r="DK57" s="999"/>
      <c r="DL57" s="999"/>
      <c r="DM57" s="999" t="s">
        <v>1422</v>
      </c>
      <c r="DN57" s="992"/>
      <c r="DO57" s="992"/>
      <c r="DP57" s="992"/>
      <c r="DQ57" s="992"/>
      <c r="DR57" s="992"/>
      <c r="DS57" s="992"/>
      <c r="DT57" s="992"/>
      <c r="DU57" s="992"/>
      <c r="DV57" s="992"/>
      <c r="DW57" s="992"/>
      <c r="DX57" s="992"/>
      <c r="DY57" s="992"/>
      <c r="DZ57" s="992"/>
      <c r="EA57" s="992"/>
      <c r="EB57" s="992"/>
      <c r="EC57" s="992"/>
      <c r="ED57" s="992"/>
      <c r="EE57" s="992"/>
      <c r="EF57" s="992" t="s">
        <v>1430</v>
      </c>
      <c r="EG57" s="992" t="s">
        <v>1430</v>
      </c>
      <c r="EH57" s="992" t="s">
        <v>1430</v>
      </c>
      <c r="EI57" s="992"/>
      <c r="EJ57" s="992"/>
      <c r="EK57" s="992"/>
      <c r="EL57" s="992" t="s">
        <v>1433</v>
      </c>
      <c r="EM57" s="992"/>
      <c r="EN57" s="992"/>
      <c r="EO57" s="992"/>
      <c r="EP57" s="992"/>
      <c r="EQ57" s="992"/>
      <c r="ER57" s="992"/>
      <c r="ES57" s="992"/>
      <c r="ET57" s="992"/>
      <c r="EU57" s="992"/>
      <c r="EV57" s="992"/>
      <c r="EW57" s="992"/>
      <c r="EX57" s="992"/>
      <c r="EY57" s="992"/>
      <c r="EZ57" s="992" t="s">
        <v>1425</v>
      </c>
      <c r="FA57" s="992"/>
      <c r="FB57" s="992"/>
      <c r="FC57" s="992"/>
      <c r="FD57" s="992"/>
      <c r="FE57" s="992"/>
      <c r="FF57" s="992"/>
      <c r="FG57" s="992" t="s">
        <v>1427</v>
      </c>
      <c r="FH57" s="992"/>
      <c r="FI57" s="992"/>
      <c r="FJ57" s="992"/>
      <c r="FK57" s="992"/>
      <c r="FL57" s="992"/>
      <c r="FM57" s="992"/>
      <c r="FN57" s="992"/>
      <c r="FO57" s="992"/>
      <c r="FP57" s="992"/>
      <c r="FQ57" s="992"/>
      <c r="FR57" s="992"/>
      <c r="FS57" s="992"/>
      <c r="FT57" s="992"/>
      <c r="FU57" s="992"/>
      <c r="FV57" s="992"/>
      <c r="FW57" s="992" t="s">
        <v>1433</v>
      </c>
      <c r="FX57" s="992"/>
      <c r="FY57" s="992"/>
      <c r="FZ57" s="992"/>
      <c r="GA57" s="992"/>
      <c r="GB57" s="992"/>
      <c r="GC57" s="992"/>
      <c r="GD57" s="992"/>
      <c r="GE57" s="992"/>
      <c r="GF57" s="992"/>
      <c r="GG57" s="992"/>
      <c r="GH57" s="992"/>
      <c r="GI57" s="992"/>
      <c r="GJ57" s="992"/>
      <c r="GK57" s="992"/>
      <c r="GL57" s="992"/>
      <c r="GM57" s="992"/>
      <c r="GN57" s="992"/>
      <c r="GO57" s="992"/>
      <c r="GP57" s="992" t="s">
        <v>1425</v>
      </c>
      <c r="GQ57" s="992"/>
      <c r="GR57" s="992"/>
      <c r="GS57" s="992" t="s">
        <v>1425</v>
      </c>
      <c r="GT57" s="992"/>
      <c r="GU57" s="992"/>
      <c r="GV57" s="992"/>
      <c r="GW57" s="992"/>
      <c r="GX57" s="992"/>
      <c r="GY57" s="999"/>
      <c r="GZ57" s="999"/>
      <c r="HA57" s="999"/>
      <c r="HB57" s="999"/>
      <c r="HC57" s="999"/>
      <c r="HD57" s="999"/>
      <c r="HE57" s="999"/>
      <c r="HF57" s="999"/>
      <c r="HG57" s="999"/>
      <c r="HH57" s="999"/>
      <c r="HI57" s="999"/>
      <c r="HJ57" s="999"/>
      <c r="HK57" s="999"/>
      <c r="HL57" s="999"/>
      <c r="HM57" s="999"/>
      <c r="HN57" s="999"/>
      <c r="HO57" s="999"/>
      <c r="HP57" s="999"/>
      <c r="HQ57" s="1033" t="s">
        <v>1430</v>
      </c>
      <c r="HR57" s="999"/>
      <c r="HS57" s="999"/>
      <c r="HT57" s="999"/>
      <c r="HU57" s="999"/>
      <c r="HV57" s="999"/>
      <c r="HW57" s="999"/>
      <c r="HX57" s="999"/>
      <c r="HY57" s="1056"/>
      <c r="HZ57" s="1056"/>
      <c r="IA57" s="1056"/>
      <c r="IB57" s="1056"/>
      <c r="IC57" s="1056"/>
      <c r="ID57" s="1056"/>
      <c r="IE57" s="1056"/>
      <c r="IF57" s="1056"/>
      <c r="IG57" s="1056"/>
      <c r="IH57" s="1056"/>
      <c r="II57" s="1056"/>
      <c r="IJ57" s="1056"/>
      <c r="IK57" s="1056"/>
      <c r="IL57" s="1056"/>
      <c r="IM57" s="1056"/>
      <c r="IN57" s="1056"/>
      <c r="IO57" s="1056"/>
      <c r="IP57" s="1056"/>
      <c r="IQ57" s="1056"/>
      <c r="IR57" s="1056"/>
      <c r="IS57" s="1056"/>
      <c r="IT57" s="1056"/>
      <c r="IU57" s="1056"/>
      <c r="IV57" s="1056"/>
    </row>
    <row r="58" spans="1:256" ht="19.95" customHeight="1">
      <c r="A58" s="998" t="s">
        <v>123</v>
      </c>
      <c r="B58" s="992"/>
      <c r="C58" s="992" t="str">
        <f>IF(ISTEXT(IFERROR(VLOOKUP(A58,职业列表!I3:J10,1,FALSE),0)),"★","")</f>
        <v/>
      </c>
      <c r="D58" s="999"/>
      <c r="E58" s="999"/>
      <c r="F58" s="999"/>
      <c r="G58" s="999"/>
      <c r="H58" s="999"/>
      <c r="I58" s="999"/>
      <c r="J58" s="999"/>
      <c r="K58" s="999"/>
      <c r="L58" s="999"/>
      <c r="M58" s="999"/>
      <c r="N58" s="999"/>
      <c r="O58" s="999"/>
      <c r="P58" s="999"/>
      <c r="Q58" s="999"/>
      <c r="R58" s="999"/>
      <c r="S58" s="999"/>
      <c r="T58" s="999"/>
      <c r="U58" s="999"/>
      <c r="V58" s="999"/>
      <c r="W58" s="999"/>
      <c r="X58" s="999"/>
      <c r="Y58" s="999"/>
      <c r="Z58" s="999"/>
      <c r="AA58" s="999"/>
      <c r="AB58" s="999"/>
      <c r="AC58" s="999"/>
      <c r="AD58" s="999"/>
      <c r="AE58" s="999"/>
      <c r="AF58" s="999"/>
      <c r="AG58" s="999"/>
      <c r="AH58" s="999"/>
      <c r="AI58" s="999"/>
      <c r="AJ58" s="999"/>
      <c r="AK58" s="999"/>
      <c r="AL58" s="999"/>
      <c r="AM58" s="999"/>
      <c r="AN58" s="999"/>
      <c r="AO58" s="999"/>
      <c r="AP58" s="999"/>
      <c r="AQ58" s="999"/>
      <c r="AR58" s="999"/>
      <c r="AS58" s="999"/>
      <c r="AT58" s="999"/>
      <c r="AU58" s="999"/>
      <c r="AV58" s="999"/>
      <c r="AW58" s="999"/>
      <c r="AX58" s="999"/>
      <c r="AY58" s="999"/>
      <c r="AZ58" s="999"/>
      <c r="BA58" s="999"/>
      <c r="BB58" s="999"/>
      <c r="BC58" s="999"/>
      <c r="BD58" s="999"/>
      <c r="BE58" s="999"/>
      <c r="BF58" s="999"/>
      <c r="BG58" s="999"/>
      <c r="BH58" s="999" t="s">
        <v>1430</v>
      </c>
      <c r="BI58" s="999"/>
      <c r="BJ58" s="999"/>
      <c r="BK58" s="999"/>
      <c r="BL58" s="999"/>
      <c r="BM58" s="999"/>
      <c r="BN58" s="999"/>
      <c r="BO58" s="999"/>
      <c r="BP58" s="999"/>
      <c r="BQ58" s="999"/>
      <c r="BR58" s="994" t="s">
        <v>100</v>
      </c>
      <c r="BS58" s="999"/>
      <c r="BT58" s="999"/>
      <c r="BU58" s="999"/>
      <c r="BV58" s="999"/>
      <c r="BW58" s="999"/>
      <c r="BX58" s="999"/>
      <c r="BY58" s="999"/>
      <c r="BZ58" s="999"/>
      <c r="CA58" s="999"/>
      <c r="CB58" s="999"/>
      <c r="CC58" s="999"/>
      <c r="CD58" s="999"/>
      <c r="CE58" s="999"/>
      <c r="CF58" s="999"/>
      <c r="CG58" s="999"/>
      <c r="CH58" s="999"/>
      <c r="CI58" s="999"/>
      <c r="CJ58" s="999"/>
      <c r="CK58" s="999"/>
      <c r="CL58" s="999"/>
      <c r="CM58" s="999"/>
      <c r="CN58" s="999"/>
      <c r="CO58" s="999"/>
      <c r="CP58" s="999"/>
      <c r="CQ58" s="999"/>
      <c r="CR58" s="999"/>
      <c r="CS58" s="999"/>
      <c r="CT58" s="999"/>
      <c r="CU58" s="999"/>
      <c r="CV58" s="999"/>
      <c r="CW58" s="999"/>
      <c r="CX58" s="999"/>
      <c r="CY58" s="994" t="s">
        <v>100</v>
      </c>
      <c r="CZ58" s="999"/>
      <c r="DA58" s="999"/>
      <c r="DB58" s="999"/>
      <c r="DC58" s="999"/>
      <c r="DD58" s="999"/>
      <c r="DE58" s="999"/>
      <c r="DF58" s="999"/>
      <c r="DG58" s="999"/>
      <c r="DH58" s="999"/>
      <c r="DI58" s="999"/>
      <c r="DJ58" s="999"/>
      <c r="DK58" s="999"/>
      <c r="DL58" s="999"/>
      <c r="DM58" s="999"/>
      <c r="DN58" s="992"/>
      <c r="DO58" s="992"/>
      <c r="DP58" s="992"/>
      <c r="DQ58" s="992"/>
      <c r="DR58" s="992"/>
      <c r="DS58" s="992"/>
      <c r="DT58" s="992"/>
      <c r="DU58" s="992"/>
      <c r="DV58" s="992"/>
      <c r="DW58" s="992"/>
      <c r="DX58" s="992"/>
      <c r="DY58" s="992"/>
      <c r="DZ58" s="992"/>
      <c r="EA58" s="992"/>
      <c r="EB58" s="992"/>
      <c r="EC58" s="992"/>
      <c r="ED58" s="992"/>
      <c r="EE58" s="992"/>
      <c r="EF58" s="992"/>
      <c r="EG58" s="992"/>
      <c r="EH58" s="992"/>
      <c r="EI58" s="992"/>
      <c r="EJ58" s="992"/>
      <c r="EK58" s="992"/>
      <c r="EL58" s="992" t="s">
        <v>1430</v>
      </c>
      <c r="EM58" s="992"/>
      <c r="EN58" s="992"/>
      <c r="EO58" s="992"/>
      <c r="EP58" s="992"/>
      <c r="EQ58" s="992"/>
      <c r="ER58" s="992"/>
      <c r="ES58" s="992"/>
      <c r="ET58" s="992"/>
      <c r="EU58" s="992"/>
      <c r="EV58" s="992"/>
      <c r="EW58" s="992"/>
      <c r="EX58" s="992"/>
      <c r="EY58" s="992"/>
      <c r="EZ58" s="992" t="s">
        <v>1430</v>
      </c>
      <c r="FA58" s="992"/>
      <c r="FB58" s="992"/>
      <c r="FC58" s="992"/>
      <c r="FD58" s="992"/>
      <c r="FE58" s="992"/>
      <c r="FF58" s="992"/>
      <c r="FG58" s="992"/>
      <c r="FH58" s="992"/>
      <c r="FI58" s="992"/>
      <c r="FJ58" s="992"/>
      <c r="FK58" s="992"/>
      <c r="FL58" s="992"/>
      <c r="FM58" s="992"/>
      <c r="FN58" s="992"/>
      <c r="FO58" s="992"/>
      <c r="FP58" s="992"/>
      <c r="FQ58" s="992"/>
      <c r="FR58" s="992"/>
      <c r="FS58" s="992"/>
      <c r="FT58" s="992"/>
      <c r="FU58" s="992"/>
      <c r="FV58" s="992"/>
      <c r="FW58" s="992" t="s">
        <v>1430</v>
      </c>
      <c r="FX58" s="992"/>
      <c r="FY58" s="992"/>
      <c r="FZ58" s="992"/>
      <c r="GA58" s="992"/>
      <c r="GB58" s="992"/>
      <c r="GC58" s="992"/>
      <c r="GD58" s="992"/>
      <c r="GE58" s="992"/>
      <c r="GF58" s="992"/>
      <c r="GG58" s="992"/>
      <c r="GH58" s="992"/>
      <c r="GI58" s="992"/>
      <c r="GJ58" s="992"/>
      <c r="GK58" s="992"/>
      <c r="GL58" s="992"/>
      <c r="GM58" s="992"/>
      <c r="GN58" s="992"/>
      <c r="GO58" s="992"/>
      <c r="GP58" s="992" t="s">
        <v>1421</v>
      </c>
      <c r="GQ58" s="992"/>
      <c r="GR58" s="992"/>
      <c r="GS58" s="992"/>
      <c r="GT58" s="992"/>
      <c r="GU58" s="992"/>
      <c r="GV58" s="992"/>
      <c r="GW58" s="992"/>
      <c r="GX58" s="992"/>
      <c r="GY58" s="999"/>
      <c r="GZ58" s="999"/>
      <c r="HA58" s="999"/>
      <c r="HB58" s="999"/>
      <c r="HC58" s="999"/>
      <c r="HD58" s="999"/>
      <c r="HE58" s="999"/>
      <c r="HF58" s="999"/>
      <c r="HG58" s="999"/>
      <c r="HH58" s="999"/>
      <c r="HI58" s="999"/>
      <c r="HJ58" s="999"/>
      <c r="HK58" s="999"/>
      <c r="HL58" s="999"/>
      <c r="HM58" s="999"/>
      <c r="HN58" s="999"/>
      <c r="HO58" s="999"/>
      <c r="HP58" s="999"/>
      <c r="HQ58" s="999"/>
      <c r="HR58" s="999"/>
      <c r="HS58" s="999"/>
      <c r="HT58" s="999"/>
      <c r="HU58" s="999"/>
      <c r="HV58" s="999"/>
      <c r="HW58" s="999"/>
      <c r="HX58" s="999"/>
      <c r="HY58" s="1056"/>
      <c r="HZ58" s="1056"/>
      <c r="IA58" s="1056"/>
      <c r="IB58" s="1056"/>
      <c r="IC58" s="1056"/>
      <c r="ID58" s="1056"/>
      <c r="IE58" s="1056"/>
      <c r="IF58" s="1056"/>
      <c r="IG58" s="1056"/>
      <c r="IH58" s="1056"/>
      <c r="II58" s="1056"/>
      <c r="IJ58" s="1056"/>
      <c r="IK58" s="1056"/>
      <c r="IL58" s="1056"/>
      <c r="IM58" s="1056"/>
      <c r="IN58" s="1056"/>
      <c r="IO58" s="1056"/>
      <c r="IP58" s="1056"/>
      <c r="IQ58" s="1056"/>
      <c r="IR58" s="1056"/>
      <c r="IS58" s="1056"/>
      <c r="IT58" s="1056"/>
      <c r="IU58" s="1056"/>
      <c r="IV58" s="1056"/>
    </row>
    <row r="59" spans="1:256" ht="19.95" customHeight="1">
      <c r="A59" s="1024" t="s">
        <v>80</v>
      </c>
      <c r="B59" s="992"/>
      <c r="C59" s="992" t="str">
        <f>IF(ISTEXT(IFERROR(VLOOKUP(A59,职业列表!I3:J10,1,FALSE),0)),"★","")</f>
        <v/>
      </c>
      <c r="D59" s="992"/>
      <c r="E59" s="992"/>
      <c r="F59" s="992"/>
      <c r="G59" s="992"/>
      <c r="H59" s="992"/>
      <c r="I59" s="992"/>
      <c r="J59" s="992"/>
      <c r="K59" s="992"/>
      <c r="L59" s="992"/>
      <c r="M59" s="992"/>
      <c r="N59" s="992"/>
      <c r="O59" s="992"/>
      <c r="P59" s="992"/>
      <c r="Q59" s="992"/>
      <c r="R59" s="992"/>
      <c r="S59" s="992"/>
      <c r="T59" s="992"/>
      <c r="U59" s="992"/>
      <c r="V59" s="992"/>
      <c r="W59" s="992"/>
      <c r="X59" s="992"/>
      <c r="Y59" s="992"/>
      <c r="Z59" s="992"/>
      <c r="AA59" s="992"/>
      <c r="AB59" s="992"/>
      <c r="AC59" s="992"/>
      <c r="AD59" s="992"/>
      <c r="AE59" s="992"/>
      <c r="AF59" s="992"/>
      <c r="AG59" s="994" t="s">
        <v>100</v>
      </c>
      <c r="AH59" s="994" t="s">
        <v>100</v>
      </c>
      <c r="AI59" s="992"/>
      <c r="AJ59" s="992"/>
      <c r="AK59" s="992"/>
      <c r="AL59" s="994" t="s">
        <v>100</v>
      </c>
      <c r="AM59" s="994" t="s">
        <v>100</v>
      </c>
      <c r="AN59" s="994" t="s">
        <v>100</v>
      </c>
      <c r="AO59" s="992"/>
      <c r="AP59" s="992"/>
      <c r="AQ59" s="992"/>
      <c r="AR59" s="992"/>
      <c r="AS59" s="992"/>
      <c r="AT59" s="992"/>
      <c r="AU59" s="992"/>
      <c r="AV59" s="992"/>
      <c r="AW59" s="992"/>
      <c r="AX59" s="992"/>
      <c r="AY59" s="992"/>
      <c r="AZ59" s="992"/>
      <c r="BA59" s="992"/>
      <c r="BB59" s="992"/>
      <c r="BC59" s="992"/>
      <c r="BD59" s="992"/>
      <c r="BE59" s="992"/>
      <c r="BF59" s="992"/>
      <c r="BG59" s="992"/>
      <c r="BH59" s="992"/>
      <c r="BI59" s="994" t="s">
        <v>100</v>
      </c>
      <c r="BJ59" s="992"/>
      <c r="BK59" s="992"/>
      <c r="BL59" s="992"/>
      <c r="BM59" s="993" t="s">
        <v>1373</v>
      </c>
      <c r="BN59" s="992"/>
      <c r="BO59" s="992"/>
      <c r="BP59" s="992"/>
      <c r="BQ59" s="992"/>
      <c r="BR59" s="992"/>
      <c r="BS59" s="992"/>
      <c r="BT59" s="992"/>
      <c r="BU59" s="992"/>
      <c r="BV59" s="992"/>
      <c r="BW59" s="992"/>
      <c r="BX59" s="992"/>
      <c r="BY59" s="992"/>
      <c r="BZ59" s="992"/>
      <c r="CA59" s="992"/>
      <c r="CB59" s="992"/>
      <c r="CC59" s="992"/>
      <c r="CD59" s="992"/>
      <c r="CE59" s="992"/>
      <c r="CF59" s="992"/>
      <c r="CG59" s="992"/>
      <c r="CH59" s="992"/>
      <c r="CI59" s="992"/>
      <c r="CJ59" s="992"/>
      <c r="CK59" s="992"/>
      <c r="CL59" s="992"/>
      <c r="CM59" s="992"/>
      <c r="CN59" s="992"/>
      <c r="CO59" s="992"/>
      <c r="CP59" s="992"/>
      <c r="CQ59" s="992"/>
      <c r="CR59" s="994" t="s">
        <v>100</v>
      </c>
      <c r="CS59" s="992"/>
      <c r="CT59" s="992"/>
      <c r="CU59" s="992"/>
      <c r="CV59" s="992"/>
      <c r="CW59" s="992"/>
      <c r="CX59" s="992" t="s">
        <v>1373</v>
      </c>
      <c r="CY59" s="992"/>
      <c r="CZ59" s="992"/>
      <c r="DA59" s="992"/>
      <c r="DB59" s="992"/>
      <c r="DC59" s="994" t="s">
        <v>100</v>
      </c>
      <c r="DD59" s="992"/>
      <c r="DE59" s="992"/>
      <c r="DF59" s="992"/>
      <c r="DG59" s="992"/>
      <c r="DH59" s="992"/>
      <c r="DI59" s="992"/>
      <c r="DJ59" s="992"/>
      <c r="DK59" s="992"/>
      <c r="DL59" s="992"/>
      <c r="DM59" s="992"/>
      <c r="DN59" s="992"/>
      <c r="DO59" s="992"/>
      <c r="DP59" s="992"/>
      <c r="DQ59" s="992"/>
      <c r="DR59" s="992"/>
      <c r="DS59" s="992"/>
      <c r="DT59" s="992"/>
      <c r="DU59" s="992"/>
      <c r="DV59" s="992"/>
      <c r="DW59" s="992"/>
      <c r="DX59" s="992"/>
      <c r="DY59" s="992"/>
      <c r="DZ59" s="992"/>
      <c r="EA59" s="992" t="s">
        <v>100</v>
      </c>
      <c r="EB59" s="992"/>
      <c r="EC59" s="992" t="s">
        <v>100</v>
      </c>
      <c r="ED59" s="992"/>
      <c r="EE59" s="992"/>
      <c r="EF59" s="992"/>
      <c r="EG59" s="992"/>
      <c r="EH59" s="992"/>
      <c r="EI59" s="992"/>
      <c r="EJ59" s="992"/>
      <c r="EK59" s="992"/>
      <c r="EL59" s="992"/>
      <c r="EM59" s="992"/>
      <c r="EN59" s="992"/>
      <c r="EO59" s="992"/>
      <c r="EP59" s="992"/>
      <c r="EQ59" s="992"/>
      <c r="ER59" s="992" t="s">
        <v>1373</v>
      </c>
      <c r="ES59" s="992"/>
      <c r="ET59" s="992"/>
      <c r="EU59" s="992"/>
      <c r="EV59" s="992"/>
      <c r="EW59" s="992"/>
      <c r="EX59" s="992"/>
      <c r="EY59" s="992"/>
      <c r="EZ59" s="992"/>
      <c r="FA59" s="992"/>
      <c r="FB59" s="992"/>
      <c r="FC59" s="992"/>
      <c r="FD59" s="992"/>
      <c r="FE59" s="992"/>
      <c r="FF59" s="992"/>
      <c r="FG59" s="992"/>
      <c r="FH59" s="992"/>
      <c r="FI59" s="992"/>
      <c r="FJ59" s="993"/>
      <c r="FK59" s="992"/>
      <c r="FL59" s="992"/>
      <c r="FM59" s="992"/>
      <c r="FN59" s="992" t="s">
        <v>100</v>
      </c>
      <c r="FO59" s="992"/>
      <c r="FP59" s="992"/>
      <c r="FQ59" s="992"/>
      <c r="FR59" s="992"/>
      <c r="FS59" s="992"/>
      <c r="FT59" s="992"/>
      <c r="FU59" s="992"/>
      <c r="FV59" s="992"/>
      <c r="FW59" s="992"/>
      <c r="FX59" s="992"/>
      <c r="FY59" s="992"/>
      <c r="FZ59" s="992"/>
      <c r="GA59" s="992"/>
      <c r="GB59" s="992"/>
      <c r="GC59" s="992"/>
      <c r="GD59" s="992"/>
      <c r="GE59" s="992"/>
      <c r="GF59" s="992"/>
      <c r="GG59" s="992"/>
      <c r="GH59" s="992"/>
      <c r="GI59" s="992"/>
      <c r="GJ59" s="992"/>
      <c r="GK59" s="992"/>
      <c r="GL59" s="992"/>
      <c r="GM59" s="992"/>
      <c r="GN59" s="992"/>
      <c r="GO59" s="992"/>
      <c r="GP59" s="992"/>
      <c r="GQ59" s="992"/>
      <c r="GR59" s="992"/>
      <c r="GS59" s="992"/>
      <c r="GT59" s="992"/>
      <c r="GU59" s="992"/>
      <c r="GV59" s="992"/>
      <c r="GW59" s="992"/>
      <c r="GX59" s="992"/>
      <c r="GY59" s="992"/>
      <c r="GZ59" s="992"/>
      <c r="HA59" s="992"/>
      <c r="HB59" s="992"/>
      <c r="HC59" s="992"/>
      <c r="HD59" s="992"/>
      <c r="HE59" s="992"/>
      <c r="HF59" s="992"/>
      <c r="HG59" s="992"/>
      <c r="HH59" s="992"/>
      <c r="HI59" s="992"/>
      <c r="HJ59" s="992"/>
      <c r="HK59" s="992"/>
      <c r="HL59" s="992"/>
      <c r="HM59" s="992"/>
      <c r="HN59" s="992"/>
      <c r="HO59" s="992"/>
      <c r="HP59" s="992"/>
      <c r="HQ59" s="992"/>
      <c r="HR59" s="992"/>
      <c r="HS59" s="992"/>
      <c r="HT59" s="992"/>
      <c r="HU59" s="992"/>
      <c r="HV59" s="992"/>
      <c r="HW59" s="992"/>
      <c r="HX59" s="992"/>
      <c r="HY59" s="1056"/>
      <c r="HZ59" s="1056"/>
      <c r="IA59" s="1056"/>
      <c r="IB59" s="1056"/>
      <c r="IC59" s="1056"/>
      <c r="ID59" s="1056"/>
      <c r="IE59" s="1056"/>
      <c r="IF59" s="1056"/>
      <c r="IG59" s="1056"/>
      <c r="IH59" s="1056"/>
      <c r="II59" s="1056"/>
      <c r="IJ59" s="1056"/>
      <c r="IK59" s="1056"/>
      <c r="IL59" s="1056"/>
      <c r="IM59" s="1056"/>
      <c r="IN59" s="1056"/>
      <c r="IO59" s="1056"/>
      <c r="IP59" s="1056"/>
      <c r="IQ59" s="1056"/>
      <c r="IR59" s="1056"/>
      <c r="IS59" s="1056"/>
      <c r="IT59" s="1056"/>
      <c r="IU59" s="1056"/>
      <c r="IV59" s="1056"/>
    </row>
    <row r="60" spans="1:256" s="979" customFormat="1" ht="19.95" customHeight="1">
      <c r="A60" s="1030" t="s">
        <v>128</v>
      </c>
      <c r="B60" s="1021"/>
      <c r="C60" s="992" t="str">
        <f>IF(ISTEXT(IFERROR(VLOOKUP(A60,职业列表!I3:J10,1,FALSE),0)),"★","")</f>
        <v/>
      </c>
      <c r="D60" s="1022" t="s">
        <v>100</v>
      </c>
      <c r="E60" s="1022" t="s">
        <v>100</v>
      </c>
      <c r="F60" s="1021"/>
      <c r="G60" s="1021"/>
      <c r="H60" s="1021"/>
      <c r="I60" s="1021"/>
      <c r="J60" s="1021"/>
      <c r="K60" s="1022" t="s">
        <v>100</v>
      </c>
      <c r="L60" s="1021"/>
      <c r="M60" s="1022" t="s">
        <v>100</v>
      </c>
      <c r="N60" s="1021"/>
      <c r="O60" s="1022" t="s">
        <v>100</v>
      </c>
      <c r="P60" s="1021"/>
      <c r="Q60" s="1021"/>
      <c r="R60" s="1021"/>
      <c r="S60" s="1022" t="s">
        <v>100</v>
      </c>
      <c r="T60" s="1021" t="s">
        <v>1373</v>
      </c>
      <c r="U60" s="1021"/>
      <c r="V60" s="1021"/>
      <c r="W60" s="1022" t="s">
        <v>100</v>
      </c>
      <c r="X60" s="1022" t="s">
        <v>100</v>
      </c>
      <c r="Y60" s="1021"/>
      <c r="Z60" s="1022" t="s">
        <v>100</v>
      </c>
      <c r="AA60" s="1022" t="s">
        <v>100</v>
      </c>
      <c r="AB60" s="1021"/>
      <c r="AC60" s="1034" t="s">
        <v>100</v>
      </c>
      <c r="AD60" s="1021"/>
      <c r="AE60" s="1021"/>
      <c r="AF60" s="1022" t="s">
        <v>100</v>
      </c>
      <c r="AG60" s="1022" t="s">
        <v>100</v>
      </c>
      <c r="AH60" s="1021"/>
      <c r="AI60" s="1022" t="s">
        <v>100</v>
      </c>
      <c r="AJ60" s="1021"/>
      <c r="AK60" s="1022" t="s">
        <v>100</v>
      </c>
      <c r="AL60" s="1022" t="s">
        <v>100</v>
      </c>
      <c r="AM60" s="1022" t="s">
        <v>100</v>
      </c>
      <c r="AN60" s="1021"/>
      <c r="AO60" s="1022" t="s">
        <v>100</v>
      </c>
      <c r="AP60" s="1021"/>
      <c r="AQ60" s="1022" t="s">
        <v>100</v>
      </c>
      <c r="AR60" s="1021"/>
      <c r="AS60" s="1022" t="s">
        <v>100</v>
      </c>
      <c r="AT60" s="1021"/>
      <c r="AU60" s="1021"/>
      <c r="AV60" s="1022" t="s">
        <v>100</v>
      </c>
      <c r="AW60" s="1021"/>
      <c r="AX60" s="1022" t="s">
        <v>100</v>
      </c>
      <c r="AY60" s="1022" t="s">
        <v>100</v>
      </c>
      <c r="AZ60" s="1021"/>
      <c r="BA60" s="1021"/>
      <c r="BB60" s="1021"/>
      <c r="BC60" s="1021"/>
      <c r="BD60" s="1021"/>
      <c r="BE60" s="1022" t="s">
        <v>100</v>
      </c>
      <c r="BF60" s="1021"/>
      <c r="BG60" s="1021"/>
      <c r="BH60" s="1022" t="s">
        <v>100</v>
      </c>
      <c r="BI60" s="1022" t="s">
        <v>100</v>
      </c>
      <c r="BJ60" s="1022" t="s">
        <v>100</v>
      </c>
      <c r="BK60" s="1021"/>
      <c r="BL60" s="1021"/>
      <c r="BM60" s="1021"/>
      <c r="BN60" s="1021"/>
      <c r="BO60" s="1042"/>
      <c r="BP60" s="1022" t="s">
        <v>100</v>
      </c>
      <c r="BQ60" s="1021"/>
      <c r="BR60" s="1022" t="s">
        <v>100</v>
      </c>
      <c r="BS60" s="1021"/>
      <c r="BT60" s="1021"/>
      <c r="BU60" s="1022" t="s">
        <v>100</v>
      </c>
      <c r="BV60" s="1021"/>
      <c r="BW60" s="1021"/>
      <c r="BX60" s="1021"/>
      <c r="BY60" s="1021"/>
      <c r="BZ60" s="1021"/>
      <c r="CA60" s="1021"/>
      <c r="CB60" s="1022" t="s">
        <v>100</v>
      </c>
      <c r="CC60" s="1021"/>
      <c r="CD60" s="1022" t="s">
        <v>100</v>
      </c>
      <c r="CE60" s="1021"/>
      <c r="CF60" s="1022" t="s">
        <v>100</v>
      </c>
      <c r="CG60" s="1021"/>
      <c r="CH60" s="1021"/>
      <c r="CI60" s="1022" t="s">
        <v>100</v>
      </c>
      <c r="CJ60" s="1021"/>
      <c r="CK60" s="1021"/>
      <c r="CL60" s="1022" t="s">
        <v>100</v>
      </c>
      <c r="CM60" s="1022" t="s">
        <v>100</v>
      </c>
      <c r="CN60" s="1022" t="s">
        <v>100</v>
      </c>
      <c r="CO60" s="1022" t="s">
        <v>100</v>
      </c>
      <c r="CP60" s="1021"/>
      <c r="CQ60" s="1022" t="s">
        <v>100</v>
      </c>
      <c r="CR60" s="1021"/>
      <c r="CS60" s="1021"/>
      <c r="CT60" s="1021"/>
      <c r="CU60" s="1022" t="s">
        <v>100</v>
      </c>
      <c r="CV60" s="1021"/>
      <c r="CW60" s="1022" t="s">
        <v>100</v>
      </c>
      <c r="CX60" s="1021"/>
      <c r="CY60" s="1022" t="s">
        <v>100</v>
      </c>
      <c r="CZ60" s="1021"/>
      <c r="DA60" s="1022" t="s">
        <v>100</v>
      </c>
      <c r="DB60" s="1021"/>
      <c r="DC60" s="1021"/>
      <c r="DD60" s="1021"/>
      <c r="DE60" s="1021"/>
      <c r="DF60" s="1022" t="s">
        <v>100</v>
      </c>
      <c r="DG60" s="1021"/>
      <c r="DH60" s="1021"/>
      <c r="DI60" s="1021"/>
      <c r="DJ60" s="1021"/>
      <c r="DK60" s="1021"/>
      <c r="DL60" s="1021"/>
      <c r="DM60" s="1021"/>
      <c r="DN60" s="1021"/>
      <c r="DO60" s="1021"/>
      <c r="DP60" s="1021"/>
      <c r="DQ60" s="1021" t="s">
        <v>100</v>
      </c>
      <c r="DR60" s="1021"/>
      <c r="DS60" s="1021"/>
      <c r="DT60" s="1021"/>
      <c r="DU60" s="1021"/>
      <c r="DV60" s="1021"/>
      <c r="DW60" s="1021"/>
      <c r="DX60" s="1021"/>
      <c r="DY60" s="1021"/>
      <c r="DZ60" s="1021"/>
      <c r="EA60" s="1021" t="s">
        <v>100</v>
      </c>
      <c r="EB60" s="1021" t="s">
        <v>100</v>
      </c>
      <c r="EC60" s="1021" t="s">
        <v>100</v>
      </c>
      <c r="ED60" s="1021" t="s">
        <v>100</v>
      </c>
      <c r="EE60" s="1021"/>
      <c r="EF60" s="1021"/>
      <c r="EG60" s="1021"/>
      <c r="EH60" s="1021"/>
      <c r="EI60" s="1021"/>
      <c r="EJ60" s="1021"/>
      <c r="EK60" s="1021"/>
      <c r="EL60" s="1021" t="s">
        <v>100</v>
      </c>
      <c r="EM60" s="1021"/>
      <c r="EN60" s="1021"/>
      <c r="EO60" s="1021"/>
      <c r="EP60" s="1021" t="s">
        <v>100</v>
      </c>
      <c r="EQ60" s="1021"/>
      <c r="ER60" s="1021"/>
      <c r="ES60" s="1021"/>
      <c r="ET60" s="1021"/>
      <c r="EU60" s="1021"/>
      <c r="EV60" s="1021"/>
      <c r="EW60" s="1021" t="s">
        <v>100</v>
      </c>
      <c r="EX60" s="1021"/>
      <c r="EY60" s="1021" t="s">
        <v>100</v>
      </c>
      <c r="EZ60" s="1021"/>
      <c r="FA60" s="1021" t="s">
        <v>100</v>
      </c>
      <c r="FB60" s="1021" t="s">
        <v>100</v>
      </c>
      <c r="FC60" s="1021"/>
      <c r="FD60" s="1021"/>
      <c r="FE60" s="1021"/>
      <c r="FF60" s="1021"/>
      <c r="FG60" s="1021"/>
      <c r="FH60" s="1021"/>
      <c r="FI60" s="1021"/>
      <c r="FJ60" s="1021"/>
      <c r="FK60" s="1021"/>
      <c r="FL60" s="1021"/>
      <c r="FM60" s="1021"/>
      <c r="FN60" s="1021" t="s">
        <v>100</v>
      </c>
      <c r="FO60" s="1021" t="s">
        <v>100</v>
      </c>
      <c r="FP60" s="1021" t="s">
        <v>100</v>
      </c>
      <c r="FQ60" s="1021"/>
      <c r="FR60" s="1021"/>
      <c r="FS60" s="1021"/>
      <c r="FT60" s="1021"/>
      <c r="FU60" s="1021"/>
      <c r="FV60" s="1021"/>
      <c r="FW60" s="1021" t="s">
        <v>100</v>
      </c>
      <c r="FX60" s="1021"/>
      <c r="FY60" s="1021"/>
      <c r="FZ60" s="1021" t="s">
        <v>100</v>
      </c>
      <c r="GA60" s="1021"/>
      <c r="GB60" s="1021" t="s">
        <v>100</v>
      </c>
      <c r="GC60" s="1021"/>
      <c r="GD60" s="1021"/>
      <c r="GE60" s="1021"/>
      <c r="GF60" s="1021"/>
      <c r="GG60" s="1021"/>
      <c r="GH60" s="1021"/>
      <c r="GI60" s="1021"/>
      <c r="GJ60" s="1021" t="s">
        <v>100</v>
      </c>
      <c r="GK60" s="1021"/>
      <c r="GL60" s="1021"/>
      <c r="GM60" s="1021"/>
      <c r="GN60" s="1021"/>
      <c r="GO60" s="1021"/>
      <c r="GP60" s="1021"/>
      <c r="GQ60" s="1021"/>
      <c r="GR60" s="1021"/>
      <c r="GS60" s="1021" t="s">
        <v>100</v>
      </c>
      <c r="GT60" s="1021" t="s">
        <v>100</v>
      </c>
      <c r="GU60" s="1021"/>
      <c r="GV60" s="1021"/>
      <c r="GW60" s="1021" t="s">
        <v>100</v>
      </c>
      <c r="GX60" s="1021"/>
      <c r="GY60" s="1021"/>
      <c r="GZ60" s="1021" t="s">
        <v>100</v>
      </c>
      <c r="HA60" s="1021"/>
      <c r="HB60" s="1021" t="s">
        <v>100</v>
      </c>
      <c r="HC60" s="1022"/>
      <c r="HD60" s="1021"/>
      <c r="HE60" s="1022"/>
      <c r="HF60" s="1021" t="s">
        <v>100</v>
      </c>
      <c r="HG60" s="1022" t="s">
        <v>100</v>
      </c>
      <c r="HH60" s="1021"/>
      <c r="HI60" s="1021"/>
      <c r="HJ60" s="1021"/>
      <c r="HK60" s="1022" t="s">
        <v>100</v>
      </c>
      <c r="HL60" s="1021" t="s">
        <v>100</v>
      </c>
      <c r="HM60" s="1021" t="s">
        <v>100</v>
      </c>
      <c r="HN60" s="1021" t="s">
        <v>100</v>
      </c>
      <c r="HO60" s="1022"/>
      <c r="HP60" s="1022"/>
      <c r="HQ60" s="1021"/>
      <c r="HR60" s="1022" t="s">
        <v>100</v>
      </c>
      <c r="HS60" s="1022"/>
      <c r="HT60" s="1021" t="s">
        <v>100</v>
      </c>
      <c r="HU60" s="1022"/>
      <c r="HV60" s="1021" t="s">
        <v>100</v>
      </c>
      <c r="HW60" s="1021" t="s">
        <v>100</v>
      </c>
      <c r="HX60" s="1022" t="s">
        <v>100</v>
      </c>
      <c r="HY60" s="1065"/>
      <c r="HZ60" s="1065"/>
      <c r="IA60" s="1065"/>
      <c r="IB60" s="1065"/>
      <c r="IC60" s="1065"/>
      <c r="ID60" s="1065"/>
      <c r="IE60" s="1065"/>
      <c r="IF60" s="1065"/>
      <c r="IG60" s="1065"/>
      <c r="IH60" s="1065"/>
      <c r="II60" s="1065"/>
      <c r="IJ60" s="1065"/>
      <c r="IK60" s="1065"/>
      <c r="IL60" s="1065"/>
      <c r="IM60" s="1065"/>
      <c r="IN60" s="1065"/>
      <c r="IO60" s="1065"/>
      <c r="IP60" s="1065"/>
      <c r="IQ60" s="1065"/>
      <c r="IR60" s="1065"/>
      <c r="IS60" s="1065"/>
      <c r="IT60" s="1065"/>
      <c r="IU60" s="1065"/>
      <c r="IV60" s="1065"/>
    </row>
    <row r="61" spans="1:256" ht="19.95" customHeight="1">
      <c r="A61" s="1024" t="s">
        <v>132</v>
      </c>
      <c r="B61" s="992"/>
      <c r="C61" s="992" t="str">
        <f>IF(ISTEXT(IFERROR(VLOOKUP(A61,职业列表!I3:J10,1,FALSE),0)),"★","")</f>
        <v/>
      </c>
      <c r="D61" s="994"/>
      <c r="E61" s="992"/>
      <c r="F61" s="992"/>
      <c r="G61" s="992"/>
      <c r="H61" s="994" t="s">
        <v>100</v>
      </c>
      <c r="I61" s="992"/>
      <c r="J61" s="994" t="s">
        <v>100</v>
      </c>
      <c r="K61" s="992"/>
      <c r="L61" s="992"/>
      <c r="M61" s="992"/>
      <c r="N61" s="992"/>
      <c r="O61" s="992"/>
      <c r="P61" s="994" t="s">
        <v>100</v>
      </c>
      <c r="Q61" s="992"/>
      <c r="R61" s="992"/>
      <c r="S61" s="992"/>
      <c r="T61" s="994" t="s">
        <v>100</v>
      </c>
      <c r="U61" s="992"/>
      <c r="V61" s="994" t="s">
        <v>100</v>
      </c>
      <c r="W61" s="992"/>
      <c r="X61" s="992"/>
      <c r="Y61" s="992"/>
      <c r="Z61" s="992"/>
      <c r="AA61" s="992"/>
      <c r="AB61" s="992"/>
      <c r="AC61" s="992"/>
      <c r="AD61" s="992" t="s">
        <v>100</v>
      </c>
      <c r="AE61" s="992"/>
      <c r="AF61" s="994" t="s">
        <v>100</v>
      </c>
      <c r="AG61" s="994" t="s">
        <v>100</v>
      </c>
      <c r="AH61" s="992"/>
      <c r="AI61" s="994" t="s">
        <v>100</v>
      </c>
      <c r="AJ61" s="994" t="s">
        <v>100</v>
      </c>
      <c r="AK61" s="992"/>
      <c r="AL61" s="992"/>
      <c r="AM61" s="992"/>
      <c r="AN61" s="994" t="s">
        <v>100</v>
      </c>
      <c r="AO61" s="992"/>
      <c r="AP61" s="994" t="s">
        <v>100</v>
      </c>
      <c r="AQ61" s="992"/>
      <c r="AR61" s="992"/>
      <c r="AS61" s="992"/>
      <c r="AT61" s="992"/>
      <c r="AU61" s="994" t="s">
        <v>100</v>
      </c>
      <c r="AV61" s="992"/>
      <c r="AW61" s="992"/>
      <c r="AX61" s="992"/>
      <c r="AY61" s="992"/>
      <c r="AZ61" s="992"/>
      <c r="BA61" s="992"/>
      <c r="BB61" s="992"/>
      <c r="BC61" s="992"/>
      <c r="BD61" s="992"/>
      <c r="BE61" s="994" t="s">
        <v>100</v>
      </c>
      <c r="BF61" s="992"/>
      <c r="BG61" s="992"/>
      <c r="BH61" s="992"/>
      <c r="BI61" s="992"/>
      <c r="BJ61" s="992"/>
      <c r="BK61" s="992"/>
      <c r="BL61" s="992"/>
      <c r="BM61" s="994" t="s">
        <v>100</v>
      </c>
      <c r="BN61" s="994" t="s">
        <v>100</v>
      </c>
      <c r="BO61" s="999"/>
      <c r="BP61" s="994" t="s">
        <v>100</v>
      </c>
      <c r="BQ61" s="992"/>
      <c r="BR61" s="992"/>
      <c r="BS61" s="992"/>
      <c r="BT61" s="992"/>
      <c r="BU61" s="994" t="s">
        <v>100</v>
      </c>
      <c r="BV61" s="992"/>
      <c r="BW61" s="992"/>
      <c r="BX61" s="992"/>
      <c r="BY61" s="992"/>
      <c r="BZ61" s="992"/>
      <c r="CA61" s="992"/>
      <c r="CB61" s="992"/>
      <c r="CC61" s="992"/>
      <c r="CD61" s="992"/>
      <c r="CE61" s="992"/>
      <c r="CF61" s="992"/>
      <c r="CG61" s="992"/>
      <c r="CH61" s="992"/>
      <c r="CI61" s="994" t="s">
        <v>100</v>
      </c>
      <c r="CJ61" s="992"/>
      <c r="CK61" s="992"/>
      <c r="CL61" s="992"/>
      <c r="CM61" s="992"/>
      <c r="CN61" s="992"/>
      <c r="CO61" s="992"/>
      <c r="CP61" s="992"/>
      <c r="CQ61" s="992"/>
      <c r="CR61" s="994" t="s">
        <v>100</v>
      </c>
      <c r="CS61" s="992"/>
      <c r="CT61" s="992"/>
      <c r="CU61" s="992"/>
      <c r="CV61" s="992"/>
      <c r="CW61" s="992"/>
      <c r="CX61" s="992" t="s">
        <v>1373</v>
      </c>
      <c r="CY61" s="992"/>
      <c r="CZ61" s="992"/>
      <c r="DA61" s="992"/>
      <c r="DB61" s="994" t="s">
        <v>100</v>
      </c>
      <c r="DC61" s="994" t="s">
        <v>100</v>
      </c>
      <c r="DD61" s="992"/>
      <c r="DE61" s="992"/>
      <c r="DF61" s="992"/>
      <c r="DG61" s="992"/>
      <c r="DH61" s="992"/>
      <c r="DI61" s="992"/>
      <c r="DJ61" s="992"/>
      <c r="DK61" s="992"/>
      <c r="DL61" s="994" t="s">
        <v>100</v>
      </c>
      <c r="DM61" s="992"/>
      <c r="DN61" s="992"/>
      <c r="DO61" s="992"/>
      <c r="DP61" s="992"/>
      <c r="DQ61" s="992"/>
      <c r="DR61" s="992"/>
      <c r="DS61" s="992"/>
      <c r="DT61" s="992"/>
      <c r="DU61" s="992"/>
      <c r="DV61" s="992"/>
      <c r="DW61" s="992"/>
      <c r="DX61" s="992" t="s">
        <v>100</v>
      </c>
      <c r="DY61" s="992"/>
      <c r="DZ61" s="992"/>
      <c r="EA61" s="992"/>
      <c r="EB61" s="992"/>
      <c r="EC61" s="992" t="s">
        <v>100</v>
      </c>
      <c r="ED61" s="992"/>
      <c r="EE61" s="992"/>
      <c r="EF61" s="992"/>
      <c r="EG61" s="992"/>
      <c r="EH61" s="992"/>
      <c r="EI61" s="992"/>
      <c r="EJ61" s="992"/>
      <c r="EK61" s="992"/>
      <c r="EL61" s="992"/>
      <c r="EM61" s="992"/>
      <c r="EN61" s="992"/>
      <c r="EO61" s="992"/>
      <c r="EP61" s="992"/>
      <c r="EQ61" s="992"/>
      <c r="ER61" s="992" t="s">
        <v>1373</v>
      </c>
      <c r="ES61" s="992"/>
      <c r="ET61" s="992"/>
      <c r="EU61" s="992"/>
      <c r="EV61" s="992"/>
      <c r="EW61" s="992"/>
      <c r="EX61" s="992"/>
      <c r="EY61" s="992"/>
      <c r="EZ61" s="992"/>
      <c r="FA61" s="992"/>
      <c r="FB61" s="992"/>
      <c r="FC61" s="992"/>
      <c r="FD61" s="992"/>
      <c r="FE61" s="992"/>
      <c r="FF61" s="992"/>
      <c r="FG61" s="992"/>
      <c r="FH61" s="992" t="s">
        <v>100</v>
      </c>
      <c r="FI61" s="992" t="s">
        <v>100</v>
      </c>
      <c r="FJ61" s="992"/>
      <c r="FK61" s="992"/>
      <c r="FL61" s="992"/>
      <c r="FM61" s="992"/>
      <c r="FN61" s="992" t="s">
        <v>100</v>
      </c>
      <c r="FO61" s="992"/>
      <c r="FP61" s="992"/>
      <c r="FQ61" s="992"/>
      <c r="FR61" s="992"/>
      <c r="FS61" s="992"/>
      <c r="FT61" s="992"/>
      <c r="FU61" s="992"/>
      <c r="FV61" s="992"/>
      <c r="FW61" s="992"/>
      <c r="FX61" s="992"/>
      <c r="FY61" s="992"/>
      <c r="FZ61" s="992"/>
      <c r="GA61" s="992"/>
      <c r="GB61" s="992"/>
      <c r="GC61" s="992" t="s">
        <v>100</v>
      </c>
      <c r="GD61" s="992" t="s">
        <v>100</v>
      </c>
      <c r="GE61" s="992"/>
      <c r="GF61" s="992" t="s">
        <v>100</v>
      </c>
      <c r="GG61" s="992"/>
      <c r="GH61" s="992"/>
      <c r="GI61" s="992"/>
      <c r="GJ61" s="992"/>
      <c r="GK61" s="992"/>
      <c r="GL61" s="992"/>
      <c r="GM61" s="992"/>
      <c r="GN61" s="992"/>
      <c r="GO61" s="992" t="s">
        <v>100</v>
      </c>
      <c r="GP61" s="992"/>
      <c r="GQ61" s="992"/>
      <c r="GR61" s="992"/>
      <c r="GS61" s="992"/>
      <c r="GT61" s="992"/>
      <c r="GU61" s="992" t="s">
        <v>100</v>
      </c>
      <c r="GV61" s="992" t="s">
        <v>100</v>
      </c>
      <c r="GW61" s="992"/>
      <c r="GX61" s="992"/>
      <c r="GY61" s="992" t="s">
        <v>100</v>
      </c>
      <c r="GZ61" s="994"/>
      <c r="HA61" s="992"/>
      <c r="HB61" s="994"/>
      <c r="HC61" s="992"/>
      <c r="HD61" s="992"/>
      <c r="HE61" s="992"/>
      <c r="HF61" s="992"/>
      <c r="HG61" s="992"/>
      <c r="HH61" s="994" t="s">
        <v>100</v>
      </c>
      <c r="HI61" s="992"/>
      <c r="HJ61" s="992"/>
      <c r="HK61" s="992" t="s">
        <v>100</v>
      </c>
      <c r="HL61" s="994" t="s">
        <v>100</v>
      </c>
      <c r="HM61" s="992"/>
      <c r="HN61" s="994"/>
      <c r="HO61" s="992"/>
      <c r="HP61" s="992"/>
      <c r="HQ61" s="992"/>
      <c r="HR61" s="992" t="s">
        <v>100</v>
      </c>
      <c r="HS61" s="992"/>
      <c r="HT61" s="992"/>
      <c r="HU61" s="992" t="s">
        <v>100</v>
      </c>
      <c r="HV61" s="992"/>
      <c r="HW61" s="992" t="s">
        <v>100</v>
      </c>
      <c r="HX61" s="994" t="s">
        <v>100</v>
      </c>
      <c r="HY61" s="1056"/>
      <c r="HZ61" s="1056"/>
      <c r="IA61" s="1056"/>
      <c r="IB61" s="1056"/>
      <c r="IC61" s="1056"/>
      <c r="ID61" s="1056"/>
      <c r="IE61" s="1056"/>
      <c r="IF61" s="1056"/>
      <c r="IG61" s="1056"/>
      <c r="IH61" s="1056"/>
      <c r="II61" s="1056"/>
      <c r="IJ61" s="1056"/>
      <c r="IK61" s="1056"/>
      <c r="IL61" s="1056"/>
      <c r="IM61" s="1056"/>
      <c r="IN61" s="1056"/>
      <c r="IO61" s="1056"/>
      <c r="IP61" s="1056"/>
      <c r="IQ61" s="1056"/>
      <c r="IR61" s="1056"/>
      <c r="IS61" s="1056"/>
      <c r="IT61" s="1056"/>
      <c r="IU61" s="1056"/>
      <c r="IV61" s="1056"/>
    </row>
    <row r="62" spans="1:256" ht="19.95" customHeight="1">
      <c r="A62" s="1023" t="s">
        <v>137</v>
      </c>
      <c r="B62" s="992"/>
      <c r="C62" s="992" t="str">
        <f>IF(ISTEXT(IFERROR(VLOOKUP(A62,职业列表!I3:J10,1,FALSE),0)),"★","")</f>
        <v/>
      </c>
      <c r="D62" s="994"/>
      <c r="E62" s="992"/>
      <c r="F62" s="992"/>
      <c r="G62" s="992"/>
      <c r="H62" s="992"/>
      <c r="I62" s="992"/>
      <c r="J62" s="992"/>
      <c r="K62" s="992"/>
      <c r="L62" s="992"/>
      <c r="M62" s="992"/>
      <c r="N62" s="992"/>
      <c r="O62" s="992"/>
      <c r="P62" s="992"/>
      <c r="Q62" s="992"/>
      <c r="R62" s="992"/>
      <c r="S62" s="992"/>
      <c r="T62" s="1033" t="s">
        <v>1374</v>
      </c>
      <c r="U62" s="992"/>
      <c r="V62" s="992"/>
      <c r="W62" s="992"/>
      <c r="X62" s="992"/>
      <c r="Y62" s="992"/>
      <c r="Z62" s="992"/>
      <c r="AA62" s="992"/>
      <c r="AB62" s="1033" t="s">
        <v>100</v>
      </c>
      <c r="AC62" s="992"/>
      <c r="AD62" s="992"/>
      <c r="AE62" s="992"/>
      <c r="AF62" s="992"/>
      <c r="AG62" s="992"/>
      <c r="AH62" s="992"/>
      <c r="AI62" s="992"/>
      <c r="AJ62" s="992"/>
      <c r="AK62" s="992"/>
      <c r="AL62" s="992"/>
      <c r="AM62" s="992"/>
      <c r="AN62" s="992"/>
      <c r="AO62" s="992"/>
      <c r="AP62" s="992"/>
      <c r="AQ62" s="992"/>
      <c r="AR62" s="992"/>
      <c r="AS62" s="992"/>
      <c r="AT62" s="992"/>
      <c r="AU62" s="992"/>
      <c r="AV62" s="992"/>
      <c r="AW62" s="992"/>
      <c r="AX62" s="992"/>
      <c r="AY62" s="992"/>
      <c r="AZ62" s="992"/>
      <c r="BA62" s="992"/>
      <c r="BB62" s="992"/>
      <c r="BC62" s="994" t="s">
        <v>100</v>
      </c>
      <c r="BD62" s="999"/>
      <c r="BE62" s="992"/>
      <c r="BF62" s="992"/>
      <c r="BG62" s="992"/>
      <c r="BH62" s="992"/>
      <c r="BI62" s="992"/>
      <c r="BJ62" s="992"/>
      <c r="BK62" s="992"/>
      <c r="BL62" s="992"/>
      <c r="BM62" s="992"/>
      <c r="BN62" s="992"/>
      <c r="BO62" s="992"/>
      <c r="BP62" s="992"/>
      <c r="BQ62" s="992"/>
      <c r="BR62" s="992"/>
      <c r="BS62" s="992"/>
      <c r="BT62" s="992"/>
      <c r="BU62" s="992"/>
      <c r="BV62" s="992"/>
      <c r="BW62" s="992"/>
      <c r="BX62" s="992"/>
      <c r="BY62" s="992"/>
      <c r="BZ62" s="992"/>
      <c r="CA62" s="993" t="s">
        <v>1436</v>
      </c>
      <c r="CB62" s="992"/>
      <c r="CC62" s="992"/>
      <c r="CD62" s="992"/>
      <c r="CE62" s="992"/>
      <c r="CF62" s="993" t="s">
        <v>100</v>
      </c>
      <c r="CG62" s="992"/>
      <c r="CH62" s="992"/>
      <c r="CI62" s="992"/>
      <c r="CJ62" s="992"/>
      <c r="CK62" s="992"/>
      <c r="CL62" s="992"/>
      <c r="CM62" s="992"/>
      <c r="CN62" s="992"/>
      <c r="CO62" s="992"/>
      <c r="CP62" s="992"/>
      <c r="CQ62" s="992"/>
      <c r="CR62" s="992"/>
      <c r="CS62" s="992"/>
      <c r="CT62" s="992"/>
      <c r="CU62" s="992"/>
      <c r="CV62" s="992" t="s">
        <v>1437</v>
      </c>
      <c r="CW62" s="992"/>
      <c r="CX62" s="992"/>
      <c r="CY62" s="992"/>
      <c r="CZ62" s="992"/>
      <c r="DA62" s="992"/>
      <c r="DB62" s="994" t="s">
        <v>100</v>
      </c>
      <c r="DC62" s="992"/>
      <c r="DD62" s="992"/>
      <c r="DE62" s="992"/>
      <c r="DF62" s="1033" t="s">
        <v>100</v>
      </c>
      <c r="DG62" s="992"/>
      <c r="DH62" s="992"/>
      <c r="DI62" s="992"/>
      <c r="DJ62" s="992"/>
      <c r="DK62" s="992"/>
      <c r="DL62" s="992"/>
      <c r="DM62" s="992"/>
      <c r="DN62" s="992"/>
      <c r="DO62" s="992"/>
      <c r="DP62" s="992"/>
      <c r="DQ62" s="992"/>
      <c r="DR62" s="992"/>
      <c r="DS62" s="992"/>
      <c r="DT62" s="992"/>
      <c r="DU62" s="992"/>
      <c r="DV62" s="992"/>
      <c r="DW62" s="992"/>
      <c r="DX62" s="992"/>
      <c r="DY62" s="992"/>
      <c r="DZ62" s="992"/>
      <c r="EA62" s="992"/>
      <c r="EB62" s="992"/>
      <c r="EC62" s="992"/>
      <c r="ED62" s="992"/>
      <c r="EE62" s="992"/>
      <c r="EF62" s="992"/>
      <c r="EG62" s="992"/>
      <c r="EH62" s="992"/>
      <c r="EI62" s="992"/>
      <c r="EJ62" s="992"/>
      <c r="EK62" s="992"/>
      <c r="EL62" s="992"/>
      <c r="EM62" s="992"/>
      <c r="EN62" s="992" t="s">
        <v>1438</v>
      </c>
      <c r="EO62" s="992"/>
      <c r="EP62" s="992"/>
      <c r="EQ62" s="992"/>
      <c r="ER62" s="992"/>
      <c r="ES62" s="992"/>
      <c r="ET62" s="992"/>
      <c r="EU62" s="992"/>
      <c r="EV62" s="992"/>
      <c r="EW62" s="992" t="s">
        <v>100</v>
      </c>
      <c r="EX62" s="992"/>
      <c r="EY62" s="992"/>
      <c r="EZ62" s="992"/>
      <c r="FA62" s="992"/>
      <c r="FB62" s="992"/>
      <c r="FC62" s="992"/>
      <c r="FD62" s="992"/>
      <c r="FE62" s="992"/>
      <c r="FF62" s="992"/>
      <c r="FG62" s="992"/>
      <c r="FH62" s="992"/>
      <c r="FI62" s="992"/>
      <c r="FJ62" s="992"/>
      <c r="FK62" s="992"/>
      <c r="FL62" s="992"/>
      <c r="FM62" s="992"/>
      <c r="FN62" s="992"/>
      <c r="FO62" s="992"/>
      <c r="FP62" s="992"/>
      <c r="FQ62" s="992"/>
      <c r="FR62" s="992"/>
      <c r="FS62" s="992"/>
      <c r="FT62" s="992"/>
      <c r="FU62" s="992"/>
      <c r="FV62" s="992"/>
      <c r="FW62" s="992"/>
      <c r="FX62" s="992" t="s">
        <v>1436</v>
      </c>
      <c r="FY62" s="992"/>
      <c r="FZ62" s="992"/>
      <c r="GA62" s="992" t="s">
        <v>1439</v>
      </c>
      <c r="GB62" s="992"/>
      <c r="GC62" s="992" t="s">
        <v>100</v>
      </c>
      <c r="GD62" s="992" t="s">
        <v>100</v>
      </c>
      <c r="GE62" s="992" t="s">
        <v>100</v>
      </c>
      <c r="GF62" s="992"/>
      <c r="GG62" s="992"/>
      <c r="GH62" s="992"/>
      <c r="GI62" s="992"/>
      <c r="GJ62" s="992"/>
      <c r="GK62" s="992"/>
      <c r="GL62" s="992"/>
      <c r="GM62" s="992"/>
      <c r="GN62" s="992"/>
      <c r="GO62" s="992"/>
      <c r="GP62" s="992"/>
      <c r="GQ62" s="992"/>
      <c r="GR62" s="992"/>
      <c r="GS62" s="992"/>
      <c r="GT62" s="992"/>
      <c r="GU62" s="992" t="s">
        <v>100</v>
      </c>
      <c r="GV62" s="992"/>
      <c r="GW62" s="992"/>
      <c r="GX62" s="992"/>
      <c r="GY62" s="992"/>
      <c r="GZ62" s="992"/>
      <c r="HA62" s="992"/>
      <c r="HB62" s="992"/>
      <c r="HC62" s="992"/>
      <c r="HD62" s="992"/>
      <c r="HE62" s="992"/>
      <c r="HF62" s="992"/>
      <c r="HG62" s="992"/>
      <c r="HH62" s="992"/>
      <c r="HI62" s="992"/>
      <c r="HJ62" s="992"/>
      <c r="HK62" s="992"/>
      <c r="HL62" s="999"/>
      <c r="HM62" s="992"/>
      <c r="HN62" s="992"/>
      <c r="HO62" s="992"/>
      <c r="HP62" s="992"/>
      <c r="HQ62" s="992"/>
      <c r="HR62" s="992"/>
      <c r="HS62" s="992"/>
      <c r="HT62" s="1033"/>
      <c r="HU62" s="992"/>
      <c r="HV62" s="992"/>
      <c r="HW62" s="992"/>
      <c r="HX62" s="992"/>
      <c r="HY62" s="1056"/>
      <c r="HZ62" s="1056"/>
      <c r="IA62" s="1056"/>
      <c r="IB62" s="1056"/>
      <c r="IC62" s="1056"/>
      <c r="ID62" s="1056"/>
      <c r="IE62" s="1056"/>
      <c r="IF62" s="1056"/>
      <c r="IG62" s="1056"/>
      <c r="IH62" s="1056"/>
      <c r="II62" s="1056"/>
      <c r="IJ62" s="1056"/>
      <c r="IK62" s="1056"/>
      <c r="IL62" s="1056"/>
      <c r="IM62" s="1056"/>
      <c r="IN62" s="1056"/>
      <c r="IO62" s="1056"/>
      <c r="IP62" s="1056"/>
      <c r="IQ62" s="1056"/>
      <c r="IR62" s="1056"/>
      <c r="IS62" s="1056"/>
      <c r="IT62" s="1056"/>
      <c r="IU62" s="1056"/>
      <c r="IV62" s="1056"/>
    </row>
    <row r="63" spans="1:256" ht="19.95" customHeight="1">
      <c r="A63" s="1024" t="s">
        <v>140</v>
      </c>
      <c r="B63" s="992"/>
      <c r="C63" s="992" t="str">
        <f>IF(ISTEXT(IFERROR(VLOOKUP(A63,职业列表!I3:J10,1,FALSE),0)),"★","")</f>
        <v/>
      </c>
      <c r="D63" s="994"/>
      <c r="E63" s="994" t="s">
        <v>100</v>
      </c>
      <c r="F63" s="992"/>
      <c r="G63" s="992"/>
      <c r="H63" s="992"/>
      <c r="I63" s="992"/>
      <c r="J63" s="992"/>
      <c r="K63" s="992"/>
      <c r="L63" s="992"/>
      <c r="M63" s="992"/>
      <c r="N63" s="992"/>
      <c r="O63" s="992"/>
      <c r="P63" s="992"/>
      <c r="Q63" s="994" t="s">
        <v>100</v>
      </c>
      <c r="R63" s="992"/>
      <c r="S63" s="992"/>
      <c r="T63" s="992"/>
      <c r="U63" s="992"/>
      <c r="V63" s="992"/>
      <c r="W63" s="992"/>
      <c r="X63" s="992"/>
      <c r="Y63" s="992"/>
      <c r="Z63" s="992"/>
      <c r="AA63" s="992"/>
      <c r="AB63" s="992"/>
      <c r="AC63" s="992"/>
      <c r="AD63" s="992"/>
      <c r="AE63" s="992"/>
      <c r="AF63" s="992"/>
      <c r="AG63" s="992"/>
      <c r="AH63" s="992"/>
      <c r="AI63" s="992"/>
      <c r="AJ63" s="992"/>
      <c r="AK63" s="992"/>
      <c r="AL63" s="992"/>
      <c r="AM63" s="992"/>
      <c r="AN63" s="992"/>
      <c r="AO63" s="992"/>
      <c r="AP63" s="992"/>
      <c r="AQ63" s="992"/>
      <c r="AR63" s="992"/>
      <c r="AS63" s="994" t="s">
        <v>100</v>
      </c>
      <c r="AT63" s="992"/>
      <c r="AU63" s="992"/>
      <c r="AV63" s="992"/>
      <c r="AW63" s="992"/>
      <c r="AX63" s="992"/>
      <c r="AY63" s="992"/>
      <c r="AZ63" s="992"/>
      <c r="BA63" s="992"/>
      <c r="BB63" s="992"/>
      <c r="BC63" s="992" t="s">
        <v>1373</v>
      </c>
      <c r="BD63" s="992"/>
      <c r="BE63" s="992"/>
      <c r="BF63" s="992"/>
      <c r="BG63" s="992"/>
      <c r="BH63" s="992"/>
      <c r="BI63" s="992"/>
      <c r="BJ63" s="992"/>
      <c r="BK63" s="992"/>
      <c r="BL63" s="992"/>
      <c r="BM63" s="992"/>
      <c r="BN63" s="992"/>
      <c r="BO63" s="992"/>
      <c r="BP63" s="992"/>
      <c r="BQ63" s="992"/>
      <c r="BR63" s="992"/>
      <c r="BS63" s="992"/>
      <c r="BT63" s="992"/>
      <c r="BU63" s="992"/>
      <c r="BV63" s="992"/>
      <c r="BW63" s="992"/>
      <c r="BX63" s="992"/>
      <c r="BY63" s="992"/>
      <c r="BZ63" s="992"/>
      <c r="CA63" s="992"/>
      <c r="CB63" s="992"/>
      <c r="CC63" s="992"/>
      <c r="CD63" s="992"/>
      <c r="CE63" s="992"/>
      <c r="CF63" s="992"/>
      <c r="CG63" s="992"/>
      <c r="CH63" s="992"/>
      <c r="CI63" s="992"/>
      <c r="CJ63" s="992"/>
      <c r="CK63" s="992"/>
      <c r="CL63" s="992"/>
      <c r="CM63" s="992"/>
      <c r="CN63" s="992"/>
      <c r="CO63" s="992"/>
      <c r="CP63" s="992"/>
      <c r="CQ63" s="992"/>
      <c r="CR63" s="992"/>
      <c r="CS63" s="992"/>
      <c r="CT63" s="992"/>
      <c r="CU63" s="992"/>
      <c r="CV63" s="994" t="s">
        <v>100</v>
      </c>
      <c r="CW63" s="994" t="s">
        <v>100</v>
      </c>
      <c r="CX63" s="992"/>
      <c r="CY63" s="992"/>
      <c r="CZ63" s="992"/>
      <c r="DA63" s="992"/>
      <c r="DB63" s="992" t="s">
        <v>1373</v>
      </c>
      <c r="DC63" s="992"/>
      <c r="DD63" s="992"/>
      <c r="DE63" s="1041" t="s">
        <v>100</v>
      </c>
      <c r="DF63" s="994" t="s">
        <v>100</v>
      </c>
      <c r="DG63" s="992"/>
      <c r="DH63" s="992"/>
      <c r="DI63" s="992"/>
      <c r="DJ63" s="992"/>
      <c r="DK63" s="992"/>
      <c r="DL63" s="992"/>
      <c r="DM63" s="992"/>
      <c r="DN63" s="992"/>
      <c r="DO63" s="992" t="s">
        <v>100</v>
      </c>
      <c r="DP63" s="992" t="s">
        <v>100</v>
      </c>
      <c r="DQ63" s="992"/>
      <c r="DR63" s="992"/>
      <c r="DS63" s="992"/>
      <c r="DT63" s="992"/>
      <c r="DU63" s="992"/>
      <c r="DV63" s="992"/>
      <c r="DW63" s="992"/>
      <c r="DX63" s="992"/>
      <c r="DY63" s="992"/>
      <c r="DZ63" s="992"/>
      <c r="EA63" s="992"/>
      <c r="EB63" s="992"/>
      <c r="EC63" s="992"/>
      <c r="ED63" s="992"/>
      <c r="EE63" s="992"/>
      <c r="EF63" s="992"/>
      <c r="EG63" s="992"/>
      <c r="EH63" s="992"/>
      <c r="EI63" s="992"/>
      <c r="EJ63" s="992"/>
      <c r="EK63" s="992"/>
      <c r="EL63" s="992"/>
      <c r="EM63" s="992"/>
      <c r="EN63" s="992"/>
      <c r="EO63" s="992"/>
      <c r="EP63" s="992"/>
      <c r="EQ63" s="992"/>
      <c r="ER63" s="992"/>
      <c r="ES63" s="992"/>
      <c r="ET63" s="992"/>
      <c r="EU63" s="992"/>
      <c r="EV63" s="992"/>
      <c r="EW63" s="992"/>
      <c r="EX63" s="992"/>
      <c r="EY63" s="992"/>
      <c r="EZ63" s="992"/>
      <c r="FA63" s="992"/>
      <c r="FB63" s="992"/>
      <c r="FC63" s="992"/>
      <c r="FD63" s="992"/>
      <c r="FE63" s="992"/>
      <c r="FF63" s="992"/>
      <c r="FG63" s="992"/>
      <c r="FH63" s="992"/>
      <c r="FI63" s="992"/>
      <c r="FJ63" s="992"/>
      <c r="FK63" s="992"/>
      <c r="FL63" s="992"/>
      <c r="FM63" s="992"/>
      <c r="FN63" s="992"/>
      <c r="FO63" s="992"/>
      <c r="FP63" s="992" t="s">
        <v>100</v>
      </c>
      <c r="FQ63" s="992"/>
      <c r="FR63" s="992"/>
      <c r="FS63" s="992"/>
      <c r="FT63" s="992"/>
      <c r="FU63" s="992"/>
      <c r="FV63" s="992"/>
      <c r="FW63" s="992"/>
      <c r="FX63" s="992"/>
      <c r="FY63" s="992"/>
      <c r="FZ63" s="992"/>
      <c r="GA63" s="992" t="s">
        <v>100</v>
      </c>
      <c r="GB63" s="992" t="s">
        <v>100</v>
      </c>
      <c r="GC63" s="992" t="s">
        <v>1373</v>
      </c>
      <c r="GD63" s="992" t="s">
        <v>1373</v>
      </c>
      <c r="GE63" s="992" t="s">
        <v>1373</v>
      </c>
      <c r="GF63" s="992"/>
      <c r="GG63" s="992"/>
      <c r="GH63" s="992"/>
      <c r="GI63" s="992"/>
      <c r="GJ63" s="992" t="s">
        <v>100</v>
      </c>
      <c r="GK63" s="992"/>
      <c r="GL63" s="992"/>
      <c r="GM63" s="992"/>
      <c r="GN63" s="992"/>
      <c r="GO63" s="992"/>
      <c r="GP63" s="992"/>
      <c r="GQ63" s="992"/>
      <c r="GR63" s="992"/>
      <c r="GS63" s="992"/>
      <c r="GT63" s="992"/>
      <c r="GU63" s="992" t="s">
        <v>1373</v>
      </c>
      <c r="GV63" s="992"/>
      <c r="GW63" s="992"/>
      <c r="GX63" s="992"/>
      <c r="GY63" s="992"/>
      <c r="GZ63" s="992"/>
      <c r="HA63" s="992"/>
      <c r="HB63" s="992"/>
      <c r="HC63" s="992"/>
      <c r="HD63" s="992"/>
      <c r="HE63" s="992"/>
      <c r="HF63" s="992"/>
      <c r="HG63" s="992"/>
      <c r="HH63" s="992"/>
      <c r="HI63" s="994"/>
      <c r="HJ63" s="992"/>
      <c r="HK63" s="992" t="s">
        <v>1373</v>
      </c>
      <c r="HL63" s="992" t="s">
        <v>100</v>
      </c>
      <c r="HM63" s="992"/>
      <c r="HN63" s="992"/>
      <c r="HO63" s="992"/>
      <c r="HP63" s="992"/>
      <c r="HQ63" s="992"/>
      <c r="HR63" s="992"/>
      <c r="HS63" s="992"/>
      <c r="HT63" s="992"/>
      <c r="HU63" s="992"/>
      <c r="HV63" s="992"/>
      <c r="HW63" s="992"/>
      <c r="HX63" s="992"/>
      <c r="HY63" s="1056"/>
      <c r="HZ63" s="1056"/>
      <c r="IA63" s="1056"/>
      <c r="IB63" s="1056"/>
      <c r="IC63" s="1056"/>
      <c r="ID63" s="1056"/>
      <c r="IE63" s="1056"/>
      <c r="IF63" s="1056"/>
      <c r="IG63" s="1056"/>
      <c r="IH63" s="1056"/>
      <c r="II63" s="1056"/>
      <c r="IJ63" s="1056"/>
      <c r="IK63" s="1056"/>
      <c r="IL63" s="1056"/>
      <c r="IM63" s="1056"/>
      <c r="IN63" s="1056"/>
      <c r="IO63" s="1056"/>
      <c r="IP63" s="1056"/>
      <c r="IQ63" s="1056"/>
      <c r="IR63" s="1056"/>
      <c r="IS63" s="1056"/>
      <c r="IT63" s="1056"/>
      <c r="IU63" s="1056"/>
      <c r="IV63" s="1056"/>
    </row>
    <row r="64" spans="1:256" ht="19.95" customHeight="1">
      <c r="A64" s="1024" t="s">
        <v>143</v>
      </c>
      <c r="B64" s="992"/>
      <c r="C64" s="992" t="str">
        <f>IF(ISTEXT(IFERROR(VLOOKUP(A64,职业列表!I3:J10,1,FALSE),0)),"★","")</f>
        <v/>
      </c>
      <c r="D64" s="994"/>
      <c r="E64" s="994" t="s">
        <v>100</v>
      </c>
      <c r="F64" s="992"/>
      <c r="G64" s="992"/>
      <c r="H64" s="992"/>
      <c r="I64" s="992"/>
      <c r="J64" s="992"/>
      <c r="K64" s="992"/>
      <c r="L64" s="992"/>
      <c r="M64" s="992"/>
      <c r="N64" s="992"/>
      <c r="O64" s="992"/>
      <c r="P64" s="992"/>
      <c r="Q64" s="994" t="s">
        <v>100</v>
      </c>
      <c r="R64" s="992"/>
      <c r="S64" s="992"/>
      <c r="T64" s="992"/>
      <c r="U64" s="992"/>
      <c r="V64" s="992"/>
      <c r="W64" s="992"/>
      <c r="X64" s="992"/>
      <c r="Y64" s="992"/>
      <c r="Z64" s="992"/>
      <c r="AA64" s="992"/>
      <c r="AB64" s="994" t="s">
        <v>100</v>
      </c>
      <c r="AC64" s="992"/>
      <c r="AD64" s="992"/>
      <c r="AE64" s="992"/>
      <c r="AF64" s="992"/>
      <c r="AG64" s="992"/>
      <c r="AH64" s="992"/>
      <c r="AI64" s="992"/>
      <c r="AJ64" s="992"/>
      <c r="AK64" s="992"/>
      <c r="AL64" s="992"/>
      <c r="AM64" s="992"/>
      <c r="AN64" s="994" t="s">
        <v>100</v>
      </c>
      <c r="AO64" s="992"/>
      <c r="AP64" s="992"/>
      <c r="AQ64" s="992"/>
      <c r="AR64" s="992"/>
      <c r="AS64" s="992"/>
      <c r="AT64" s="992"/>
      <c r="AU64" s="992"/>
      <c r="AV64" s="992"/>
      <c r="AW64" s="992"/>
      <c r="AX64" s="992"/>
      <c r="AY64" s="992"/>
      <c r="AZ64" s="992"/>
      <c r="BA64" s="992"/>
      <c r="BB64" s="992"/>
      <c r="BC64" s="992"/>
      <c r="BD64" s="992"/>
      <c r="BE64" s="992"/>
      <c r="BF64" s="994" t="s">
        <v>100</v>
      </c>
      <c r="BG64" s="992"/>
      <c r="BH64" s="992"/>
      <c r="BI64" s="992"/>
      <c r="BJ64" s="992"/>
      <c r="BK64" s="992"/>
      <c r="BL64" s="992"/>
      <c r="BM64" s="992"/>
      <c r="BN64" s="992"/>
      <c r="BO64" s="992"/>
      <c r="BP64" s="992"/>
      <c r="BQ64" s="992"/>
      <c r="BR64" s="992"/>
      <c r="BS64" s="994" t="s">
        <v>100</v>
      </c>
      <c r="BT64" s="994" t="s">
        <v>100</v>
      </c>
      <c r="BU64" s="992"/>
      <c r="BV64" s="992"/>
      <c r="BW64" s="992"/>
      <c r="BX64" s="992"/>
      <c r="BY64" s="992"/>
      <c r="BZ64" s="992"/>
      <c r="CA64" s="992"/>
      <c r="CB64" s="992"/>
      <c r="CC64" s="992"/>
      <c r="CD64" s="992"/>
      <c r="CE64" s="992"/>
      <c r="CF64" s="992"/>
      <c r="CG64" s="992"/>
      <c r="CH64" s="992"/>
      <c r="CI64" s="992"/>
      <c r="CJ64" s="992"/>
      <c r="CK64" s="992"/>
      <c r="CL64" s="992"/>
      <c r="CM64" s="992"/>
      <c r="CN64" s="992"/>
      <c r="CO64" s="992"/>
      <c r="CP64" s="992"/>
      <c r="CQ64" s="992"/>
      <c r="CR64" s="992"/>
      <c r="CS64" s="992"/>
      <c r="CT64" s="992"/>
      <c r="CU64" s="992"/>
      <c r="CV64" s="992"/>
      <c r="CW64" s="992"/>
      <c r="CX64" s="992"/>
      <c r="CY64" s="992"/>
      <c r="CZ64" s="992"/>
      <c r="DA64" s="992"/>
      <c r="DB64" s="992"/>
      <c r="DC64" s="992"/>
      <c r="DD64" s="992"/>
      <c r="DE64" s="992"/>
      <c r="DF64" s="992" t="s">
        <v>1373</v>
      </c>
      <c r="DG64" s="992"/>
      <c r="DH64" s="992"/>
      <c r="DI64" s="992"/>
      <c r="DJ64" s="992"/>
      <c r="DK64" s="992"/>
      <c r="DL64" s="992"/>
      <c r="DM64" s="992"/>
      <c r="DN64" s="992"/>
      <c r="DO64" s="992" t="s">
        <v>100</v>
      </c>
      <c r="DP64" s="992" t="s">
        <v>100</v>
      </c>
      <c r="DQ64" s="992" t="s">
        <v>100</v>
      </c>
      <c r="DR64" s="992" t="s">
        <v>100</v>
      </c>
      <c r="DS64" s="992"/>
      <c r="DT64" s="992"/>
      <c r="DU64" s="992"/>
      <c r="DV64" s="992"/>
      <c r="DW64" s="992"/>
      <c r="DX64" s="992"/>
      <c r="DY64" s="992"/>
      <c r="DZ64" s="992"/>
      <c r="EA64" s="992"/>
      <c r="EB64" s="992"/>
      <c r="EC64" s="992"/>
      <c r="ED64" s="992"/>
      <c r="EE64" s="992"/>
      <c r="EF64" s="992"/>
      <c r="EG64" s="992"/>
      <c r="EH64" s="992"/>
      <c r="EI64" s="992"/>
      <c r="EJ64" s="992"/>
      <c r="EK64" s="992"/>
      <c r="EL64" s="992"/>
      <c r="EM64" s="992"/>
      <c r="EN64" s="992"/>
      <c r="EO64" s="992"/>
      <c r="EP64" s="992"/>
      <c r="EQ64" s="992"/>
      <c r="ER64" s="992"/>
      <c r="ES64" s="992"/>
      <c r="ET64" s="992"/>
      <c r="EU64" s="992"/>
      <c r="EV64" s="992"/>
      <c r="EW64" s="992"/>
      <c r="EX64" s="992"/>
      <c r="EY64" s="992"/>
      <c r="EZ64" s="992"/>
      <c r="FA64" s="992"/>
      <c r="FB64" s="992"/>
      <c r="FC64" s="992"/>
      <c r="FD64" s="992"/>
      <c r="FE64" s="992"/>
      <c r="FF64" s="992"/>
      <c r="FG64" s="992"/>
      <c r="FH64" s="992"/>
      <c r="FI64" s="992"/>
      <c r="FJ64" s="992"/>
      <c r="FK64" s="992"/>
      <c r="FL64" s="992"/>
      <c r="FM64" s="992"/>
      <c r="FN64" s="992"/>
      <c r="FO64" s="992"/>
      <c r="FP64" s="992"/>
      <c r="FQ64" s="992"/>
      <c r="FR64" s="992"/>
      <c r="FS64" s="992"/>
      <c r="FT64" s="992"/>
      <c r="FU64" s="992"/>
      <c r="FV64" s="992"/>
      <c r="FW64" s="992"/>
      <c r="FX64" s="992"/>
      <c r="FY64" s="992"/>
      <c r="FZ64" s="992"/>
      <c r="GA64" s="992"/>
      <c r="GB64" s="992"/>
      <c r="GC64" s="992"/>
      <c r="GD64" s="992"/>
      <c r="GE64" s="992"/>
      <c r="GF64" s="992"/>
      <c r="GG64" s="992"/>
      <c r="GH64" s="992"/>
      <c r="GI64" s="992"/>
      <c r="GJ64" s="992" t="s">
        <v>100</v>
      </c>
      <c r="GK64" s="992"/>
      <c r="GL64" s="992"/>
      <c r="GM64" s="992"/>
      <c r="GN64" s="992"/>
      <c r="GO64" s="992"/>
      <c r="GP64" s="992"/>
      <c r="GQ64" s="992"/>
      <c r="GR64" s="992"/>
      <c r="GS64" s="992"/>
      <c r="GT64" s="992"/>
      <c r="GU64" s="992"/>
      <c r="GV64" s="992"/>
      <c r="GW64" s="992"/>
      <c r="GX64" s="992"/>
      <c r="GY64" s="992"/>
      <c r="GZ64" s="992"/>
      <c r="HA64" s="992"/>
      <c r="HB64" s="992"/>
      <c r="HC64" s="992"/>
      <c r="HD64" s="992"/>
      <c r="HE64" s="992"/>
      <c r="HF64" s="992"/>
      <c r="HG64" s="992"/>
      <c r="HH64" s="992"/>
      <c r="HI64" s="994"/>
      <c r="HJ64" s="992"/>
      <c r="HK64" s="992"/>
      <c r="HL64" s="992"/>
      <c r="HM64" s="992"/>
      <c r="HN64" s="992"/>
      <c r="HO64" s="992"/>
      <c r="HP64" s="992"/>
      <c r="HQ64" s="992"/>
      <c r="HR64" s="992"/>
      <c r="HS64" s="992"/>
      <c r="HT64" s="994"/>
      <c r="HU64" s="992"/>
      <c r="HV64" s="992"/>
      <c r="HW64" s="992"/>
      <c r="HX64" s="992"/>
      <c r="HY64" s="1056"/>
      <c r="HZ64" s="1056"/>
      <c r="IA64" s="1056"/>
      <c r="IB64" s="1056"/>
      <c r="IC64" s="1056"/>
      <c r="ID64" s="1056"/>
      <c r="IE64" s="1056"/>
      <c r="IF64" s="1056"/>
      <c r="IG64" s="1056"/>
      <c r="IH64" s="1056"/>
      <c r="II64" s="1056"/>
      <c r="IJ64" s="1056"/>
      <c r="IK64" s="1056"/>
      <c r="IL64" s="1056"/>
      <c r="IM64" s="1056"/>
      <c r="IN64" s="1056"/>
      <c r="IO64" s="1056"/>
      <c r="IP64" s="1056"/>
      <c r="IQ64" s="1056"/>
      <c r="IR64" s="1056"/>
      <c r="IS64" s="1056"/>
      <c r="IT64" s="1056"/>
      <c r="IU64" s="1056"/>
      <c r="IV64" s="1056"/>
    </row>
    <row r="65" spans="1:256" ht="19.95" customHeight="1">
      <c r="A65" s="1024" t="s">
        <v>145</v>
      </c>
      <c r="B65" s="992"/>
      <c r="C65" s="992" t="str">
        <f>IF(ISTEXT(IFERROR(VLOOKUP(A65,职业列表!I3:J10,1,FALSE),0)),"★","")</f>
        <v/>
      </c>
      <c r="D65" s="994"/>
      <c r="E65" s="992"/>
      <c r="F65" s="992"/>
      <c r="G65" s="992"/>
      <c r="H65" s="994" t="s">
        <v>100</v>
      </c>
      <c r="I65" s="992"/>
      <c r="J65" s="1041" t="s">
        <v>100</v>
      </c>
      <c r="K65" s="992"/>
      <c r="L65" s="992"/>
      <c r="M65" s="992"/>
      <c r="N65" s="992"/>
      <c r="O65" s="992"/>
      <c r="P65" s="992"/>
      <c r="Q65" s="992"/>
      <c r="R65" s="992"/>
      <c r="S65" s="992"/>
      <c r="T65" s="1041" t="s">
        <v>100</v>
      </c>
      <c r="U65" s="992"/>
      <c r="V65" s="994" t="s">
        <v>100</v>
      </c>
      <c r="W65" s="992"/>
      <c r="X65" s="992"/>
      <c r="Y65" s="992"/>
      <c r="Z65" s="992"/>
      <c r="AA65" s="992"/>
      <c r="AB65" s="994" t="s">
        <v>100</v>
      </c>
      <c r="AC65" s="992"/>
      <c r="AD65" s="992"/>
      <c r="AE65" s="992"/>
      <c r="AF65" s="992"/>
      <c r="AG65" s="992"/>
      <c r="AH65" s="992"/>
      <c r="AI65" s="992"/>
      <c r="AJ65" s="992"/>
      <c r="AK65" s="992"/>
      <c r="AL65" s="992"/>
      <c r="AM65" s="992"/>
      <c r="AN65" s="992"/>
      <c r="AO65" s="992"/>
      <c r="AP65" s="992"/>
      <c r="AQ65" s="992"/>
      <c r="AR65" s="992"/>
      <c r="AS65" s="992"/>
      <c r="AT65" s="992"/>
      <c r="AU65" s="992"/>
      <c r="AV65" s="992"/>
      <c r="AW65" s="992"/>
      <c r="AX65" s="992"/>
      <c r="AY65" s="992"/>
      <c r="AZ65" s="992"/>
      <c r="BA65" s="992"/>
      <c r="BB65" s="992"/>
      <c r="BC65" s="992"/>
      <c r="BD65" s="994" t="s">
        <v>100</v>
      </c>
      <c r="BE65" s="992"/>
      <c r="BF65" s="992"/>
      <c r="BG65" s="992"/>
      <c r="BH65" s="992"/>
      <c r="BI65" s="992"/>
      <c r="BJ65" s="992"/>
      <c r="BK65" s="992"/>
      <c r="BL65" s="992"/>
      <c r="BM65" s="992"/>
      <c r="BN65" s="992"/>
      <c r="BO65" s="992"/>
      <c r="BP65" s="992"/>
      <c r="BQ65" s="992"/>
      <c r="BR65" s="992"/>
      <c r="BS65" s="992"/>
      <c r="BT65" s="992"/>
      <c r="BU65" s="992"/>
      <c r="BV65" s="992"/>
      <c r="BW65" s="992"/>
      <c r="BX65" s="992"/>
      <c r="BY65" s="992"/>
      <c r="BZ65" s="992"/>
      <c r="CA65" s="994" t="s">
        <v>100</v>
      </c>
      <c r="CB65" s="992"/>
      <c r="CC65" s="992"/>
      <c r="CD65" s="992"/>
      <c r="CE65" s="992"/>
      <c r="CF65" s="994" t="s">
        <v>100</v>
      </c>
      <c r="CG65" s="992"/>
      <c r="CH65" s="992"/>
      <c r="CI65" s="992"/>
      <c r="CJ65" s="992"/>
      <c r="CK65" s="992"/>
      <c r="CL65" s="992"/>
      <c r="CM65" s="992"/>
      <c r="CN65" s="992"/>
      <c r="CO65" s="992"/>
      <c r="CP65" s="992"/>
      <c r="CQ65" s="992"/>
      <c r="CR65" s="992"/>
      <c r="CS65" s="992"/>
      <c r="CT65" s="992"/>
      <c r="CU65" s="992"/>
      <c r="CV65" s="992"/>
      <c r="CW65" s="992"/>
      <c r="CX65" s="992"/>
      <c r="CY65" s="992"/>
      <c r="CZ65" s="992"/>
      <c r="DA65" s="992"/>
      <c r="DB65" s="992"/>
      <c r="DC65" s="992"/>
      <c r="DD65" s="992"/>
      <c r="DE65" s="992"/>
      <c r="DF65" s="992"/>
      <c r="DG65" s="992"/>
      <c r="DH65" s="992"/>
      <c r="DI65" s="992"/>
      <c r="DJ65" s="992"/>
      <c r="DK65" s="992"/>
      <c r="DL65" s="992"/>
      <c r="DM65" s="992"/>
      <c r="DN65" s="992"/>
      <c r="DO65" s="992"/>
      <c r="DP65" s="992"/>
      <c r="DQ65" s="992"/>
      <c r="DR65" s="992"/>
      <c r="DS65" s="992"/>
      <c r="DT65" s="992"/>
      <c r="DU65" s="992"/>
      <c r="DV65" s="992"/>
      <c r="DW65" s="992"/>
      <c r="DX65" s="992"/>
      <c r="DY65" s="992"/>
      <c r="DZ65" s="992"/>
      <c r="EA65" s="992"/>
      <c r="EB65" s="992"/>
      <c r="EC65" s="992"/>
      <c r="ED65" s="992"/>
      <c r="EE65" s="992"/>
      <c r="EF65" s="992"/>
      <c r="EG65" s="992"/>
      <c r="EH65" s="992"/>
      <c r="EI65" s="992"/>
      <c r="EJ65" s="992"/>
      <c r="EK65" s="992"/>
      <c r="EL65" s="992"/>
      <c r="EM65" s="992"/>
      <c r="EN65" s="992"/>
      <c r="EO65" s="992"/>
      <c r="EP65" s="992"/>
      <c r="EQ65" s="992"/>
      <c r="ER65" s="992"/>
      <c r="ES65" s="992"/>
      <c r="ET65" s="992"/>
      <c r="EU65" s="992"/>
      <c r="EV65" s="992"/>
      <c r="EW65" s="992"/>
      <c r="EX65" s="992"/>
      <c r="EY65" s="992"/>
      <c r="EZ65" s="992"/>
      <c r="FA65" s="992"/>
      <c r="FB65" s="992"/>
      <c r="FC65" s="992" t="s">
        <v>100</v>
      </c>
      <c r="FD65" s="992"/>
      <c r="FE65" s="992"/>
      <c r="FF65" s="992"/>
      <c r="FG65" s="992"/>
      <c r="FH65" s="992"/>
      <c r="FI65" s="992"/>
      <c r="FJ65" s="992"/>
      <c r="FK65" s="992"/>
      <c r="FL65" s="992"/>
      <c r="FM65" s="992"/>
      <c r="FN65" s="992"/>
      <c r="FO65" s="992"/>
      <c r="FP65" s="992"/>
      <c r="FQ65" s="992"/>
      <c r="FR65" s="992"/>
      <c r="FS65" s="992"/>
      <c r="FT65" s="992" t="s">
        <v>100</v>
      </c>
      <c r="FU65" s="992"/>
      <c r="FV65" s="992"/>
      <c r="FW65" s="992"/>
      <c r="FX65" s="992" t="s">
        <v>100</v>
      </c>
      <c r="FY65" s="992"/>
      <c r="FZ65" s="992"/>
      <c r="GA65" s="992"/>
      <c r="GB65" s="992"/>
      <c r="GC65" s="992"/>
      <c r="GD65" s="992"/>
      <c r="GE65" s="992"/>
      <c r="GF65" s="992"/>
      <c r="GG65" s="992"/>
      <c r="GH65" s="992"/>
      <c r="GI65" s="992"/>
      <c r="GJ65" s="992"/>
      <c r="GK65" s="992"/>
      <c r="GL65" s="992"/>
      <c r="GM65" s="992"/>
      <c r="GN65" s="992"/>
      <c r="GO65" s="992"/>
      <c r="GP65" s="992"/>
      <c r="GQ65" s="992"/>
      <c r="GR65" s="992"/>
      <c r="GS65" s="992"/>
      <c r="GT65" s="992"/>
      <c r="GU65" s="992"/>
      <c r="GV65" s="992"/>
      <c r="GW65" s="992"/>
      <c r="GX65" s="992"/>
      <c r="GY65" s="992"/>
      <c r="GZ65" s="994"/>
      <c r="HA65" s="992"/>
      <c r="HB65" s="1041"/>
      <c r="HC65" s="992"/>
      <c r="HD65" s="992"/>
      <c r="HE65" s="992"/>
      <c r="HF65" s="992" t="s">
        <v>100</v>
      </c>
      <c r="HG65" s="992"/>
      <c r="HH65" s="992"/>
      <c r="HI65" s="992"/>
      <c r="HJ65" s="992"/>
      <c r="HK65" s="992"/>
      <c r="HL65" s="994" t="s">
        <v>100</v>
      </c>
      <c r="HM65" s="992"/>
      <c r="HN65" s="994"/>
      <c r="HO65" s="992"/>
      <c r="HP65" s="992"/>
      <c r="HQ65" s="992"/>
      <c r="HR65" s="992"/>
      <c r="HS65" s="992"/>
      <c r="HT65" s="994"/>
      <c r="HU65" s="992"/>
      <c r="HV65" s="992"/>
      <c r="HW65" s="992"/>
      <c r="HX65" s="992"/>
      <c r="HY65" s="1056"/>
      <c r="HZ65" s="1056"/>
      <c r="IA65" s="1056"/>
      <c r="IB65" s="1056"/>
      <c r="IC65" s="1056"/>
      <c r="ID65" s="1056"/>
      <c r="IE65" s="1056"/>
      <c r="IF65" s="1056"/>
      <c r="IG65" s="1056"/>
      <c r="IH65" s="1056"/>
      <c r="II65" s="1056"/>
      <c r="IJ65" s="1056"/>
      <c r="IK65" s="1056"/>
      <c r="IL65" s="1056"/>
      <c r="IM65" s="1056"/>
      <c r="IN65" s="1056"/>
      <c r="IO65" s="1056"/>
      <c r="IP65" s="1056"/>
      <c r="IQ65" s="1056"/>
      <c r="IR65" s="1056"/>
      <c r="IS65" s="1056"/>
      <c r="IT65" s="1056"/>
      <c r="IU65" s="1056"/>
      <c r="IV65" s="1056"/>
    </row>
    <row r="66" spans="1:256" s="982" customFormat="1" ht="19.95" customHeight="1">
      <c r="A66" s="1068" t="s">
        <v>147</v>
      </c>
      <c r="B66" s="1069"/>
      <c r="C66" s="993" t="str">
        <f>IF(ISTEXT(IFERROR(VLOOKUP(A66,职业列表!I3:J10,1,FALSE),0)),"★","")</f>
        <v/>
      </c>
      <c r="D66" s="1070"/>
      <c r="E66" s="1070"/>
      <c r="F66" s="1070"/>
      <c r="G66" s="1070"/>
      <c r="H66" s="1070"/>
      <c r="I66" s="1070"/>
      <c r="J66" s="1070" t="s">
        <v>100</v>
      </c>
      <c r="K66" s="1070"/>
      <c r="L66" s="1070"/>
      <c r="M66" s="1070"/>
      <c r="N66" s="1070"/>
      <c r="O66" s="1070"/>
      <c r="P66" s="1070"/>
      <c r="Q66" s="1070"/>
      <c r="R66" s="1070"/>
      <c r="S66" s="1070"/>
      <c r="T66" s="1070"/>
      <c r="U66" s="1070"/>
      <c r="V66" s="1070"/>
      <c r="W66" s="1070"/>
      <c r="X66" s="1070"/>
      <c r="Y66" s="1070"/>
      <c r="Z66" s="1070"/>
      <c r="AA66" s="1070"/>
      <c r="AB66" s="1070"/>
      <c r="AC66" s="1070"/>
      <c r="AD66" s="1070"/>
      <c r="AE66" s="1070"/>
      <c r="AF66" s="1070"/>
      <c r="AG66" s="1070"/>
      <c r="AH66" s="1070"/>
      <c r="AI66" s="1070"/>
      <c r="AJ66" s="1070"/>
      <c r="AK66" s="1070"/>
      <c r="AL66" s="1070"/>
      <c r="AM66" s="1070"/>
      <c r="AN66" s="1070"/>
      <c r="AO66" s="1070"/>
      <c r="AP66" s="1074"/>
      <c r="AQ66" s="1070"/>
      <c r="AR66" s="1070"/>
      <c r="AS66" s="1074"/>
      <c r="AT66" s="1069"/>
      <c r="AU66" s="1069"/>
      <c r="AV66" s="1069"/>
      <c r="AW66" s="1069"/>
      <c r="AX66" s="1069"/>
      <c r="AY66" s="1069"/>
      <c r="AZ66" s="1069"/>
      <c r="BA66" s="1069"/>
      <c r="BB66" s="1069"/>
      <c r="BC66" s="1069"/>
      <c r="BD66" s="1069"/>
      <c r="BE66" s="1069"/>
      <c r="BF66" s="1069"/>
      <c r="BG66" s="1069"/>
      <c r="BH66" s="1069"/>
      <c r="BI66" s="1069"/>
      <c r="BJ66" s="1069"/>
      <c r="BK66" s="1069"/>
      <c r="BL66" s="1069"/>
      <c r="BM66" s="1069"/>
      <c r="BN66" s="1069"/>
      <c r="BO66" s="1069"/>
      <c r="BP66" s="1069"/>
      <c r="BQ66" s="1069"/>
      <c r="BR66" s="1069"/>
      <c r="BS66" s="1069"/>
      <c r="BT66" s="1069"/>
      <c r="BU66" s="1069"/>
      <c r="BV66" s="1069"/>
      <c r="BW66" s="1069"/>
      <c r="BX66" s="1069"/>
      <c r="BY66" s="1069"/>
      <c r="BZ66" s="1069"/>
      <c r="CA66" s="1069"/>
      <c r="CB66" s="1069"/>
      <c r="CC66" s="1069"/>
      <c r="CD66" s="1069"/>
      <c r="CE66" s="1069"/>
      <c r="CF66" s="1069"/>
      <c r="CG66" s="1069"/>
      <c r="CH66" s="1069"/>
      <c r="CI66" s="1069"/>
      <c r="CJ66" s="1069"/>
      <c r="CK66" s="1069"/>
      <c r="CL66" s="1069"/>
      <c r="CM66" s="1069"/>
      <c r="CN66" s="1069"/>
      <c r="CO66" s="1069"/>
      <c r="CP66" s="1069"/>
      <c r="CQ66" s="1069"/>
      <c r="CR66" s="1069"/>
      <c r="CS66" s="1069"/>
      <c r="CT66" s="1069"/>
      <c r="CU66" s="1069"/>
      <c r="CV66" s="1069"/>
      <c r="CW66" s="1069"/>
      <c r="CX66" s="1069"/>
      <c r="CY66" s="1069"/>
      <c r="CZ66" s="1069"/>
      <c r="DA66" s="1069"/>
      <c r="DB66" s="1069"/>
      <c r="DC66" s="1069"/>
      <c r="DD66" s="1069"/>
      <c r="DE66" s="1074"/>
      <c r="DF66" s="1069"/>
      <c r="DG66" s="1069"/>
      <c r="DH66" s="1069"/>
      <c r="DI66" s="1069"/>
      <c r="DJ66" s="1069"/>
      <c r="DK66" s="1069"/>
      <c r="DL66" s="1069"/>
      <c r="DM66" s="1069" t="s">
        <v>100</v>
      </c>
      <c r="DN66" s="1069"/>
      <c r="DO66" s="1069"/>
      <c r="DP66" s="1069"/>
      <c r="DQ66" s="1069"/>
      <c r="DR66" s="1069"/>
      <c r="DS66" s="1069"/>
      <c r="DT66" s="1069"/>
      <c r="DU66" s="1069"/>
      <c r="DV66" s="1069"/>
      <c r="DW66" s="1069"/>
      <c r="DX66" s="1069"/>
      <c r="DY66" s="1069"/>
      <c r="DZ66" s="1069"/>
      <c r="EA66" s="1069"/>
      <c r="EB66" s="1069"/>
      <c r="EC66" s="1069"/>
      <c r="ED66" s="1069"/>
      <c r="EE66" s="1069"/>
      <c r="EF66" s="1069"/>
      <c r="EG66" s="1069"/>
      <c r="EH66" s="1069"/>
      <c r="EI66" s="1069"/>
      <c r="EJ66" s="1069"/>
      <c r="EK66" s="1069"/>
      <c r="EL66" s="1069"/>
      <c r="EM66" s="1069"/>
      <c r="EN66" s="1069"/>
      <c r="EO66" s="1069"/>
      <c r="EP66" s="1069"/>
      <c r="EQ66" s="1069"/>
      <c r="ER66" s="1069"/>
      <c r="ES66" s="1069"/>
      <c r="ET66" s="1069"/>
      <c r="EU66" s="1069"/>
      <c r="EV66" s="1069"/>
      <c r="EW66" s="1069"/>
      <c r="EX66" s="1069"/>
      <c r="EY66" s="1069"/>
      <c r="EZ66" s="1069"/>
      <c r="FA66" s="1069"/>
      <c r="FB66" s="1069"/>
      <c r="FC66" s="1069"/>
      <c r="FD66" s="1069"/>
      <c r="FE66" s="1069"/>
      <c r="FF66" s="1069"/>
      <c r="FG66" s="1069"/>
      <c r="FH66" s="1069"/>
      <c r="FI66" s="1069"/>
      <c r="FJ66" s="1069"/>
      <c r="FK66" s="1069"/>
      <c r="FL66" s="1069"/>
      <c r="FM66" s="1069"/>
      <c r="FN66" s="1069"/>
      <c r="FO66" s="1069"/>
      <c r="FP66" s="1069"/>
      <c r="FQ66" s="1069"/>
      <c r="FR66" s="1069"/>
      <c r="FS66" s="1069"/>
      <c r="FT66" s="1069"/>
      <c r="FU66" s="1069"/>
      <c r="FV66" s="1069"/>
      <c r="FW66" s="1069"/>
      <c r="FX66" s="1069"/>
      <c r="FY66" s="1069"/>
      <c r="FZ66" s="1069"/>
      <c r="GA66" s="1069"/>
      <c r="GB66" s="1069"/>
      <c r="GC66" s="1069"/>
      <c r="GD66" s="1069"/>
      <c r="GE66" s="1069"/>
      <c r="GF66" s="1069"/>
      <c r="GG66" s="1069"/>
      <c r="GH66" s="1069"/>
      <c r="GI66" s="1069"/>
      <c r="GJ66" s="1069"/>
      <c r="GK66" s="1069"/>
      <c r="GL66" s="1069"/>
      <c r="GM66" s="1069"/>
      <c r="GN66" s="1069"/>
      <c r="GO66" s="1069"/>
      <c r="GP66" s="1069"/>
      <c r="GQ66" s="1069"/>
      <c r="GR66" s="1069"/>
      <c r="GS66" s="1069"/>
      <c r="GT66" s="1069"/>
      <c r="GU66" s="1069"/>
      <c r="GV66" s="1069"/>
      <c r="GW66" s="1069"/>
      <c r="GX66" s="1069"/>
      <c r="GY66" s="1070"/>
      <c r="GZ66" s="1070"/>
      <c r="HA66" s="1070"/>
      <c r="HB66" s="1070"/>
      <c r="HC66" s="1070"/>
      <c r="HD66" s="1070"/>
      <c r="HE66" s="1070"/>
      <c r="HF66" s="1070"/>
      <c r="HG66" s="1070"/>
      <c r="HH66" s="1070"/>
      <c r="HI66" s="1070"/>
      <c r="HJ66" s="1070"/>
      <c r="HK66" s="1070"/>
      <c r="HL66" s="1070"/>
      <c r="HM66" s="1070"/>
      <c r="HN66" s="1070"/>
      <c r="HO66" s="1070"/>
      <c r="HP66" s="1070"/>
      <c r="HQ66" s="1070"/>
      <c r="HR66" s="1070"/>
      <c r="HS66" s="1070"/>
      <c r="HT66" s="1070"/>
      <c r="HU66" s="1070"/>
      <c r="HV66" s="1070"/>
      <c r="HW66" s="1070"/>
      <c r="HX66" s="1070"/>
      <c r="HY66" s="1075"/>
      <c r="HZ66" s="1075"/>
      <c r="IA66" s="1075"/>
      <c r="IB66" s="1075"/>
      <c r="IC66" s="1075"/>
      <c r="ID66" s="1075"/>
      <c r="IE66" s="1075"/>
      <c r="IF66" s="1075"/>
      <c r="IG66" s="1075"/>
      <c r="IH66" s="1075"/>
      <c r="II66" s="1075"/>
      <c r="IJ66" s="1075"/>
      <c r="IK66" s="1075"/>
      <c r="IL66" s="1075"/>
      <c r="IM66" s="1075"/>
      <c r="IN66" s="1075"/>
      <c r="IO66" s="1075"/>
      <c r="IP66" s="1075"/>
      <c r="IQ66" s="1075"/>
      <c r="IR66" s="1075"/>
      <c r="IS66" s="1075"/>
      <c r="IT66" s="1075"/>
      <c r="IU66" s="1075"/>
      <c r="IV66" s="1075"/>
    </row>
    <row r="67" spans="1:256" ht="19.95" customHeight="1">
      <c r="A67" s="1015" t="s">
        <v>149</v>
      </c>
      <c r="B67" s="992"/>
      <c r="C67" s="992" t="str">
        <f>IF(ISTEXT(IFERROR(VLOOKUP(A67,职业列表!I3:J10,1,FALSE),0)),"★","")</f>
        <v/>
      </c>
      <c r="D67" s="994"/>
      <c r="E67" s="992"/>
      <c r="F67" s="992"/>
      <c r="G67" s="992"/>
      <c r="H67" s="992"/>
      <c r="I67" s="992"/>
      <c r="J67" s="992"/>
      <c r="K67" s="992"/>
      <c r="L67" s="992"/>
      <c r="M67" s="992"/>
      <c r="N67" s="992"/>
      <c r="O67" s="992"/>
      <c r="P67" s="992"/>
      <c r="Q67" s="992"/>
      <c r="R67" s="992"/>
      <c r="S67" s="992"/>
      <c r="T67" s="992"/>
      <c r="U67" s="992"/>
      <c r="V67" s="992"/>
      <c r="W67" s="992"/>
      <c r="X67" s="992"/>
      <c r="Y67" s="992"/>
      <c r="Z67" s="992"/>
      <c r="AA67" s="992"/>
      <c r="AB67" s="992"/>
      <c r="AC67" s="992"/>
      <c r="AD67" s="992"/>
      <c r="AE67" s="992"/>
      <c r="AF67" s="992"/>
      <c r="AG67" s="992"/>
      <c r="AH67" s="992"/>
      <c r="AI67" s="992"/>
      <c r="AJ67" s="992"/>
      <c r="AK67" s="992"/>
      <c r="AL67" s="992"/>
      <c r="AM67" s="992"/>
      <c r="AN67" s="992"/>
      <c r="AO67" s="992"/>
      <c r="AP67" s="992"/>
      <c r="AQ67" s="992"/>
      <c r="AR67" s="992"/>
      <c r="AS67" s="1041" t="s">
        <v>100</v>
      </c>
      <c r="AT67" s="992"/>
      <c r="AU67" s="992"/>
      <c r="AV67" s="992"/>
      <c r="AW67" s="992"/>
      <c r="AX67" s="992"/>
      <c r="AY67" s="992"/>
      <c r="AZ67" s="992"/>
      <c r="BA67" s="992"/>
      <c r="BB67" s="992"/>
      <c r="BC67" s="992"/>
      <c r="BD67" s="992"/>
      <c r="BE67" s="992"/>
      <c r="BF67" s="992"/>
      <c r="BG67" s="992"/>
      <c r="BH67" s="992"/>
      <c r="BI67" s="992"/>
      <c r="BJ67" s="992"/>
      <c r="BK67" s="992"/>
      <c r="BL67" s="992"/>
      <c r="BM67" s="992"/>
      <c r="BN67" s="992"/>
      <c r="BO67" s="992"/>
      <c r="BP67" s="992"/>
      <c r="BQ67" s="992"/>
      <c r="BR67" s="992"/>
      <c r="BS67" s="992"/>
      <c r="BT67" s="992"/>
      <c r="BU67" s="992"/>
      <c r="BV67" s="992"/>
      <c r="BW67" s="992"/>
      <c r="BX67" s="992"/>
      <c r="BY67" s="992"/>
      <c r="BZ67" s="992"/>
      <c r="CA67" s="992"/>
      <c r="CB67" s="992"/>
      <c r="CC67" s="992"/>
      <c r="CD67" s="992"/>
      <c r="CE67" s="992"/>
      <c r="CF67" s="992"/>
      <c r="CG67" s="992"/>
      <c r="CH67" s="992"/>
      <c r="CI67" s="992"/>
      <c r="CJ67" s="992"/>
      <c r="CK67" s="992"/>
      <c r="CL67" s="992"/>
      <c r="CM67" s="992"/>
      <c r="CN67" s="992"/>
      <c r="CO67" s="992"/>
      <c r="CP67" s="992"/>
      <c r="CQ67" s="992"/>
      <c r="CR67" s="992"/>
      <c r="CS67" s="992"/>
      <c r="CT67" s="992"/>
      <c r="CU67" s="992"/>
      <c r="CV67" s="992"/>
      <c r="CW67" s="992"/>
      <c r="CX67" s="992"/>
      <c r="CY67" s="992"/>
      <c r="CZ67" s="992"/>
      <c r="DA67" s="992"/>
      <c r="DB67" s="992"/>
      <c r="DC67" s="992"/>
      <c r="DD67" s="992"/>
      <c r="DE67" s="993" t="s">
        <v>1376</v>
      </c>
      <c r="DF67" s="992"/>
      <c r="DG67" s="992"/>
      <c r="DH67" s="992"/>
      <c r="DI67" s="992"/>
      <c r="DJ67" s="992"/>
      <c r="DK67" s="992"/>
      <c r="DL67" s="992"/>
      <c r="DM67" s="992"/>
      <c r="DN67" s="992"/>
      <c r="DO67" s="992"/>
      <c r="DP67" s="992"/>
      <c r="DQ67" s="992"/>
      <c r="DR67" s="992"/>
      <c r="DS67" s="992"/>
      <c r="DT67" s="992"/>
      <c r="DU67" s="992"/>
      <c r="DV67" s="992"/>
      <c r="DW67" s="992"/>
      <c r="DX67" s="992"/>
      <c r="DY67" s="992"/>
      <c r="DZ67" s="992"/>
      <c r="EA67" s="992"/>
      <c r="EB67" s="992"/>
      <c r="EC67" s="992"/>
      <c r="ED67" s="992"/>
      <c r="EE67" s="992"/>
      <c r="EF67" s="992"/>
      <c r="EG67" s="992"/>
      <c r="EH67" s="992"/>
      <c r="EI67" s="992"/>
      <c r="EJ67" s="992"/>
      <c r="EK67" s="992"/>
      <c r="EL67" s="992"/>
      <c r="EM67" s="992"/>
      <c r="EN67" s="992"/>
      <c r="EO67" s="992"/>
      <c r="EP67" s="992"/>
      <c r="EQ67" s="992"/>
      <c r="ER67" s="992"/>
      <c r="ES67" s="992"/>
      <c r="ET67" s="992"/>
      <c r="EU67" s="992"/>
      <c r="EV67" s="992"/>
      <c r="EW67" s="992"/>
      <c r="EX67" s="992"/>
      <c r="EY67" s="992"/>
      <c r="EZ67" s="992"/>
      <c r="FA67" s="992"/>
      <c r="FB67" s="992"/>
      <c r="FC67" s="992"/>
      <c r="FD67" s="992"/>
      <c r="FE67" s="1016"/>
      <c r="FF67" s="1016"/>
      <c r="FG67" s="1016"/>
      <c r="FH67" s="1016"/>
      <c r="FI67" s="1016"/>
      <c r="FJ67" s="1016"/>
      <c r="FK67" s="1016"/>
      <c r="FL67" s="1016"/>
      <c r="FM67" s="992"/>
      <c r="FN67" s="992"/>
      <c r="FO67" s="992"/>
      <c r="FP67" s="992"/>
      <c r="FQ67" s="992"/>
      <c r="FR67" s="992"/>
      <c r="FS67" s="992"/>
      <c r="FT67" s="992"/>
      <c r="FU67" s="992"/>
      <c r="FV67" s="992"/>
      <c r="FW67" s="992"/>
      <c r="FX67" s="992"/>
      <c r="FY67" s="992"/>
      <c r="FZ67" s="992"/>
      <c r="GA67" s="992"/>
      <c r="GB67" s="992"/>
      <c r="GC67" s="992"/>
      <c r="GD67" s="992"/>
      <c r="GE67" s="992"/>
      <c r="GF67" s="992"/>
      <c r="GG67" s="992"/>
      <c r="GH67" s="992"/>
      <c r="GI67" s="992"/>
      <c r="GJ67" s="992"/>
      <c r="GK67" s="992"/>
      <c r="GL67" s="992"/>
      <c r="GM67" s="992"/>
      <c r="GN67" s="992"/>
      <c r="GO67" s="992"/>
      <c r="GP67" s="992"/>
      <c r="GQ67" s="992"/>
      <c r="GR67" s="992"/>
      <c r="GS67" s="992"/>
      <c r="GT67" s="992"/>
      <c r="GU67" s="992"/>
      <c r="GV67" s="992"/>
      <c r="GW67" s="992"/>
      <c r="GX67" s="992"/>
      <c r="GY67" s="992"/>
      <c r="GZ67" s="992"/>
      <c r="HA67" s="992"/>
      <c r="HB67" s="992"/>
      <c r="HC67" s="992"/>
      <c r="HD67" s="992"/>
      <c r="HE67" s="992"/>
      <c r="HF67" s="992"/>
      <c r="HG67" s="992"/>
      <c r="HH67" s="992"/>
      <c r="HI67" s="992"/>
      <c r="HJ67" s="992"/>
      <c r="HK67" s="992"/>
      <c r="HL67" s="992"/>
      <c r="HM67" s="992"/>
      <c r="HN67" s="992"/>
      <c r="HO67" s="992"/>
      <c r="HP67" s="992"/>
      <c r="HQ67" s="992"/>
      <c r="HR67" s="992"/>
      <c r="HS67" s="992"/>
      <c r="HT67" s="992"/>
      <c r="HU67" s="992"/>
      <c r="HV67" s="992"/>
      <c r="HW67" s="992"/>
      <c r="HX67" s="992"/>
      <c r="HY67" s="1056"/>
      <c r="HZ67" s="1056"/>
      <c r="IA67" s="1056"/>
      <c r="IB67" s="1056"/>
      <c r="IC67" s="1056"/>
      <c r="ID67" s="1056"/>
      <c r="IE67" s="1056"/>
      <c r="IF67" s="1056"/>
      <c r="IG67" s="1056"/>
      <c r="IH67" s="1056"/>
      <c r="II67" s="1056"/>
      <c r="IJ67" s="1056"/>
      <c r="IK67" s="1056"/>
      <c r="IL67" s="1056"/>
      <c r="IM67" s="1056"/>
      <c r="IN67" s="1056"/>
      <c r="IO67" s="1056"/>
      <c r="IP67" s="1056"/>
      <c r="IQ67" s="1056"/>
      <c r="IR67" s="1056"/>
      <c r="IS67" s="1056"/>
      <c r="IT67" s="1056"/>
      <c r="IU67" s="1056"/>
      <c r="IV67" s="1056"/>
    </row>
    <row r="68" spans="1:256" ht="19.95" customHeight="1">
      <c r="A68" s="1015" t="s">
        <v>151</v>
      </c>
      <c r="B68" s="992"/>
      <c r="C68" s="993" t="str">
        <f>IF(ISTEXT(IFERROR(VLOOKUP(A68,职业列表!I3:J10,1,FALSE),0)),"★","")</f>
        <v/>
      </c>
      <c r="D68" s="994"/>
      <c r="E68" s="992"/>
      <c r="F68" s="992"/>
      <c r="G68" s="992"/>
      <c r="H68" s="992"/>
      <c r="I68" s="992"/>
      <c r="J68" s="992"/>
      <c r="K68" s="992"/>
      <c r="L68" s="992"/>
      <c r="M68" s="992"/>
      <c r="N68" s="992"/>
      <c r="O68" s="992"/>
      <c r="P68" s="992"/>
      <c r="Q68" s="992"/>
      <c r="R68" s="992"/>
      <c r="S68" s="992"/>
      <c r="T68" s="992"/>
      <c r="U68" s="992"/>
      <c r="V68" s="992"/>
      <c r="W68" s="992"/>
      <c r="X68" s="992"/>
      <c r="Y68" s="992"/>
      <c r="Z68" s="992"/>
      <c r="AA68" s="992"/>
      <c r="AB68" s="992"/>
      <c r="AC68" s="992"/>
      <c r="AD68" s="992"/>
      <c r="AE68" s="992"/>
      <c r="AF68" s="992"/>
      <c r="AG68" s="992"/>
      <c r="AH68" s="992"/>
      <c r="AI68" s="992"/>
      <c r="AJ68" s="992"/>
      <c r="AK68" s="992"/>
      <c r="AL68" s="992"/>
      <c r="AM68" s="992"/>
      <c r="AN68" s="992"/>
      <c r="AO68" s="992"/>
      <c r="AP68" s="1016"/>
      <c r="AQ68" s="992"/>
      <c r="AR68" s="992"/>
      <c r="AS68" s="992"/>
      <c r="AT68" s="992"/>
      <c r="AU68" s="992"/>
      <c r="AV68" s="992"/>
      <c r="AW68" s="992"/>
      <c r="AX68" s="992"/>
      <c r="AY68" s="992"/>
      <c r="AZ68" s="992"/>
      <c r="BA68" s="992"/>
      <c r="BB68" s="992"/>
      <c r="BC68" s="992"/>
      <c r="BD68" s="992"/>
      <c r="BE68" s="992"/>
      <c r="BF68" s="992"/>
      <c r="BG68" s="992"/>
      <c r="BH68" s="992"/>
      <c r="BI68" s="992"/>
      <c r="BJ68" s="992"/>
      <c r="BK68" s="992"/>
      <c r="BL68" s="992"/>
      <c r="BM68" s="992"/>
      <c r="BN68" s="992"/>
      <c r="BO68" s="992"/>
      <c r="BP68" s="992"/>
      <c r="BQ68" s="992"/>
      <c r="BR68" s="992"/>
      <c r="BS68" s="992"/>
      <c r="BT68" s="992"/>
      <c r="BU68" s="992"/>
      <c r="BV68" s="992"/>
      <c r="BW68" s="992"/>
      <c r="BX68" s="992"/>
      <c r="BY68" s="992"/>
      <c r="BZ68" s="992"/>
      <c r="CA68" s="992"/>
      <c r="CB68" s="992"/>
      <c r="CC68" s="992"/>
      <c r="CD68" s="992"/>
      <c r="CE68" s="992"/>
      <c r="CF68" s="992"/>
      <c r="CG68" s="992"/>
      <c r="CH68" s="992"/>
      <c r="CI68" s="992"/>
      <c r="CJ68" s="992"/>
      <c r="CK68" s="992"/>
      <c r="CL68" s="992"/>
      <c r="CM68" s="992"/>
      <c r="CN68" s="992"/>
      <c r="CO68" s="992"/>
      <c r="CP68" s="992"/>
      <c r="CQ68" s="992"/>
      <c r="CR68" s="992"/>
      <c r="CS68" s="992"/>
      <c r="CT68" s="992"/>
      <c r="CU68" s="992"/>
      <c r="CV68" s="992"/>
      <c r="CW68" s="992"/>
      <c r="CX68" s="992"/>
      <c r="CY68" s="992"/>
      <c r="CZ68" s="992"/>
      <c r="DA68" s="992"/>
      <c r="DB68" s="992"/>
      <c r="DC68" s="992"/>
      <c r="DD68" s="992"/>
      <c r="DE68" s="992"/>
      <c r="DF68" s="992"/>
      <c r="DG68" s="992"/>
      <c r="DH68" s="992"/>
      <c r="DI68" s="992"/>
      <c r="DJ68" s="992"/>
      <c r="DK68" s="992"/>
      <c r="DL68" s="992"/>
      <c r="DM68" s="992"/>
      <c r="DN68" s="992"/>
      <c r="DO68" s="992"/>
      <c r="DP68" s="992"/>
      <c r="DQ68" s="992"/>
      <c r="DR68" s="992"/>
      <c r="DS68" s="992"/>
      <c r="DT68" s="992"/>
      <c r="DU68" s="992"/>
      <c r="DV68" s="992"/>
      <c r="DW68" s="992"/>
      <c r="DX68" s="992"/>
      <c r="DY68" s="992"/>
      <c r="DZ68" s="992"/>
      <c r="EA68" s="992"/>
      <c r="EB68" s="992"/>
      <c r="EC68" s="992"/>
      <c r="ED68" s="992"/>
      <c r="EE68" s="992"/>
      <c r="EF68" s="992"/>
      <c r="EG68" s="992"/>
      <c r="EH68" s="992"/>
      <c r="EI68" s="992"/>
      <c r="EJ68" s="992"/>
      <c r="EK68" s="992"/>
      <c r="EL68" s="992"/>
      <c r="EM68" s="992"/>
      <c r="EN68" s="992"/>
      <c r="EO68" s="992"/>
      <c r="EP68" s="992"/>
      <c r="EQ68" s="992"/>
      <c r="ER68" s="992"/>
      <c r="ES68" s="992"/>
      <c r="ET68" s="992"/>
      <c r="EU68" s="992"/>
      <c r="EV68" s="992"/>
      <c r="EW68" s="992"/>
      <c r="EX68" s="992"/>
      <c r="EY68" s="992"/>
      <c r="EZ68" s="992"/>
      <c r="FA68" s="992"/>
      <c r="FB68" s="992"/>
      <c r="FC68" s="992"/>
      <c r="FD68" s="992"/>
      <c r="FE68" s="992"/>
      <c r="FF68" s="992"/>
      <c r="FG68" s="992"/>
      <c r="FH68" s="992"/>
      <c r="FI68" s="992"/>
      <c r="FJ68" s="992"/>
      <c r="FK68" s="992"/>
      <c r="FL68" s="992"/>
      <c r="FM68" s="992"/>
      <c r="FN68" s="992"/>
      <c r="FO68" s="992"/>
      <c r="FP68" s="992"/>
      <c r="FQ68" s="992"/>
      <c r="FR68" s="992"/>
      <c r="FS68" s="992"/>
      <c r="FT68" s="992"/>
      <c r="FU68" s="992"/>
      <c r="FV68" s="992"/>
      <c r="FW68" s="992"/>
      <c r="FX68" s="992"/>
      <c r="FY68" s="992"/>
      <c r="FZ68" s="992"/>
      <c r="GA68" s="992"/>
      <c r="GB68" s="992"/>
      <c r="GC68" s="992"/>
      <c r="GD68" s="992"/>
      <c r="GE68" s="992"/>
      <c r="GF68" s="992"/>
      <c r="GG68" s="992"/>
      <c r="GH68" s="992"/>
      <c r="GI68" s="992"/>
      <c r="GJ68" s="992"/>
      <c r="GK68" s="992"/>
      <c r="GL68" s="992"/>
      <c r="GM68" s="992"/>
      <c r="GN68" s="992"/>
      <c r="GO68" s="992"/>
      <c r="GP68" s="992"/>
      <c r="GQ68" s="992"/>
      <c r="GR68" s="992"/>
      <c r="GS68" s="992"/>
      <c r="GT68" s="992"/>
      <c r="GU68" s="992"/>
      <c r="GV68" s="992"/>
      <c r="GW68" s="992"/>
      <c r="GX68" s="992"/>
      <c r="GY68" s="992"/>
      <c r="GZ68" s="992"/>
      <c r="HA68" s="992"/>
      <c r="HB68" s="992"/>
      <c r="HC68" s="992"/>
      <c r="HD68" s="992"/>
      <c r="HE68" s="992"/>
      <c r="HF68" s="992"/>
      <c r="HG68" s="992"/>
      <c r="HH68" s="992"/>
      <c r="HI68" s="992"/>
      <c r="HJ68" s="992"/>
      <c r="HK68" s="992"/>
      <c r="HL68" s="992"/>
      <c r="HM68" s="992"/>
      <c r="HN68" s="992"/>
      <c r="HO68" s="992"/>
      <c r="HP68" s="992"/>
      <c r="HQ68" s="992"/>
      <c r="HR68" s="992"/>
      <c r="HS68" s="992"/>
      <c r="HT68" s="992"/>
      <c r="HU68" s="992"/>
      <c r="HV68" s="992"/>
      <c r="HW68" s="992"/>
      <c r="HX68" s="992"/>
      <c r="HY68" s="1056"/>
      <c r="HZ68" s="1056"/>
      <c r="IA68" s="1056"/>
      <c r="IB68" s="1056"/>
      <c r="IC68" s="1056"/>
      <c r="ID68" s="1056"/>
      <c r="IE68" s="1056"/>
      <c r="IF68" s="1056"/>
      <c r="IG68" s="1056"/>
      <c r="IH68" s="1056"/>
      <c r="II68" s="1056"/>
      <c r="IJ68" s="1056"/>
      <c r="IK68" s="1056"/>
      <c r="IL68" s="1056"/>
      <c r="IM68" s="1056"/>
      <c r="IN68" s="1056"/>
      <c r="IO68" s="1056"/>
      <c r="IP68" s="1056"/>
      <c r="IQ68" s="1056"/>
      <c r="IR68" s="1056"/>
      <c r="IS68" s="1056"/>
      <c r="IT68" s="1056"/>
      <c r="IU68" s="1056"/>
      <c r="IV68" s="1056"/>
    </row>
    <row r="69" spans="1:256" ht="19.95" customHeight="1">
      <c r="A69" s="1015" t="s">
        <v>154</v>
      </c>
      <c r="B69" s="992"/>
      <c r="C69" s="992" t="str">
        <f>IF(ISTEXT(IFERROR(VLOOKUP(A69,职业列表!I3:J10,1,FALSE),0)),"★","")</f>
        <v/>
      </c>
      <c r="D69" s="994"/>
      <c r="E69" s="994"/>
      <c r="F69" s="994"/>
      <c r="G69" s="994"/>
      <c r="H69" s="994"/>
      <c r="I69" s="994"/>
      <c r="J69" s="994"/>
      <c r="K69" s="994"/>
      <c r="L69" s="994"/>
      <c r="M69" s="994"/>
      <c r="N69" s="994"/>
      <c r="O69" s="994"/>
      <c r="P69" s="994"/>
      <c r="Q69" s="994"/>
      <c r="R69" s="994"/>
      <c r="S69" s="994"/>
      <c r="T69" s="994"/>
      <c r="U69" s="994"/>
      <c r="V69" s="994"/>
      <c r="W69" s="994"/>
      <c r="X69" s="994"/>
      <c r="Y69" s="994"/>
      <c r="Z69" s="994"/>
      <c r="AA69" s="994"/>
      <c r="AB69" s="994"/>
      <c r="AC69" s="994"/>
      <c r="AD69" s="994"/>
      <c r="AE69" s="994"/>
      <c r="AF69" s="994"/>
      <c r="AG69" s="994"/>
      <c r="AH69" s="994"/>
      <c r="AI69" s="994"/>
      <c r="AJ69" s="994"/>
      <c r="AK69" s="994"/>
      <c r="AL69" s="994"/>
      <c r="AM69" s="994"/>
      <c r="AN69" s="994"/>
      <c r="AO69" s="994"/>
      <c r="AP69" s="994"/>
      <c r="AQ69" s="994"/>
      <c r="AR69" s="994"/>
      <c r="AS69" s="1016"/>
      <c r="AT69" s="994"/>
      <c r="AU69" s="994"/>
      <c r="AV69" s="994"/>
      <c r="AW69" s="994"/>
      <c r="AX69" s="994"/>
      <c r="AY69" s="994"/>
      <c r="AZ69" s="994"/>
      <c r="BA69" s="994"/>
      <c r="BB69" s="994"/>
      <c r="BC69" s="994"/>
      <c r="BD69" s="994"/>
      <c r="BE69" s="994"/>
      <c r="BF69" s="994"/>
      <c r="BG69" s="994"/>
      <c r="BH69" s="994"/>
      <c r="BI69" s="994"/>
      <c r="BJ69" s="994"/>
      <c r="BK69" s="994"/>
      <c r="BL69" s="994"/>
      <c r="BM69" s="994"/>
      <c r="BN69" s="994"/>
      <c r="BO69" s="994"/>
      <c r="BP69" s="994"/>
      <c r="BQ69" s="994"/>
      <c r="BR69" s="994"/>
      <c r="BS69" s="994"/>
      <c r="BT69" s="994"/>
      <c r="BU69" s="994"/>
      <c r="BV69" s="994"/>
      <c r="BW69" s="994"/>
      <c r="BX69" s="994"/>
      <c r="BY69" s="994"/>
      <c r="BZ69" s="994"/>
      <c r="CA69" s="994"/>
      <c r="CB69" s="994"/>
      <c r="CC69" s="994"/>
      <c r="CD69" s="994"/>
      <c r="CE69" s="994"/>
      <c r="CF69" s="994"/>
      <c r="CG69" s="994"/>
      <c r="CH69" s="994"/>
      <c r="CI69" s="994"/>
      <c r="CJ69" s="994"/>
      <c r="CK69" s="994"/>
      <c r="CL69" s="994"/>
      <c r="CM69" s="994"/>
      <c r="CN69" s="994"/>
      <c r="CO69" s="994"/>
      <c r="CP69" s="994"/>
      <c r="CQ69" s="994"/>
      <c r="CR69" s="994"/>
      <c r="CS69" s="994"/>
      <c r="CT69" s="994"/>
      <c r="CU69" s="994"/>
      <c r="CV69" s="994"/>
      <c r="CW69" s="994"/>
      <c r="CX69" s="994"/>
      <c r="CY69" s="994"/>
      <c r="CZ69" s="994"/>
      <c r="DA69" s="994"/>
      <c r="DB69" s="994"/>
      <c r="DC69" s="994"/>
      <c r="DD69" s="994"/>
      <c r="DE69" s="1041"/>
      <c r="DF69" s="994"/>
      <c r="DG69" s="994"/>
      <c r="DH69" s="994"/>
      <c r="DI69" s="994"/>
      <c r="DJ69" s="994"/>
      <c r="DK69" s="994"/>
      <c r="DL69" s="994"/>
      <c r="DM69" s="994"/>
      <c r="DN69" s="992"/>
      <c r="DO69" s="992"/>
      <c r="DP69" s="992"/>
      <c r="DQ69" s="992"/>
      <c r="DR69" s="992"/>
      <c r="DS69" s="992"/>
      <c r="DT69" s="992"/>
      <c r="DU69" s="992"/>
      <c r="DV69" s="992"/>
      <c r="DW69" s="992"/>
      <c r="DX69" s="992"/>
      <c r="DY69" s="992"/>
      <c r="DZ69" s="992"/>
      <c r="EA69" s="992"/>
      <c r="EB69" s="992"/>
      <c r="EC69" s="992"/>
      <c r="ED69" s="992"/>
      <c r="EE69" s="992"/>
      <c r="EF69" s="992"/>
      <c r="EG69" s="992"/>
      <c r="EH69" s="992"/>
      <c r="EI69" s="992"/>
      <c r="EJ69" s="992"/>
      <c r="EK69" s="992"/>
      <c r="EL69" s="992"/>
      <c r="EM69" s="992"/>
      <c r="EN69" s="992"/>
      <c r="EO69" s="992"/>
      <c r="EP69" s="992"/>
      <c r="EQ69" s="992"/>
      <c r="ER69" s="992"/>
      <c r="ES69" s="992"/>
      <c r="ET69" s="992"/>
      <c r="EU69" s="992"/>
      <c r="EV69" s="992"/>
      <c r="EW69" s="992"/>
      <c r="EX69" s="992"/>
      <c r="EY69" s="992"/>
      <c r="EZ69" s="992"/>
      <c r="FA69" s="992"/>
      <c r="FB69" s="992"/>
      <c r="FC69" s="992"/>
      <c r="FD69" s="992"/>
      <c r="FE69" s="992"/>
      <c r="FF69" s="992"/>
      <c r="FG69" s="992"/>
      <c r="FH69" s="992"/>
      <c r="FI69" s="992"/>
      <c r="FJ69" s="992"/>
      <c r="FK69" s="992"/>
      <c r="FL69" s="992"/>
      <c r="FM69" s="992"/>
      <c r="FN69" s="992"/>
      <c r="FO69" s="992"/>
      <c r="FP69" s="992"/>
      <c r="FQ69" s="992"/>
      <c r="FR69" s="992"/>
      <c r="FS69" s="992"/>
      <c r="FT69" s="992"/>
      <c r="FU69" s="992"/>
      <c r="FV69" s="992"/>
      <c r="FW69" s="992"/>
      <c r="FX69" s="992"/>
      <c r="FY69" s="992"/>
      <c r="FZ69" s="992"/>
      <c r="GA69" s="992"/>
      <c r="GB69" s="992"/>
      <c r="GC69" s="992"/>
      <c r="GD69" s="992"/>
      <c r="GE69" s="992"/>
      <c r="GF69" s="992"/>
      <c r="GG69" s="992"/>
      <c r="GH69" s="992"/>
      <c r="GI69" s="992"/>
      <c r="GJ69" s="992"/>
      <c r="GK69" s="992"/>
      <c r="GL69" s="992"/>
      <c r="GM69" s="992"/>
      <c r="GN69" s="992"/>
      <c r="GO69" s="992"/>
      <c r="GP69" s="992"/>
      <c r="GQ69" s="992"/>
      <c r="GR69" s="992"/>
      <c r="GS69" s="992"/>
      <c r="GT69" s="992"/>
      <c r="GU69" s="992"/>
      <c r="GV69" s="992"/>
      <c r="GW69" s="992"/>
      <c r="GX69" s="992"/>
      <c r="GY69" s="994"/>
      <c r="GZ69" s="994"/>
      <c r="HA69" s="994"/>
      <c r="HB69" s="994"/>
      <c r="HC69" s="994"/>
      <c r="HD69" s="994"/>
      <c r="HE69" s="994"/>
      <c r="HF69" s="994"/>
      <c r="HG69" s="994"/>
      <c r="HH69" s="994"/>
      <c r="HI69" s="994"/>
      <c r="HJ69" s="994"/>
      <c r="HK69" s="994"/>
      <c r="HL69" s="994"/>
      <c r="HM69" s="994"/>
      <c r="HN69" s="994"/>
      <c r="HO69" s="994"/>
      <c r="HP69" s="994"/>
      <c r="HQ69" s="994"/>
      <c r="HR69" s="994"/>
      <c r="HS69" s="994"/>
      <c r="HT69" s="994"/>
      <c r="HU69" s="994"/>
      <c r="HV69" s="994"/>
      <c r="HW69" s="994"/>
      <c r="HX69" s="994"/>
      <c r="HY69" s="1056"/>
      <c r="HZ69" s="1056"/>
      <c r="IA69" s="1056"/>
      <c r="IB69" s="1056"/>
      <c r="IC69" s="1056"/>
      <c r="ID69" s="1056"/>
      <c r="IE69" s="1056"/>
      <c r="IF69" s="1056"/>
      <c r="IG69" s="1056"/>
      <c r="IH69" s="1056"/>
      <c r="II69" s="1056"/>
      <c r="IJ69" s="1056"/>
      <c r="IK69" s="1056"/>
      <c r="IL69" s="1056"/>
      <c r="IM69" s="1056"/>
      <c r="IN69" s="1056"/>
      <c r="IO69" s="1056"/>
      <c r="IP69" s="1056"/>
      <c r="IQ69" s="1056"/>
      <c r="IR69" s="1056"/>
      <c r="IS69" s="1056"/>
      <c r="IT69" s="1056"/>
      <c r="IU69" s="1056"/>
      <c r="IV69" s="1056"/>
    </row>
    <row r="70" spans="1:256" ht="19.95" customHeight="1">
      <c r="A70" s="1015" t="s">
        <v>74</v>
      </c>
      <c r="B70" s="1016"/>
      <c r="C70" s="1016" t="str">
        <f>IF(ISTEXT(IFERROR(VLOOKUP(A70,职业列表!I3:J10,1,FALSE),0)),"★","")</f>
        <v/>
      </c>
      <c r="D70" s="1016"/>
      <c r="E70" s="1016"/>
      <c r="F70" s="1016"/>
      <c r="G70" s="1016"/>
      <c r="H70" s="1016"/>
      <c r="I70" s="1016"/>
      <c r="J70" s="1016"/>
      <c r="K70" s="1016"/>
      <c r="L70" s="1016"/>
      <c r="M70" s="1016"/>
      <c r="N70" s="1016"/>
      <c r="O70" s="1016"/>
      <c r="P70" s="1016"/>
      <c r="Q70" s="1016"/>
      <c r="R70" s="1016"/>
      <c r="S70" s="1016"/>
      <c r="T70" s="1016"/>
      <c r="U70" s="1016"/>
      <c r="V70" s="1016"/>
      <c r="W70" s="1016"/>
      <c r="X70" s="1016"/>
      <c r="Y70" s="1016"/>
      <c r="Z70" s="1016"/>
      <c r="AA70" s="1016"/>
      <c r="AB70" s="1016"/>
      <c r="AC70" s="1016"/>
      <c r="AD70" s="1016"/>
      <c r="AE70" s="1016"/>
      <c r="AF70" s="1016"/>
      <c r="AG70" s="1016"/>
      <c r="AH70" s="1016"/>
      <c r="AI70" s="1016"/>
      <c r="AJ70" s="1016"/>
      <c r="AK70" s="1016"/>
      <c r="AL70" s="1016"/>
      <c r="AM70" s="1016"/>
      <c r="AN70" s="1016"/>
      <c r="AO70" s="1016"/>
      <c r="AP70" s="993" t="s">
        <v>100</v>
      </c>
      <c r="AQ70" s="1016"/>
      <c r="AR70" s="1016"/>
      <c r="AS70" s="1016"/>
      <c r="AT70" s="1016"/>
      <c r="AU70" s="1016"/>
      <c r="AV70" s="1016"/>
      <c r="AW70" s="1016"/>
      <c r="AX70" s="1016"/>
      <c r="AY70" s="1016"/>
      <c r="AZ70" s="1016"/>
      <c r="BA70" s="1016"/>
      <c r="BB70" s="1016"/>
      <c r="BC70" s="1016"/>
      <c r="BD70" s="1016"/>
      <c r="BE70" s="1016"/>
      <c r="BF70" s="1016"/>
      <c r="BG70" s="1016"/>
      <c r="BH70" s="1016"/>
      <c r="BI70" s="1016"/>
      <c r="BJ70" s="1016"/>
      <c r="BK70" s="1016"/>
      <c r="BL70" s="1016"/>
      <c r="BM70" s="1016"/>
      <c r="BN70" s="1016"/>
      <c r="BO70" s="1016"/>
      <c r="BP70" s="1016"/>
      <c r="BQ70" s="1016"/>
      <c r="BR70" s="1016"/>
      <c r="BS70" s="1016"/>
      <c r="BT70" s="1016"/>
      <c r="BU70" s="1016"/>
      <c r="BV70" s="1016"/>
      <c r="BW70" s="1016"/>
      <c r="BX70" s="1016"/>
      <c r="BY70" s="1016"/>
      <c r="BZ70" s="1016"/>
      <c r="CA70" s="1016"/>
      <c r="CB70" s="1016"/>
      <c r="CC70" s="1016"/>
      <c r="CD70" s="1016"/>
      <c r="CE70" s="1016"/>
      <c r="CF70" s="1016"/>
      <c r="CG70" s="1016"/>
      <c r="CH70" s="1016"/>
      <c r="CI70" s="1016"/>
      <c r="CJ70" s="1016"/>
      <c r="CK70" s="1016"/>
      <c r="CL70" s="1016"/>
      <c r="CM70" s="1016"/>
      <c r="CN70" s="1016"/>
      <c r="CO70" s="1016"/>
      <c r="CP70" s="1016"/>
      <c r="CQ70" s="1016"/>
      <c r="CR70" s="1016"/>
      <c r="CS70" s="1016"/>
      <c r="CT70" s="1016"/>
      <c r="CU70" s="1016"/>
      <c r="CV70" s="1016"/>
      <c r="CW70" s="1016"/>
      <c r="CX70" s="1016"/>
      <c r="CY70" s="1016"/>
      <c r="CZ70" s="1016"/>
      <c r="DA70" s="1016"/>
      <c r="DB70" s="1016"/>
      <c r="DC70" s="1016"/>
      <c r="DD70" s="1016"/>
      <c r="DE70" s="1016"/>
      <c r="DF70" s="1016"/>
      <c r="DG70" s="1016"/>
      <c r="DH70" s="1016"/>
      <c r="DI70" s="1016"/>
      <c r="DJ70" s="1016"/>
      <c r="DK70" s="1016"/>
      <c r="DL70" s="1016"/>
      <c r="DM70" s="1016"/>
      <c r="DN70" s="1016"/>
      <c r="DO70" s="1016"/>
      <c r="DP70" s="1016"/>
      <c r="DQ70" s="1016"/>
      <c r="DR70" s="1016"/>
      <c r="DS70" s="1016"/>
      <c r="DT70" s="1016"/>
      <c r="DU70" s="1016"/>
      <c r="DV70" s="1016"/>
      <c r="DW70" s="1016"/>
      <c r="DX70" s="1016"/>
      <c r="DY70" s="1016"/>
      <c r="DZ70" s="1016"/>
      <c r="EA70" s="1016"/>
      <c r="EB70" s="1016"/>
      <c r="EC70" s="1016"/>
      <c r="ED70" s="1016"/>
      <c r="EE70" s="1016"/>
      <c r="EF70" s="1016"/>
      <c r="EG70" s="1016"/>
      <c r="EH70" s="1016"/>
      <c r="EI70" s="1016"/>
      <c r="EJ70" s="1016"/>
      <c r="EK70" s="1016"/>
      <c r="EL70" s="1016"/>
      <c r="EM70" s="1016"/>
      <c r="EN70" s="1016"/>
      <c r="EO70" s="1016"/>
      <c r="EP70" s="1016"/>
      <c r="EQ70" s="1016"/>
      <c r="ER70" s="1016"/>
      <c r="ES70" s="1016"/>
      <c r="ET70" s="1016"/>
      <c r="EU70" s="1016"/>
      <c r="EV70" s="1016"/>
      <c r="EW70" s="1016"/>
      <c r="EX70" s="1016"/>
      <c r="EY70" s="1016"/>
      <c r="EZ70" s="1016"/>
      <c r="FA70" s="1016"/>
      <c r="FB70" s="1016"/>
      <c r="FC70" s="1016"/>
      <c r="FD70" s="1016"/>
      <c r="FE70" s="1016"/>
      <c r="FF70" s="1016"/>
      <c r="FG70" s="1016"/>
      <c r="FH70" s="1016"/>
      <c r="FI70" s="1016"/>
      <c r="FJ70" s="1016"/>
      <c r="FK70" s="1016"/>
      <c r="FL70" s="1016"/>
      <c r="FM70" s="1016"/>
      <c r="FN70" s="1016"/>
      <c r="FO70" s="1016"/>
      <c r="FP70" s="1016"/>
      <c r="FQ70" s="1016"/>
      <c r="FR70" s="1016"/>
      <c r="FS70" s="1016"/>
      <c r="FT70" s="1016"/>
      <c r="FU70" s="1016"/>
      <c r="FV70" s="1016"/>
      <c r="FW70" s="1016"/>
      <c r="FX70" s="1016"/>
      <c r="FY70" s="1016"/>
      <c r="FZ70" s="1016"/>
      <c r="GA70" s="1016"/>
      <c r="GB70" s="1016"/>
      <c r="GC70" s="1016"/>
      <c r="GD70" s="1016"/>
      <c r="GE70" s="1016"/>
      <c r="GF70" s="1016"/>
      <c r="GG70" s="1016"/>
      <c r="GH70" s="1016"/>
      <c r="GI70" s="1016"/>
      <c r="GJ70" s="1016"/>
      <c r="GK70" s="1016"/>
      <c r="GL70" s="1016"/>
      <c r="GM70" s="1016"/>
      <c r="GN70" s="1016"/>
      <c r="GO70" s="1016"/>
      <c r="GP70" s="1016"/>
      <c r="GQ70" s="1016"/>
      <c r="GR70" s="1016"/>
      <c r="GS70" s="1016"/>
      <c r="GT70" s="1016"/>
      <c r="GU70" s="1016"/>
      <c r="GV70" s="1016"/>
      <c r="GW70" s="1016"/>
      <c r="GX70" s="1016"/>
      <c r="GY70" s="1016"/>
      <c r="GZ70" s="1016"/>
      <c r="HA70" s="1016"/>
      <c r="HB70" s="1016"/>
      <c r="HC70" s="1016"/>
      <c r="HD70" s="1016"/>
      <c r="HE70" s="1016"/>
      <c r="HF70" s="1016"/>
      <c r="HG70" s="1016"/>
      <c r="HH70" s="1016"/>
      <c r="HI70" s="1016"/>
      <c r="HJ70" s="1016"/>
      <c r="HK70" s="1016"/>
      <c r="HL70" s="1016"/>
      <c r="HM70" s="1016"/>
      <c r="HN70" s="1016"/>
      <c r="HO70" s="1016"/>
      <c r="HP70" s="1016"/>
      <c r="HQ70" s="1016"/>
      <c r="HR70" s="1016"/>
      <c r="HS70" s="1016"/>
      <c r="HT70" s="1016"/>
      <c r="HU70" s="1016"/>
      <c r="HV70" s="1016"/>
      <c r="HW70" s="1016"/>
      <c r="HX70" s="1016"/>
    </row>
    <row r="71" spans="1:256" ht="19.95" customHeight="1">
      <c r="A71" s="998" t="s">
        <v>157</v>
      </c>
      <c r="B71" s="1016"/>
      <c r="C71" s="1016" t="str">
        <f>IF(ISTEXT(IFERROR(VLOOKUP(A71,职业列表!I3:J10,1,FALSE),0)),"★","")</f>
        <v/>
      </c>
      <c r="D71" s="1016"/>
      <c r="E71" s="1016"/>
      <c r="F71" s="1016"/>
      <c r="G71" s="1016"/>
      <c r="H71" s="1016"/>
      <c r="I71" s="1016"/>
      <c r="J71" s="1016"/>
      <c r="K71" s="1016"/>
      <c r="L71" s="1016"/>
      <c r="M71" s="1016"/>
      <c r="N71" s="1016"/>
      <c r="O71" s="1016"/>
      <c r="P71" s="1016"/>
      <c r="Q71" s="1016"/>
      <c r="R71" s="1016"/>
      <c r="S71" s="1016"/>
      <c r="T71" s="1016"/>
      <c r="U71" s="1016"/>
      <c r="V71" s="1016"/>
      <c r="W71" s="1016"/>
      <c r="X71" s="1016"/>
      <c r="Y71" s="1016"/>
      <c r="Z71" s="1016"/>
      <c r="AA71" s="1016"/>
      <c r="AB71" s="1016"/>
      <c r="AC71" s="1016"/>
      <c r="AD71" s="1016"/>
      <c r="AE71" s="1016"/>
      <c r="AF71" s="1016"/>
      <c r="AG71" s="1016"/>
      <c r="AH71" s="1016"/>
      <c r="AI71" s="1016"/>
      <c r="AJ71" s="1016"/>
      <c r="AK71" s="1016"/>
      <c r="AL71" s="1016"/>
      <c r="AM71" s="1016"/>
      <c r="AN71" s="1016"/>
      <c r="AO71" s="1016"/>
      <c r="AP71" s="1016"/>
      <c r="AQ71" s="1016"/>
      <c r="AR71" s="1016"/>
      <c r="AS71" s="1016"/>
      <c r="AT71" s="1016"/>
      <c r="AU71" s="1016"/>
      <c r="AV71" s="1016"/>
      <c r="AW71" s="1016"/>
      <c r="AX71" s="1016"/>
      <c r="AY71" s="1016"/>
      <c r="AZ71" s="1016"/>
      <c r="BA71" s="1016"/>
      <c r="BB71" s="1016"/>
      <c r="BC71" s="1016"/>
      <c r="BD71" s="1016"/>
      <c r="BE71" s="1016"/>
      <c r="BF71" s="1016"/>
      <c r="BG71" s="1016"/>
      <c r="BH71" s="1016"/>
      <c r="BI71" s="1016"/>
      <c r="BJ71" s="1016"/>
      <c r="BK71" s="1016"/>
      <c r="BL71" s="1016"/>
      <c r="BM71" s="1016"/>
      <c r="BN71" s="1016"/>
      <c r="BO71" s="1016"/>
      <c r="BP71" s="1016"/>
      <c r="BQ71" s="1016"/>
      <c r="BR71" s="1016"/>
      <c r="BS71" s="1016"/>
      <c r="BT71" s="1016"/>
      <c r="BU71" s="1016"/>
      <c r="BV71" s="1016"/>
      <c r="BW71" s="1016"/>
      <c r="BX71" s="1016"/>
      <c r="BY71" s="1016"/>
      <c r="BZ71" s="1016"/>
      <c r="CA71" s="1016"/>
      <c r="CB71" s="1016"/>
      <c r="CC71" s="1016"/>
      <c r="CD71" s="1016"/>
      <c r="CE71" s="1016"/>
      <c r="CF71" s="1016"/>
      <c r="CG71" s="1016"/>
      <c r="CH71" s="1016"/>
      <c r="CI71" s="1016"/>
      <c r="CJ71" s="1016"/>
      <c r="CK71" s="1016"/>
      <c r="CL71" s="1016"/>
      <c r="CM71" s="1016"/>
      <c r="CN71" s="1016"/>
      <c r="CO71" s="1016"/>
      <c r="CP71" s="1016"/>
      <c r="CQ71" s="1016"/>
      <c r="CR71" s="1016"/>
      <c r="CS71" s="1016"/>
      <c r="CT71" s="1016"/>
      <c r="CU71" s="1016"/>
      <c r="CV71" s="1016"/>
      <c r="CW71" s="1016"/>
      <c r="CX71" s="1016"/>
      <c r="CY71" s="1016"/>
      <c r="CZ71" s="1016"/>
      <c r="DA71" s="1016"/>
      <c r="DB71" s="1016"/>
      <c r="DC71" s="1016"/>
      <c r="DD71" s="1016"/>
      <c r="DE71" s="1016"/>
      <c r="DF71" s="1016"/>
      <c r="DG71" s="1016"/>
      <c r="DH71" s="1016"/>
      <c r="DI71" s="1016"/>
      <c r="DJ71" s="1016"/>
      <c r="DK71" s="1016"/>
      <c r="DL71" s="1016"/>
      <c r="DM71" s="1016"/>
      <c r="DN71" s="1016"/>
      <c r="DO71" s="1016"/>
      <c r="DP71" s="1016"/>
      <c r="DQ71" s="1016"/>
      <c r="DR71" s="1016"/>
      <c r="DS71" s="1016"/>
      <c r="DT71" s="1016"/>
      <c r="DU71" s="1016"/>
      <c r="DV71" s="1016"/>
      <c r="DW71" s="1016"/>
      <c r="DX71" s="1016"/>
      <c r="DY71" s="1016"/>
      <c r="DZ71" s="1016"/>
      <c r="EA71" s="1016"/>
      <c r="EB71" s="1016"/>
      <c r="EC71" s="1016"/>
      <c r="ED71" s="1016"/>
      <c r="EE71" s="1016"/>
      <c r="EF71" s="1016"/>
      <c r="EG71" s="1016"/>
      <c r="EH71" s="1016"/>
      <c r="EI71" s="1016"/>
      <c r="EJ71" s="1016"/>
      <c r="EK71" s="1016"/>
      <c r="EL71" s="1016"/>
      <c r="EM71" s="1016"/>
      <c r="EN71" s="1016"/>
      <c r="EO71" s="1016"/>
      <c r="EP71" s="1016"/>
      <c r="EQ71" s="1016"/>
      <c r="ER71" s="1016"/>
      <c r="ES71" s="1016"/>
      <c r="ET71" s="1016"/>
      <c r="EU71" s="1016"/>
      <c r="EV71" s="1016"/>
      <c r="EW71" s="1016"/>
      <c r="EX71" s="1016"/>
      <c r="EY71" s="1016"/>
      <c r="EZ71" s="1016"/>
      <c r="FA71" s="1016"/>
      <c r="FB71" s="1016"/>
      <c r="FC71" s="1016"/>
      <c r="FD71" s="1016"/>
      <c r="FE71" s="1016"/>
      <c r="FF71" s="1016"/>
      <c r="FG71" s="1016"/>
      <c r="FH71" s="1016"/>
      <c r="FI71" s="1016"/>
      <c r="FJ71" s="1016"/>
      <c r="FK71" s="1016"/>
      <c r="FL71" s="1016"/>
      <c r="FM71" s="1016"/>
      <c r="FN71" s="1016"/>
      <c r="FO71" s="1016"/>
      <c r="FP71" s="1016"/>
      <c r="FQ71" s="1016"/>
      <c r="FR71" s="1016"/>
      <c r="FS71" s="1016"/>
      <c r="FT71" s="1016"/>
      <c r="FU71" s="1016"/>
      <c r="FV71" s="1016"/>
      <c r="FW71" s="1016"/>
      <c r="FX71" s="1016"/>
      <c r="FY71" s="1016"/>
      <c r="FZ71" s="1016"/>
      <c r="GA71" s="1016"/>
      <c r="GB71" s="1016"/>
      <c r="GC71" s="1016"/>
      <c r="GD71" s="1016"/>
      <c r="GE71" s="1016"/>
      <c r="GF71" s="1016"/>
      <c r="GG71" s="1016"/>
      <c r="GH71" s="1016"/>
      <c r="GI71" s="1016"/>
      <c r="GJ71" s="1016"/>
      <c r="GK71" s="1016"/>
      <c r="GL71" s="1016"/>
      <c r="GM71" s="1016"/>
      <c r="GN71" s="1016"/>
      <c r="GO71" s="1016"/>
      <c r="GP71" s="1016"/>
      <c r="GQ71" s="1016"/>
      <c r="GR71" s="1016"/>
      <c r="GS71" s="1016"/>
      <c r="GT71" s="1016"/>
      <c r="GU71" s="1016"/>
      <c r="GV71" s="1016"/>
      <c r="GW71" s="1016"/>
      <c r="GX71" s="1016"/>
      <c r="GY71" s="1016"/>
      <c r="GZ71" s="1016"/>
      <c r="HA71" s="1016"/>
      <c r="HB71" s="1016"/>
      <c r="HC71" s="1016"/>
      <c r="HD71" s="1016"/>
      <c r="HE71" s="1016"/>
      <c r="HF71" s="1016"/>
      <c r="HG71" s="1016"/>
      <c r="HH71" s="1016"/>
      <c r="HI71" s="1016"/>
      <c r="HJ71" s="1016"/>
      <c r="HK71" s="1016"/>
      <c r="HL71" s="1016"/>
      <c r="HM71" s="1016"/>
      <c r="HN71" s="1016"/>
      <c r="HO71" s="1016"/>
      <c r="HP71" s="1016"/>
      <c r="HQ71" s="1016"/>
      <c r="HR71" s="1016"/>
      <c r="HS71" s="1016"/>
      <c r="HT71" s="1016"/>
      <c r="HU71" s="1016"/>
      <c r="HV71" s="1016"/>
      <c r="HW71" s="1016"/>
      <c r="HX71" s="1016"/>
    </row>
    <row r="72" spans="1:256" ht="19.95" customHeight="1">
      <c r="A72" s="1071" t="s">
        <v>159</v>
      </c>
      <c r="B72" s="1016"/>
      <c r="C72" s="1016" t="str">
        <f>IF(ISTEXT(IFERROR(VLOOKUP(A72,职业列表!I3:J10,1,FALSE),0)),"★","")</f>
        <v/>
      </c>
      <c r="D72" s="1016"/>
      <c r="E72" s="1016"/>
      <c r="F72" s="1016"/>
      <c r="G72" s="1016"/>
      <c r="H72" s="1016"/>
      <c r="I72" s="1016"/>
      <c r="J72" s="1016"/>
      <c r="K72" s="1016"/>
      <c r="L72" s="1016"/>
      <c r="M72" s="1016"/>
      <c r="N72" s="1016"/>
      <c r="O72" s="1016"/>
      <c r="P72" s="1016"/>
      <c r="Q72" s="1016"/>
      <c r="R72" s="1016"/>
      <c r="S72" s="1016"/>
      <c r="T72" s="1016"/>
      <c r="U72" s="1016"/>
      <c r="V72" s="1016"/>
      <c r="W72" s="1016"/>
      <c r="X72" s="1016"/>
      <c r="Y72" s="1016"/>
      <c r="Z72" s="1016"/>
      <c r="AA72" s="1016"/>
      <c r="AB72" s="1016"/>
      <c r="AC72" s="1016"/>
      <c r="AD72" s="1016"/>
      <c r="AE72" s="1016"/>
      <c r="AF72" s="1016"/>
      <c r="AG72" s="1016"/>
      <c r="AH72" s="1016"/>
      <c r="AI72" s="1016"/>
      <c r="AJ72" s="1016"/>
      <c r="AK72" s="1016"/>
      <c r="AL72" s="1016"/>
      <c r="AM72" s="1016"/>
      <c r="AN72" s="1016"/>
      <c r="AO72" s="1016"/>
      <c r="AP72" s="1016"/>
      <c r="AQ72" s="1016"/>
      <c r="AR72" s="1016"/>
      <c r="AS72" s="1016"/>
      <c r="AT72" s="1016"/>
      <c r="AU72" s="1016"/>
      <c r="AV72" s="1016"/>
      <c r="AW72" s="1016"/>
      <c r="AX72" s="1016"/>
      <c r="AY72" s="1016"/>
      <c r="AZ72" s="1016"/>
      <c r="BA72" s="1016"/>
      <c r="BB72" s="1016"/>
      <c r="BC72" s="1016"/>
      <c r="BD72" s="1016"/>
      <c r="BE72" s="1016"/>
      <c r="BF72" s="1016"/>
      <c r="BG72" s="1016"/>
      <c r="BH72" s="1016"/>
      <c r="BI72" s="1016"/>
      <c r="BJ72" s="1016"/>
      <c r="BK72" s="1016"/>
      <c r="BL72" s="1016"/>
      <c r="BM72" s="1016"/>
      <c r="BN72" s="1016"/>
      <c r="BO72" s="1016"/>
      <c r="BP72" s="1016"/>
      <c r="BQ72" s="1016"/>
      <c r="BR72" s="1016"/>
      <c r="BS72" s="1016"/>
      <c r="BT72" s="1016"/>
      <c r="BU72" s="1016"/>
      <c r="BV72" s="1016"/>
      <c r="BW72" s="1016"/>
      <c r="BX72" s="1016"/>
      <c r="BY72" s="1016"/>
      <c r="BZ72" s="1016"/>
      <c r="CA72" s="1016"/>
      <c r="CB72" s="1016"/>
      <c r="CC72" s="1016"/>
      <c r="CD72" s="1016"/>
      <c r="CE72" s="1016"/>
      <c r="CF72" s="1016"/>
      <c r="CG72" s="1016"/>
      <c r="CH72" s="1016"/>
      <c r="CI72" s="1016"/>
      <c r="CJ72" s="1016"/>
      <c r="CK72" s="1016"/>
      <c r="CL72" s="1016"/>
      <c r="CM72" s="1016"/>
      <c r="CN72" s="1016"/>
      <c r="CO72" s="1016"/>
      <c r="CP72" s="1016"/>
      <c r="CQ72" s="1016"/>
      <c r="CR72" s="1016"/>
      <c r="CS72" s="1016"/>
      <c r="CT72" s="1016"/>
      <c r="CU72" s="1016"/>
      <c r="CV72" s="1016"/>
      <c r="CW72" s="1016"/>
      <c r="CX72" s="1016"/>
      <c r="CY72" s="1016"/>
      <c r="CZ72" s="1016"/>
      <c r="DA72" s="1016"/>
      <c r="DB72" s="1016"/>
      <c r="DC72" s="1016"/>
      <c r="DD72" s="1016"/>
      <c r="DE72" s="1016"/>
      <c r="DF72" s="1016"/>
      <c r="DG72" s="1016"/>
      <c r="DH72" s="1016"/>
      <c r="DI72" s="1016"/>
      <c r="DJ72" s="1016"/>
      <c r="DK72" s="1016"/>
      <c r="DL72" s="1016"/>
      <c r="DM72" s="1016"/>
      <c r="DN72" s="1016"/>
      <c r="DO72" s="1016"/>
      <c r="DP72" s="1016"/>
      <c r="DQ72" s="1016"/>
      <c r="DR72" s="1016"/>
      <c r="DS72" s="1016"/>
      <c r="DT72" s="1016"/>
      <c r="DU72" s="1016"/>
      <c r="DV72" s="1016"/>
      <c r="DW72" s="1016"/>
      <c r="DX72" s="1016"/>
      <c r="DY72" s="1016"/>
      <c r="DZ72" s="1016"/>
      <c r="EA72" s="1016"/>
      <c r="EB72" s="1016"/>
      <c r="EC72" s="1016"/>
      <c r="ED72" s="1016"/>
      <c r="EE72" s="1016"/>
      <c r="EF72" s="1016"/>
      <c r="EG72" s="1016"/>
      <c r="EH72" s="1016"/>
      <c r="EI72" s="1016"/>
      <c r="EJ72" s="1016"/>
      <c r="EK72" s="1016"/>
      <c r="EL72" s="1016"/>
      <c r="EM72" s="1016"/>
      <c r="EN72" s="1016"/>
      <c r="EO72" s="1016"/>
      <c r="EP72" s="1016"/>
      <c r="EQ72" s="1016"/>
      <c r="ER72" s="1016"/>
      <c r="ES72" s="1016"/>
      <c r="ET72" s="1016"/>
      <c r="EU72" s="1016"/>
      <c r="EV72" s="1016"/>
      <c r="EW72" s="1016"/>
      <c r="EX72" s="1016"/>
      <c r="EY72" s="1016"/>
      <c r="EZ72" s="1016"/>
      <c r="FA72" s="1016"/>
      <c r="FB72" s="1016"/>
      <c r="FC72" s="1016"/>
      <c r="FD72" s="1016"/>
      <c r="FE72" s="993" t="s">
        <v>100</v>
      </c>
      <c r="FF72" s="993" t="s">
        <v>100</v>
      </c>
      <c r="FG72" s="993" t="s">
        <v>100</v>
      </c>
      <c r="FH72" s="993" t="s">
        <v>100</v>
      </c>
      <c r="FI72" s="992"/>
      <c r="FJ72" s="993" t="s">
        <v>100</v>
      </c>
      <c r="FK72" s="993" t="s">
        <v>100</v>
      </c>
      <c r="FL72" s="993" t="s">
        <v>100</v>
      </c>
      <c r="FM72" s="1016"/>
      <c r="FN72" s="1016"/>
      <c r="FO72" s="1016"/>
      <c r="FP72" s="1016"/>
      <c r="FQ72" s="1016"/>
      <c r="FR72" s="1016"/>
      <c r="FS72" s="1016"/>
      <c r="FT72" s="1016"/>
      <c r="FU72" s="1016"/>
      <c r="FV72" s="1016"/>
      <c r="FW72" s="1016"/>
      <c r="FX72" s="1016"/>
      <c r="FY72" s="1016"/>
      <c r="FZ72" s="1016"/>
      <c r="GA72" s="1016"/>
      <c r="GB72" s="1016"/>
      <c r="GC72" s="1016"/>
      <c r="GD72" s="1016"/>
      <c r="GE72" s="1016"/>
      <c r="GF72" s="1016"/>
      <c r="GG72" s="1016"/>
      <c r="GH72" s="1016"/>
      <c r="GI72" s="1016"/>
      <c r="GJ72" s="1016"/>
      <c r="GK72" s="1016"/>
      <c r="GL72" s="1016"/>
      <c r="GM72" s="1016"/>
      <c r="GN72" s="1016"/>
      <c r="GO72" s="1016"/>
      <c r="GP72" s="1016"/>
      <c r="GQ72" s="1016"/>
      <c r="GR72" s="1016"/>
      <c r="GS72" s="1016"/>
      <c r="GT72" s="1016"/>
      <c r="GU72" s="1016"/>
      <c r="GV72" s="1016"/>
      <c r="GW72" s="1016"/>
      <c r="GX72" s="1016"/>
      <c r="GY72" s="1016"/>
      <c r="GZ72" s="1016"/>
      <c r="HA72" s="1016"/>
      <c r="HB72" s="1016"/>
      <c r="HC72" s="1016"/>
      <c r="HD72" s="1016"/>
      <c r="HE72" s="1016"/>
      <c r="HF72" s="1016"/>
      <c r="HG72" s="1016"/>
      <c r="HH72" s="1016"/>
      <c r="HI72" s="1016"/>
      <c r="HJ72" s="1016"/>
      <c r="HK72" s="1016"/>
      <c r="HL72" s="1016"/>
      <c r="HM72" s="1016"/>
      <c r="HN72" s="1016"/>
      <c r="HO72" s="1016"/>
      <c r="HP72" s="1016"/>
      <c r="HQ72" s="1016"/>
      <c r="HR72" s="1016"/>
      <c r="HS72" s="1016"/>
      <c r="HT72" s="1016"/>
      <c r="HU72" s="1016"/>
      <c r="HV72" s="1016"/>
      <c r="HW72" s="1016"/>
      <c r="HX72" s="1016"/>
    </row>
    <row r="73" spans="1:256" ht="19.95" customHeight="1">
      <c r="A73" s="1072" t="str">
        <f>人物卡!AB48</f>
        <v>自定义技能</v>
      </c>
      <c r="B73" s="1016"/>
      <c r="C73" s="1016" t="str">
        <f>IF(ISTEXT(IFERROR(VLOOKUP(A73,职业列表!I3:J10,1,FALSE),0)),"★","")</f>
        <v/>
      </c>
      <c r="D73" s="1016"/>
      <c r="E73" s="1016"/>
      <c r="F73" s="1016"/>
      <c r="G73" s="1016"/>
      <c r="H73" s="1016"/>
      <c r="I73" s="1016"/>
      <c r="J73" s="1016"/>
      <c r="K73" s="1016"/>
      <c r="L73" s="1016"/>
      <c r="M73" s="1016"/>
      <c r="N73" s="1016"/>
      <c r="O73" s="1016"/>
      <c r="P73" s="1016"/>
      <c r="Q73" s="1016"/>
      <c r="R73" s="1016"/>
      <c r="S73" s="1016"/>
      <c r="T73" s="1016"/>
      <c r="U73" s="1016"/>
      <c r="V73" s="1016"/>
      <c r="W73" s="1016"/>
      <c r="X73" s="1016"/>
      <c r="Y73" s="1016"/>
      <c r="Z73" s="1016"/>
      <c r="AA73" s="1016"/>
      <c r="AB73" s="1016"/>
      <c r="AC73" s="1016"/>
      <c r="AD73" s="1016"/>
      <c r="AE73" s="1016"/>
      <c r="AF73" s="1016"/>
      <c r="AG73" s="1016"/>
      <c r="AH73" s="1016"/>
      <c r="AI73" s="1016"/>
      <c r="AJ73" s="1016"/>
      <c r="AK73" s="1016"/>
      <c r="AL73" s="1016"/>
      <c r="AM73" s="1016"/>
      <c r="AN73" s="1016"/>
      <c r="AO73" s="1016"/>
      <c r="AP73" s="1016"/>
      <c r="AQ73" s="1016"/>
      <c r="AR73" s="1016"/>
      <c r="AS73" s="1016"/>
      <c r="AT73" s="1016"/>
      <c r="AU73" s="1016"/>
      <c r="AV73" s="1016"/>
      <c r="AW73" s="1016"/>
      <c r="AX73" s="1016"/>
      <c r="AY73" s="1016"/>
      <c r="AZ73" s="1016"/>
      <c r="BA73" s="1016"/>
      <c r="BB73" s="1016"/>
      <c r="BC73" s="1016"/>
      <c r="BD73" s="1016"/>
      <c r="BE73" s="1016"/>
      <c r="BF73" s="1016"/>
      <c r="BG73" s="1016"/>
      <c r="BH73" s="1016"/>
      <c r="BI73" s="1016"/>
      <c r="BJ73" s="1016"/>
      <c r="BK73" s="1016"/>
      <c r="BL73" s="1016"/>
      <c r="BM73" s="1016"/>
      <c r="BN73" s="1016"/>
      <c r="BO73" s="1016"/>
      <c r="BP73" s="1016"/>
      <c r="BQ73" s="1016"/>
      <c r="BR73" s="1016"/>
      <c r="BS73" s="1016"/>
      <c r="BT73" s="1016"/>
      <c r="BU73" s="1016"/>
      <c r="BV73" s="1016"/>
      <c r="BW73" s="1016"/>
      <c r="BX73" s="1016"/>
      <c r="BY73" s="1016"/>
      <c r="BZ73" s="1016"/>
      <c r="CA73" s="1016"/>
      <c r="CB73" s="1016"/>
      <c r="CC73" s="1016"/>
      <c r="CD73" s="1016"/>
      <c r="CE73" s="1016"/>
      <c r="CF73" s="1016"/>
      <c r="CG73" s="1016"/>
      <c r="CH73" s="1016"/>
      <c r="CI73" s="1016"/>
      <c r="CJ73" s="1016"/>
      <c r="CK73" s="1016"/>
      <c r="CL73" s="1016"/>
      <c r="CM73" s="1016"/>
      <c r="CN73" s="1016"/>
      <c r="CO73" s="1016"/>
      <c r="CP73" s="1016"/>
      <c r="CQ73" s="1016"/>
      <c r="CR73" s="1016"/>
      <c r="CS73" s="1016"/>
      <c r="CT73" s="1016"/>
      <c r="CU73" s="1016"/>
      <c r="CV73" s="1016"/>
      <c r="CW73" s="1016"/>
      <c r="CX73" s="1016"/>
      <c r="CY73" s="1016"/>
      <c r="CZ73" s="1016"/>
      <c r="DA73" s="1016"/>
      <c r="DB73" s="1016"/>
      <c r="DC73" s="1016"/>
      <c r="DD73" s="1016"/>
      <c r="DE73" s="1016"/>
      <c r="DF73" s="1016"/>
      <c r="DG73" s="1016"/>
      <c r="DH73" s="1016"/>
      <c r="DI73" s="1016"/>
      <c r="DJ73" s="1016"/>
      <c r="DK73" s="1016"/>
      <c r="DL73" s="1016"/>
      <c r="DM73" s="1016"/>
      <c r="DN73" s="1016"/>
      <c r="DO73" s="1016"/>
      <c r="DP73" s="1016"/>
      <c r="DQ73" s="1016"/>
      <c r="DR73" s="1016"/>
      <c r="DS73" s="1016"/>
      <c r="DT73" s="1016"/>
      <c r="DU73" s="1016"/>
      <c r="DV73" s="1016"/>
      <c r="DW73" s="1016"/>
      <c r="DX73" s="1016"/>
      <c r="DY73" s="1016"/>
      <c r="DZ73" s="1016"/>
      <c r="EA73" s="1016"/>
      <c r="EB73" s="1016"/>
      <c r="EC73" s="1016"/>
      <c r="ED73" s="1016"/>
      <c r="EE73" s="1016"/>
      <c r="EF73" s="1016"/>
      <c r="EG73" s="1016"/>
      <c r="EH73" s="1016"/>
      <c r="EI73" s="1016"/>
      <c r="EJ73" s="1016"/>
      <c r="EK73" s="1016"/>
      <c r="EL73" s="1016"/>
      <c r="EM73" s="1016"/>
      <c r="EN73" s="1016"/>
      <c r="EO73" s="1016"/>
      <c r="EP73" s="1016"/>
      <c r="EQ73" s="1016"/>
      <c r="ER73" s="1016"/>
      <c r="ES73" s="1016"/>
      <c r="ET73" s="1016"/>
      <c r="EU73" s="1016"/>
      <c r="EV73" s="1016"/>
      <c r="EW73" s="1016"/>
      <c r="EX73" s="1016"/>
      <c r="EY73" s="1016"/>
      <c r="EZ73" s="1016"/>
      <c r="FA73" s="1016"/>
      <c r="FB73" s="1016"/>
      <c r="FC73" s="1016"/>
      <c r="FD73" s="1016"/>
      <c r="FE73" s="1016"/>
      <c r="FF73" s="1016"/>
      <c r="FG73" s="1016"/>
      <c r="FH73" s="1016"/>
      <c r="FI73" s="1016"/>
      <c r="FJ73" s="1016"/>
      <c r="FK73" s="1016"/>
      <c r="FL73" s="1016"/>
      <c r="FM73" s="1016"/>
      <c r="FN73" s="1016"/>
      <c r="FO73" s="1016"/>
      <c r="FP73" s="1016"/>
      <c r="FQ73" s="1016"/>
      <c r="FR73" s="1016"/>
      <c r="FS73" s="1016"/>
      <c r="FT73" s="1016"/>
      <c r="FU73" s="1016"/>
      <c r="FV73" s="1016"/>
      <c r="FW73" s="1016"/>
      <c r="FX73" s="1016"/>
      <c r="FY73" s="1016"/>
      <c r="FZ73" s="1016"/>
      <c r="GA73" s="1016"/>
      <c r="GB73" s="1016"/>
      <c r="GC73" s="1016"/>
      <c r="GD73" s="1016"/>
      <c r="GE73" s="1016"/>
      <c r="GF73" s="1016"/>
      <c r="GG73" s="1016"/>
      <c r="GH73" s="1016"/>
      <c r="GI73" s="1016"/>
      <c r="GJ73" s="1016"/>
      <c r="GK73" s="1016"/>
      <c r="GL73" s="1016"/>
      <c r="GM73" s="1016"/>
      <c r="GN73" s="1016"/>
      <c r="GO73" s="1016"/>
      <c r="GP73" s="1016"/>
      <c r="GQ73" s="1016"/>
      <c r="GR73" s="1016"/>
      <c r="GS73" s="1016"/>
      <c r="GT73" s="1016"/>
      <c r="GU73" s="1016"/>
      <c r="GV73" s="1016"/>
      <c r="GW73" s="1016"/>
      <c r="GX73" s="1016"/>
      <c r="GY73" s="1016"/>
      <c r="GZ73" s="1016"/>
      <c r="HA73" s="1016"/>
      <c r="HB73" s="1016"/>
      <c r="HC73" s="1016"/>
      <c r="HD73" s="1016"/>
      <c r="HE73" s="1016"/>
      <c r="HF73" s="1016"/>
      <c r="HG73" s="1016"/>
      <c r="HH73" s="1016"/>
      <c r="HI73" s="1016"/>
      <c r="HJ73" s="1016"/>
      <c r="HK73" s="1016"/>
      <c r="HL73" s="1016"/>
      <c r="HM73" s="1016"/>
      <c r="HN73" s="1016"/>
      <c r="HO73" s="1016"/>
      <c r="HP73" s="1016"/>
      <c r="HQ73" s="1016"/>
      <c r="HR73" s="1016"/>
      <c r="HS73" s="1016"/>
      <c r="HT73" s="1016"/>
      <c r="HU73" s="1016"/>
      <c r="HV73" s="1016"/>
      <c r="HW73" s="1016"/>
      <c r="HX73" s="1016"/>
    </row>
    <row r="74" spans="1:256" ht="19.95" customHeight="1">
      <c r="A74" s="1015">
        <f>人物卡!AB49</f>
        <v>0</v>
      </c>
      <c r="B74" s="1016"/>
      <c r="C74" s="1016" t="str">
        <f>IF(ISTEXT(IFERROR(VLOOKUP(A74,职业列表!I3:J10,1,FALSE),0)),"★","")</f>
        <v/>
      </c>
      <c r="D74" s="1016"/>
      <c r="E74" s="1016"/>
      <c r="F74" s="1016"/>
      <c r="G74" s="1016"/>
      <c r="H74" s="1016"/>
      <c r="I74" s="1016"/>
      <c r="J74" s="1016"/>
      <c r="K74" s="1016"/>
      <c r="L74" s="1016"/>
      <c r="M74" s="1016"/>
      <c r="N74" s="1016"/>
      <c r="O74" s="1016"/>
      <c r="P74" s="1016"/>
      <c r="Q74" s="1016"/>
      <c r="R74" s="1016"/>
      <c r="S74" s="1016"/>
      <c r="T74" s="1016"/>
      <c r="U74" s="1016"/>
      <c r="V74" s="1016"/>
      <c r="W74" s="1016"/>
      <c r="X74" s="1016"/>
      <c r="Y74" s="1016"/>
      <c r="Z74" s="1016"/>
      <c r="AA74" s="1016"/>
      <c r="AB74" s="1016"/>
      <c r="AC74" s="1016"/>
      <c r="AD74" s="1016"/>
      <c r="AE74" s="1016"/>
      <c r="AF74" s="1016"/>
      <c r="AG74" s="1016"/>
      <c r="AH74" s="1016"/>
      <c r="AI74" s="1016"/>
      <c r="AJ74" s="1016"/>
      <c r="AK74" s="1016"/>
      <c r="AL74" s="1016"/>
      <c r="AM74" s="1016"/>
      <c r="AN74" s="1016"/>
      <c r="AO74" s="1016"/>
      <c r="AP74" s="1016"/>
      <c r="AQ74" s="1016"/>
      <c r="AR74" s="1016"/>
      <c r="AS74" s="1016"/>
      <c r="AT74" s="1016"/>
      <c r="AU74" s="1016"/>
      <c r="AV74" s="1016"/>
      <c r="AW74" s="1016"/>
      <c r="AX74" s="1016"/>
      <c r="AY74" s="1016"/>
      <c r="AZ74" s="1016"/>
      <c r="BA74" s="1016"/>
      <c r="BB74" s="1016"/>
      <c r="BC74" s="1016"/>
      <c r="BD74" s="1016"/>
      <c r="BE74" s="1016"/>
      <c r="BF74" s="1016"/>
      <c r="BG74" s="1016"/>
      <c r="BH74" s="1016"/>
      <c r="BI74" s="1016"/>
      <c r="BJ74" s="1016"/>
      <c r="BK74" s="1016"/>
      <c r="BL74" s="1016"/>
      <c r="BM74" s="1016"/>
      <c r="BN74" s="1016"/>
      <c r="BO74" s="1016"/>
      <c r="BP74" s="1016"/>
      <c r="BQ74" s="1016"/>
      <c r="BR74" s="1016"/>
      <c r="BS74" s="1016"/>
      <c r="BT74" s="1016"/>
      <c r="BU74" s="1016"/>
      <c r="BV74" s="1016"/>
      <c r="BW74" s="1016"/>
      <c r="BX74" s="1016"/>
      <c r="BY74" s="1016"/>
      <c r="BZ74" s="1016"/>
      <c r="CA74" s="1016"/>
      <c r="CB74" s="1016"/>
      <c r="CC74" s="1016"/>
      <c r="CD74" s="1016"/>
      <c r="CE74" s="1016"/>
      <c r="CF74" s="1016"/>
      <c r="CG74" s="1016"/>
      <c r="CH74" s="1016"/>
      <c r="CI74" s="1016"/>
      <c r="CJ74" s="1016"/>
      <c r="CK74" s="1016"/>
      <c r="CL74" s="1016"/>
      <c r="CM74" s="1016"/>
      <c r="CN74" s="1016"/>
      <c r="CO74" s="1016"/>
      <c r="CP74" s="1016"/>
      <c r="CQ74" s="1016"/>
      <c r="CR74" s="1016"/>
      <c r="CS74" s="1016"/>
      <c r="CT74" s="1016"/>
      <c r="CU74" s="1016"/>
      <c r="CV74" s="1016"/>
      <c r="CW74" s="1016"/>
      <c r="CX74" s="1016"/>
      <c r="CY74" s="1016"/>
      <c r="CZ74" s="1016"/>
      <c r="DA74" s="1016"/>
      <c r="DB74" s="1016"/>
      <c r="DC74" s="1016"/>
      <c r="DD74" s="1016"/>
      <c r="DE74" s="1016"/>
      <c r="DF74" s="1016"/>
      <c r="DG74" s="1016"/>
      <c r="DH74" s="1016"/>
      <c r="DI74" s="1016"/>
      <c r="DJ74" s="1016"/>
      <c r="DK74" s="1016"/>
      <c r="DL74" s="1016"/>
      <c r="DM74" s="1016"/>
      <c r="DN74" s="1016"/>
      <c r="DO74" s="1016"/>
      <c r="DP74" s="1016"/>
      <c r="DQ74" s="1016"/>
      <c r="DR74" s="1016"/>
      <c r="DS74" s="1016"/>
      <c r="DT74" s="1016"/>
      <c r="DU74" s="1016"/>
      <c r="DV74" s="1016"/>
      <c r="DW74" s="1016"/>
      <c r="DX74" s="1016"/>
      <c r="DY74" s="1016"/>
      <c r="DZ74" s="1016"/>
      <c r="EA74" s="1016"/>
      <c r="EB74" s="1016"/>
      <c r="EC74" s="1016"/>
      <c r="ED74" s="1016"/>
      <c r="EE74" s="1016"/>
      <c r="EF74" s="1016"/>
      <c r="EG74" s="1016"/>
      <c r="EH74" s="1016"/>
      <c r="EI74" s="1016"/>
      <c r="EJ74" s="1016"/>
      <c r="EK74" s="1016"/>
      <c r="EL74" s="1016"/>
      <c r="EM74" s="1016"/>
      <c r="EN74" s="1016"/>
      <c r="EO74" s="1016"/>
      <c r="EP74" s="1016"/>
      <c r="EQ74" s="1016"/>
      <c r="ER74" s="1016"/>
      <c r="ES74" s="1016"/>
      <c r="ET74" s="1016"/>
      <c r="EU74" s="1016"/>
      <c r="EV74" s="1016"/>
      <c r="EW74" s="1016"/>
      <c r="EX74" s="1016"/>
      <c r="EY74" s="1016"/>
      <c r="EZ74" s="1016"/>
      <c r="FA74" s="1016"/>
      <c r="FB74" s="1016"/>
      <c r="FC74" s="1016"/>
      <c r="FD74" s="1016"/>
      <c r="FE74" s="1016"/>
      <c r="FF74" s="1016"/>
      <c r="FG74" s="1016"/>
      <c r="FH74" s="1016"/>
      <c r="FI74" s="1016"/>
      <c r="FJ74" s="1016"/>
      <c r="FK74" s="1016"/>
      <c r="FL74" s="1016"/>
      <c r="FM74" s="1016"/>
      <c r="FN74" s="1016"/>
      <c r="FO74" s="1016"/>
      <c r="FP74" s="1016"/>
      <c r="FQ74" s="1016"/>
      <c r="FR74" s="1016"/>
      <c r="FS74" s="1016"/>
      <c r="FT74" s="1016"/>
      <c r="FU74" s="1016"/>
      <c r="FV74" s="1016"/>
      <c r="FW74" s="1016"/>
      <c r="FX74" s="1016"/>
      <c r="FY74" s="1016"/>
      <c r="FZ74" s="1016"/>
      <c r="GA74" s="1016"/>
      <c r="GB74" s="1016"/>
      <c r="GC74" s="1016"/>
      <c r="GD74" s="1016"/>
      <c r="GE74" s="1016"/>
      <c r="GF74" s="1016"/>
      <c r="GG74" s="1016"/>
      <c r="GH74" s="1016"/>
      <c r="GI74" s="1016"/>
      <c r="GJ74" s="1016"/>
      <c r="GK74" s="1016"/>
      <c r="GL74" s="1016"/>
      <c r="GM74" s="1016"/>
      <c r="GN74" s="1016"/>
      <c r="GO74" s="1016"/>
      <c r="GP74" s="1016"/>
      <c r="GQ74" s="1016"/>
      <c r="GR74" s="1016"/>
      <c r="GS74" s="1016"/>
      <c r="GT74" s="1016"/>
      <c r="GU74" s="1016"/>
      <c r="GV74" s="1016"/>
      <c r="GW74" s="1016"/>
      <c r="GX74" s="1016"/>
      <c r="GY74" s="1016"/>
      <c r="GZ74" s="1016"/>
      <c r="HA74" s="1016"/>
      <c r="HB74" s="1016"/>
      <c r="HC74" s="1016"/>
      <c r="HD74" s="1016"/>
      <c r="HE74" s="1016"/>
      <c r="HF74" s="1016"/>
      <c r="HG74" s="1016"/>
      <c r="HH74" s="1016"/>
      <c r="HI74" s="1016"/>
      <c r="HJ74" s="1016"/>
      <c r="HK74" s="1016"/>
      <c r="HL74" s="1016"/>
      <c r="HM74" s="1016"/>
      <c r="HN74" s="1016"/>
      <c r="HO74" s="1016"/>
      <c r="HP74" s="1016"/>
      <c r="HQ74" s="1016"/>
      <c r="HR74" s="1016"/>
      <c r="HS74" s="1016"/>
      <c r="HT74" s="1016"/>
      <c r="HU74" s="1016"/>
      <c r="HV74" s="1016"/>
      <c r="HW74" s="1016"/>
      <c r="HX74" s="1016"/>
    </row>
    <row r="75" spans="1:256" ht="19.95" customHeight="1">
      <c r="A75" s="1073"/>
    </row>
    <row r="76" spans="1:256" ht="13.8"/>
  </sheetData>
  <sheetProtection password="D857" sheet="1" objects="1" scenarios="1"/>
  <phoneticPr fontId="188" type="noConversion"/>
  <pageMargins left="0.75" right="0.75" top="1" bottom="1" header="0.51180555555555596" footer="0.5118055555555559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V492"/>
  <sheetViews>
    <sheetView zoomScale="76" zoomScaleNormal="76" workbookViewId="0"/>
  </sheetViews>
  <sheetFormatPr defaultColWidth="9" defaultRowHeight="15"/>
  <cols>
    <col min="1" max="3" width="9" style="614" customWidth="1"/>
    <col min="4" max="4" width="11.33203125" style="614" customWidth="1"/>
    <col min="5" max="5" width="8.77734375" style="614" customWidth="1"/>
    <col min="6" max="6" width="9.6640625" style="614" customWidth="1"/>
    <col min="7" max="7" width="11.21875" style="614" customWidth="1"/>
    <col min="8" max="8" width="10.21875" style="614" customWidth="1"/>
    <col min="9" max="9" width="9" style="614" customWidth="1"/>
    <col min="10" max="10" width="9.109375" style="614" customWidth="1"/>
    <col min="11" max="11" width="12.33203125" style="614" customWidth="1"/>
    <col min="12" max="26" width="9" style="614" customWidth="1"/>
    <col min="27" max="27" width="9.77734375" style="614" customWidth="1"/>
    <col min="28" max="29" width="9" style="614" customWidth="1"/>
    <col min="30" max="30" width="13.44140625" style="614" customWidth="1"/>
    <col min="31" max="31" width="10.6640625" style="614" customWidth="1"/>
    <col min="32" max="34" width="17.77734375" style="614" customWidth="1"/>
    <col min="35" max="37" width="14.6640625" style="614" customWidth="1"/>
    <col min="38" max="40" width="15.88671875" style="614" customWidth="1"/>
    <col min="41" max="41" width="37.6640625" style="614" customWidth="1"/>
    <col min="42" max="42" width="26.109375" style="614" customWidth="1"/>
    <col min="43" max="43" width="10.109375" style="614" customWidth="1"/>
    <col min="44" max="44" width="10.88671875" style="614" customWidth="1"/>
    <col min="45" max="45" width="16" style="614" customWidth="1"/>
    <col min="46" max="51" width="9" style="614" customWidth="1"/>
    <col min="52" max="52" width="14" style="614" customWidth="1"/>
    <col min="53" max="53" width="17.77734375" style="614" customWidth="1"/>
    <col min="54" max="54" width="19.6640625" style="614" customWidth="1"/>
    <col min="55" max="55" width="9" style="614" customWidth="1"/>
    <col min="56" max="16384" width="9" style="614"/>
  </cols>
  <sheetData>
    <row r="1" spans="1:53">
      <c r="AJ1" s="2347" t="s">
        <v>495</v>
      </c>
      <c r="AK1" s="2347"/>
      <c r="AL1" s="2347"/>
    </row>
    <row r="2" spans="1:53">
      <c r="B2" s="2308" t="s">
        <v>1440</v>
      </c>
      <c r="C2" s="2308"/>
      <c r="D2" s="2308"/>
      <c r="E2" s="2308"/>
      <c r="S2" s="2178" t="s">
        <v>1368</v>
      </c>
      <c r="T2" s="2179"/>
      <c r="U2" s="2179"/>
      <c r="V2" s="2179"/>
      <c r="W2" s="2179"/>
      <c r="X2" s="2179"/>
      <c r="Y2" s="2179"/>
      <c r="Z2" s="2179"/>
      <c r="AA2" s="2179"/>
      <c r="AB2" s="2179"/>
      <c r="AC2" s="2179"/>
      <c r="AD2" s="2179"/>
      <c r="AE2" s="2179"/>
      <c r="AF2" s="2179"/>
      <c r="AG2" s="2179"/>
      <c r="AH2" s="2179"/>
      <c r="AI2" s="2180"/>
    </row>
    <row r="3" spans="1:53" ht="15.6">
      <c r="A3" s="2302" t="s">
        <v>1441</v>
      </c>
      <c r="B3" s="2304" t="s">
        <v>1442</v>
      </c>
      <c r="C3" s="2306" t="s">
        <v>1443</v>
      </c>
      <c r="D3" s="615" t="s">
        <v>1444</v>
      </c>
      <c r="E3" s="616">
        <f>G14-I14</f>
        <v>0</v>
      </c>
      <c r="G3" s="617" t="s">
        <v>1445</v>
      </c>
      <c r="H3" s="618" t="s">
        <v>1446</v>
      </c>
      <c r="I3" s="618" t="s">
        <v>1447</v>
      </c>
      <c r="J3" s="618" t="s">
        <v>1448</v>
      </c>
      <c r="K3" s="649"/>
      <c r="L3" s="670"/>
      <c r="N3" s="2178" t="s">
        <v>1449</v>
      </c>
      <c r="O3" s="2179"/>
      <c r="P3" s="2180"/>
      <c r="S3" s="709" t="s">
        <v>500</v>
      </c>
      <c r="T3" s="710" t="s">
        <v>1450</v>
      </c>
      <c r="U3" s="711" t="s">
        <v>502</v>
      </c>
      <c r="V3" s="712" t="s">
        <v>1451</v>
      </c>
      <c r="W3" s="712"/>
      <c r="X3" s="712"/>
      <c r="Y3" s="712"/>
      <c r="Z3" s="716"/>
      <c r="AA3" s="716"/>
      <c r="AB3" s="716"/>
      <c r="AD3" s="716"/>
      <c r="AE3" s="716"/>
      <c r="AF3" s="716"/>
      <c r="AI3" s="672"/>
    </row>
    <row r="4" spans="1:53" ht="15.6">
      <c r="A4" s="2303"/>
      <c r="B4" s="2305"/>
      <c r="C4" s="2307"/>
      <c r="D4" s="620" t="s">
        <v>1452</v>
      </c>
      <c r="E4" s="621">
        <f>J14-I14</f>
        <v>20</v>
      </c>
      <c r="G4" s="622" t="s">
        <v>1453</v>
      </c>
      <c r="H4" s="614" t="s">
        <v>1454</v>
      </c>
      <c r="I4" s="614" t="s">
        <v>1455</v>
      </c>
      <c r="J4" s="614" t="s">
        <v>1456</v>
      </c>
      <c r="K4" s="671" t="s">
        <v>1457</v>
      </c>
      <c r="L4" s="672" t="s">
        <v>1458</v>
      </c>
      <c r="N4" s="622" t="s">
        <v>1459</v>
      </c>
      <c r="O4" s="671"/>
      <c r="P4" s="672"/>
      <c r="R4" s="673"/>
      <c r="S4" s="713" t="str">
        <f>"力量×"&amp;U4</f>
        <v>力量×0</v>
      </c>
      <c r="T4" s="714" t="str">
        <f>职业列表!I15</f>
        <v>×</v>
      </c>
      <c r="U4" s="715">
        <f>职业列表!J15</f>
        <v>0</v>
      </c>
      <c r="V4" s="716">
        <f>G14*U4</f>
        <v>0</v>
      </c>
      <c r="W4" s="716"/>
      <c r="X4" s="717" t="str">
        <f t="shared" ref="X4:X12" si="0">IF(U4&gt;0,S4,"")</f>
        <v/>
      </c>
      <c r="Y4" s="741" t="str">
        <f t="shared" ref="Y4:Y11" si="1">IF(AND(U5&gt;0,U4&gt;0),"+","")</f>
        <v/>
      </c>
      <c r="Z4" s="716" t="str">
        <f>IF(U5&gt;0,S5,"")</f>
        <v/>
      </c>
      <c r="AA4" s="742"/>
      <c r="AC4" s="742"/>
      <c r="AD4" s="742"/>
      <c r="AE4" s="742"/>
      <c r="AF4" s="742"/>
      <c r="AI4" s="672"/>
      <c r="AK4" s="720"/>
    </row>
    <row r="5" spans="1:53" ht="15.6">
      <c r="A5" s="623">
        <f>IF(人物卡!AI12="开",1,IF(人物卡!AI12="关",0))</f>
        <v>0</v>
      </c>
      <c r="B5" s="624">
        <f>IF(人物卡!AN12=0,"0",VLOOKUP(人物卡!AN12,'防具表 载具表'!B2:I101,3,FALSE))</f>
        <v>0</v>
      </c>
      <c r="C5" s="620">
        <f>IF(人物卡!E6&lt;40,0,INT((人物卡!E6/10)-3))</f>
        <v>0</v>
      </c>
      <c r="D5" s="620" t="s">
        <v>1460</v>
      </c>
      <c r="E5" s="621" t="str">
        <f>IF(E3&gt;0,"1",IF(E3=0,"0",IF(E3&lt;0,"-1")))</f>
        <v>0</v>
      </c>
      <c r="G5" s="622">
        <f>AVERAGE(人物卡!AA7+人物卡!R16+人物卡!R17+人物卡!R18+人物卡!R19+人物卡!R25+人物卡!R27+人物卡!R46+人物卡!R47+人物卡!R48+人物卡!AN17+人物卡!AN18+人物卡!AN22+人物卡!AN24+人物卡!AN28+人物卡!AN29+人物卡!AN35+人物卡!AN40+人物卡!AN44-122)</f>
        <v>222</v>
      </c>
      <c r="H5" s="614">
        <f>AVERAGE(人物卡!AA5+人物卡!R17+人物卡!R18+人物卡!R23+人物卡!R26+人物卡!R28+人物卡!R33+人物卡!R44+人物卡!R46+人物卡!R47+人物卡!R48+人物卡!R49+人物卡!AN16+人物卡!AN26+人物卡!AN28+人物卡!AN29+人物卡!AN35+人物卡!AN40+人物卡!AN44-111-人物卡!J49)</f>
        <v>199</v>
      </c>
      <c r="I5" s="614">
        <f>AVERAGE((人物卡!U3+人物卡!U7)/2+人物卡!U5+人物卡!AA3+人物卡!R29+人物卡!R34+人物卡!R35+人物卡!R36+人物卡!R38+人物卡!R39+人物卡!R40+人物卡!R44+人物卡!R45+人物卡!AN18+人物卡!AN25+人物卡!AN29+人物卡!AN30+人物卡!AN35+人物卡!AN36+人物卡!AN39+人物卡!AN41+人物卡!AN43+人物卡!AN45+人物卡!AN46-189-人物卡!J29)</f>
        <v>322</v>
      </c>
      <c r="J5" s="671">
        <f>AVERAGE(人物卡!AA3+人物卡!R19+人物卡!R20+人物卡!R21+人物卡!R22+人物卡!R24+人物卡!R28+人物卡!R30+人物卡!R31+人物卡!R45+人物卡!AN19+人物卡!AN20+人物卡!AN21+人物卡!AN23+人物卡!AN25+人物卡!AN27+人物卡!AN30+人物卡!AN34+人物卡!AN36+人物卡!AN37+人物卡!AN38+人物卡!AN39+人物卡!AN40+人物卡!AN41+人物卡!AN42+人物卡!AN43+人物卡!AN45+人物卡!AN46-219)</f>
        <v>298</v>
      </c>
      <c r="K5" s="671">
        <f>AVERAGE(人物卡!R42+人物卡!AN21+人物卡!AN28+人物卡!R30+人物卡!AN27+人物卡!AN30+人物卡!AN23+人物卡!R26+人物卡!R17+人物卡!AN41+人物卡!AN45+人物卡!AN46-76)</f>
        <v>203</v>
      </c>
      <c r="L5" s="672">
        <f>AVERAGE(人物卡!AG5+人物卡!AA7+人物卡!R16+人物卡!R17+人物卡!R25+人物卡!R27+人物卡!R32+人物卡!R43+人物卡!R46+人物卡!R47+人物卡!R48+人物卡!R49-人物卡!J49+人物卡!AN16+人物卡!AN17+人物卡!AN21+人物卡!AN22+人物卡!AN24+人物卡!AN28+人物卡!AN29+人物卡!AN31+人物卡!AN32+人物卡!AN33+人物卡!AN44-76)</f>
        <v>209</v>
      </c>
      <c r="M5" s="673"/>
      <c r="N5" s="622">
        <f>G14+I14</f>
        <v>100</v>
      </c>
      <c r="O5" s="671"/>
      <c r="P5" s="672"/>
      <c r="R5" s="718"/>
      <c r="S5" s="713" t="str">
        <f>"敏捷×"&amp;U5</f>
        <v>敏捷×0</v>
      </c>
      <c r="T5" s="714" t="str">
        <f>职业列表!I16</f>
        <v>×</v>
      </c>
      <c r="U5" s="715">
        <f>职业列表!J16</f>
        <v>0</v>
      </c>
      <c r="V5" s="716">
        <f>J14*U5</f>
        <v>0</v>
      </c>
      <c r="W5" s="716"/>
      <c r="X5" s="622"/>
      <c r="Y5" s="741" t="str">
        <f t="shared" si="1"/>
        <v/>
      </c>
      <c r="Z5" s="716"/>
      <c r="AA5" s="716"/>
      <c r="AB5" s="716"/>
      <c r="AD5" s="716"/>
      <c r="AE5" s="716"/>
      <c r="AF5" s="716"/>
      <c r="AI5" s="672"/>
      <c r="AK5" s="720"/>
    </row>
    <row r="6" spans="1:53" ht="45">
      <c r="A6" s="625"/>
      <c r="B6" s="626" t="s">
        <v>1461</v>
      </c>
      <c r="C6" s="627" t="s">
        <v>1462</v>
      </c>
      <c r="D6" s="620" t="s">
        <v>1463</v>
      </c>
      <c r="E6" s="621" t="str">
        <f>IF(E4&gt;0,"1",IF(E4=0,"0",IF(E4&lt;0,"-1")))</f>
        <v>1</v>
      </c>
      <c r="G6" s="622"/>
      <c r="J6" s="671">
        <f>G5+H5+I5+J5+K5+L5</f>
        <v>1453</v>
      </c>
      <c r="K6" s="671"/>
      <c r="L6" s="672"/>
      <c r="M6" s="673"/>
      <c r="N6" s="619" t="s">
        <v>1464</v>
      </c>
      <c r="O6" s="674" t="s">
        <v>1465</v>
      </c>
      <c r="P6" s="675" t="s">
        <v>1466</v>
      </c>
      <c r="R6" s="718"/>
      <c r="S6" s="713" t="str">
        <f>"体质×"&amp;U6</f>
        <v>体质×0</v>
      </c>
      <c r="T6" s="714" t="str">
        <f>职业列表!I17</f>
        <v>×</v>
      </c>
      <c r="U6" s="715">
        <f>职业列表!J17</f>
        <v>0</v>
      </c>
      <c r="V6" s="716">
        <f>H14*U6</f>
        <v>0</v>
      </c>
      <c r="W6" s="716"/>
      <c r="X6" s="719" t="str">
        <f t="shared" si="0"/>
        <v/>
      </c>
      <c r="Y6" s="741" t="str">
        <f t="shared" si="1"/>
        <v/>
      </c>
      <c r="Z6" s="716"/>
      <c r="AA6" s="716"/>
      <c r="AB6" s="716"/>
      <c r="AC6" s="743"/>
      <c r="AD6" s="716"/>
      <c r="AE6" s="716"/>
      <c r="AF6" s="716"/>
      <c r="AI6" s="672"/>
      <c r="AK6" s="720"/>
    </row>
    <row r="7" spans="1:53" ht="15.6">
      <c r="A7" s="625"/>
      <c r="B7" s="626" t="b">
        <f>ISNUMBER(B5)</f>
        <v>1</v>
      </c>
      <c r="C7" s="628">
        <f>IF(ISBLANK(人物卡!E6),0,IF(人物卡!E6&gt;=0,C5,0))</f>
        <v>0</v>
      </c>
      <c r="D7" s="620" t="s">
        <v>1467</v>
      </c>
      <c r="E7" s="621">
        <f>E6+E5</f>
        <v>1</v>
      </c>
      <c r="G7" s="622" t="s">
        <v>1453</v>
      </c>
      <c r="H7" s="614" t="s">
        <v>1454</v>
      </c>
      <c r="I7" s="614" t="s">
        <v>1455</v>
      </c>
      <c r="J7" s="614" t="s">
        <v>1456</v>
      </c>
      <c r="K7" s="671" t="s">
        <v>1457</v>
      </c>
      <c r="L7" s="672" t="s">
        <v>1458</v>
      </c>
      <c r="M7" s="673"/>
      <c r="N7" s="624" t="str">
        <f>IF(N5&lt;=1,"0",IF(N5&lt;=64,"-2",IF(N5&lt;=84,"-1",IF(N5&lt;=124,"0",IF(N5&lt;=164,"1",IF(N5&lt;=204,"2",IF(N5&lt;=284,"3",IF(N5&gt;284,"4","0"))))))))</f>
        <v>0</v>
      </c>
      <c r="O7" s="676">
        <f>INT((N5-285)/80)</f>
        <v>-3</v>
      </c>
      <c r="P7" s="675" t="str">
        <f>IF(O7&gt;=0,O7+N7,N7)</f>
        <v>0</v>
      </c>
      <c r="R7" s="718"/>
      <c r="S7" s="713" t="str">
        <f>"体型×"&amp;U7</f>
        <v>体型×0</v>
      </c>
      <c r="T7" s="714" t="str">
        <f>职业列表!I18</f>
        <v>×</v>
      </c>
      <c r="U7" s="715">
        <f>职业列表!J18</f>
        <v>0</v>
      </c>
      <c r="V7" s="716">
        <f>I14*U7</f>
        <v>0</v>
      </c>
      <c r="W7" s="720"/>
      <c r="X7" s="719" t="str">
        <f t="shared" si="0"/>
        <v/>
      </c>
      <c r="Y7" s="741" t="str">
        <f t="shared" si="1"/>
        <v/>
      </c>
      <c r="Z7" s="716"/>
      <c r="AA7" s="716"/>
      <c r="AB7" s="716"/>
      <c r="AC7" s="743"/>
      <c r="AD7" s="716"/>
      <c r="AE7" s="716"/>
      <c r="AF7" s="716"/>
      <c r="AI7" s="672"/>
      <c r="AK7" s="720"/>
    </row>
    <row r="8" spans="1:53" ht="30">
      <c r="A8" s="623"/>
      <c r="B8" s="629" t="s">
        <v>1468</v>
      </c>
      <c r="C8" s="630">
        <f>IF(B7=FALSE,"0",IF(A5=1,B5,0))</f>
        <v>0</v>
      </c>
      <c r="D8" s="631" t="s">
        <v>1469</v>
      </c>
      <c r="E8" s="632">
        <f>IF(E7=2,"1",IF(E7=-2,"-1",0))</f>
        <v>0</v>
      </c>
      <c r="G8" s="633">
        <f>G5/J6</f>
        <v>0.15278733654507914</v>
      </c>
      <c r="H8" s="634">
        <f>H5/J6</f>
        <v>0.13695801789401238</v>
      </c>
      <c r="I8" s="634">
        <f>I5/J6</f>
        <v>0.22161046111493463</v>
      </c>
      <c r="J8" s="634">
        <f>J5/J6</f>
        <v>0.2050929112181693</v>
      </c>
      <c r="K8" s="634">
        <f>K5/J6</f>
        <v>0.1397109428768066</v>
      </c>
      <c r="L8" s="677">
        <f>L5/J6</f>
        <v>0.14384033035099794</v>
      </c>
      <c r="M8" s="673"/>
      <c r="N8" s="619" t="s">
        <v>1470</v>
      </c>
      <c r="O8" s="674" t="s">
        <v>1471</v>
      </c>
      <c r="P8" s="675" t="s">
        <v>1472</v>
      </c>
      <c r="R8" s="718"/>
      <c r="S8" s="713" t="str">
        <f>"外貌×"&amp;U8</f>
        <v>外貌×0</v>
      </c>
      <c r="T8" s="714" t="str">
        <f>职业列表!I19</f>
        <v>×</v>
      </c>
      <c r="U8" s="715">
        <f>职业列表!J19</f>
        <v>0</v>
      </c>
      <c r="V8" s="716">
        <f>K14*U8</f>
        <v>0</v>
      </c>
      <c r="W8" s="716"/>
      <c r="X8" s="719" t="str">
        <f t="shared" si="0"/>
        <v/>
      </c>
      <c r="Y8" s="741" t="str">
        <f t="shared" si="1"/>
        <v/>
      </c>
      <c r="Z8" s="716"/>
      <c r="AA8" s="716"/>
      <c r="AC8" s="743"/>
      <c r="AD8" s="716"/>
      <c r="AE8" s="716"/>
      <c r="AF8" s="716"/>
      <c r="AI8" s="672"/>
      <c r="AK8" s="720"/>
    </row>
    <row r="9" spans="1:53" ht="15.6">
      <c r="B9" s="635" t="s">
        <v>1473</v>
      </c>
      <c r="C9" s="2348">
        <f>E8-C8-C7</f>
        <v>0</v>
      </c>
      <c r="D9" s="2348"/>
      <c r="E9" s="2349"/>
      <c r="M9" s="673"/>
      <c r="N9" s="624" t="str">
        <f>IF(P7="-2","-2",IF(P7="-1","-1",IF(P7="0","0",IF(P7="1","+1D4",IF(P7=2,"+1D6",IF(P7&gt;2,"D6",0))))))</f>
        <v>0</v>
      </c>
      <c r="O9" s="676" t="str">
        <f>IF(N9="D6",P7-1,"0")</f>
        <v>0</v>
      </c>
      <c r="P9" s="632" t="str">
        <f>IF(N9="D6",O10,N9)</f>
        <v>0</v>
      </c>
      <c r="R9" s="718"/>
      <c r="S9" s="713" t="str">
        <f>"智力×"&amp;U9</f>
        <v>智力×0</v>
      </c>
      <c r="T9" s="714" t="str">
        <f>职业列表!I20</f>
        <v>×</v>
      </c>
      <c r="U9" s="715">
        <f>职业列表!J20</f>
        <v>0</v>
      </c>
      <c r="V9" s="716">
        <f>L14*U9</f>
        <v>0</v>
      </c>
      <c r="W9" s="716"/>
      <c r="X9" s="719" t="str">
        <f t="shared" si="0"/>
        <v/>
      </c>
      <c r="Y9" s="741" t="str">
        <f t="shared" si="1"/>
        <v/>
      </c>
      <c r="Z9" s="716"/>
      <c r="AA9" s="744" t="str">
        <f>X4&amp;Y4&amp;X5&amp;Y5&amp;X6&amp;Y6&amp;X7&amp;Y7&amp;X8&amp;Y8&amp;X9&amp;Y9&amp;X10&amp;Y10&amp;X11&amp;Y11&amp;X12</f>
        <v>教育×4</v>
      </c>
      <c r="AB9" s="745"/>
      <c r="AC9" s="746"/>
      <c r="AD9" s="747"/>
      <c r="AE9" s="748"/>
      <c r="AF9" s="716" t="s">
        <v>1474</v>
      </c>
      <c r="AI9" s="672"/>
      <c r="AK9" s="720"/>
    </row>
    <row r="10" spans="1:53" ht="15.6">
      <c r="B10" s="2350" t="s">
        <v>1475</v>
      </c>
      <c r="C10" s="2343"/>
      <c r="D10" s="2343"/>
      <c r="E10" s="2344"/>
      <c r="J10" s="671"/>
      <c r="K10" s="671"/>
      <c r="L10" s="671"/>
      <c r="M10" s="673"/>
      <c r="N10" s="633"/>
      <c r="O10" s="634" t="str">
        <f>"+"&amp;O9&amp;"D6"</f>
        <v>+0D6</v>
      </c>
      <c r="P10" s="677"/>
      <c r="R10" s="718"/>
      <c r="S10" s="713" t="str">
        <f>"教育×"&amp;U10</f>
        <v>教育×4</v>
      </c>
      <c r="T10" s="714" t="str">
        <f>职业列表!I21</f>
        <v>√</v>
      </c>
      <c r="U10" s="715">
        <f>职业列表!J21</f>
        <v>4</v>
      </c>
      <c r="V10" s="716">
        <f>N14*U10</f>
        <v>240</v>
      </c>
      <c r="W10" s="716"/>
      <c r="X10" s="719" t="str">
        <f t="shared" si="0"/>
        <v>教育×4</v>
      </c>
      <c r="Y10" s="741" t="str">
        <f t="shared" si="1"/>
        <v/>
      </c>
      <c r="Z10" s="716"/>
      <c r="AA10" s="749">
        <f>IF(AB10=职业列表!H25,1,0)</f>
        <v>0</v>
      </c>
      <c r="AB10" s="750" t="s">
        <v>1476</v>
      </c>
      <c r="AC10" s="750"/>
      <c r="AD10" s="751"/>
      <c r="AE10" s="751"/>
      <c r="AF10" s="752">
        <f>IF(AA10=1,MAX(V4:V9,V11:V12)+V10,0)</f>
        <v>0</v>
      </c>
      <c r="AI10" s="672"/>
      <c r="AK10" s="720"/>
    </row>
    <row r="11" spans="1:53" ht="15.6">
      <c r="B11" s="622" t="s">
        <v>1477</v>
      </c>
      <c r="C11" s="636">
        <f>IF(人物卡!H35="鞭子","5",IF(人物卡!H35="电锯","10",IF(人物卡!H35="斧","15",IF(人物卡!H35="剑","20",IF(人物卡!H35="绞具","15",IF(人物卡!H35="链枷","10",IF(人物卡!H35="矛","20",IF(人物卡!H35=人物卡!AU28,人物卡!BA28,0))))))))</f>
        <v>0</v>
      </c>
      <c r="D11" s="614" t="s">
        <v>1478</v>
      </c>
      <c r="E11" s="637">
        <f>IF(人物卡!H39="步枪/霰弹枪","25",IF(人物卡!H39="冲锋枪","15",IF(人物卡!H39="弓术","15",IF(人物卡!H39="喷射器","10",IF(人物卡!H39="机枪","10",IF(人物卡!H39="重武器","10",IF(人物卡!H39=人物卡!AU30,人物卡!BA30,0)))))))</f>
        <v>0</v>
      </c>
      <c r="R11" s="718"/>
      <c r="S11" s="713" t="str">
        <f>"意志×"&amp;U11</f>
        <v>意志×0</v>
      </c>
      <c r="T11" s="714" t="str">
        <f>职业列表!I22</f>
        <v>×</v>
      </c>
      <c r="U11" s="715">
        <f>职业列表!J22</f>
        <v>0</v>
      </c>
      <c r="V11" s="716">
        <f>M14*U11</f>
        <v>0</v>
      </c>
      <c r="W11" s="716"/>
      <c r="X11" s="719" t="str">
        <f t="shared" si="0"/>
        <v/>
      </c>
      <c r="Y11" s="741" t="str">
        <f t="shared" si="1"/>
        <v/>
      </c>
      <c r="Z11" s="753"/>
      <c r="AA11" s="719">
        <f>IF(AB11=职业列表!H25,1,0)</f>
        <v>0</v>
      </c>
      <c r="AB11" s="743" t="s">
        <v>1479</v>
      </c>
      <c r="AC11" s="716"/>
      <c r="AD11" s="753"/>
      <c r="AE11" s="716"/>
      <c r="AF11" s="754">
        <f>IF(AA11=1,V10+SUM(V4:V9,V11:V12),0)</f>
        <v>0</v>
      </c>
      <c r="AI11" s="672"/>
      <c r="AK11" s="720"/>
    </row>
    <row r="12" spans="1:53" ht="15.6">
      <c r="B12" s="622" t="s">
        <v>1480</v>
      </c>
      <c r="C12" s="638">
        <f>IF(人物卡!H36="鞭子","5",IF(人物卡!H36="电锯","10",IF(人物卡!H36="斧","15",IF(人物卡!H36="剑","20",IF(人物卡!H36="绞具","15",IF(人物卡!H36="链枷","10",IF(人物卡!H36="矛","20",IF(人物卡!H36=人物卡!AU28,人物卡!BA28,0))))))))</f>
        <v>0</v>
      </c>
      <c r="D12" s="614" t="s">
        <v>1481</v>
      </c>
      <c r="E12" s="639">
        <f>IF(人物卡!H40="步枪/霰弹枪","25",IF(人物卡!H40="冲锋枪","15",IF(人物卡!H40="弓术","15",IF(人物卡!H40="喷射器","10",IF(人物卡!H40="机枪","10",IF(人物卡!H40="重武器","10",IF(人物卡!H40=人物卡!AU30,人物卡!BA30,0)))))))</f>
        <v>0</v>
      </c>
      <c r="G12" s="617" t="s">
        <v>1482</v>
      </c>
      <c r="H12" s="640" t="s">
        <v>1483</v>
      </c>
      <c r="I12" s="618" t="s">
        <v>1484</v>
      </c>
      <c r="J12" s="649"/>
      <c r="K12" s="649"/>
      <c r="L12" s="649"/>
      <c r="M12" s="649"/>
      <c r="N12" s="649"/>
      <c r="O12" s="670"/>
      <c r="P12" s="671"/>
      <c r="Q12" s="671"/>
      <c r="R12" s="718"/>
      <c r="S12" s="721" t="str">
        <f>"幸运×"&amp;U12</f>
        <v>幸运×0</v>
      </c>
      <c r="T12" s="722" t="str">
        <f>职业列表!I23</f>
        <v>×</v>
      </c>
      <c r="U12" s="723">
        <f>职业列表!J23</f>
        <v>0</v>
      </c>
      <c r="V12" s="724">
        <f>O14*U12</f>
        <v>0</v>
      </c>
      <c r="W12" s="634"/>
      <c r="X12" s="725" t="str">
        <f t="shared" si="0"/>
        <v/>
      </c>
      <c r="Y12" s="677"/>
      <c r="Z12" s="634"/>
      <c r="AA12" s="755">
        <f>IF(AB12=职业列表!H25,1,0)</f>
        <v>1</v>
      </c>
      <c r="AB12" s="756" t="s">
        <v>557</v>
      </c>
      <c r="AC12" s="634"/>
      <c r="AD12" s="634"/>
      <c r="AE12" s="634"/>
      <c r="AF12" s="757">
        <f>IF(AA12=1,SUM(V4:V12),0)</f>
        <v>240</v>
      </c>
      <c r="AG12" s="634"/>
      <c r="AH12" s="634"/>
      <c r="AI12" s="677"/>
      <c r="AK12" s="787"/>
    </row>
    <row r="13" spans="1:53" ht="31.05" customHeight="1">
      <c r="B13" s="633" t="s">
        <v>1485</v>
      </c>
      <c r="C13" s="641">
        <f>IF(人物卡!H37="鞭子","5",IF(人物卡!H37="电锯","10",IF(人物卡!H37="斧","15",IF(人物卡!H37="剑","20",IF(人物卡!H37="绞具","15",IF(人物卡!H37="链枷","10",IF(人物卡!H37=人物卡!AU28,人物卡!BA28,0)))))))</f>
        <v>0</v>
      </c>
      <c r="D13" s="634" t="s">
        <v>1486</v>
      </c>
      <c r="E13" s="642">
        <f>IF(人物卡!H41="步枪/霰弹枪","25",IF(人物卡!H41="冲锋枪","15",IF(人物卡!H41="弓术","15",IF(人物卡!H41="喷射器","10",IF(人物卡!H41="机枪","10",IF(人物卡!H41="重武器","10",IF(人物卡!H41=人物卡!AU30,人物卡!BA30,0)))))))</f>
        <v>0</v>
      </c>
      <c r="G13" s="643" t="s">
        <v>9</v>
      </c>
      <c r="H13" s="644" t="s">
        <v>18</v>
      </c>
      <c r="I13" s="678" t="s">
        <v>26</v>
      </c>
      <c r="J13" s="644" t="s">
        <v>10</v>
      </c>
      <c r="K13" s="678" t="s">
        <v>19</v>
      </c>
      <c r="L13" s="644" t="s">
        <v>27</v>
      </c>
      <c r="M13" s="678" t="s">
        <v>11</v>
      </c>
      <c r="N13" s="644" t="s">
        <v>1487</v>
      </c>
      <c r="O13" s="679" t="s">
        <v>28</v>
      </c>
      <c r="P13" s="671"/>
      <c r="Q13" s="671"/>
      <c r="R13" s="671"/>
    </row>
    <row r="14" spans="1:53" ht="28.05" customHeight="1">
      <c r="B14" s="614" t="s">
        <v>1488</v>
      </c>
      <c r="G14" s="645">
        <f>STR</f>
        <v>50</v>
      </c>
      <c r="H14" s="646">
        <f>CON</f>
        <v>50</v>
      </c>
      <c r="I14" s="680">
        <f>SIZ</f>
        <v>50</v>
      </c>
      <c r="J14" s="646">
        <f>DEX</f>
        <v>70</v>
      </c>
      <c r="K14" s="680">
        <f>APP</f>
        <v>70</v>
      </c>
      <c r="L14" s="646">
        <f>INT</f>
        <v>70</v>
      </c>
      <c r="M14" s="680">
        <f>POW</f>
        <v>80</v>
      </c>
      <c r="N14" s="646">
        <f>EDU</f>
        <v>60</v>
      </c>
      <c r="O14" s="681">
        <f>Luck</f>
        <v>55</v>
      </c>
      <c r="U14" s="726" t="s">
        <v>1489</v>
      </c>
      <c r="V14" s="727"/>
      <c r="W14" s="728"/>
      <c r="Z14" s="2308" t="s">
        <v>1455</v>
      </c>
      <c r="AA14" s="758" t="s">
        <v>1490</v>
      </c>
      <c r="AB14" s="759" t="s">
        <v>151</v>
      </c>
      <c r="AC14" s="759" t="s">
        <v>117</v>
      </c>
      <c r="AD14" s="760" t="s">
        <v>157</v>
      </c>
      <c r="AE14" s="760" t="s">
        <v>143</v>
      </c>
      <c r="AF14" s="760" t="s">
        <v>1477</v>
      </c>
      <c r="AG14" s="760"/>
      <c r="AH14" s="760"/>
      <c r="AI14" s="760" t="s">
        <v>1480</v>
      </c>
      <c r="AJ14" s="760"/>
      <c r="AK14" s="760"/>
      <c r="AL14" s="760" t="s">
        <v>1485</v>
      </c>
      <c r="AM14" s="760"/>
      <c r="AN14" s="760"/>
      <c r="AO14" s="760" t="s">
        <v>1478</v>
      </c>
      <c r="AP14" s="760" t="s">
        <v>1481</v>
      </c>
      <c r="AQ14" s="760" t="s">
        <v>1486</v>
      </c>
      <c r="AR14" s="759" t="s">
        <v>126</v>
      </c>
      <c r="AS14" s="759" t="s">
        <v>139</v>
      </c>
      <c r="AT14" s="791" t="s">
        <v>1491</v>
      </c>
      <c r="AU14" s="791" t="s">
        <v>1492</v>
      </c>
      <c r="AV14" s="792" t="s">
        <v>1493</v>
      </c>
      <c r="AZ14" s="798" t="s">
        <v>1484</v>
      </c>
      <c r="BA14" s="2253" t="str">
        <f>IF(AX27="仅显示1890_2012","",VLOOKUP(AX27,AZ25:BB29,3,FALSE))</f>
        <v>广播电台
茶包</v>
      </c>
    </row>
    <row r="15" spans="1:53" ht="31.05" customHeight="1">
      <c r="B15" s="647" t="s">
        <v>100</v>
      </c>
      <c r="C15" s="580"/>
      <c r="O15" s="2351" t="s">
        <v>1494</v>
      </c>
      <c r="P15" s="2352"/>
      <c r="Q15" s="2353"/>
      <c r="U15" s="651">
        <v>1</v>
      </c>
      <c r="V15" s="729">
        <f>人物卡!H39</f>
        <v>0</v>
      </c>
      <c r="W15" s="730">
        <f t="shared" ref="W15:W17" si="2">IF(V15="步枪/霰弹枪",1,0)</f>
        <v>0</v>
      </c>
      <c r="Z15" s="2308"/>
      <c r="AA15" s="761" t="str">
        <f>IF(人物卡!M54=AA14,"")</f>
        <v/>
      </c>
      <c r="AB15" s="762" t="b">
        <f>IF(人物卡!M54=人物卡!AB43,人物卡!AN43)</f>
        <v>0</v>
      </c>
      <c r="AC15" s="762" t="b">
        <f>IF(人物卡!M54=人物卡!F31,人物卡!R31)</f>
        <v>0</v>
      </c>
      <c r="AD15" s="763" t="b">
        <f>IF(人物卡!M54=人物卡!AB46,人物卡!AN46)</f>
        <v>0</v>
      </c>
      <c r="AE15" s="763" t="b">
        <f>IF(人物卡!M54=人物卡!AB39,人物卡!AN39)</f>
        <v>0</v>
      </c>
      <c r="AF15" s="763" t="b">
        <f>IF(人物卡!M54=人物卡!H35,人物卡!R35)</f>
        <v>0</v>
      </c>
      <c r="AG15" s="763"/>
      <c r="AH15" s="763"/>
      <c r="AI15" s="763" t="b">
        <f>IF(人物卡!M54=人物卡!H36,人物卡!R36)</f>
        <v>0</v>
      </c>
      <c r="AJ15" s="763"/>
      <c r="AK15" s="763"/>
      <c r="AL15" s="763" t="b">
        <f>IF(人物卡!M54=人物卡!H37,人物卡!R37)</f>
        <v>0</v>
      </c>
      <c r="AM15" s="763"/>
      <c r="AN15" s="763"/>
      <c r="AO15" s="793" t="b">
        <f>IF(人物卡!M54=人物卡!H39,人物卡!R39)</f>
        <v>0</v>
      </c>
      <c r="AP15" s="793" t="b">
        <f>IF(人物卡!M54=人物卡!H40,人物卡!R40)</f>
        <v>0</v>
      </c>
      <c r="AQ15" s="793" t="b">
        <f>IF(人物卡!M54=人物卡!H41,人物卡!R41)</f>
        <v>0</v>
      </c>
      <c r="AR15" s="762" t="b">
        <f>IF(人物卡!M54=人物卡!H34,人物卡!R34)</f>
        <v>0</v>
      </c>
      <c r="AS15" s="762" t="b">
        <f>IF(人物卡!M54=人物卡!H38,人物卡!R38)</f>
        <v>0</v>
      </c>
      <c r="AT15" s="794" t="str">
        <f>IF(AU15=0,IF(人物卡!M54=附表!U220,附表!V220,IF(人物卡!M54=附表!U221,附表!V221,IF(人物卡!M54=附表!U219,附表!V219,IF(人物卡!M54=附表!U224,附表!V224,IF(人物卡!M54=附表!U225,附表!V225,IF(人物卡!M54=附表!U223,附表!V223,IF(人物卡!M54=附表!U222,附表!V222,IF(人物卡!M54=附表!U226,技能注释!#REF!,IF(人物卡!M54=附表!Q220,附表!R220,IF(人物卡!M54=附表!Q221,附表!R221,IF(人物卡!M54=附表!Q222,附表!R222,IF(人物卡!M54=附表!Q223,附表!R223,IF(人物卡!M54=附表!Q224,附表!R224,IF(人物卡!M54=附表!Q219,附表!R219,IF(人物卡!M54=附表!Q225,附表!R225,""))))))))))))))))</f>
        <v/>
      </c>
      <c r="AU15" s="794">
        <f>MAX(AA15:AS15)</f>
        <v>0</v>
      </c>
      <c r="AV15" s="795" t="str">
        <f t="shared" ref="AV15:AV17" si="3">IF(AU15=0,AT15,AU15)</f>
        <v/>
      </c>
      <c r="BA15" s="2253"/>
    </row>
    <row r="16" spans="1:53" ht="34.049999999999997" customHeight="1">
      <c r="B16" s="623"/>
      <c r="C16" s="427"/>
      <c r="H16" s="648"/>
      <c r="J16" s="673"/>
      <c r="K16" s="682"/>
      <c r="L16" s="683" t="s">
        <v>1495</v>
      </c>
      <c r="M16" s="684"/>
      <c r="O16" s="651" t="s">
        <v>1496</v>
      </c>
      <c r="P16" s="649"/>
      <c r="Q16" s="670"/>
      <c r="U16" s="622">
        <v>2</v>
      </c>
      <c r="V16" s="580">
        <f>人物卡!H40</f>
        <v>0</v>
      </c>
      <c r="W16" s="731">
        <f t="shared" si="2"/>
        <v>0</v>
      </c>
      <c r="Z16" s="2308"/>
      <c r="AA16" s="761" t="b">
        <f>IF(人物卡!M55=AA14,"")</f>
        <v>0</v>
      </c>
      <c r="AB16" s="762" t="b">
        <f>IF(人物卡!M55=AB14,人物卡!AN43)</f>
        <v>0</v>
      </c>
      <c r="AC16" s="762" t="b">
        <f>IF(人物卡!M55=AC14,人物卡!R31)</f>
        <v>0</v>
      </c>
      <c r="AD16" s="763" t="b">
        <f>IF(人物卡!M55=AD14,人物卡!AN46)</f>
        <v>0</v>
      </c>
      <c r="AE16" s="763" t="b">
        <f>IF(人物卡!M55=AE14,人物卡!AN39)</f>
        <v>0</v>
      </c>
      <c r="AF16" s="763" t="b">
        <f>IF(ISBLANK(人物卡!H35),FALSE,IF(人物卡!M55=人物卡!H35,人物卡!R35))</f>
        <v>0</v>
      </c>
      <c r="AG16" s="763"/>
      <c r="AH16" s="763"/>
      <c r="AI16" s="763" t="b">
        <f>IF(ISBLANK(人物卡!H36),FALSE,IF(人物卡!M55=人物卡!H36,人物卡!R36))</f>
        <v>0</v>
      </c>
      <c r="AJ16" s="763"/>
      <c r="AK16" s="763"/>
      <c r="AL16" s="763" t="b">
        <f>IF(ISBLANK(人物卡!H37),FALSE,IF(人物卡!M55=人物卡!H37,人物卡!R37))</f>
        <v>0</v>
      </c>
      <c r="AM16" s="763"/>
      <c r="AN16" s="763"/>
      <c r="AO16" s="793" t="b">
        <f>IF(ISBLANK(人物卡!H39),FALSE,IF(人物卡!M55=人物卡!H39,人物卡!R39))</f>
        <v>0</v>
      </c>
      <c r="AP16" s="793" t="b">
        <f>IF(ISBLANK(人物卡!H40),FALSE,IF(人物卡!M55=人物卡!H40,人物卡!R40))</f>
        <v>0</v>
      </c>
      <c r="AQ16" s="793" t="b">
        <f>IF(ISBLANK(人物卡!H41),FALSE,IF(人物卡!M55=人物卡!H41,人物卡!R41))</f>
        <v>0</v>
      </c>
      <c r="AR16" s="762" t="b">
        <f>IF(人物卡!M55=AR14,人物卡!R34)</f>
        <v>0</v>
      </c>
      <c r="AS16" s="762" t="b">
        <f>IF(人物卡!M55=AS14,人物卡!R38)</f>
        <v>0</v>
      </c>
      <c r="AT16" s="796" t="str">
        <f>IF(AU16=0,IF(人物卡!M55=附表!U220,附表!V220,IF(人物卡!M55=附表!U221,附表!V221,IF(人物卡!M55=附表!U219,附表!V219,IF(人物卡!M55=附表!U224,附表!V224,IF(人物卡!M55=附表!U225,附表!V225,IF(人物卡!M55=附表!U223,附表!V223,IF(人物卡!M55=附表!U222,附表!V222,IF(人物卡!M55=附表!U226,技能注释!#REF!,IF(人物卡!M55=附表!Q220,附表!R220,IF(人物卡!M55=附表!Q221,附表!R221,IF(人物卡!M55=附表!Q222,附表!R222,IF(人物卡!M55=附表!Q223,附表!R223,IF(人物卡!M55=附表!Q224,附表!R224,IF(人物卡!M55=附表!Q219,附表!R219,IF(人物卡!M55=附表!Q225,附表!R225,""))))))))))))))))</f>
        <v/>
      </c>
      <c r="AU16" s="796">
        <f>MAX(AA16:AS16)</f>
        <v>0</v>
      </c>
      <c r="AV16" s="797" t="str">
        <f t="shared" si="3"/>
        <v/>
      </c>
      <c r="BA16" s="2253"/>
    </row>
    <row r="17" spans="2:54" ht="17.25" customHeight="1">
      <c r="L17" s="685" t="s">
        <v>403</v>
      </c>
      <c r="M17" s="686" t="s">
        <v>1492</v>
      </c>
      <c r="O17" s="622" t="s">
        <v>1497</v>
      </c>
      <c r="P17" s="671"/>
      <c r="Q17" s="671"/>
      <c r="R17" s="651" t="s">
        <v>43</v>
      </c>
      <c r="S17" s="670" t="s">
        <v>44</v>
      </c>
      <c r="U17" s="622">
        <v>3</v>
      </c>
      <c r="V17" s="580">
        <f>人物卡!H41</f>
        <v>0</v>
      </c>
      <c r="W17" s="731">
        <f t="shared" si="2"/>
        <v>0</v>
      </c>
      <c r="Z17" s="2308"/>
      <c r="AA17" s="761" t="b">
        <f>IF(人物卡!M56=AA14,"")</f>
        <v>0</v>
      </c>
      <c r="AB17" s="762" t="b">
        <f>IF(人物卡!M56=AB14,人物卡!AN43)</f>
        <v>0</v>
      </c>
      <c r="AC17" s="762" t="b">
        <f>IF(人物卡!M56=AC14,人物卡!R31)</f>
        <v>0</v>
      </c>
      <c r="AD17" s="763" t="b">
        <f>IF(人物卡!M56=AD14,人物卡!AN46)</f>
        <v>0</v>
      </c>
      <c r="AE17" s="763" t="b">
        <f>IF(人物卡!M56=AE14,人物卡!AN39)</f>
        <v>0</v>
      </c>
      <c r="AF17" s="763" t="b">
        <f>IF(ISBLANK(人物卡!H35),FALSE,IF(人物卡!M56=人物卡!H35,人物卡!R35))</f>
        <v>0</v>
      </c>
      <c r="AG17" s="763"/>
      <c r="AH17" s="763"/>
      <c r="AI17" s="763" t="b">
        <f>IF(ISBLANK(人物卡!H36),FALSE,IF(人物卡!M56=人物卡!H36,人物卡!R36))</f>
        <v>0</v>
      </c>
      <c r="AJ17" s="763"/>
      <c r="AK17" s="763"/>
      <c r="AL17" s="763" t="b">
        <f>IF(ISBLANK(人物卡!H37),FALSE,IF(人物卡!M56=人物卡!H37,人物卡!R37))</f>
        <v>0</v>
      </c>
      <c r="AM17" s="763"/>
      <c r="AN17" s="763"/>
      <c r="AO17" s="793" t="b">
        <f>IF(ISBLANK(人物卡!H39),FALSE,IF(人物卡!M56=人物卡!H39,人物卡!R39))</f>
        <v>0</v>
      </c>
      <c r="AP17" s="793" t="b">
        <f>IF(ISBLANK(人物卡!H40),FALSE,IF(人物卡!M56=人物卡!H40,人物卡!R40))</f>
        <v>0</v>
      </c>
      <c r="AQ17" s="793" t="b">
        <f>IF(ISBLANK(人物卡!H41),FALSE,IF(人物卡!M56=人物卡!H41,人物卡!R41))</f>
        <v>0</v>
      </c>
      <c r="AR17" s="762" t="b">
        <f>IF(人物卡!M56=AR14,人物卡!R34)</f>
        <v>0</v>
      </c>
      <c r="AS17" s="762" t="b">
        <f>IF(人物卡!M56=AS14,人物卡!R38)</f>
        <v>0</v>
      </c>
      <c r="AT17" s="796" t="str">
        <f>IF(AU17=0,IF(人物卡!M56=附表!U220,附表!V220,IF(人物卡!M56=附表!U221,附表!V221,IF(人物卡!M56=附表!U219,附表!V219,IF(人物卡!M56=附表!U224,附表!V224,IF(人物卡!M56=附表!U225,附表!V225,IF(人物卡!M56=附表!U223,附表!V223,IF(人物卡!M56=附表!U222,附表!V222,IF(人物卡!M56=附表!U226,技能注释!#REF!,IF(人物卡!M56=附表!Q220,附表!R220,IF(人物卡!M56=附表!Q221,附表!R221,IF(人物卡!M56=附表!Q222,附表!R222,IF(人物卡!M56=附表!Q223,附表!R223,IF(人物卡!M56=附表!Q224,附表!R224,IF(人物卡!M56=附表!Q219,附表!R219,IF(人物卡!M56=附表!Q225,附表!R225,""))))))))))))))))</f>
        <v/>
      </c>
      <c r="AU17" s="796">
        <f>MAX(AA17:AS17)</f>
        <v>0</v>
      </c>
      <c r="AV17" s="797" t="str">
        <f t="shared" si="3"/>
        <v/>
      </c>
      <c r="BA17" s="2253"/>
    </row>
    <row r="18" spans="2:54" ht="17.25" customHeight="1">
      <c r="B18" s="2178" t="s">
        <v>418</v>
      </c>
      <c r="C18" s="2179"/>
      <c r="D18" s="2179"/>
      <c r="E18" s="2179"/>
      <c r="F18" s="2179"/>
      <c r="G18" s="2179"/>
      <c r="H18" s="649"/>
      <c r="I18" s="649"/>
      <c r="J18" s="649"/>
      <c r="K18" s="670"/>
      <c r="L18" s="687">
        <f>M14</f>
        <v>80</v>
      </c>
      <c r="M18" s="688">
        <f>人物卡!P10</f>
        <v>99</v>
      </c>
      <c r="O18" s="622" t="s">
        <v>1498</v>
      </c>
      <c r="P18" s="671"/>
      <c r="Q18" s="671"/>
      <c r="R18" s="622" t="s">
        <v>279</v>
      </c>
      <c r="S18" s="672" t="s">
        <v>306</v>
      </c>
      <c r="U18" s="732" t="s">
        <v>1499</v>
      </c>
      <c r="V18" s="634" t="str">
        <f>人物卡!AB48</f>
        <v>自定义技能</v>
      </c>
      <c r="W18" s="677">
        <f>IF(V18="自定义技能",1,0)</f>
        <v>1</v>
      </c>
      <c r="Z18" s="2308"/>
      <c r="AA18" s="764"/>
      <c r="AB18" s="764"/>
      <c r="AC18" s="764"/>
      <c r="AD18" s="764"/>
      <c r="AE18" s="764"/>
      <c r="AF18" s="764"/>
      <c r="AG18" s="764"/>
      <c r="AH18" s="764"/>
      <c r="AI18" s="764"/>
      <c r="AJ18" s="764"/>
      <c r="AK18" s="764"/>
      <c r="AL18" s="788"/>
      <c r="AM18" s="772"/>
      <c r="AN18" s="772"/>
      <c r="AO18" s="772"/>
      <c r="AP18" s="772"/>
      <c r="AQ18" s="772"/>
      <c r="AR18" s="772"/>
      <c r="AS18" s="772"/>
      <c r="AT18" s="772"/>
      <c r="AU18" s="796"/>
      <c r="AV18" s="797"/>
      <c r="BA18" s="2253"/>
    </row>
    <row r="19" spans="2:54" ht="17.25" customHeight="1">
      <c r="B19" s="622" t="s">
        <v>1500</v>
      </c>
      <c r="C19" s="614" t="s">
        <v>387</v>
      </c>
      <c r="D19" s="614" t="s">
        <v>330</v>
      </c>
      <c r="E19" s="2042" t="s">
        <v>114</v>
      </c>
      <c r="F19" s="2042"/>
      <c r="G19" s="2042"/>
      <c r="H19" s="650"/>
      <c r="I19" s="463"/>
      <c r="J19" s="650"/>
      <c r="K19" s="672"/>
      <c r="L19" s="689" t="s">
        <v>1474</v>
      </c>
      <c r="M19" s="690"/>
      <c r="O19" s="622" t="s">
        <v>1501</v>
      </c>
      <c r="P19" s="671"/>
      <c r="Q19" s="671"/>
      <c r="R19" s="622" t="s">
        <v>277</v>
      </c>
      <c r="S19" s="672" t="s">
        <v>308</v>
      </c>
      <c r="AZ19" s="808"/>
      <c r="BA19" s="2253"/>
    </row>
    <row r="20" spans="2:54" ht="17.25" customHeight="1">
      <c r="B20" s="622" t="s">
        <v>420</v>
      </c>
      <c r="C20" s="614" t="s">
        <v>1502</v>
      </c>
      <c r="D20" s="614">
        <v>70</v>
      </c>
      <c r="E20" s="614" t="s">
        <v>422</v>
      </c>
      <c r="K20" s="672"/>
      <c r="L20" s="691">
        <f>IF(L18&gt;M18,M18,L18)</f>
        <v>80</v>
      </c>
      <c r="M20" s="692"/>
      <c r="O20" s="622" t="s">
        <v>1503</v>
      </c>
      <c r="P20" s="671"/>
      <c r="Q20" s="671"/>
      <c r="R20" s="622" t="s">
        <v>1504</v>
      </c>
      <c r="S20" s="672" t="s">
        <v>310</v>
      </c>
      <c r="AA20" s="2042" t="s">
        <v>1505</v>
      </c>
      <c r="AB20" s="2042"/>
      <c r="AC20" s="2042"/>
      <c r="AD20" s="2042"/>
      <c r="AI20" s="671"/>
      <c r="AR20" s="798" t="s">
        <v>1506</v>
      </c>
      <c r="BA20" s="2253"/>
    </row>
    <row r="21" spans="2:54" ht="17.25" customHeight="1">
      <c r="B21" s="622" t="s">
        <v>423</v>
      </c>
      <c r="C21" s="614" t="s">
        <v>1507</v>
      </c>
      <c r="D21" s="614">
        <v>60</v>
      </c>
      <c r="E21" s="614" t="s">
        <v>1508</v>
      </c>
      <c r="H21" s="650"/>
      <c r="I21" s="463"/>
      <c r="J21" s="650"/>
      <c r="K21" s="672"/>
      <c r="L21" s="693"/>
      <c r="M21" s="694"/>
      <c r="O21" s="622" t="s">
        <v>1509</v>
      </c>
      <c r="P21" s="671"/>
      <c r="Q21" s="671"/>
      <c r="R21" s="633" t="str">
        <f>IF(ISBLANK(人物卡!BK26),"",人物卡!BK26)</f>
        <v/>
      </c>
      <c r="S21" s="677" t="str">
        <f>IF(ISBLANK(人物卡!BO26),"",人物卡!BO26)</f>
        <v/>
      </c>
      <c r="AA21" s="651">
        <f>IF(ISBLANK(人物卡!BA18),0,1)</f>
        <v>1</v>
      </c>
      <c r="AB21" s="670">
        <f>IF(ISBLANK(人物卡!BJ18),0,1)</f>
        <v>0</v>
      </c>
      <c r="AC21" s="649"/>
      <c r="AD21" s="649" t="s">
        <v>1447</v>
      </c>
      <c r="AE21" s="765" t="s">
        <v>1474</v>
      </c>
      <c r="AF21" s="766"/>
      <c r="AG21" s="766"/>
      <c r="AH21" s="766"/>
      <c r="AI21" s="766"/>
      <c r="AJ21" s="766"/>
      <c r="AK21" s="766"/>
      <c r="AL21" s="766"/>
      <c r="AM21" s="766"/>
      <c r="AN21" s="766"/>
      <c r="AO21" s="766"/>
      <c r="AP21" s="766"/>
      <c r="AQ21" s="766"/>
      <c r="AR21" s="798">
        <f>人物卡!BL129</f>
        <v>1920</v>
      </c>
      <c r="AS21" s="614" t="str">
        <f>IF(AR21="仅显示1890_2020","",VLOOKUP(AR21,AE33:AS163,15,FALSE))</f>
        <v>广播电台
茶包</v>
      </c>
      <c r="BA21" s="2253"/>
    </row>
    <row r="22" spans="2:54" ht="17.25" customHeight="1">
      <c r="B22" s="622" t="s">
        <v>426</v>
      </c>
      <c r="C22" s="614" t="s">
        <v>1507</v>
      </c>
      <c r="D22" s="614">
        <v>60</v>
      </c>
      <c r="E22" s="614" t="s">
        <v>427</v>
      </c>
      <c r="K22" s="672"/>
      <c r="M22" s="695"/>
      <c r="O22" s="622" t="s">
        <v>1510</v>
      </c>
      <c r="P22" s="671"/>
      <c r="Q22" s="672"/>
      <c r="AA22" s="622">
        <f>IF(ISBLANK(人物卡!BA19),0,1)</f>
        <v>1</v>
      </c>
      <c r="AB22" s="672">
        <f>IF(ISBLANK(人物卡!BJ19),0,1)</f>
        <v>0</v>
      </c>
      <c r="AD22" s="671">
        <f>AA21+AA23+AA22+AA25+AA24+AB21+AB22+AB24+AB23+AB25</f>
        <v>4</v>
      </c>
      <c r="AE22" s="767">
        <f>IF(AD32=1,"仅显示1890_2020",AE28)</f>
        <v>2020</v>
      </c>
      <c r="AF22" s="2253" t="str">
        <f>IF(AE22="仅显示1890_2020","",VLOOKUP(AE22,AE33:AS163,2,FALSE))</f>
        <v>新冠病毒席卷全球</v>
      </c>
      <c r="AG22" s="2253" t="str">
        <f>IF(AE22="仅显示1890～2020","",VLOOKUP(AE22,AE33:AS163,3,FALSE))</f>
        <v>奥运推迟</v>
      </c>
      <c r="AH22" s="2253" t="str">
        <f>IF(AE22="仅显示1890～2020","",VLOOKUP(AE22,AE33:AS163,4,FALSE))</f>
        <v>英国脱欧</v>
      </c>
      <c r="AI22" s="2253" t="str">
        <f>IF(AE22="仅显示1890_2020","",VLOOKUP(AE22,AE33:AS163,5,FALSE))</f>
        <v>天问火星探测计划</v>
      </c>
      <c r="AJ22" s="2346" t="str">
        <f>IF(AE22="仅显示1890_2020","",VLOOKUP(AE22,AE33:AS163,6,FALSE))</f>
        <v>成功防控新冠病毒</v>
      </c>
      <c r="AK22" s="2346" t="str">
        <f>IF(AE22="仅显示1890_2020","",VLOOKUP(AE22,AE33:AS163,7,FALSE))</f>
        <v>港区国安法表决通过</v>
      </c>
      <c r="AL22" s="2253" t="str">
        <f>IF(AE22="仅显示1890_2020","",VLOOKUP(AE22,AE33:AS163,8,FALSE))</f>
        <v>二十一世 二十年代</v>
      </c>
      <c r="AM22" s="2253" t="str">
        <f>IF(AE22="仅显示1890_2820","",VLOOKUP(AE22,AE33:AS163,9,FALSE))</f>
        <v>庚子鼠年</v>
      </c>
      <c r="AN22" s="2253" t="str">
        <f>IF(AE22="仅显示1890_2020","",VLOOKUP(AE22,AE33:AS163,10,FALSE))</f>
        <v>中华人民共和国71周年</v>
      </c>
      <c r="AO22" s="2253" t="str">
        <f>IF(AE22="仅显示1890_2020","",VLOOKUP(AE22,AE33:AS163,11,FALSE))</f>
        <v>新冠病毒
特朗普弹劾案
伊朗将军苏莱曼尼遇袭身亡
英国正式脱欧
首次因非战争事件推迟奥运会
美股连续熔断
原油期货价格跌负
港区国安法表决通过</v>
      </c>
      <c r="AP22" s="2253" t="str">
        <f>IF(AE22="仅显示1890_2020","",VLOOKUP(AE22,AE33:AS163,12,FALSE))</f>
        <v>总统：
   唐纳德·特朗普（共和党）</v>
      </c>
      <c r="AQ22" s="2107">
        <f>IF(AE22="仅显示1890_2020","",VLOOKUP(AE22,AE33:AS163,13,FALSE))</f>
        <v>0</v>
      </c>
      <c r="AR22" s="2107" t="str">
        <f>IF(AE22="仅显示1890_2020","",VLOOKUP(AE22,AE33:AS163,14,FALSE))</f>
        <v>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甲型H1N5 流感 希格斯玻色子 引力波</v>
      </c>
      <c r="AS22" s="2042">
        <f>IF(AE22="仅显示1890_2020","",VLOOKUP(AE22,AE33:AS163,15,FALSE))</f>
        <v>0</v>
      </c>
      <c r="AT22" s="671"/>
      <c r="BA22" s="2253"/>
    </row>
    <row r="23" spans="2:54" ht="17.25" customHeight="1">
      <c r="B23" s="622" t="s">
        <v>428</v>
      </c>
      <c r="C23" s="614" t="s">
        <v>1507</v>
      </c>
      <c r="D23" s="614">
        <v>60</v>
      </c>
      <c r="E23" s="614" t="s">
        <v>429</v>
      </c>
      <c r="H23" s="650"/>
      <c r="I23" s="463"/>
      <c r="J23" s="650"/>
      <c r="K23" s="672"/>
      <c r="M23" s="695"/>
      <c r="O23" s="622" t="s">
        <v>1511</v>
      </c>
      <c r="P23" s="671"/>
      <c r="Q23" s="733" t="s">
        <v>1512</v>
      </c>
      <c r="AA23" s="622">
        <f>IF(ISBLANK(人物卡!BA20),0,1)</f>
        <v>1</v>
      </c>
      <c r="AB23" s="672">
        <f>IF(ISBLANK(人物卡!BJ20),0,1)</f>
        <v>0</v>
      </c>
      <c r="AD23" s="671" t="s">
        <v>1513</v>
      </c>
      <c r="AE23" s="768" t="s">
        <v>1514</v>
      </c>
      <c r="AF23" s="2253"/>
      <c r="AG23" s="2253"/>
      <c r="AH23" s="2253"/>
      <c r="AI23" s="2253"/>
      <c r="AJ23" s="2346"/>
      <c r="AK23" s="2346"/>
      <c r="AL23" s="2253"/>
      <c r="AM23" s="2253"/>
      <c r="AN23" s="2253"/>
      <c r="AO23" s="2253"/>
      <c r="AP23" s="2253"/>
      <c r="AQ23" s="2107"/>
      <c r="AR23" s="2107"/>
      <c r="AS23" s="2042"/>
      <c r="AT23" s="671"/>
      <c r="BA23" s="2253"/>
    </row>
    <row r="24" spans="2:54" ht="17.25" customHeight="1">
      <c r="B24" s="622" t="s">
        <v>430</v>
      </c>
      <c r="C24" s="614" t="s">
        <v>431</v>
      </c>
      <c r="D24" s="614">
        <v>0</v>
      </c>
      <c r="E24" s="614" t="s">
        <v>432</v>
      </c>
      <c r="H24" s="650"/>
      <c r="I24" s="463"/>
      <c r="J24" s="650"/>
      <c r="K24" s="672"/>
      <c r="M24" s="695"/>
      <c r="O24" s="622" t="s">
        <v>1515</v>
      </c>
      <c r="P24" s="671"/>
      <c r="Q24" s="672" t="s">
        <v>1516</v>
      </c>
      <c r="S24" s="2260" t="str">
        <f>".st "&amp;"力量"&amp;G14&amp;"str"&amp;G14&amp;"敏捷"&amp;J14&amp;"dex"&amp;J14&amp;"意志"&amp;M14&amp;"pow"&amp;M14&amp;"体质"&amp;H14&amp;"con"&amp;H14&amp;"外貌"&amp;K14&amp;"app"&amp;K14&amp;"教育"&amp;N14&amp;"edu"&amp;N14&amp;"体型"&amp;I14&amp;"siz"&amp;I14&amp;"智力"&amp;L14&amp;"灵感"&amp;L14&amp;"int"&amp;L14&amp;"san"&amp;人物卡!N10&amp;"san值"&amp;人物卡!N10&amp;"理智"&amp;人物卡!N10&amp;"理智值"&amp;人物卡!N10&amp;"幸运"&amp;O14&amp;"运气"&amp;O14&amp;"mp"&amp;人物卡!W10&amp;"魔法"&amp;人物卡!W10&amp;"hp"&amp;人物卡!E10&amp;"体力"&amp;人物卡!E10&amp;人物卡!F16&amp;人物卡!R16&amp;人物卡!F17&amp;人物卡!R17&amp;人物卡!F18&amp;人物卡!R18&amp;人物卡!F19&amp;人物卡!R19&amp;IF(人物卡!H20="","",人物卡!H20&amp;人物卡!R20)&amp;IF(人物卡!H21="","",人物卡!H21&amp;人物卡!R21)&amp;IF(人物卡!H22="","",人物卡!H22&amp;人物卡!R22)&amp;人物卡!F23&amp;人物卡!R23&amp;"魅惑"&amp;人物卡!R23&amp;人物卡!F24&amp;人物卡!R24&amp;"计算机"&amp;人物卡!R25&amp;"计算机使用"&amp;人物卡!R25&amp;"电脑"&amp;人物卡!R25&amp;"信用"&amp;人物卡!R26&amp;"信誉"&amp;人物卡!R26&amp;"信用评级"&amp;人物卡!R26&amp;"克苏鲁"&amp;人物卡!R27&amp;"克苏鲁神话"&amp;人物卡!R27&amp;"cm"&amp;人物卡!R27&amp;人物卡!F28&amp;人物卡!R28&amp;人物卡!F29&amp;人物卡!R29&amp;"汽车"&amp;人物卡!R30&amp;"驾驶"&amp;人物卡!R30&amp;"汽车驾驶"&amp;人物卡!R30&amp;人物卡!F31&amp;人物卡!R31&amp;"电子学"&amp;人物卡!R32&amp;人物卡!F33&amp;人物卡!R33&amp;人物卡!H34&amp;人物卡!R34&amp;IF(人物卡!H35="","",人物卡!H35&amp;人物卡!R35)&amp;IF(人物卡!H36="","",人物卡!H36&amp;人物卡!R36)&amp;IF(人物卡!H37="","",人物卡!H36&amp;人物卡!R37)&amp;人物卡!H38&amp;人物卡!R38&amp;IF(W15=1,人物卡!AB39&amp;人物卡!R39&amp;"步枪"&amp;人物卡!R39&amp;"霰弹枪"&amp;人物卡!R39&amp;"步霰"&amp;人物卡!R39,IF(人物卡!H39="","",人物卡!H39&amp;人物卡!R39))&amp;IF(W16=1,人物卡!AB40&amp;人物卡!R40&amp;"步枪"&amp;人物卡!R40&amp;"霰弹枪"&amp;人物卡!R40&amp;"步霰"&amp;人物卡!R40,IF(人物卡!H40="","",人物卡!H40&amp;人物卡!R40))&amp;IF(W17=1,人物卡!AB41&amp;人物卡!R41&amp;"步枪"&amp;人物卡!R41&amp;"霰弹枪"&amp;人物卡!R41&amp;"步霰"&amp;人物卡!R41,IF(人物卡!H41="","",人物卡!H41&amp;人物卡!R41))&amp;人物卡!F42&amp;人物卡!R42&amp;人物卡!F43&amp;人物卡!R43&amp;人物卡!F44&amp;人物卡!R44&amp;人物卡!F45&amp;人物卡!R45&amp;IF(人物卡!H46="","",人物卡!H46&amp;人物卡!R46)&amp;IF(人物卡!H47="","",人物卡!H47&amp;人物卡!R47)&amp;IF(人物卡!H48="","",人物卡!H48&amp;人物卡!R48)&amp;人物卡!F49&amp;人物卡!R49&amp;人物卡!AB16&amp;人物卡!AN16&amp;"图书馆"&amp;人物卡!AN17&amp;"图书馆使用"&amp;人物卡!AN17&amp;人物卡!AB18&amp;人物卡!AN18&amp;"开锁"&amp;人物卡!AN19&amp;"撬锁"&amp;人物卡!AN19&amp;"锁匠"&amp;人物卡!AN19&amp;人物卡!AB20&amp;人物卡!AN20&amp;人物卡!AB21&amp;人物卡!AN21&amp;"博物学"&amp;人物卡!AN22&amp;"自然学"&amp;人物卡!AN22&amp;"领航"&amp;人物卡!AN23&amp;"导航"&amp;人物卡!AN23&amp;人物卡!AB24&amp;人物卡!AN24&amp;"重型操作"&amp;人物卡!AN25&amp;"重型机械"&amp;人物卡!AN25&amp;"操作重型机械"&amp;人物卡!AN25&amp;"重型"&amp;人物卡!AN25&amp;人物卡!AB26&amp;人物卡!AN26&amp;IF(人物卡!AD27="","",人物卡!AD27&amp;人物卡!AN27)&amp;人物卡!AB28&amp;人物卡!AN28&amp;人物卡!AB29&amp;人物卡!AN29&amp;人物卡!AB30&amp;人物卡!AN30&amp;IF(人物卡!AD31="","",人物卡!AD31&amp;人物卡!AN31)&amp;IF(人物卡!AD32="","",人物卡!AD32&amp;人物卡!AN32)&amp;IF(人物卡!AD33="","",人物卡!AD33&amp;人物卡!AN33)&amp;人物卡!AB34&amp;人物卡!AN34&amp;人物卡!AB35&amp;人物卡!AN35&amp;人物卡!AB36&amp;人物卡!AN36&amp;"生存"&amp;人物卡!AN37&amp;人物卡!AB38&amp;人物卡!AN38&amp;人物卡!AB39&amp;人物卡!AN39&amp;人物卡!AB40&amp;人物卡!AN40&amp;人物卡!AB41&amp;人物卡!AN41&amp;人物卡!AB42&amp;人物卡!AN42&amp;人物卡!AB43&amp;人物卡!AN43&amp;人物卡!AB44&amp;人物卡!AN44&amp;人物卡!AB45&amp;人物卡!AN45&amp;人物卡!AB46&amp;人物卡!AN46&amp;IF(人物卡!AD47="","",人物卡!AD47&amp;人物卡!AN47)&amp;IF(W18=1,"",人物卡!AB48&amp;人物卡!AN48)&amp;IF(人物卡!AB49="","",人物卡!AB49&amp;人物卡!AN49)</f>
        <v>.st 力量50str50敏捷70dex70意志80pow80体质50con50外貌70app70教育60edu60体型50siz50智力70灵感70int70san69san值69理智69理智值69幸运55运气55mp魔法hp4体力4会计5人类学1估价5考古学1取悦15魅惑15攀爬20计算机5计算机使用5电脑5信用15信誉15信用评级15克苏鲁0克苏鲁神话0cm0乔装5闪避35汽车20驾驶20汽车驾驶20电气维修10电子学1话术5斗殴25手枪20急救60历史5恐吓15跳跃20母语60法律5图书馆20图书馆使用20聆听58开锁80撬锁80锁匠80机械维修10医学1博物学10自然学10领航10导航10神秘学5重型操作1重型机械1操作重型机械1重型1说服10精神分析80心理学10骑术5妙手80侦查60潜行20生存10游泳20投掷20追踪10驯兽5潜水1爆破1读唇1催眠80炮术1</v>
      </c>
      <c r="T24" s="2260"/>
      <c r="U24" s="2260"/>
      <c r="V24" s="2260"/>
      <c r="AA24" s="622">
        <f>IF(ISBLANK(人物卡!BA21),0,1)</f>
        <v>1</v>
      </c>
      <c r="AB24" s="672">
        <f>IF(ISBLANK(人物卡!BJ21),0,1)</f>
        <v>0</v>
      </c>
      <c r="AD24" s="671">
        <f>人物卡!F9-AD22</f>
        <v>0</v>
      </c>
      <c r="AE24" s="769">
        <f>人物卡!G8</f>
        <v>2020</v>
      </c>
      <c r="AF24" s="2253"/>
      <c r="AG24" s="2253"/>
      <c r="AH24" s="2253"/>
      <c r="AI24" s="2253"/>
      <c r="AJ24" s="2346"/>
      <c r="AK24" s="2346"/>
      <c r="AL24" s="2253"/>
      <c r="AM24" s="2253"/>
      <c r="AN24" s="2253"/>
      <c r="AO24" s="2253"/>
      <c r="AP24" s="2253"/>
      <c r="AQ24" s="2107"/>
      <c r="AR24" s="2107"/>
      <c r="AS24" s="2042"/>
      <c r="AT24" s="651"/>
      <c r="AU24" s="649"/>
      <c r="AV24" s="649"/>
      <c r="AW24" s="649"/>
      <c r="AX24" s="809" t="s">
        <v>1467</v>
      </c>
      <c r="AY24" s="810"/>
      <c r="AZ24" s="2341" t="s">
        <v>1517</v>
      </c>
      <c r="BA24" s="2341"/>
      <c r="BB24" s="2342"/>
    </row>
    <row r="25" spans="2:54" ht="17.25" customHeight="1">
      <c r="B25" s="622" t="str">
        <f>IF(ISBLANK(人物卡!BC26),"自定义经历包",人物卡!BC26)</f>
        <v>自定义经历包</v>
      </c>
      <c r="C25" s="614" t="str">
        <f>'简化卡 骰娘导入'!E90</f>
        <v/>
      </c>
      <c r="D25" s="614" t="str">
        <f>'简化卡 骰娘导入'!H90</f>
        <v/>
      </c>
      <c r="E25" s="614" t="str">
        <f>'简化卡 骰娘导入'!J90</f>
        <v/>
      </c>
      <c r="G25" s="650"/>
      <c r="H25" s="648"/>
      <c r="I25" s="650"/>
      <c r="J25" s="650"/>
      <c r="K25" s="672"/>
      <c r="M25" s="695"/>
      <c r="O25" s="622" t="s">
        <v>1518</v>
      </c>
      <c r="P25" s="671"/>
      <c r="Q25" s="672" t="s">
        <v>225</v>
      </c>
      <c r="S25" s="2260"/>
      <c r="T25" s="2260"/>
      <c r="U25" s="2260"/>
      <c r="V25" s="2260"/>
      <c r="X25" s="735" t="s">
        <v>65</v>
      </c>
      <c r="Y25" s="670"/>
      <c r="AA25" s="633">
        <f>IF(ISBLANK(人物卡!BA22),0,1)</f>
        <v>0</v>
      </c>
      <c r="AB25" s="677">
        <f>IF(ISBLANK(人物卡!BJ22),0,1)</f>
        <v>0</v>
      </c>
      <c r="AC25" s="770" t="s">
        <v>1519</v>
      </c>
      <c r="AD25" s="770" t="str">
        <f>IF(AD24=0,"无",IF(AD24&lt;0,"过多！",AD24))</f>
        <v>无</v>
      </c>
      <c r="AE25" s="769" t="s">
        <v>1520</v>
      </c>
      <c r="AF25" s="2253"/>
      <c r="AG25" s="2253"/>
      <c r="AH25" s="2253"/>
      <c r="AI25" s="2253"/>
      <c r="AJ25" s="2346"/>
      <c r="AK25" s="2346"/>
      <c r="AL25" s="2253"/>
      <c r="AM25" s="2253"/>
      <c r="AN25" s="2253"/>
      <c r="AO25" s="2253"/>
      <c r="AP25" s="2253"/>
      <c r="AQ25" s="2107"/>
      <c r="AR25" s="2107"/>
      <c r="AS25" s="2042"/>
      <c r="AT25" s="799" t="s">
        <v>1521</v>
      </c>
      <c r="AV25" s="614">
        <f>IF(AT25=人物卡!AZ129,1,0)</f>
        <v>0</v>
      </c>
      <c r="AX25" s="811"/>
      <c r="AY25" s="812"/>
      <c r="AZ25" s="614">
        <v>1</v>
      </c>
      <c r="BA25" s="808" t="s">
        <v>1522</v>
      </c>
      <c r="BB25" s="672">
        <f>AQ22</f>
        <v>0</v>
      </c>
    </row>
    <row r="26" spans="2:54" ht="17.25" customHeight="1">
      <c r="B26" s="622" t="s">
        <v>176</v>
      </c>
      <c r="K26" s="672"/>
      <c r="M26" s="695"/>
      <c r="O26" s="622" t="s">
        <v>1523</v>
      </c>
      <c r="P26" s="671"/>
      <c r="Q26" s="672"/>
      <c r="S26" s="2260"/>
      <c r="T26" s="2260"/>
      <c r="U26" s="2260"/>
      <c r="V26" s="2260"/>
      <c r="X26" s="736" t="s">
        <v>67</v>
      </c>
      <c r="Y26" s="672"/>
      <c r="AE26" s="769">
        <f>IF(人物卡!E8="公元前",人物卡!G8*2,0)</f>
        <v>0</v>
      </c>
      <c r="AF26" s="2253"/>
      <c r="AG26" s="2253"/>
      <c r="AH26" s="2253"/>
      <c r="AI26" s="2253"/>
      <c r="AJ26" s="2346"/>
      <c r="AK26" s="2346"/>
      <c r="AL26" s="2253"/>
      <c r="AM26" s="2253"/>
      <c r="AN26" s="2253"/>
      <c r="AO26" s="2253"/>
      <c r="AP26" s="2253"/>
      <c r="AQ26" s="2107"/>
      <c r="AR26" s="2107"/>
      <c r="AS26" s="2042"/>
      <c r="AT26" s="799" t="s">
        <v>1524</v>
      </c>
      <c r="AV26" s="614">
        <f>IF(AT26=人物卡!AZ129,2,0)</f>
        <v>0</v>
      </c>
      <c r="AX26" s="811"/>
      <c r="AY26" s="812"/>
      <c r="AZ26" s="614">
        <v>2</v>
      </c>
      <c r="BA26" s="808" t="s">
        <v>1525</v>
      </c>
      <c r="BB26" s="672" t="str">
        <f>AR22</f>
        <v>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甲型H1N5 流感 希格斯玻色子 引力波</v>
      </c>
    </row>
    <row r="27" spans="2:54" ht="17.25" customHeight="1">
      <c r="B27" s="622"/>
      <c r="C27" s="651">
        <f>IF(人物卡!F113=B20,C20,0)</f>
        <v>0</v>
      </c>
      <c r="D27" s="649">
        <f>IF(人物卡!F113=B20,D20,0)</f>
        <v>0</v>
      </c>
      <c r="E27" s="2343">
        <f>IF(人物卡!F113=B20,E20,0)</f>
        <v>0</v>
      </c>
      <c r="F27" s="2343"/>
      <c r="G27" s="2343"/>
      <c r="H27" s="2343"/>
      <c r="I27" s="2343"/>
      <c r="J27" s="2343"/>
      <c r="K27" s="2344"/>
      <c r="M27" s="695"/>
      <c r="O27" s="622" t="s">
        <v>1526</v>
      </c>
      <c r="P27" s="671"/>
      <c r="Q27" s="672"/>
      <c r="S27" s="2260"/>
      <c r="T27" s="2260"/>
      <c r="U27" s="2260"/>
      <c r="V27" s="2260"/>
      <c r="X27" s="736" t="s">
        <v>71</v>
      </c>
      <c r="Y27" s="672"/>
      <c r="AB27" s="771" t="s">
        <v>1527</v>
      </c>
      <c r="AC27" s="772">
        <f>D34-SUM(人物卡!L16:L49,人物卡!AH16:AH49)</f>
        <v>-5</v>
      </c>
      <c r="AD27" s="649" t="s">
        <v>1474</v>
      </c>
      <c r="AE27" s="769" t="s">
        <v>1528</v>
      </c>
      <c r="AF27" s="2253"/>
      <c r="AG27" s="2253"/>
      <c r="AH27" s="2253"/>
      <c r="AI27" s="2253"/>
      <c r="AJ27" s="2346"/>
      <c r="AK27" s="2346"/>
      <c r="AL27" s="2253"/>
      <c r="AM27" s="2253"/>
      <c r="AN27" s="2253"/>
      <c r="AO27" s="2253"/>
      <c r="AP27" s="2253"/>
      <c r="AQ27" s="2107"/>
      <c r="AR27" s="2107"/>
      <c r="AS27" s="2042"/>
      <c r="AT27" s="799"/>
      <c r="AX27" s="811">
        <f>AV25+AV26+AV28+AV29+AV30</f>
        <v>4</v>
      </c>
      <c r="AY27" s="812"/>
      <c r="AZ27" s="614">
        <v>3</v>
      </c>
      <c r="BA27" s="671" t="s">
        <v>1529</v>
      </c>
      <c r="BB27" s="672">
        <f>AS22</f>
        <v>0</v>
      </c>
    </row>
    <row r="28" spans="2:54" ht="17.25" customHeight="1">
      <c r="B28" s="622"/>
      <c r="C28" s="622">
        <f>IF(人物卡!F113=B21,C21,0)</f>
        <v>0</v>
      </c>
      <c r="D28" s="614">
        <f>IF(人物卡!F113=B21,D21,0)</f>
        <v>0</v>
      </c>
      <c r="E28" s="2042">
        <f>IF(人物卡!F113=B21,E21,0)</f>
        <v>0</v>
      </c>
      <c r="F28" s="2042"/>
      <c r="G28" s="2042"/>
      <c r="H28" s="2042"/>
      <c r="I28" s="2042"/>
      <c r="J28" s="2042"/>
      <c r="K28" s="2043"/>
      <c r="M28" s="695"/>
      <c r="O28" s="622" t="s">
        <v>1530</v>
      </c>
      <c r="P28" s="671"/>
      <c r="Q28" s="672"/>
      <c r="S28" s="2260"/>
      <c r="T28" s="2260"/>
      <c r="U28" s="2260"/>
      <c r="V28" s="2260"/>
      <c r="X28" s="736" t="s">
        <v>75</v>
      </c>
      <c r="Y28" s="672"/>
      <c r="AB28" s="773" t="s">
        <v>1461</v>
      </c>
      <c r="AC28" s="634" t="b">
        <f>ISNUMBER(AC27)</f>
        <v>1</v>
      </c>
      <c r="AD28" s="634">
        <f>IF(AC28=FALSE,"0",AC27)</f>
        <v>-5</v>
      </c>
      <c r="AE28" s="774">
        <f>AE24-AE26</f>
        <v>2020</v>
      </c>
      <c r="AF28" s="2253"/>
      <c r="AG28" s="2253"/>
      <c r="AH28" s="2253"/>
      <c r="AI28" s="2253"/>
      <c r="AJ28" s="2346"/>
      <c r="AK28" s="2346"/>
      <c r="AL28" s="2253"/>
      <c r="AM28" s="2253"/>
      <c r="AN28" s="2253"/>
      <c r="AO28" s="2253"/>
      <c r="AP28" s="2253"/>
      <c r="AQ28" s="2107"/>
      <c r="AR28" s="2107"/>
      <c r="AS28" s="2042"/>
      <c r="AT28" s="622" t="s">
        <v>1529</v>
      </c>
      <c r="AV28" s="614">
        <f>IF(AT28=人物卡!AZ129,3,0)</f>
        <v>0</v>
      </c>
      <c r="AX28" s="811"/>
      <c r="AY28" s="812"/>
      <c r="AZ28" s="614">
        <v>4</v>
      </c>
      <c r="BA28" s="614" t="s">
        <v>291</v>
      </c>
      <c r="BB28" s="672" t="str">
        <f>AS21</f>
        <v>广播电台
茶包</v>
      </c>
    </row>
    <row r="29" spans="2:54" ht="17.25" customHeight="1">
      <c r="B29" s="622"/>
      <c r="C29" s="622">
        <f>IF(人物卡!F113=B22,C22,0)</f>
        <v>0</v>
      </c>
      <c r="D29" s="614">
        <f>IF(人物卡!F113=B22,D22,0)</f>
        <v>0</v>
      </c>
      <c r="E29" s="2042">
        <f>IF(人物卡!F113=B22,E22,0)</f>
        <v>0</v>
      </c>
      <c r="F29" s="2042"/>
      <c r="G29" s="2042"/>
      <c r="H29" s="2042"/>
      <c r="I29" s="2042"/>
      <c r="J29" s="2042"/>
      <c r="K29" s="2043"/>
      <c r="M29" s="695"/>
      <c r="O29" s="622" t="s">
        <v>1531</v>
      </c>
      <c r="P29" s="671"/>
      <c r="Q29" s="672"/>
      <c r="S29" s="2260"/>
      <c r="T29" s="2260"/>
      <c r="U29" s="2260"/>
      <c r="V29" s="2260"/>
      <c r="X29" s="737" t="s">
        <v>78</v>
      </c>
      <c r="Y29" s="672"/>
      <c r="AB29" s="764" t="s">
        <v>1532</v>
      </c>
      <c r="AC29" s="745">
        <f>IF(人物卡!M5=0," ",LOOKUP(人物卡!M5,职业列表!A2:C232,职业列表!F2:F232))</f>
        <v>280</v>
      </c>
      <c r="AD29" s="2178" t="s">
        <v>1533</v>
      </c>
      <c r="AE29" s="2345"/>
      <c r="AF29" s="2253"/>
      <c r="AG29" s="2253"/>
      <c r="AH29" s="2253"/>
      <c r="AI29" s="2253"/>
      <c r="AJ29" s="2346"/>
      <c r="AK29" s="2346"/>
      <c r="AL29" s="2253"/>
      <c r="AM29" s="2253"/>
      <c r="AN29" s="2253"/>
      <c r="AO29" s="2253"/>
      <c r="AP29" s="2253"/>
      <c r="AQ29" s="2107"/>
      <c r="AR29" s="2107"/>
      <c r="AS29" s="2042"/>
      <c r="AT29" s="622" t="s">
        <v>291</v>
      </c>
      <c r="AV29" s="614">
        <f>IF(AT29=人物卡!AZ129,4,0)</f>
        <v>4</v>
      </c>
      <c r="AX29" s="811"/>
      <c r="AY29" s="813"/>
      <c r="AZ29" s="814">
        <v>5</v>
      </c>
      <c r="BA29" s="814" t="s">
        <v>1534</v>
      </c>
      <c r="BB29" s="815" t="s">
        <v>1535</v>
      </c>
    </row>
    <row r="30" spans="2:54" ht="17.25" customHeight="1">
      <c r="B30" s="622"/>
      <c r="C30" s="622">
        <f>IF(人物卡!F113=B23,C23,0)</f>
        <v>0</v>
      </c>
      <c r="D30" s="614">
        <f>IF(人物卡!F113=B23,D23,0)</f>
        <v>0</v>
      </c>
      <c r="E30" s="2042">
        <f>IF(人物卡!F113=B23,E23,0)</f>
        <v>0</v>
      </c>
      <c r="F30" s="2042"/>
      <c r="G30" s="2042"/>
      <c r="H30" s="2042"/>
      <c r="I30" s="2042"/>
      <c r="J30" s="2042"/>
      <c r="K30" s="2043"/>
      <c r="M30" s="695"/>
      <c r="O30" s="622" t="s">
        <v>1536</v>
      </c>
      <c r="P30" s="671"/>
      <c r="Q30" s="672"/>
      <c r="S30" s="2260"/>
      <c r="T30" s="2260"/>
      <c r="U30" s="2260"/>
      <c r="V30" s="2260"/>
      <c r="X30" s="738" t="s">
        <v>81</v>
      </c>
      <c r="Y30" s="672"/>
      <c r="AD30" s="775">
        <f>IF(AE30="大",1,0)</f>
        <v>0</v>
      </c>
      <c r="AE30" s="776" t="b">
        <f>IF(AE28&gt;2020,"大")</f>
        <v>0</v>
      </c>
      <c r="AF30" s="2253"/>
      <c r="AG30" s="2253"/>
      <c r="AH30" s="2253"/>
      <c r="AI30" s="2253"/>
      <c r="AJ30" s="2346"/>
      <c r="AK30" s="2346"/>
      <c r="AL30" s="2253"/>
      <c r="AM30" s="2253"/>
      <c r="AN30" s="2253"/>
      <c r="AO30" s="2253"/>
      <c r="AP30" s="2253"/>
      <c r="AQ30" s="2107"/>
      <c r="AR30" s="2107"/>
      <c r="AS30" s="2042"/>
      <c r="AT30" s="614" t="s">
        <v>1537</v>
      </c>
      <c r="AU30" s="633" t="s">
        <v>1534</v>
      </c>
      <c r="AV30" s="634">
        <f>IF(AU30=人物卡!AZ129,5,0)</f>
        <v>0</v>
      </c>
      <c r="AW30" s="634"/>
      <c r="AX30" s="816"/>
      <c r="AY30" s="634"/>
      <c r="AZ30" s="634"/>
      <c r="BA30" s="634"/>
      <c r="BB30" s="677"/>
    </row>
    <row r="31" spans="2:54" ht="17.25" customHeight="1">
      <c r="B31" s="622"/>
      <c r="C31" s="633">
        <f>IF(人物卡!F113=B24,C24,0)</f>
        <v>0</v>
      </c>
      <c r="D31" s="634">
        <f>IF(人物卡!F113=B24,D24,0)</f>
        <v>0</v>
      </c>
      <c r="E31" s="2045">
        <f>IF(人物卡!F113=B24,E24,0)</f>
        <v>0</v>
      </c>
      <c r="F31" s="2045"/>
      <c r="G31" s="2045"/>
      <c r="H31" s="2045"/>
      <c r="I31" s="2045"/>
      <c r="J31" s="2045"/>
      <c r="K31" s="2046"/>
      <c r="M31" s="695"/>
      <c r="O31" s="622" t="s">
        <v>1538</v>
      </c>
      <c r="P31" s="671"/>
      <c r="Q31" s="672"/>
      <c r="S31" s="2260"/>
      <c r="T31" s="2260"/>
      <c r="U31" s="2260"/>
      <c r="V31" s="2260"/>
      <c r="X31" s="737" t="s">
        <v>83</v>
      </c>
      <c r="Y31" s="672"/>
      <c r="AD31" s="777">
        <f>IF(AE31="小",1,0)</f>
        <v>0</v>
      </c>
      <c r="AE31" s="778" t="b">
        <f>IF(AE28&lt;1890,"小")</f>
        <v>0</v>
      </c>
      <c r="AF31" s="2309"/>
      <c r="AG31" s="2309"/>
      <c r="AH31" s="2309"/>
      <c r="AI31" s="2309"/>
      <c r="AJ31" s="2346"/>
      <c r="AK31" s="2346"/>
      <c r="AL31" s="2309"/>
      <c r="AM31" s="2253"/>
      <c r="AN31" s="2253"/>
      <c r="AO31" s="2309"/>
      <c r="AP31" s="2309"/>
      <c r="AQ31" s="2107"/>
      <c r="AR31" s="2107"/>
      <c r="AS31" s="2042"/>
    </row>
    <row r="32" spans="2:54" ht="17.25" customHeight="1">
      <c r="B32" s="622"/>
      <c r="C32" s="614">
        <f>IF(人物卡!F113=B25,C25,0)</f>
        <v>0</v>
      </c>
      <c r="D32" s="614">
        <f>IF(人物卡!F113=B25,D25,0)</f>
        <v>0</v>
      </c>
      <c r="E32" s="2042">
        <f>IF(人物卡!F113=B25,E25,0)</f>
        <v>0</v>
      </c>
      <c r="F32" s="2042"/>
      <c r="G32" s="2042"/>
      <c r="H32" s="2042"/>
      <c r="I32" s="2042"/>
      <c r="J32" s="2042"/>
      <c r="K32" s="2043"/>
      <c r="M32" s="695"/>
      <c r="O32" s="622" t="s">
        <v>1539</v>
      </c>
      <c r="P32" s="671"/>
      <c r="Q32" s="672"/>
      <c r="S32" s="2260"/>
      <c r="T32" s="2260"/>
      <c r="U32" s="2260"/>
      <c r="V32" s="2260"/>
      <c r="X32" s="736" t="s">
        <v>85</v>
      </c>
      <c r="Y32" s="672"/>
      <c r="AD32" s="780">
        <f>AD30+AD31</f>
        <v>0</v>
      </c>
      <c r="AE32" s="781" t="s">
        <v>1540</v>
      </c>
      <c r="AF32" s="782" t="s">
        <v>1541</v>
      </c>
      <c r="AG32" s="782">
        <v>2</v>
      </c>
      <c r="AH32" s="782">
        <v>3</v>
      </c>
      <c r="AI32" s="782" t="s">
        <v>1542</v>
      </c>
      <c r="AJ32" s="782"/>
      <c r="AK32" s="782"/>
      <c r="AL32" s="782" t="s">
        <v>194</v>
      </c>
      <c r="AM32" s="782"/>
      <c r="AN32" s="782"/>
      <c r="AO32" s="782" t="s">
        <v>1543</v>
      </c>
      <c r="AP32" s="800" t="s">
        <v>1544</v>
      </c>
      <c r="AQ32" s="801" t="s">
        <v>1522</v>
      </c>
      <c r="AR32" s="801" t="s">
        <v>1525</v>
      </c>
      <c r="AS32" s="801" t="s">
        <v>1545</v>
      </c>
      <c r="AT32" s="802"/>
    </row>
    <row r="33" spans="2:74" ht="17.25" customHeight="1">
      <c r="B33" s="622"/>
      <c r="K33" s="672"/>
      <c r="M33" s="695"/>
      <c r="O33" s="622" t="s">
        <v>1546</v>
      </c>
      <c r="P33" s="671"/>
      <c r="Q33" s="672"/>
      <c r="S33" s="2260"/>
      <c r="T33" s="2260"/>
      <c r="U33" s="2260"/>
      <c r="V33" s="2260"/>
      <c r="X33" s="736" t="s">
        <v>88</v>
      </c>
      <c r="Y33" s="672"/>
      <c r="AE33" s="783">
        <v>1890</v>
      </c>
      <c r="AF33" s="784" t="s">
        <v>1547</v>
      </c>
      <c r="AG33" s="784" t="s">
        <v>1548</v>
      </c>
      <c r="AH33" s="784"/>
      <c r="AI33" s="784" t="s">
        <v>99</v>
      </c>
      <c r="AJ33" s="784"/>
      <c r="AK33" s="784"/>
      <c r="AL33" s="784" t="s">
        <v>1549</v>
      </c>
      <c r="AM33" s="784" t="s">
        <v>1550</v>
      </c>
      <c r="AN33" s="784" t="s">
        <v>1551</v>
      </c>
      <c r="AO33" s="784" t="s">
        <v>1552</v>
      </c>
      <c r="AP33" s="786" t="s">
        <v>1553</v>
      </c>
      <c r="AQ33" s="803" t="s">
        <v>1554</v>
      </c>
      <c r="AR33" s="785" t="s">
        <v>1555</v>
      </c>
      <c r="AS33" s="802" t="s">
        <v>1556</v>
      </c>
      <c r="AT33" s="783">
        <v>1890</v>
      </c>
      <c r="AZ33" s="673"/>
      <c r="BA33" s="673"/>
      <c r="BB33" s="673"/>
      <c r="BC33" s="673"/>
      <c r="BD33" s="673"/>
      <c r="BE33" s="673"/>
      <c r="BF33" s="673"/>
      <c r="BG33" s="673"/>
      <c r="BH33" s="673"/>
      <c r="BI33" s="673"/>
      <c r="BJ33" s="673"/>
      <c r="BK33" s="673"/>
      <c r="BL33" s="673"/>
      <c r="BM33" s="673"/>
      <c r="BN33" s="673"/>
      <c r="BO33" s="673"/>
      <c r="BP33" s="673"/>
      <c r="BQ33" s="673"/>
      <c r="BR33" s="673"/>
      <c r="BS33" s="673"/>
      <c r="BT33" s="673"/>
      <c r="BU33" s="673"/>
      <c r="BV33" s="673"/>
    </row>
    <row r="34" spans="2:74" ht="17.25" customHeight="1">
      <c r="B34" s="633"/>
      <c r="C34" s="634" t="str">
        <f>IF(C27=0,IF(C28=0,IF(C29=0,IF(C30=0,IF(C31=0,IF(C32=0,"",C32),C31),C30),C29),C28),C27)</f>
        <v/>
      </c>
      <c r="D34" s="634">
        <f>IF(D27=0,IF(D28=0,IF(D29=0,IF(D30=0,IF(D31=0,IF(D32=0,0,D32),D31),D30),D29),D28),D27)</f>
        <v>0</v>
      </c>
      <c r="E34" s="2045" t="str">
        <f>IF(E27=0,IF(E28=0,IF(E29=0,IF(E30=0,IF(E31=0,IF(E32=0,"",E32),E31),E30),E29),E28),E27)</f>
        <v/>
      </c>
      <c r="F34" s="2045"/>
      <c r="G34" s="2045"/>
      <c r="H34" s="2045"/>
      <c r="I34" s="2045"/>
      <c r="J34" s="2045"/>
      <c r="K34" s="2046"/>
      <c r="O34" s="622" t="s">
        <v>1557</v>
      </c>
      <c r="P34" s="671"/>
      <c r="Q34" s="672"/>
      <c r="S34" s="2260"/>
      <c r="T34" s="2260"/>
      <c r="U34" s="2260"/>
      <c r="V34" s="2260"/>
      <c r="X34" s="736" t="s">
        <v>93</v>
      </c>
      <c r="Y34" s="672"/>
      <c r="AE34" s="783">
        <v>1891</v>
      </c>
      <c r="AF34" s="784" t="s">
        <v>1558</v>
      </c>
      <c r="AG34" s="784"/>
      <c r="AH34" s="784"/>
      <c r="AI34" s="784" t="s">
        <v>99</v>
      </c>
      <c r="AJ34" s="784"/>
      <c r="AK34" s="784"/>
      <c r="AL34" s="784" t="s">
        <v>1549</v>
      </c>
      <c r="AM34" s="784" t="s">
        <v>1559</v>
      </c>
      <c r="AN34" s="784" t="s">
        <v>1560</v>
      </c>
      <c r="AO34" s="784" t="s">
        <v>1561</v>
      </c>
      <c r="AP34" s="786" t="s">
        <v>1553</v>
      </c>
      <c r="AQ34" s="803" t="s">
        <v>1562</v>
      </c>
      <c r="AR34" s="803" t="s">
        <v>1563</v>
      </c>
      <c r="AS34" s="786" t="s">
        <v>1564</v>
      </c>
      <c r="AT34" s="783">
        <v>1891</v>
      </c>
      <c r="AZ34" s="673"/>
      <c r="BA34" s="673"/>
      <c r="BB34" s="673"/>
      <c r="BC34" s="673"/>
      <c r="BD34" s="673"/>
      <c r="BE34" s="673"/>
      <c r="BF34" s="673"/>
      <c r="BG34" s="673"/>
      <c r="BH34" s="673"/>
      <c r="BI34" s="673"/>
      <c r="BJ34" s="673"/>
      <c r="BK34" s="673"/>
      <c r="BL34" s="673"/>
      <c r="BM34" s="673"/>
      <c r="BN34" s="673"/>
      <c r="BO34" s="673"/>
      <c r="BP34" s="673"/>
      <c r="BQ34" s="673"/>
      <c r="BR34" s="673"/>
      <c r="BS34" s="673"/>
      <c r="BT34" s="673"/>
      <c r="BU34" s="673"/>
      <c r="BV34" s="673"/>
    </row>
    <row r="35" spans="2:74" ht="17.25" customHeight="1">
      <c r="O35" s="622" t="s">
        <v>1565</v>
      </c>
      <c r="P35" s="671"/>
      <c r="Q35" s="672"/>
      <c r="S35" s="2260"/>
      <c r="T35" s="2260"/>
      <c r="U35" s="2260"/>
      <c r="V35" s="2260"/>
      <c r="X35" s="736" t="s">
        <v>101</v>
      </c>
      <c r="Y35" s="672"/>
      <c r="AE35" s="783">
        <v>1892</v>
      </c>
      <c r="AF35" s="784" t="s">
        <v>99</v>
      </c>
      <c r="AG35" s="784"/>
      <c r="AH35" s="784"/>
      <c r="AI35" s="784" t="s">
        <v>99</v>
      </c>
      <c r="AJ35" s="784"/>
      <c r="AK35" s="784"/>
      <c r="AL35" s="784" t="s">
        <v>1549</v>
      </c>
      <c r="AM35" s="784" t="s">
        <v>1566</v>
      </c>
      <c r="AN35" s="784" t="s">
        <v>1567</v>
      </c>
      <c r="AO35" s="784" t="s">
        <v>1568</v>
      </c>
      <c r="AP35" s="784" t="s">
        <v>1569</v>
      </c>
      <c r="AQ35" s="803" t="s">
        <v>1570</v>
      </c>
      <c r="AR35" s="803" t="s">
        <v>1571</v>
      </c>
      <c r="AS35" s="786" t="s">
        <v>1572</v>
      </c>
      <c r="AT35" s="783">
        <v>1892</v>
      </c>
      <c r="AZ35" s="673"/>
      <c r="BA35" s="673"/>
      <c r="BB35" s="673"/>
      <c r="BC35" s="673"/>
      <c r="BD35" s="673"/>
      <c r="BE35" s="673"/>
      <c r="BF35" s="673"/>
      <c r="BG35" s="673"/>
      <c r="BH35" s="673"/>
      <c r="BI35" s="673"/>
      <c r="BJ35" s="673"/>
      <c r="BK35" s="673"/>
      <c r="BL35" s="673"/>
      <c r="BM35" s="673"/>
      <c r="BN35" s="673"/>
      <c r="BO35" s="673"/>
      <c r="BP35" s="673"/>
      <c r="BQ35" s="673"/>
      <c r="BR35" s="673"/>
      <c r="BS35" s="673"/>
      <c r="BT35" s="673"/>
      <c r="BU35" s="673"/>
      <c r="BV35" s="673"/>
    </row>
    <row r="36" spans="2:74" ht="17.25" customHeight="1">
      <c r="B36" s="652"/>
      <c r="C36" s="653" t="s">
        <v>21</v>
      </c>
      <c r="D36" s="653" t="s">
        <v>1474</v>
      </c>
      <c r="E36" s="649"/>
      <c r="F36" s="654"/>
      <c r="I36" s="2337" t="s">
        <v>1573</v>
      </c>
      <c r="J36" s="2337"/>
      <c r="K36" s="2337"/>
      <c r="L36" s="2337"/>
      <c r="M36" s="2337"/>
      <c r="O36" s="622" t="s">
        <v>1574</v>
      </c>
      <c r="P36" s="671"/>
      <c r="Q36" s="672"/>
      <c r="S36" s="739"/>
      <c r="T36" s="739"/>
      <c r="U36" s="739"/>
      <c r="V36" s="739"/>
      <c r="X36" s="736" t="s">
        <v>103</v>
      </c>
      <c r="Y36" s="672"/>
      <c r="AE36" s="783">
        <v>1893</v>
      </c>
      <c r="AF36" s="784" t="s">
        <v>1575</v>
      </c>
      <c r="AG36" s="784" t="s">
        <v>1576</v>
      </c>
      <c r="AH36" s="784"/>
      <c r="AI36" s="784" t="s">
        <v>99</v>
      </c>
      <c r="AJ36" s="784"/>
      <c r="AK36" s="784"/>
      <c r="AL36" s="784" t="s">
        <v>1549</v>
      </c>
      <c r="AM36" s="784" t="s">
        <v>1577</v>
      </c>
      <c r="AN36" s="784" t="s">
        <v>1578</v>
      </c>
      <c r="AO36" s="786" t="s">
        <v>1579</v>
      </c>
      <c r="AP36" s="786" t="s">
        <v>1580</v>
      </c>
      <c r="AQ36" s="803" t="s">
        <v>1581</v>
      </c>
      <c r="AR36" s="803" t="s">
        <v>1582</v>
      </c>
      <c r="AS36" s="786" t="s">
        <v>1583</v>
      </c>
      <c r="AT36" s="783">
        <v>1893</v>
      </c>
      <c r="AV36" s="779" t="s">
        <v>1584</v>
      </c>
      <c r="AZ36" s="817"/>
      <c r="BA36" s="817"/>
      <c r="BB36" s="817"/>
      <c r="BC36" s="817"/>
      <c r="BD36" s="817"/>
      <c r="BE36" s="817"/>
      <c r="BF36" s="817"/>
      <c r="BG36" s="817"/>
      <c r="BH36" s="817"/>
      <c r="BI36" s="817"/>
      <c r="BJ36" s="817"/>
      <c r="BK36" s="817"/>
      <c r="BL36" s="817"/>
      <c r="BM36" s="817"/>
      <c r="BN36" s="817"/>
      <c r="BO36" s="817"/>
      <c r="BP36" s="817"/>
      <c r="BQ36" s="817"/>
      <c r="BR36" s="817"/>
      <c r="BS36" s="817"/>
      <c r="BT36" s="673"/>
      <c r="BU36" s="673"/>
      <c r="BV36" s="673"/>
    </row>
    <row r="37" spans="2:74" ht="17.25" customHeight="1">
      <c r="B37" s="655"/>
      <c r="C37" s="656">
        <f>ABS(人物卡!E6)</f>
        <v>18</v>
      </c>
      <c r="D37" s="656" t="str">
        <f>IF(ISBLANK(人物卡!AU37),IF(AND(C37&gt;=15,C37&lt;=19),D39,IF(AND(C37&gt;=20,C37&lt;=39),D40,IF(AND(C37&gt;=40,C37&lt;=49),D41,IF(AND(C37&gt;=50,C37&lt;=59),D42,IF(AND(C37&gt;=60,C37&lt;=69),D43,IF(AND(C37&gt;=70,C37&lt;=79),D44,IF(AND(C37&gt;=80,C37&lt;=89),D45,IF(ABS(C37)&gt;=90,D48,"请和kp商议")))))))),人物卡!AU37)</f>
        <v>力量体型共-5 E-5 L*2</v>
      </c>
      <c r="F37" s="657"/>
      <c r="I37" s="697" t="s">
        <v>1585</v>
      </c>
      <c r="J37" s="697" t="s">
        <v>1586</v>
      </c>
      <c r="K37" s="697" t="s">
        <v>1587</v>
      </c>
      <c r="L37" s="697" t="s">
        <v>169</v>
      </c>
      <c r="M37" s="697" t="s">
        <v>114</v>
      </c>
      <c r="O37" s="622" t="s">
        <v>1588</v>
      </c>
      <c r="P37" s="671"/>
      <c r="Q37" s="672"/>
      <c r="S37" s="2260" t="str">
        <f>IF(人物卡!M4="","","时代:"&amp;人物卡!M4&amp;CHAR(9))&amp;IF(人物卡!E5="","","职业:"&amp;人物卡!E5&amp;CHAR(9))&amp;IF(人物卡!E6="","","年龄"&amp;人物卡!E6&amp;" ")&amp;IF(人物卡!M6="","","性别:"&amp;人物卡!M6&amp;CHAR(9))&amp;IF(人物卡!E7="","","住地:"&amp;人物卡!E7&amp;CHAR(9))&amp;IF(人物卡!M7="","","出身:"&amp;人物卡!M7&amp;CHAR(9))</f>
        <v xml:space="preserve">时代:1920s	职业:音乐家	年龄18 性别:男	住地:不详	出身:不详	</v>
      </c>
      <c r="T37" s="2260"/>
      <c r="U37" s="2260"/>
      <c r="V37" s="2260"/>
      <c r="X37" s="736" t="s">
        <v>110</v>
      </c>
      <c r="Y37" s="672"/>
      <c r="AE37" s="783">
        <v>1894</v>
      </c>
      <c r="AF37" s="784" t="s">
        <v>1589</v>
      </c>
      <c r="AG37" s="784" t="s">
        <v>1590</v>
      </c>
      <c r="AH37" s="784"/>
      <c r="AI37" s="784" t="s">
        <v>1591</v>
      </c>
      <c r="AJ37" s="784" t="s">
        <v>1592</v>
      </c>
      <c r="AK37" s="784"/>
      <c r="AL37" s="784" t="s">
        <v>1549</v>
      </c>
      <c r="AM37" s="784" t="s">
        <v>1593</v>
      </c>
      <c r="AN37" s="784" t="s">
        <v>1594</v>
      </c>
      <c r="AO37" s="784" t="s">
        <v>1595</v>
      </c>
      <c r="AP37" s="786" t="s">
        <v>1596</v>
      </c>
      <c r="AQ37" s="803" t="s">
        <v>1597</v>
      </c>
      <c r="AR37" s="803" t="s">
        <v>1598</v>
      </c>
      <c r="AS37" s="784" t="s">
        <v>1584</v>
      </c>
      <c r="AT37" s="783">
        <v>1894</v>
      </c>
      <c r="AZ37" s="817"/>
      <c r="BA37" s="817"/>
      <c r="BB37" s="817"/>
      <c r="BC37" s="817"/>
      <c r="BD37" s="817"/>
      <c r="BE37" s="817"/>
      <c r="BF37" s="817"/>
      <c r="BG37" s="817"/>
      <c r="BH37" s="817"/>
      <c r="BI37" s="817"/>
      <c r="BJ37" s="817"/>
      <c r="BK37" s="817"/>
      <c r="BL37" s="817"/>
      <c r="BM37" s="817"/>
      <c r="BN37" s="817"/>
      <c r="BO37" s="817"/>
      <c r="BP37" s="817"/>
      <c r="BQ37" s="817"/>
      <c r="BR37" s="817"/>
      <c r="BS37" s="817"/>
      <c r="BT37" s="673"/>
      <c r="BU37" s="673"/>
      <c r="BV37" s="673"/>
    </row>
    <row r="38" spans="2:74" ht="17.25" customHeight="1">
      <c r="B38" s="655"/>
      <c r="C38" s="2338" t="s">
        <v>1599</v>
      </c>
      <c r="D38" s="2339"/>
      <c r="E38" s="2340"/>
      <c r="F38" s="657"/>
      <c r="I38" s="698" t="s">
        <v>1600</v>
      </c>
      <c r="J38" s="699" t="s">
        <v>1601</v>
      </c>
      <c r="K38" s="699" t="s">
        <v>1602</v>
      </c>
      <c r="L38" s="699" t="s">
        <v>424</v>
      </c>
      <c r="M38" s="700" t="s">
        <v>1603</v>
      </c>
      <c r="O38" s="622" t="s">
        <v>1604</v>
      </c>
      <c r="P38" s="671"/>
      <c r="Q38" s="672"/>
      <c r="S38" s="2260"/>
      <c r="T38" s="2260"/>
      <c r="U38" s="2260"/>
      <c r="V38" s="2260"/>
      <c r="X38" s="736" t="s">
        <v>111</v>
      </c>
      <c r="Y38" s="672"/>
      <c r="AE38" s="783">
        <v>1895</v>
      </c>
      <c r="AF38" s="784" t="s">
        <v>1605</v>
      </c>
      <c r="AG38" s="784" t="s">
        <v>1606</v>
      </c>
      <c r="AH38" s="784"/>
      <c r="AI38" s="784" t="s">
        <v>1607</v>
      </c>
      <c r="AJ38" s="784" t="s">
        <v>1608</v>
      </c>
      <c r="AK38" s="784"/>
      <c r="AL38" s="784" t="s">
        <v>1549</v>
      </c>
      <c r="AM38" s="784" t="s">
        <v>1609</v>
      </c>
      <c r="AN38" s="784" t="s">
        <v>1610</v>
      </c>
      <c r="AO38" s="784" t="s">
        <v>1611</v>
      </c>
      <c r="AP38" s="786" t="s">
        <v>1596</v>
      </c>
      <c r="AQ38" s="803" t="s">
        <v>1612</v>
      </c>
      <c r="AR38" s="803" t="s">
        <v>1613</v>
      </c>
      <c r="AS38" s="786" t="s">
        <v>1614</v>
      </c>
      <c r="AT38" s="783">
        <v>1895</v>
      </c>
      <c r="AV38" s="2042">
        <f>IF(AV36="仅显示1890_2012","",VLOOKUP(AV36,AS33:AT155,2,FALSE))</f>
        <v>1894</v>
      </c>
      <c r="AZ38" s="817"/>
      <c r="BA38" s="817"/>
      <c r="BB38" s="817"/>
      <c r="BC38" s="817"/>
      <c r="BD38" s="817"/>
      <c r="BE38" s="817"/>
      <c r="BF38" s="817"/>
      <c r="BG38" s="817"/>
      <c r="BH38" s="817"/>
      <c r="BI38" s="817"/>
      <c r="BJ38" s="817"/>
      <c r="BK38" s="817"/>
      <c r="BL38" s="817"/>
      <c r="BM38" s="817"/>
      <c r="BN38" s="817"/>
      <c r="BO38" s="817"/>
      <c r="BP38" s="817"/>
      <c r="BQ38" s="817"/>
      <c r="BR38" s="817"/>
      <c r="BS38" s="817"/>
      <c r="BT38" s="673"/>
      <c r="BU38" s="673"/>
      <c r="BV38" s="673"/>
    </row>
    <row r="39" spans="2:74" ht="17.25" customHeight="1">
      <c r="B39" s="655">
        <v>15</v>
      </c>
      <c r="C39" s="658">
        <v>19</v>
      </c>
      <c r="D39" s="656" t="s">
        <v>1615</v>
      </c>
      <c r="E39" s="656"/>
      <c r="F39" s="657"/>
      <c r="I39" s="701" t="s">
        <v>1616</v>
      </c>
      <c r="J39" s="702" t="s">
        <v>1617</v>
      </c>
      <c r="K39" s="703" t="s">
        <v>1618</v>
      </c>
      <c r="L39" s="703" t="s">
        <v>1619</v>
      </c>
      <c r="M39" s="704" t="s">
        <v>1620</v>
      </c>
      <c r="O39" s="622" t="s">
        <v>1621</v>
      </c>
      <c r="P39" s="671"/>
      <c r="Q39" s="672"/>
      <c r="S39" s="2260" t="str">
        <f>IF(人物卡!I11="",""," 身体状态:"&amp;人物卡!I11&amp;CHAR(9))&amp;IF(人物卡!R11="",""," 精神状态:"&amp;人物卡!R11&amp;CHAR(9))</f>
        <v xml:space="preserve"> 身体状态:健康	 精神状态:清醒	</v>
      </c>
      <c r="T39" s="2260"/>
      <c r="U39" s="2260"/>
      <c r="V39" s="2260"/>
      <c r="X39" s="736" t="s">
        <v>115</v>
      </c>
      <c r="Y39" s="672"/>
      <c r="AE39" s="783">
        <v>1896</v>
      </c>
      <c r="AF39" s="784" t="s">
        <v>1622</v>
      </c>
      <c r="AG39" s="784"/>
      <c r="AH39" s="784"/>
      <c r="AI39" s="784" t="s">
        <v>1623</v>
      </c>
      <c r="AJ39" s="784"/>
      <c r="AK39" s="784"/>
      <c r="AL39" s="784" t="s">
        <v>1549</v>
      </c>
      <c r="AM39" s="784" t="s">
        <v>1624</v>
      </c>
      <c r="AN39" s="784" t="s">
        <v>1625</v>
      </c>
      <c r="AO39" s="786" t="s">
        <v>1626</v>
      </c>
      <c r="AP39" s="786" t="s">
        <v>1596</v>
      </c>
      <c r="AQ39" s="803" t="s">
        <v>1627</v>
      </c>
      <c r="AR39" s="803" t="s">
        <v>1628</v>
      </c>
      <c r="AS39" s="786" t="s">
        <v>1629</v>
      </c>
      <c r="AT39" s="783">
        <v>1896</v>
      </c>
      <c r="AV39" s="2042"/>
      <c r="AZ39" s="817"/>
      <c r="BA39" s="817"/>
      <c r="BB39" s="817"/>
      <c r="BC39" s="817"/>
      <c r="BD39" s="817"/>
      <c r="BE39" s="817"/>
      <c r="BF39" s="817"/>
      <c r="BG39" s="817"/>
      <c r="BH39" s="817"/>
      <c r="BI39" s="817"/>
      <c r="BJ39" s="817"/>
      <c r="BK39" s="817"/>
      <c r="BL39" s="817"/>
      <c r="BM39" s="817"/>
      <c r="BN39" s="817"/>
      <c r="BO39" s="817"/>
      <c r="BP39" s="817"/>
      <c r="BQ39" s="817"/>
      <c r="BR39" s="817"/>
      <c r="BS39" s="817"/>
      <c r="BT39" s="673"/>
      <c r="BU39" s="673"/>
      <c r="BV39" s="673"/>
    </row>
    <row r="40" spans="2:74" ht="17.25" customHeight="1">
      <c r="B40" s="655">
        <v>20</v>
      </c>
      <c r="C40" s="658">
        <v>39</v>
      </c>
      <c r="D40" s="656" t="s">
        <v>1630</v>
      </c>
      <c r="E40" s="656"/>
      <c r="F40" s="657"/>
      <c r="I40" s="404" t="s">
        <v>1631</v>
      </c>
      <c r="J40" s="253" t="s">
        <v>1632</v>
      </c>
      <c r="K40" s="248" t="s">
        <v>1633</v>
      </c>
      <c r="L40" s="253" t="s">
        <v>1619</v>
      </c>
      <c r="M40" s="705" t="s">
        <v>1634</v>
      </c>
      <c r="O40" s="622" t="s">
        <v>1635</v>
      </c>
      <c r="P40" s="671"/>
      <c r="Q40" s="672"/>
      <c r="S40" s="2260" t="str">
        <f>IF(人物卡!AP52="","","&amp;DB="&amp;人物卡!AP52&amp;" 体格:"&amp;人物卡!AP55)&amp;IF(OR(人物卡!AP57="",,人物卡!R29&lt;&gt;人物卡!J29),""," 闪避:"&amp;人物卡!AP57)&amp;IF(人物卡!AN10="",""," 护甲:"&amp;人物卡!AN10)</f>
        <v>&amp;DB=0 体格:0 闪避:35 护甲:0</v>
      </c>
      <c r="T40" s="2260"/>
      <c r="U40" s="2260"/>
      <c r="V40" s="2260"/>
      <c r="X40" s="736" t="s">
        <v>117</v>
      </c>
      <c r="Y40" s="672"/>
      <c r="AE40" s="783">
        <v>1897</v>
      </c>
      <c r="AF40" s="784" t="s">
        <v>99</v>
      </c>
      <c r="AG40" s="784"/>
      <c r="AH40" s="784"/>
      <c r="AI40" s="784" t="s">
        <v>99</v>
      </c>
      <c r="AJ40" s="784"/>
      <c r="AK40" s="784"/>
      <c r="AL40" s="784" t="s">
        <v>1549</v>
      </c>
      <c r="AM40" s="784" t="s">
        <v>1636</v>
      </c>
      <c r="AN40" s="784" t="s">
        <v>1637</v>
      </c>
      <c r="AO40" s="786" t="s">
        <v>1638</v>
      </c>
      <c r="AP40" s="786" t="s">
        <v>1639</v>
      </c>
      <c r="AQ40" s="803" t="s">
        <v>1640</v>
      </c>
      <c r="AR40" s="803" t="s">
        <v>1641</v>
      </c>
      <c r="AS40" s="786" t="s">
        <v>1642</v>
      </c>
      <c r="AT40" s="783">
        <v>1897</v>
      </c>
      <c r="AV40" s="2042"/>
      <c r="AZ40" s="673"/>
      <c r="BA40" s="673"/>
      <c r="BB40" s="673"/>
      <c r="BC40" s="673"/>
      <c r="BD40" s="673"/>
      <c r="BE40" s="673"/>
      <c r="BF40" s="673"/>
      <c r="BG40" s="673"/>
      <c r="BH40" s="673"/>
      <c r="BI40" s="673"/>
      <c r="BJ40" s="673"/>
      <c r="BK40" s="673"/>
      <c r="BL40" s="673"/>
      <c r="BM40" s="673"/>
      <c r="BN40" s="673"/>
      <c r="BO40" s="673"/>
      <c r="BP40" s="673"/>
      <c r="BQ40" s="673"/>
      <c r="BR40" s="673"/>
      <c r="BS40" s="673"/>
      <c r="BT40" s="673"/>
      <c r="BU40" s="673"/>
      <c r="BV40" s="673"/>
    </row>
    <row r="41" spans="2:74" ht="17.25" customHeight="1">
      <c r="B41" s="655">
        <v>40</v>
      </c>
      <c r="C41" s="658">
        <v>49</v>
      </c>
      <c r="D41" s="656" t="s">
        <v>1643</v>
      </c>
      <c r="E41" s="656"/>
      <c r="F41" s="657"/>
      <c r="I41" s="701" t="s">
        <v>1644</v>
      </c>
      <c r="J41" s="703" t="s">
        <v>1645</v>
      </c>
      <c r="K41" s="702" t="s">
        <v>1646</v>
      </c>
      <c r="L41" s="703" t="s">
        <v>424</v>
      </c>
      <c r="M41" s="706" t="s">
        <v>1647</v>
      </c>
      <c r="O41" s="622" t="s">
        <v>1648</v>
      </c>
      <c r="P41" s="671"/>
      <c r="Q41" s="672"/>
      <c r="S41" s="2260" t="str">
        <f>IF(人物卡!G54="",IF(人物卡!B54="",""," &amp;"&amp;人物卡!B54&amp;"="&amp;人物卡!W54)," &amp;"&amp;人物卡!B54&amp;"="&amp;VLOOKUP(人物卡!G54,'武器列表 战斗'!B2:T105,19,FALSE))</f>
        <v/>
      </c>
      <c r="T41" s="2260"/>
      <c r="U41" s="2260"/>
      <c r="V41" s="2260"/>
      <c r="X41" s="736" t="s">
        <v>120</v>
      </c>
      <c r="Y41" s="672"/>
      <c r="AE41" s="783">
        <v>1898</v>
      </c>
      <c r="AF41" s="784" t="s">
        <v>1649</v>
      </c>
      <c r="AG41" s="789" t="s">
        <v>1650</v>
      </c>
      <c r="AH41" s="784"/>
      <c r="AI41" s="784" t="s">
        <v>1651</v>
      </c>
      <c r="AJ41" s="784"/>
      <c r="AK41" s="790"/>
      <c r="AL41" s="784" t="s">
        <v>1652</v>
      </c>
      <c r="AM41" s="784" t="s">
        <v>1653</v>
      </c>
      <c r="AN41" s="784" t="s">
        <v>1654</v>
      </c>
      <c r="AO41" s="784" t="s">
        <v>1655</v>
      </c>
      <c r="AP41" s="786" t="s">
        <v>1656</v>
      </c>
      <c r="AQ41" s="803" t="s">
        <v>1657</v>
      </c>
      <c r="AR41" s="803" t="s">
        <v>1658</v>
      </c>
      <c r="AS41" s="786" t="s">
        <v>1659</v>
      </c>
      <c r="AT41" s="783">
        <v>1898</v>
      </c>
      <c r="AV41" s="2042"/>
      <c r="AW41" s="673"/>
      <c r="AX41" s="673"/>
      <c r="AY41" s="673"/>
      <c r="AZ41" s="673"/>
      <c r="BA41" s="673"/>
      <c r="BB41" s="673"/>
      <c r="BC41" s="673"/>
      <c r="BD41" s="673"/>
      <c r="BE41" s="673"/>
      <c r="BF41" s="673"/>
      <c r="BG41" s="673"/>
      <c r="BH41" s="673"/>
      <c r="BI41" s="673"/>
      <c r="BJ41" s="673"/>
      <c r="BK41" s="673"/>
      <c r="BL41" s="673"/>
      <c r="BM41" s="673"/>
      <c r="BN41" s="673"/>
      <c r="BO41" s="673"/>
      <c r="BP41" s="673"/>
      <c r="BQ41" s="673"/>
      <c r="BR41" s="673"/>
      <c r="BS41" s="673"/>
      <c r="BT41" s="673"/>
      <c r="BU41" s="673"/>
      <c r="BV41" s="673"/>
    </row>
    <row r="42" spans="2:74" ht="17.25" customHeight="1">
      <c r="B42" s="655">
        <v>50</v>
      </c>
      <c r="C42" s="658">
        <v>59</v>
      </c>
      <c r="D42" s="656" t="s">
        <v>1660</v>
      </c>
      <c r="E42" s="656"/>
      <c r="F42" s="657"/>
      <c r="I42" s="404" t="s">
        <v>1661</v>
      </c>
      <c r="J42" s="253" t="s">
        <v>1662</v>
      </c>
      <c r="K42" s="248" t="s">
        <v>1663</v>
      </c>
      <c r="L42" s="253" t="s">
        <v>1664</v>
      </c>
      <c r="M42" s="705" t="s">
        <v>1665</v>
      </c>
      <c r="O42" s="622" t="s">
        <v>1666</v>
      </c>
      <c r="P42" s="671"/>
      <c r="Q42" s="672"/>
      <c r="S42" s="2260" t="str">
        <f>IF(人物卡!G55="",IF(人物卡!B55="",""," &amp;"&amp;人物卡!B55&amp;"="&amp;人物卡!W55)," &amp;"&amp;人物卡!B55&amp;"="&amp;VLOOKUP(人物卡!G55,'武器列表 战斗'!B2:T105,19,FALSE))</f>
        <v/>
      </c>
      <c r="T42" s="2260"/>
      <c r="U42" s="2260"/>
      <c r="V42" s="2260"/>
      <c r="X42" s="736" t="s">
        <v>122</v>
      </c>
      <c r="Y42" s="672"/>
      <c r="AE42" s="783">
        <v>1899</v>
      </c>
      <c r="AF42" s="785" t="s">
        <v>1667</v>
      </c>
      <c r="AG42" s="784"/>
      <c r="AH42" s="784"/>
      <c r="AI42" s="784" t="s">
        <v>99</v>
      </c>
      <c r="AJ42" s="784"/>
      <c r="AK42" s="784"/>
      <c r="AL42" s="784" t="s">
        <v>1549</v>
      </c>
      <c r="AM42" s="784" t="s">
        <v>1668</v>
      </c>
      <c r="AN42" s="784" t="s">
        <v>1669</v>
      </c>
      <c r="AO42" s="786" t="s">
        <v>1670</v>
      </c>
      <c r="AP42" s="786" t="s">
        <v>1656</v>
      </c>
      <c r="AQ42" s="803" t="s">
        <v>1671</v>
      </c>
      <c r="AR42" s="803" t="s">
        <v>1672</v>
      </c>
      <c r="AS42" s="786" t="s">
        <v>1673</v>
      </c>
      <c r="AT42" s="783">
        <v>1899</v>
      </c>
      <c r="AV42" s="2042"/>
      <c r="AW42" s="673"/>
      <c r="AX42" s="673"/>
      <c r="AY42" s="673"/>
      <c r="AZ42" s="673"/>
      <c r="BA42" s="673"/>
      <c r="BB42" s="673"/>
      <c r="BC42" s="673"/>
      <c r="BD42" s="673"/>
      <c r="BE42" s="673"/>
      <c r="BF42" s="673"/>
      <c r="BG42" s="673"/>
      <c r="BH42" s="673"/>
      <c r="BI42" s="673"/>
      <c r="BJ42" s="673"/>
      <c r="BK42" s="673"/>
      <c r="BL42" s="673"/>
      <c r="BM42" s="673"/>
      <c r="BN42" s="673"/>
      <c r="BO42" s="673"/>
      <c r="BP42" s="673"/>
      <c r="BQ42" s="673"/>
      <c r="BR42" s="673"/>
      <c r="BS42" s="673"/>
      <c r="BT42" s="673"/>
      <c r="BU42" s="673"/>
      <c r="BV42" s="673"/>
    </row>
    <row r="43" spans="2:74" ht="17.25" customHeight="1">
      <c r="B43" s="655">
        <v>60</v>
      </c>
      <c r="C43" s="658">
        <v>69</v>
      </c>
      <c r="D43" s="656" t="s">
        <v>1674</v>
      </c>
      <c r="E43" s="656"/>
      <c r="F43" s="657"/>
      <c r="I43" s="701" t="s">
        <v>1675</v>
      </c>
      <c r="J43" s="703" t="s">
        <v>1676</v>
      </c>
      <c r="K43" s="707" t="s">
        <v>1677</v>
      </c>
      <c r="L43" s="702" t="s">
        <v>1619</v>
      </c>
      <c r="M43" s="706" t="s">
        <v>1678</v>
      </c>
      <c r="O43" s="622" t="s">
        <v>1679</v>
      </c>
      <c r="P43" s="671"/>
      <c r="Q43" s="672"/>
      <c r="S43" s="2260" t="str">
        <f>IF(人物卡!G56="",IF(人物卡!B56="",""," &amp;"&amp;人物卡!B56&amp;"="&amp;人物卡!W56)," &amp;"&amp;人物卡!B56&amp;"="&amp;VLOOKUP(人物卡!G56,'武器列表 战斗'!B2:T105,19,FALSE))</f>
        <v/>
      </c>
      <c r="T43" s="2260"/>
      <c r="U43" s="2260"/>
      <c r="V43" s="2260"/>
      <c r="X43" s="736" t="s">
        <v>125</v>
      </c>
      <c r="Y43" s="672"/>
      <c r="AE43" s="783">
        <v>1900</v>
      </c>
      <c r="AF43" s="784" t="s">
        <v>1680</v>
      </c>
      <c r="AG43" s="784" t="s">
        <v>1681</v>
      </c>
      <c r="AH43" s="784"/>
      <c r="AI43" s="784" t="s">
        <v>1682</v>
      </c>
      <c r="AJ43" s="784" t="s">
        <v>1683</v>
      </c>
      <c r="AK43" s="784"/>
      <c r="AL43" s="784" t="s">
        <v>1684</v>
      </c>
      <c r="AM43" s="784" t="s">
        <v>1685</v>
      </c>
      <c r="AN43" s="784" t="s">
        <v>1686</v>
      </c>
      <c r="AO43" s="786" t="s">
        <v>1687</v>
      </c>
      <c r="AP43" s="786" t="s">
        <v>1656</v>
      </c>
      <c r="AQ43" s="803" t="s">
        <v>1688</v>
      </c>
      <c r="AR43" s="803" t="s">
        <v>1689</v>
      </c>
      <c r="AS43" s="786" t="s">
        <v>1690</v>
      </c>
      <c r="AT43" s="783">
        <v>1900</v>
      </c>
      <c r="AV43" s="2042"/>
      <c r="AW43" s="673"/>
      <c r="AX43" s="673"/>
      <c r="AY43" s="673"/>
      <c r="AZ43" s="673"/>
      <c r="BA43" s="673"/>
      <c r="BB43" s="673"/>
      <c r="BC43" s="673"/>
      <c r="BD43" s="673"/>
      <c r="BE43" s="673"/>
      <c r="BF43" s="673"/>
      <c r="BG43" s="673"/>
      <c r="BH43" s="673"/>
      <c r="BI43" s="673"/>
      <c r="BJ43" s="673"/>
      <c r="BK43" s="673"/>
      <c r="BL43" s="673"/>
      <c r="BM43" s="673"/>
      <c r="BN43" s="673"/>
      <c r="BO43" s="673"/>
      <c r="BP43" s="673"/>
      <c r="BQ43" s="673"/>
      <c r="BR43" s="673"/>
      <c r="BS43" s="673"/>
      <c r="BT43" s="673"/>
      <c r="BU43" s="673"/>
      <c r="BV43" s="673"/>
    </row>
    <row r="44" spans="2:74" ht="17.25" customHeight="1">
      <c r="B44" s="655">
        <v>70</v>
      </c>
      <c r="C44" s="658">
        <v>79</v>
      </c>
      <c r="D44" s="656" t="s">
        <v>1691</v>
      </c>
      <c r="E44" s="656"/>
      <c r="F44" s="657"/>
      <c r="I44" s="404" t="s">
        <v>1692</v>
      </c>
      <c r="J44" s="253" t="s">
        <v>1662</v>
      </c>
      <c r="K44" s="673" t="s">
        <v>1693</v>
      </c>
      <c r="L44" s="248" t="s">
        <v>1619</v>
      </c>
      <c r="M44" s="705" t="s">
        <v>1694</v>
      </c>
      <c r="O44" s="622" t="s">
        <v>1695</v>
      </c>
      <c r="P44" s="671"/>
      <c r="Q44" s="672"/>
      <c r="S44" s="2260" t="str">
        <f>S41&amp;S42&amp;S43</f>
        <v/>
      </c>
      <c r="T44" s="2260"/>
      <c r="U44" s="2260"/>
      <c r="V44" s="2260"/>
      <c r="X44" s="738" t="s">
        <v>127</v>
      </c>
      <c r="Y44" s="672"/>
      <c r="AE44" s="783">
        <v>1901</v>
      </c>
      <c r="AF44" s="784" t="s">
        <v>1696</v>
      </c>
      <c r="AG44" s="784"/>
      <c r="AH44" s="784"/>
      <c r="AI44" s="784" t="s">
        <v>1697</v>
      </c>
      <c r="AJ44" s="784"/>
      <c r="AK44" s="784"/>
      <c r="AL44" s="784" t="s">
        <v>1684</v>
      </c>
      <c r="AM44" s="784" t="s">
        <v>1698</v>
      </c>
      <c r="AN44" s="784" t="s">
        <v>1699</v>
      </c>
      <c r="AO44" s="786" t="s">
        <v>1700</v>
      </c>
      <c r="AP44" s="786" t="s">
        <v>1701</v>
      </c>
      <c r="AQ44" s="803" t="s">
        <v>1702</v>
      </c>
      <c r="AR44" s="803" t="s">
        <v>1703</v>
      </c>
      <c r="AS44" s="786" t="s">
        <v>1704</v>
      </c>
      <c r="AT44" s="783">
        <v>1901</v>
      </c>
      <c r="AV44" s="2042"/>
      <c r="AW44" s="673"/>
      <c r="AX44" s="673"/>
      <c r="AY44" s="673"/>
      <c r="AZ44" s="673"/>
      <c r="BA44" s="673"/>
      <c r="BB44" s="673"/>
      <c r="BC44" s="673"/>
      <c r="BD44" s="673"/>
      <c r="BE44" s="673"/>
      <c r="BF44" s="673"/>
      <c r="BG44" s="673"/>
      <c r="BH44" s="673"/>
      <c r="BI44" s="673"/>
      <c r="BJ44" s="673"/>
      <c r="BK44" s="673"/>
      <c r="BL44" s="673"/>
      <c r="BM44" s="673"/>
      <c r="BN44" s="673"/>
      <c r="BO44" s="673"/>
      <c r="BP44" s="673"/>
      <c r="BQ44" s="673"/>
      <c r="BR44" s="673"/>
      <c r="BS44" s="673"/>
      <c r="BT44" s="673"/>
      <c r="BU44" s="673"/>
      <c r="BV44" s="673"/>
    </row>
    <row r="45" spans="2:74" ht="17.25" customHeight="1">
      <c r="B45" s="655">
        <v>80</v>
      </c>
      <c r="C45" s="658">
        <v>89</v>
      </c>
      <c r="D45" s="656" t="s">
        <v>1705</v>
      </c>
      <c r="E45" s="656"/>
      <c r="F45" s="657"/>
      <c r="I45" s="701" t="s">
        <v>1706</v>
      </c>
      <c r="J45" s="703" t="s">
        <v>1707</v>
      </c>
      <c r="K45" s="702" t="s">
        <v>1708</v>
      </c>
      <c r="L45" s="703" t="s">
        <v>1619</v>
      </c>
      <c r="M45" s="706" t="s">
        <v>1709</v>
      </c>
      <c r="O45" s="622" t="s">
        <v>1710</v>
      </c>
      <c r="P45" s="671"/>
      <c r="Q45" s="672"/>
      <c r="S45" s="734"/>
      <c r="T45" s="734"/>
      <c r="U45" s="734"/>
      <c r="V45" s="734"/>
      <c r="X45" s="736" t="s">
        <v>131</v>
      </c>
      <c r="Y45" s="672"/>
      <c r="AE45" s="783">
        <v>1902</v>
      </c>
      <c r="AF45" s="784" t="s">
        <v>1711</v>
      </c>
      <c r="AG45" s="784"/>
      <c r="AH45" s="784"/>
      <c r="AI45" s="784" t="s">
        <v>99</v>
      </c>
      <c r="AJ45" s="784"/>
      <c r="AK45" s="784"/>
      <c r="AL45" s="784" t="s">
        <v>1684</v>
      </c>
      <c r="AM45" s="784" t="s">
        <v>1712</v>
      </c>
      <c r="AN45" s="784" t="s">
        <v>1713</v>
      </c>
      <c r="AO45" s="786" t="s">
        <v>1714</v>
      </c>
      <c r="AP45" s="786" t="s">
        <v>1715</v>
      </c>
      <c r="AQ45" s="803" t="s">
        <v>1716</v>
      </c>
      <c r="AR45" s="803" t="s">
        <v>1717</v>
      </c>
      <c r="AS45" s="786" t="s">
        <v>1718</v>
      </c>
      <c r="AT45" s="783">
        <v>1902</v>
      </c>
      <c r="AV45" s="2042"/>
    </row>
    <row r="46" spans="2:74" ht="17.25" customHeight="1">
      <c r="B46" s="655"/>
      <c r="C46" s="659" t="s">
        <v>1719</v>
      </c>
      <c r="D46" s="660" t="s">
        <v>1720</v>
      </c>
      <c r="E46" s="661" t="s">
        <v>1721</v>
      </c>
      <c r="F46" s="657"/>
      <c r="I46" s="404" t="s">
        <v>1722</v>
      </c>
      <c r="J46" s="673" t="s">
        <v>1676</v>
      </c>
      <c r="K46" s="248" t="s">
        <v>1723</v>
      </c>
      <c r="L46" s="673" t="s">
        <v>1724</v>
      </c>
      <c r="M46" s="708" t="s">
        <v>1725</v>
      </c>
      <c r="O46" s="622" t="s">
        <v>1726</v>
      </c>
      <c r="P46" s="671"/>
      <c r="Q46" s="672"/>
      <c r="S46" s="2260" t="str">
        <f>S24&amp;S37&amp;S39&amp;S40&amp;S44</f>
        <v>.st 力量50str50敏捷70dex70意志80pow80体质50con50外貌70app70教育60edu60体型50siz50智力70灵感70int70san69san值69理智69理智值69幸运55运气55mp魔法hp4体力4会计5人类学1估价5考古学1取悦15魅惑15攀爬20计算机5计算机使用5电脑5信用15信誉15信用评级15克苏鲁0克苏鲁神话0cm0乔装5闪避35汽车20驾驶20汽车驾驶20电气维修10电子学1话术5斗殴25手枪20急救60历史5恐吓15跳跃20母语60法律5图书馆20图书馆使用20聆听58开锁80撬锁80锁匠80机械维修10医学1博物学10自然学10领航10导航10神秘学5重型操作1重型机械1操作重型机械1重型1说服10精神分析80心理学10骑术5妙手80侦查60潜行20生存10游泳20投掷20追踪10驯兽5潜水1爆破1读唇1催眠80炮术1时代:1920s	职业:音乐家	年龄18 性别:男	住地:不详	出身:不详	 身体状态:健康	 精神状态:清醒	&amp;DB=0 体格:0 闪避:35 护甲:0</v>
      </c>
      <c r="T46" s="2260"/>
      <c r="U46" s="2260"/>
      <c r="V46" s="2260"/>
      <c r="X46" s="736" t="s">
        <v>136</v>
      </c>
      <c r="Y46" s="672"/>
      <c r="AE46" s="783">
        <v>1903</v>
      </c>
      <c r="AF46" s="784" t="s">
        <v>99</v>
      </c>
      <c r="AG46" s="784"/>
      <c r="AH46" s="784"/>
      <c r="AI46" s="784" t="s">
        <v>99</v>
      </c>
      <c r="AJ46" s="784"/>
      <c r="AK46" s="784"/>
      <c r="AL46" s="784" t="s">
        <v>1684</v>
      </c>
      <c r="AM46" s="784" t="s">
        <v>1727</v>
      </c>
      <c r="AN46" s="784" t="s">
        <v>1728</v>
      </c>
      <c r="AO46" s="784" t="s">
        <v>1729</v>
      </c>
      <c r="AP46" s="786" t="s">
        <v>1715</v>
      </c>
      <c r="AQ46" s="803" t="s">
        <v>1730</v>
      </c>
      <c r="AR46" s="803" t="s">
        <v>1731</v>
      </c>
      <c r="AS46" s="786" t="s">
        <v>1732</v>
      </c>
      <c r="AT46" s="783">
        <v>1903</v>
      </c>
      <c r="AV46" s="2042"/>
      <c r="BB46" s="779"/>
    </row>
    <row r="47" spans="2:74" ht="17.25" customHeight="1">
      <c r="B47" s="655"/>
      <c r="C47" s="662">
        <f>INT((C37-B45)/10)</f>
        <v>-7</v>
      </c>
      <c r="D47" s="663">
        <f>80+80*C47</f>
        <v>-480</v>
      </c>
      <c r="E47" s="664">
        <v>25</v>
      </c>
      <c r="F47" s="657"/>
      <c r="I47" s="707" t="s">
        <v>1733</v>
      </c>
      <c r="J47" s="702" t="s">
        <v>1734</v>
      </c>
      <c r="K47" s="702" t="s">
        <v>1735</v>
      </c>
      <c r="L47" s="703" t="s">
        <v>1664</v>
      </c>
      <c r="M47" s="706" t="s">
        <v>1736</v>
      </c>
      <c r="O47" s="622" t="s">
        <v>1737</v>
      </c>
      <c r="P47" s="671"/>
      <c r="Q47" s="672"/>
      <c r="S47" s="2260"/>
      <c r="T47" s="2260"/>
      <c r="U47" s="2260"/>
      <c r="V47" s="2260"/>
      <c r="X47" s="737" t="s">
        <v>138</v>
      </c>
      <c r="Y47" s="672"/>
      <c r="AE47" s="783">
        <v>1904</v>
      </c>
      <c r="AF47" s="784" t="s">
        <v>1738</v>
      </c>
      <c r="AG47" s="784" t="s">
        <v>1739</v>
      </c>
      <c r="AH47" s="784"/>
      <c r="AI47" s="784" t="s">
        <v>99</v>
      </c>
      <c r="AJ47" s="784"/>
      <c r="AK47" s="784"/>
      <c r="AL47" s="784" t="s">
        <v>1684</v>
      </c>
      <c r="AM47" s="784" t="s">
        <v>1740</v>
      </c>
      <c r="AN47" s="784" t="s">
        <v>1741</v>
      </c>
      <c r="AO47" s="786" t="s">
        <v>1742</v>
      </c>
      <c r="AP47" s="786" t="s">
        <v>1715</v>
      </c>
      <c r="AQ47" s="803" t="s">
        <v>1743</v>
      </c>
      <c r="AR47" s="803" t="s">
        <v>1744</v>
      </c>
      <c r="AS47" s="785" t="s">
        <v>1745</v>
      </c>
      <c r="AT47" s="783">
        <v>1904</v>
      </c>
      <c r="AV47" s="2042"/>
      <c r="BB47" s="779"/>
    </row>
    <row r="48" spans="2:74" ht="17.25" customHeight="1">
      <c r="B48" s="665"/>
      <c r="C48" s="666">
        <f>C37</f>
        <v>18</v>
      </c>
      <c r="D48" s="667" t="str">
        <f>"进步*4,SCD共-"&amp;D47&amp;" A-"&amp;E47</f>
        <v>进步*4,SCD共--480 A-25</v>
      </c>
      <c r="E48" s="668"/>
      <c r="F48" s="669"/>
      <c r="G48" s="463"/>
      <c r="H48" s="650"/>
      <c r="I48" s="673" t="s">
        <v>1746</v>
      </c>
      <c r="J48" s="673" t="s">
        <v>1747</v>
      </c>
      <c r="K48" s="248" t="s">
        <v>1748</v>
      </c>
      <c r="L48" s="673" t="s">
        <v>1619</v>
      </c>
      <c r="M48" s="708" t="s">
        <v>1749</v>
      </c>
      <c r="O48" s="622" t="s">
        <v>1750</v>
      </c>
      <c r="P48" s="671"/>
      <c r="Q48" s="672"/>
      <c r="S48" s="2260"/>
      <c r="T48" s="2260"/>
      <c r="U48" s="2260"/>
      <c r="V48" s="2260"/>
      <c r="X48" s="738" t="s">
        <v>142</v>
      </c>
      <c r="Y48" s="672"/>
      <c r="AE48" s="783">
        <v>1905</v>
      </c>
      <c r="AF48" s="784" t="s">
        <v>1751</v>
      </c>
      <c r="AG48" s="784"/>
      <c r="AH48" s="784"/>
      <c r="AI48" s="784" t="s">
        <v>99</v>
      </c>
      <c r="AJ48" s="784"/>
      <c r="AK48" s="784"/>
      <c r="AL48" s="784" t="s">
        <v>1684</v>
      </c>
      <c r="AM48" s="784" t="s">
        <v>1752</v>
      </c>
      <c r="AN48" s="784" t="s">
        <v>1753</v>
      </c>
      <c r="AO48" s="786" t="s">
        <v>1754</v>
      </c>
      <c r="AP48" s="786" t="s">
        <v>1715</v>
      </c>
      <c r="AQ48" s="803" t="s">
        <v>1755</v>
      </c>
      <c r="AR48" s="803" t="s">
        <v>1756</v>
      </c>
      <c r="AS48" s="785" t="s">
        <v>1757</v>
      </c>
      <c r="AT48" s="783">
        <v>1905</v>
      </c>
      <c r="BB48" s="779"/>
    </row>
    <row r="49" spans="5:65" ht="17.25" customHeight="1">
      <c r="I49" s="673" t="s">
        <v>1758</v>
      </c>
      <c r="J49" s="248" t="s">
        <v>225</v>
      </c>
      <c r="K49" s="248" t="s">
        <v>225</v>
      </c>
      <c r="L49" s="248" t="s">
        <v>225</v>
      </c>
      <c r="M49" s="248" t="s">
        <v>225</v>
      </c>
      <c r="O49" s="622" t="s">
        <v>1759</v>
      </c>
      <c r="P49" s="671"/>
      <c r="Q49" s="672"/>
      <c r="S49" s="2260"/>
      <c r="T49" s="2260"/>
      <c r="U49" s="2260"/>
      <c r="V49" s="2260"/>
      <c r="X49" s="737" t="s">
        <v>144</v>
      </c>
      <c r="Y49" s="672"/>
      <c r="AE49" s="783">
        <v>1906</v>
      </c>
      <c r="AF49" s="784" t="s">
        <v>1760</v>
      </c>
      <c r="AG49" s="784" t="s">
        <v>1761</v>
      </c>
      <c r="AH49" s="784"/>
      <c r="AI49" s="784" t="s">
        <v>99</v>
      </c>
      <c r="AJ49" s="784"/>
      <c r="AK49" s="784"/>
      <c r="AL49" s="784" t="s">
        <v>1684</v>
      </c>
      <c r="AM49" s="784" t="s">
        <v>1762</v>
      </c>
      <c r="AN49" s="784" t="s">
        <v>1763</v>
      </c>
      <c r="AO49" s="786" t="s">
        <v>1764</v>
      </c>
      <c r="AP49" s="786" t="s">
        <v>1715</v>
      </c>
      <c r="AQ49" s="803" t="s">
        <v>1765</v>
      </c>
      <c r="AR49" s="803" t="s">
        <v>1766</v>
      </c>
      <c r="AS49" s="785" t="s">
        <v>1767</v>
      </c>
      <c r="AT49" s="783">
        <v>1906</v>
      </c>
      <c r="BB49" s="779"/>
    </row>
    <row r="50" spans="5:65" ht="17.25" customHeight="1">
      <c r="O50" s="622" t="s">
        <v>1768</v>
      </c>
      <c r="P50" s="671"/>
      <c r="Q50" s="672"/>
      <c r="S50" s="2260"/>
      <c r="T50" s="2260"/>
      <c r="U50" s="2260"/>
      <c r="V50" s="2260"/>
      <c r="X50" s="737" t="s">
        <v>146</v>
      </c>
      <c r="Y50" s="672"/>
      <c r="AE50" s="783">
        <v>1907</v>
      </c>
      <c r="AF50" s="784" t="s">
        <v>99</v>
      </c>
      <c r="AG50" s="784"/>
      <c r="AH50" s="784"/>
      <c r="AI50" s="784" t="s">
        <v>99</v>
      </c>
      <c r="AJ50" s="784"/>
      <c r="AK50" s="784"/>
      <c r="AL50" s="784" t="s">
        <v>1684</v>
      </c>
      <c r="AM50" s="784" t="s">
        <v>1769</v>
      </c>
      <c r="AN50" s="784" t="s">
        <v>1770</v>
      </c>
      <c r="AO50" s="786" t="s">
        <v>1771</v>
      </c>
      <c r="AP50" s="786" t="s">
        <v>1715</v>
      </c>
      <c r="AQ50" s="803" t="s">
        <v>1772</v>
      </c>
      <c r="AR50" s="803" t="s">
        <v>1773</v>
      </c>
      <c r="AS50" s="785" t="s">
        <v>1774</v>
      </c>
      <c r="AT50" s="783">
        <v>1907</v>
      </c>
      <c r="BB50" s="779"/>
    </row>
    <row r="51" spans="5:65" ht="17.25" customHeight="1">
      <c r="O51" s="622" t="s">
        <v>1775</v>
      </c>
      <c r="P51" s="671"/>
      <c r="Q51" s="672"/>
      <c r="S51" s="2260"/>
      <c r="T51" s="2260"/>
      <c r="U51" s="2260"/>
      <c r="V51" s="2260"/>
      <c r="X51" s="736" t="s">
        <v>148</v>
      </c>
      <c r="Y51" s="672"/>
      <c r="AE51" s="783">
        <v>1908</v>
      </c>
      <c r="AF51" s="784" t="s">
        <v>1776</v>
      </c>
      <c r="AG51" s="784"/>
      <c r="AH51" s="784"/>
      <c r="AI51" s="784" t="s">
        <v>99</v>
      </c>
      <c r="AJ51" s="784"/>
      <c r="AK51" s="784"/>
      <c r="AL51" s="784" t="s">
        <v>1684</v>
      </c>
      <c r="AM51" s="784" t="s">
        <v>1777</v>
      </c>
      <c r="AN51" s="784" t="s">
        <v>1778</v>
      </c>
      <c r="AO51" s="786" t="s">
        <v>1779</v>
      </c>
      <c r="AP51" s="786" t="s">
        <v>1715</v>
      </c>
      <c r="AQ51" s="803" t="s">
        <v>1780</v>
      </c>
      <c r="AR51" s="803" t="s">
        <v>1781</v>
      </c>
      <c r="AS51" s="785" t="s">
        <v>1782</v>
      </c>
      <c r="AT51" s="783">
        <v>1908</v>
      </c>
      <c r="BA51" s="818"/>
      <c r="BB51" s="779"/>
      <c r="BC51" s="818"/>
      <c r="BD51" s="818"/>
      <c r="BE51" s="818"/>
      <c r="BF51" s="818"/>
      <c r="BG51" s="818"/>
      <c r="BH51" s="818"/>
      <c r="BI51" s="818"/>
      <c r="BJ51" s="818"/>
      <c r="BK51" s="818"/>
      <c r="BL51" s="823"/>
      <c r="BM51" s="823"/>
    </row>
    <row r="52" spans="5:65" ht="17.25" customHeight="1">
      <c r="E52" s="2330" t="str">
        <f>IF(人物卡!M5=0," ","["&amp;LOOKUP(人物卡!M5,职业列表!A2:A232,职业列表!B2:B232)&amp;"]")</f>
        <v>[音乐家]</v>
      </c>
      <c r="F52" s="2331"/>
      <c r="G52" s="2331"/>
      <c r="H52" s="2332" t="s">
        <v>1783</v>
      </c>
      <c r="I52" s="2333"/>
      <c r="J52" s="1890" t="str">
        <f>IF(人物卡!M5=0," ","["&amp;LOOKUP(人物卡!M5,职业列表!A2:C232,职业列表!E2:E232)&amp;"]")</f>
        <v>[教育×2＋意志或敏捷×2]</v>
      </c>
      <c r="K52" s="2334"/>
      <c r="O52" s="622" t="s">
        <v>1784</v>
      </c>
      <c r="P52" s="671"/>
      <c r="Q52" s="672"/>
      <c r="S52" s="2260"/>
      <c r="T52" s="2260"/>
      <c r="U52" s="2260"/>
      <c r="V52" s="2260"/>
      <c r="X52" s="736" t="s">
        <v>150</v>
      </c>
      <c r="Y52" s="672"/>
      <c r="AE52" s="783">
        <v>1909</v>
      </c>
      <c r="AF52" s="784" t="s">
        <v>99</v>
      </c>
      <c r="AG52" s="784"/>
      <c r="AH52" s="784"/>
      <c r="AI52" s="784" t="s">
        <v>99</v>
      </c>
      <c r="AJ52" s="784"/>
      <c r="AK52" s="784"/>
      <c r="AL52" s="784" t="s">
        <v>1785</v>
      </c>
      <c r="AM52" s="784" t="s">
        <v>1786</v>
      </c>
      <c r="AN52" s="784" t="s">
        <v>1787</v>
      </c>
      <c r="AO52" s="786" t="s">
        <v>1788</v>
      </c>
      <c r="AP52" s="786" t="s">
        <v>1789</v>
      </c>
      <c r="AQ52" s="803" t="s">
        <v>1790</v>
      </c>
      <c r="AR52" s="803" t="s">
        <v>1791</v>
      </c>
      <c r="AS52" s="785" t="s">
        <v>1792</v>
      </c>
      <c r="AT52" s="783">
        <v>1909</v>
      </c>
      <c r="BA52" s="819"/>
      <c r="BB52" s="779"/>
      <c r="BC52" s="673"/>
      <c r="BD52" s="820"/>
      <c r="BE52" s="820"/>
      <c r="BF52" s="819"/>
      <c r="BG52" s="819"/>
      <c r="BH52" s="819"/>
      <c r="BI52" s="819"/>
      <c r="BJ52" s="819"/>
      <c r="BK52" s="819"/>
      <c r="BL52" s="819"/>
      <c r="BM52" s="819"/>
    </row>
    <row r="53" spans="5:65" ht="17.25" customHeight="1">
      <c r="E53" s="2261" t="str">
        <f>IF(人物卡!M5=0," ","["&amp;LOOKUP(人物卡!M5,职业列表!A2:A232,职业列表!B2:B232)&amp;"]的本职技能："&amp;LOOKUP(人物卡!M5,职业列表!A2:A232,职业列表!G2:G232))</f>
        <v>[音乐家]的本职技能：技艺（乐器），一项社交技能（取悦、话术、恐吓、说服），聆听，心理学，四项其他技能。</v>
      </c>
      <c r="F53" s="2262"/>
      <c r="G53" s="2262"/>
      <c r="H53" s="2262"/>
      <c r="I53" s="2263"/>
      <c r="J53" s="2270">
        <f>IF(人物卡!M5=0," ",LOOKUP(人物卡!M5,职业列表!A2:C232,职业列表!F2:F232))</f>
        <v>280</v>
      </c>
      <c r="K53" s="2271"/>
      <c r="O53" s="622" t="s">
        <v>1793</v>
      </c>
      <c r="P53" s="671"/>
      <c r="Q53" s="672"/>
      <c r="S53" s="2260"/>
      <c r="T53" s="2260"/>
      <c r="U53" s="2260"/>
      <c r="V53" s="2260"/>
      <c r="X53" s="736" t="s">
        <v>153</v>
      </c>
      <c r="Y53" s="672"/>
      <c r="AE53" s="783">
        <v>1910</v>
      </c>
      <c r="AF53" s="784" t="s">
        <v>99</v>
      </c>
      <c r="AG53" s="784"/>
      <c r="AH53" s="784"/>
      <c r="AI53" s="784" t="s">
        <v>99</v>
      </c>
      <c r="AJ53" s="784"/>
      <c r="AK53" s="784"/>
      <c r="AL53" s="784" t="s">
        <v>1794</v>
      </c>
      <c r="AM53" s="784" t="s">
        <v>1795</v>
      </c>
      <c r="AN53" s="784" t="s">
        <v>1796</v>
      </c>
      <c r="AO53" s="786" t="s">
        <v>1797</v>
      </c>
      <c r="AP53" s="786" t="s">
        <v>1798</v>
      </c>
      <c r="AQ53" s="803" t="s">
        <v>1799</v>
      </c>
      <c r="AR53" s="803" t="s">
        <v>1800</v>
      </c>
      <c r="AS53" s="785" t="s">
        <v>1801</v>
      </c>
      <c r="AT53" s="783">
        <v>1910</v>
      </c>
      <c r="BA53" s="819"/>
      <c r="BB53" s="779"/>
      <c r="BC53" s="673"/>
      <c r="BD53" s="820"/>
      <c r="BE53" s="820"/>
      <c r="BF53" s="819"/>
      <c r="BG53" s="819"/>
      <c r="BH53" s="819"/>
      <c r="BI53" s="819"/>
      <c r="BJ53" s="819"/>
      <c r="BK53" s="819"/>
      <c r="BL53" s="819"/>
      <c r="BM53" s="819"/>
    </row>
    <row r="54" spans="5:65" ht="17.25" customHeight="1">
      <c r="E54" s="2264"/>
      <c r="F54" s="2265"/>
      <c r="G54" s="2265"/>
      <c r="H54" s="2265"/>
      <c r="I54" s="2266"/>
      <c r="J54" s="2272"/>
      <c r="K54" s="2273"/>
      <c r="O54" s="622" t="s">
        <v>1802</v>
      </c>
      <c r="P54" s="671"/>
      <c r="Q54" s="672"/>
      <c r="S54" s="2260"/>
      <c r="T54" s="2260"/>
      <c r="U54" s="2260"/>
      <c r="V54" s="2260"/>
      <c r="X54" s="736" t="s">
        <v>155</v>
      </c>
      <c r="Y54" s="672"/>
      <c r="AE54" s="783">
        <v>1911</v>
      </c>
      <c r="AF54" s="784" t="s">
        <v>99</v>
      </c>
      <c r="AG54" s="784"/>
      <c r="AH54" s="784"/>
      <c r="AI54" s="784" t="s">
        <v>1803</v>
      </c>
      <c r="AJ54" s="784"/>
      <c r="AK54" s="784"/>
      <c r="AL54" s="784" t="s">
        <v>1804</v>
      </c>
      <c r="AM54" s="784" t="s">
        <v>1805</v>
      </c>
      <c r="AN54" s="784" t="s">
        <v>1806</v>
      </c>
      <c r="AO54" s="786" t="s">
        <v>1807</v>
      </c>
      <c r="AP54" s="784" t="s">
        <v>1808</v>
      </c>
      <c r="AQ54" s="803" t="s">
        <v>1809</v>
      </c>
      <c r="AR54" s="803" t="s">
        <v>1810</v>
      </c>
      <c r="AS54" s="785" t="s">
        <v>1811</v>
      </c>
      <c r="AT54" s="783">
        <v>1911</v>
      </c>
      <c r="BA54" s="819"/>
      <c r="BB54" s="779"/>
      <c r="BC54" s="673"/>
      <c r="BD54" s="673"/>
      <c r="BE54" s="673"/>
      <c r="BF54" s="819"/>
      <c r="BG54" s="819"/>
      <c r="BH54" s="819"/>
      <c r="BI54" s="819"/>
      <c r="BJ54" s="819"/>
      <c r="BK54" s="819"/>
      <c r="BL54" s="819"/>
      <c r="BM54" s="819"/>
    </row>
    <row r="55" spans="5:65" ht="17.25" customHeight="1">
      <c r="E55" s="2264"/>
      <c r="F55" s="2265"/>
      <c r="G55" s="2265"/>
      <c r="H55" s="2265"/>
      <c r="I55" s="2266"/>
      <c r="J55" s="2272"/>
      <c r="K55" s="2273"/>
      <c r="O55" s="622" t="s">
        <v>1812</v>
      </c>
      <c r="P55" s="671"/>
      <c r="Q55" s="672"/>
      <c r="S55" s="2260"/>
      <c r="T55" s="2260"/>
      <c r="U55" s="2260"/>
      <c r="V55" s="2260"/>
      <c r="X55" s="737" t="s">
        <v>156</v>
      </c>
      <c r="Y55" s="672"/>
      <c r="AE55" s="783">
        <v>1912</v>
      </c>
      <c r="AF55" s="784" t="s">
        <v>1813</v>
      </c>
      <c r="AG55" s="784" t="s">
        <v>1814</v>
      </c>
      <c r="AH55" s="784"/>
      <c r="AI55" s="784" t="s">
        <v>1815</v>
      </c>
      <c r="AJ55" s="784" t="s">
        <v>1816</v>
      </c>
      <c r="AK55" s="784"/>
      <c r="AL55" s="784" t="s">
        <v>1817</v>
      </c>
      <c r="AM55" s="784" t="s">
        <v>1818</v>
      </c>
      <c r="AN55" s="784" t="s">
        <v>1819</v>
      </c>
      <c r="AO55" s="786" t="s">
        <v>1820</v>
      </c>
      <c r="AP55" s="786" t="s">
        <v>1798</v>
      </c>
      <c r="AQ55" s="803" t="s">
        <v>1821</v>
      </c>
      <c r="AR55" s="785" t="s">
        <v>1822</v>
      </c>
      <c r="AS55" s="785" t="s">
        <v>1823</v>
      </c>
      <c r="AT55" s="783">
        <v>1912</v>
      </c>
      <c r="AZ55" s="819"/>
      <c r="BA55" s="673"/>
      <c r="BB55" s="779"/>
      <c r="BC55" s="819"/>
      <c r="BD55" s="819"/>
      <c r="BE55" s="819"/>
      <c r="BF55" s="819"/>
      <c r="BG55" s="819"/>
      <c r="BH55" s="819"/>
      <c r="BI55" s="819"/>
      <c r="BJ55" s="819"/>
      <c r="BK55" s="819"/>
      <c r="BL55" s="819"/>
    </row>
    <row r="56" spans="5:65" ht="17.25" customHeight="1">
      <c r="E56" s="2264"/>
      <c r="F56" s="2265"/>
      <c r="G56" s="2265"/>
      <c r="H56" s="2265"/>
      <c r="I56" s="2266"/>
      <c r="J56" s="2272"/>
      <c r="K56" s="2273"/>
      <c r="O56" s="622" t="s">
        <v>1824</v>
      </c>
      <c r="P56" s="671"/>
      <c r="Q56" s="672"/>
      <c r="S56" s="2260"/>
      <c r="T56" s="2260"/>
      <c r="U56" s="2260"/>
      <c r="V56" s="2260"/>
      <c r="X56" s="738" t="s">
        <v>158</v>
      </c>
      <c r="Y56" s="672"/>
      <c r="AE56" s="783">
        <v>1913</v>
      </c>
      <c r="AF56" s="784" t="s">
        <v>1825</v>
      </c>
      <c r="AG56" s="784"/>
      <c r="AH56" s="784"/>
      <c r="AI56" s="784" t="s">
        <v>99</v>
      </c>
      <c r="AJ56" s="784"/>
      <c r="AK56" s="784"/>
      <c r="AL56" s="786" t="s">
        <v>1826</v>
      </c>
      <c r="AM56" s="784" t="s">
        <v>1827</v>
      </c>
      <c r="AN56" s="784" t="s">
        <v>1828</v>
      </c>
      <c r="AO56" s="786" t="s">
        <v>1829</v>
      </c>
      <c r="AP56" s="786" t="s">
        <v>1830</v>
      </c>
      <c r="AQ56" s="803" t="s">
        <v>1821</v>
      </c>
      <c r="AR56" s="785" t="s">
        <v>1831</v>
      </c>
      <c r="AS56" s="785"/>
      <c r="AT56" s="783">
        <v>1913</v>
      </c>
      <c r="AZ56" s="819"/>
      <c r="BA56" s="673"/>
      <c r="BB56" s="779"/>
      <c r="BC56" s="673"/>
      <c r="BD56" s="673"/>
      <c r="BE56" s="819"/>
      <c r="BF56" s="819"/>
      <c r="BG56" s="819"/>
      <c r="BH56" s="819"/>
      <c r="BI56" s="819"/>
      <c r="BJ56" s="819"/>
      <c r="BK56" s="819"/>
      <c r="BL56" s="819"/>
    </row>
    <row r="57" spans="5:65" ht="17.25" customHeight="1">
      <c r="E57" s="2264"/>
      <c r="F57" s="2265"/>
      <c r="G57" s="2265"/>
      <c r="H57" s="2265"/>
      <c r="I57" s="2266"/>
      <c r="J57" s="2272"/>
      <c r="K57" s="2273"/>
      <c r="O57" s="622" t="s">
        <v>205</v>
      </c>
      <c r="P57" s="671"/>
      <c r="Q57" s="672"/>
      <c r="S57" s="2260"/>
      <c r="T57" s="2260"/>
      <c r="U57" s="2260"/>
      <c r="V57" s="2260"/>
      <c r="X57" s="737" t="s">
        <v>160</v>
      </c>
      <c r="Y57" s="672"/>
      <c r="AE57" s="783">
        <v>1914</v>
      </c>
      <c r="AF57" s="786" t="s">
        <v>1832</v>
      </c>
      <c r="AG57" s="786"/>
      <c r="AH57" s="786"/>
      <c r="AI57" s="784" t="s">
        <v>99</v>
      </c>
      <c r="AJ57" s="784"/>
      <c r="AK57" s="784"/>
      <c r="AL57" s="786" t="s">
        <v>1826</v>
      </c>
      <c r="AM57" s="784" t="s">
        <v>1833</v>
      </c>
      <c r="AN57" s="784" t="s">
        <v>1834</v>
      </c>
      <c r="AO57" s="784" t="s">
        <v>1835</v>
      </c>
      <c r="AP57" s="786" t="s">
        <v>1836</v>
      </c>
      <c r="AQ57" s="803" t="s">
        <v>1821</v>
      </c>
      <c r="AR57" s="785" t="s">
        <v>1831</v>
      </c>
      <c r="AS57" s="785"/>
      <c r="AT57" s="783">
        <v>1914</v>
      </c>
      <c r="AZ57" s="821"/>
      <c r="BA57" s="673"/>
      <c r="BB57" s="779"/>
      <c r="BC57" s="822"/>
      <c r="BD57" s="822"/>
      <c r="BE57" s="819"/>
      <c r="BF57" s="819"/>
      <c r="BG57" s="819"/>
      <c r="BH57" s="819"/>
      <c r="BI57" s="819"/>
      <c r="BJ57" s="819"/>
      <c r="BK57" s="819"/>
      <c r="BL57" s="819"/>
    </row>
    <row r="58" spans="5:65" ht="17.25" customHeight="1">
      <c r="E58" s="2267"/>
      <c r="F58" s="2268"/>
      <c r="G58" s="2268"/>
      <c r="H58" s="2268"/>
      <c r="I58" s="2269"/>
      <c r="J58" s="2274"/>
      <c r="K58" s="2275"/>
      <c r="O58" s="633" t="s">
        <v>225</v>
      </c>
      <c r="P58" s="634"/>
      <c r="Q58" s="677"/>
      <c r="S58" s="2260"/>
      <c r="T58" s="2260"/>
      <c r="U58" s="2260"/>
      <c r="V58" s="2260"/>
      <c r="X58" s="736" t="s">
        <v>162</v>
      </c>
      <c r="Y58" s="672"/>
      <c r="AE58" s="783">
        <v>1915</v>
      </c>
      <c r="AF58" s="786" t="s">
        <v>1832</v>
      </c>
      <c r="AG58" s="786"/>
      <c r="AH58" s="786"/>
      <c r="AI58" s="784" t="s">
        <v>1837</v>
      </c>
      <c r="AJ58" s="784"/>
      <c r="AK58" s="784"/>
      <c r="AL58" s="786" t="s">
        <v>1826</v>
      </c>
      <c r="AM58" s="784" t="s">
        <v>1838</v>
      </c>
      <c r="AN58" s="784" t="s">
        <v>1839</v>
      </c>
      <c r="AO58" s="786" t="s">
        <v>1840</v>
      </c>
      <c r="AP58" s="786" t="s">
        <v>1836</v>
      </c>
      <c r="AQ58" s="803" t="s">
        <v>1841</v>
      </c>
      <c r="AR58" s="785" t="s">
        <v>1831</v>
      </c>
      <c r="AS58" s="785" t="s">
        <v>1842</v>
      </c>
      <c r="AT58" s="783">
        <v>1915</v>
      </c>
      <c r="BA58" s="804"/>
      <c r="BB58" s="779"/>
      <c r="BC58" s="821"/>
      <c r="BD58" s="821"/>
      <c r="BE58" s="821"/>
      <c r="BF58" s="824"/>
      <c r="BG58" s="824"/>
      <c r="BH58" s="825"/>
      <c r="BI58" s="825"/>
      <c r="BJ58" s="824"/>
      <c r="BK58" s="824"/>
      <c r="BL58" s="825"/>
      <c r="BM58" s="825"/>
    </row>
    <row r="59" spans="5:65" ht="17.25" customHeight="1">
      <c r="E59" s="614" t="str">
        <f>IF(人物卡!M5=0," ",LOOKUP(人物卡!M5,职业列表!A2:C232,职业列表!E2:E232))</f>
        <v>教育×2＋意志或敏捷×2</v>
      </c>
      <c r="S59" s="2260"/>
      <c r="T59" s="2260"/>
      <c r="U59" s="2260"/>
      <c r="V59" s="2260"/>
      <c r="X59" s="736" t="s">
        <v>66</v>
      </c>
      <c r="Y59" s="672"/>
      <c r="AE59" s="783">
        <v>1916</v>
      </c>
      <c r="AF59" s="784" t="s">
        <v>1832</v>
      </c>
      <c r="AG59" s="784" t="s">
        <v>1843</v>
      </c>
      <c r="AH59" s="784"/>
      <c r="AI59" s="784" t="s">
        <v>1844</v>
      </c>
      <c r="AJ59" s="784"/>
      <c r="AK59" s="784"/>
      <c r="AL59" s="786" t="s">
        <v>1826</v>
      </c>
      <c r="AM59" s="784" t="s">
        <v>1845</v>
      </c>
      <c r="AN59" s="784" t="s">
        <v>1846</v>
      </c>
      <c r="AO59" s="786" t="s">
        <v>1847</v>
      </c>
      <c r="AP59" s="786" t="s">
        <v>1836</v>
      </c>
      <c r="AQ59" s="803" t="s">
        <v>1848</v>
      </c>
      <c r="AR59" s="785" t="s">
        <v>1849</v>
      </c>
      <c r="AS59" s="785" t="s">
        <v>1850</v>
      </c>
      <c r="AT59" s="783">
        <v>1916</v>
      </c>
      <c r="BA59" s="804"/>
      <c r="BB59" s="779"/>
      <c r="BC59" s="821"/>
      <c r="BD59" s="821"/>
      <c r="BE59" s="821"/>
      <c r="BF59" s="824"/>
      <c r="BG59" s="824"/>
      <c r="BH59" s="825"/>
      <c r="BI59" s="825"/>
      <c r="BJ59" s="824"/>
      <c r="BK59" s="824"/>
      <c r="BL59" s="825"/>
      <c r="BM59" s="825"/>
    </row>
    <row r="60" spans="5:65" ht="17.25" customHeight="1">
      <c r="S60" s="2260"/>
      <c r="T60" s="2260"/>
      <c r="U60" s="2260"/>
      <c r="V60" s="2260"/>
      <c r="X60" s="736" t="s">
        <v>68</v>
      </c>
      <c r="Y60" s="672"/>
      <c r="AB60" s="614" t="s">
        <v>1851</v>
      </c>
      <c r="AE60" s="783">
        <v>1917</v>
      </c>
      <c r="AF60" s="784" t="s">
        <v>1832</v>
      </c>
      <c r="AG60" s="784" t="s">
        <v>1852</v>
      </c>
      <c r="AH60" s="784"/>
      <c r="AI60" s="784" t="s">
        <v>1853</v>
      </c>
      <c r="AJ60" s="784" t="s">
        <v>1854</v>
      </c>
      <c r="AK60" s="784"/>
      <c r="AL60" s="786" t="s">
        <v>1826</v>
      </c>
      <c r="AM60" s="784" t="s">
        <v>1855</v>
      </c>
      <c r="AN60" s="784" t="s">
        <v>1856</v>
      </c>
      <c r="AO60" s="786" t="s">
        <v>1857</v>
      </c>
      <c r="AP60" s="786" t="s">
        <v>1836</v>
      </c>
      <c r="AQ60" s="803" t="s">
        <v>1858</v>
      </c>
      <c r="AR60" s="785" t="s">
        <v>1859</v>
      </c>
      <c r="AS60" s="785" t="s">
        <v>1860</v>
      </c>
      <c r="AT60" s="783">
        <v>1917</v>
      </c>
      <c r="AV60" s="804"/>
      <c r="AW60" s="804"/>
      <c r="AX60" s="804"/>
      <c r="AY60" s="804"/>
      <c r="AZ60" s="804"/>
      <c r="BA60" s="821"/>
      <c r="BB60" s="779"/>
      <c r="BC60" s="821"/>
      <c r="BD60" s="821"/>
      <c r="BE60" s="824"/>
      <c r="BF60" s="824"/>
      <c r="BG60" s="825"/>
      <c r="BH60" s="825"/>
      <c r="BI60" s="824"/>
      <c r="BJ60" s="824"/>
      <c r="BK60" s="825"/>
      <c r="BL60" s="825"/>
    </row>
    <row r="61" spans="5:65" ht="17.25" customHeight="1">
      <c r="S61" s="2260"/>
      <c r="T61" s="2260"/>
      <c r="U61" s="2260"/>
      <c r="V61" s="2260"/>
      <c r="X61" s="736" t="s">
        <v>72</v>
      </c>
      <c r="Y61" s="672"/>
      <c r="AA61" s="614" t="s">
        <v>1851</v>
      </c>
      <c r="AB61" s="614" t="e">
        <f>IF(ISBLANK(人物卡!#REF!),"",人物卡!#REF!)</f>
        <v>#REF!</v>
      </c>
      <c r="AC61" s="614" t="s">
        <v>1851</v>
      </c>
      <c r="AE61" s="783">
        <v>1918</v>
      </c>
      <c r="AF61" s="786" t="s">
        <v>1832</v>
      </c>
      <c r="AG61" s="786"/>
      <c r="AH61" s="786"/>
      <c r="AI61" s="784" t="s">
        <v>99</v>
      </c>
      <c r="AJ61" s="784"/>
      <c r="AK61" s="784"/>
      <c r="AL61" s="786" t="s">
        <v>1826</v>
      </c>
      <c r="AM61" s="784" t="s">
        <v>1861</v>
      </c>
      <c r="AN61" s="784" t="s">
        <v>1862</v>
      </c>
      <c r="AO61" s="786" t="s">
        <v>1863</v>
      </c>
      <c r="AP61" s="786" t="s">
        <v>1836</v>
      </c>
      <c r="AQ61" s="803" t="s">
        <v>1864</v>
      </c>
      <c r="AR61" s="785" t="s">
        <v>1865</v>
      </c>
      <c r="AS61" s="785" t="s">
        <v>1866</v>
      </c>
      <c r="AT61" s="783">
        <v>1918</v>
      </c>
      <c r="AV61" s="804"/>
      <c r="AW61" s="804"/>
      <c r="AX61" s="804"/>
      <c r="AY61" s="804"/>
      <c r="AZ61" s="804"/>
      <c r="BA61" s="804"/>
      <c r="BB61" s="779"/>
      <c r="BC61" s="821"/>
      <c r="BD61" s="821"/>
      <c r="BE61" s="821"/>
      <c r="BF61" s="824"/>
      <c r="BG61" s="824"/>
      <c r="BH61" s="825"/>
      <c r="BI61" s="825"/>
      <c r="BJ61" s="824"/>
      <c r="BK61" s="824"/>
      <c r="BL61" s="825"/>
      <c r="BM61" s="825"/>
    </row>
    <row r="62" spans="5:65" ht="17.25" customHeight="1">
      <c r="X62" s="736" t="s">
        <v>76</v>
      </c>
      <c r="Y62" s="672"/>
      <c r="AB62" s="614" t="s">
        <v>1851</v>
      </c>
      <c r="AE62" s="783">
        <v>1919</v>
      </c>
      <c r="AF62" s="784" t="s">
        <v>1867</v>
      </c>
      <c r="AG62" s="784"/>
      <c r="AH62" s="784"/>
      <c r="AI62" s="784" t="s">
        <v>1868</v>
      </c>
      <c r="AJ62" s="784"/>
      <c r="AK62" s="784"/>
      <c r="AL62" s="786" t="s">
        <v>1826</v>
      </c>
      <c r="AM62" s="784" t="s">
        <v>1869</v>
      </c>
      <c r="AN62" s="784" t="s">
        <v>1870</v>
      </c>
      <c r="AO62" s="805" t="s">
        <v>1871</v>
      </c>
      <c r="AP62" s="784" t="s">
        <v>1872</v>
      </c>
      <c r="AQ62" s="803" t="s">
        <v>1873</v>
      </c>
      <c r="AR62" s="785" t="s">
        <v>1874</v>
      </c>
      <c r="AS62" s="806" t="s">
        <v>1875</v>
      </c>
      <c r="AT62" s="783">
        <v>1919</v>
      </c>
      <c r="AV62" s="804"/>
      <c r="AW62" s="804"/>
      <c r="AX62" s="804"/>
      <c r="AY62" s="804"/>
      <c r="AZ62" s="804"/>
      <c r="BA62" s="804"/>
      <c r="BB62" s="779"/>
      <c r="BC62" s="821"/>
      <c r="BD62" s="821"/>
      <c r="BE62" s="821"/>
      <c r="BF62" s="824"/>
      <c r="BG62" s="824"/>
      <c r="BH62" s="825"/>
      <c r="BI62" s="825"/>
      <c r="BJ62" s="824"/>
      <c r="BK62" s="824"/>
      <c r="BL62" s="825"/>
      <c r="BM62" s="825"/>
    </row>
    <row r="63" spans="5:65" ht="17.25" customHeight="1">
      <c r="S63" s="2276" t="str">
        <f>".st "&amp;人物卡!E3&amp;"-"&amp;"力量"&amp;G14&amp;"str"&amp;G14&amp;"敏捷"&amp;J14&amp;"dex"&amp;J14&amp;"意志"&amp;M14&amp;"pow"&amp;M14&amp;"体质"&amp;H14&amp;"con"&amp;H14&amp;"外貌"&amp;K14&amp;"app"&amp;K14&amp;"教育"&amp;N14&amp;"edu"&amp;N14&amp;"体型"&amp;I14&amp;"siz"&amp;I14&amp;"智力"&amp;L14&amp;"灵感"&amp;L14&amp;"int"&amp;L14&amp;"san"&amp;人物卡!N10&amp;"san值"&amp;人物卡!N10&amp;"理智"&amp;人物卡!N10&amp;"理智值"&amp;人物卡!N10&amp;"幸运"&amp;O14&amp;"运气"&amp;O14&amp;"mp"&amp;人物卡!W10&amp;"魔法"&amp;人物卡!W10&amp;"hp"&amp;人物卡!E10&amp;"体力"&amp;人物卡!E10&amp;人物卡!F16&amp;人物卡!R16&amp;人物卡!F17&amp;人物卡!R17&amp;人物卡!F18&amp;人物卡!R18&amp;人物卡!F19&amp;人物卡!R19&amp;IF(人物卡!H20="","",人物卡!H20&amp;人物卡!R20)&amp;IF(人物卡!H21="","",人物卡!H21&amp;人物卡!R21)&amp;IF(人物卡!H22="","",人物卡!H22&amp;人物卡!R22)&amp;人物卡!F23&amp;人物卡!R23&amp;"魅惑"&amp;人物卡!R23&amp;人物卡!F24&amp;人物卡!R24&amp;"计算机"&amp;人物卡!R25&amp;"计算机使用"&amp;人物卡!R25&amp;"电脑"&amp;人物卡!R25&amp;"信用"&amp;人物卡!R26&amp;"信誉"&amp;人物卡!R26&amp;"信用评级"&amp;人物卡!R26&amp;"克苏鲁"&amp;人物卡!R27&amp;"克苏鲁神话"&amp;人物卡!R27&amp;"cm"&amp;人物卡!R27&amp;人物卡!F28&amp;人物卡!R28&amp;人物卡!F29&amp;人物卡!R29&amp;"汽车"&amp;人物卡!R30&amp;"驾驶"&amp;人物卡!R30&amp;"汽车驾驶"&amp;人物卡!R30&amp;人物卡!F31&amp;人物卡!R31&amp;"电子学"&amp;人物卡!R32&amp;人物卡!F33&amp;人物卡!R33&amp;人物卡!H34&amp;人物卡!R34&amp;IF(人物卡!H35="","",人物卡!H35&amp;人物卡!R35)&amp;IF(人物卡!H36="","",人物卡!H36&amp;人物卡!R36)&amp;IF(人物卡!H37="","",人物卡!H36&amp;人物卡!R37)&amp;人物卡!H38&amp;人物卡!R38&amp;IF(W15=1,人物卡!AB39&amp;人物卡!R39&amp;"步枪"&amp;人物卡!R39&amp;"霰弹枪"&amp;人物卡!R39&amp;"步霰"&amp;人物卡!R39,IF(人物卡!H39="","",人物卡!H39&amp;人物卡!R39))&amp;IF(W16=1,人物卡!AB40&amp;人物卡!R40&amp;"步枪"&amp;人物卡!R40&amp;"霰弹枪"&amp;人物卡!R40&amp;"步霰"&amp;人物卡!R40,IF(人物卡!H40="","",人物卡!H40&amp;人物卡!R40))&amp;IF(W17=1,人物卡!AB41&amp;人物卡!R41&amp;"步枪"&amp;人物卡!R41&amp;"霰弹枪"&amp;人物卡!R41&amp;"步霰"&amp;人物卡!R41,IF(人物卡!H41="","",人物卡!H41&amp;人物卡!R41))&amp;人物卡!F42&amp;人物卡!R42&amp;人物卡!F43&amp;人物卡!R43&amp;人物卡!F44&amp;人物卡!R44&amp;人物卡!F45&amp;人物卡!R45&amp;IF(人物卡!H46="","",人物卡!H46&amp;人物卡!R46)&amp;IF(人物卡!H47="","",人物卡!H47&amp;人物卡!R47)&amp;IF(人物卡!H48="","",人物卡!H48&amp;人物卡!R48)&amp;人物卡!F49&amp;人物卡!R49&amp;人物卡!AB16&amp;人物卡!AN16&amp;"图书馆"&amp;人物卡!AN17&amp;"图书馆使用"&amp;人物卡!AN17&amp;人物卡!AB18&amp;人物卡!AN18&amp;"开锁"&amp;人物卡!AN19&amp;"撬锁"&amp;人物卡!AN19&amp;"锁匠"&amp;人物卡!AN19&amp;人物卡!AB20&amp;人物卡!AN20&amp;人物卡!AB21&amp;人物卡!AN21&amp;"博物学"&amp;人物卡!AN22&amp;"自然学"&amp;人物卡!AN22&amp;"领航"&amp;人物卡!AN23&amp;"导航"&amp;人物卡!AN23&amp;人物卡!AB24&amp;人物卡!AN24&amp;"重型操作"&amp;人物卡!AN25&amp;"重型机械"&amp;人物卡!AN25&amp;"操作重型机械"&amp;人物卡!AN25&amp;"重型"&amp;人物卡!AN25&amp;人物卡!AB26&amp;人物卡!AN26&amp;IF(人物卡!AD27="","",人物卡!AD27&amp;人物卡!AN27)&amp;人物卡!AB28&amp;人物卡!AN28&amp;人物卡!AB29&amp;人物卡!AN29&amp;人物卡!AB30&amp;人物卡!AN30&amp;IF(人物卡!AD31="","",人物卡!AD31&amp;人物卡!AN31)&amp;IF(人物卡!AD32="","",人物卡!AD32&amp;人物卡!AN32)&amp;IF(人物卡!AD33="","",人物卡!AD33&amp;人物卡!AN33)&amp;人物卡!AB34&amp;人物卡!AN34&amp;人物卡!AB35&amp;人物卡!AN35&amp;人物卡!AB36&amp;人物卡!AN36&amp;"生存"&amp;人物卡!AN37&amp;人物卡!AB38&amp;人物卡!AN38&amp;人物卡!AB39&amp;人物卡!AN39&amp;人物卡!AB40&amp;人物卡!AN40&amp;人物卡!AB41&amp;人物卡!AN41&amp;人物卡!AB42&amp;人物卡!AN42&amp;人物卡!AB43&amp;人物卡!AN43&amp;人物卡!AB44&amp;人物卡!AN44&amp;人物卡!AB45&amp;人物卡!AN45&amp;人物卡!AB46&amp;人物卡!AN46&amp;IF(人物卡!AD47="","",人物卡!AD47&amp;人物卡!AN47)&amp;IF(W18=1,"",人物卡!AB48&amp;人物卡!AN48)&amp;IF(人物卡!AB49="","",人物卡!AB49&amp;人物卡!AN49)</f>
        <v>.st тополь-力量50str50敏捷70dex70意志80pow80体质50con50外貌70app70教育60edu60体型50siz50智力70灵感70int70san69san值69理智69理智值69幸运55运气55mp魔法hp4体力4会计5人类学1估价5考古学1取悦15魅惑15攀爬20计算机5计算机使用5电脑5信用15信誉15信用评级15克苏鲁0克苏鲁神话0cm0乔装5闪避35汽车20驾驶20汽车驾驶20电气维修10电子学1话术5斗殴25手枪20急救60历史5恐吓15跳跃20母语60法律5图书馆20图书馆使用20聆听58开锁80撬锁80锁匠80机械维修10医学1博物学10自然学10领航10导航10神秘学5重型操作1重型机械1操作重型机械1重型1说服10精神分析80心理学10骑术5妙手80侦查60潜行20生存10游泳20投掷20追踪10驯兽5潜水1爆破1读唇1催眠80炮术1</v>
      </c>
      <c r="T63" s="2276"/>
      <c r="U63" s="2276"/>
      <c r="V63" s="2276"/>
      <c r="X63" s="736" t="s">
        <v>79</v>
      </c>
      <c r="Y63" s="672"/>
      <c r="AE63" s="783">
        <v>1920</v>
      </c>
      <c r="AF63" s="784" t="s">
        <v>1876</v>
      </c>
      <c r="AG63" s="784" t="s">
        <v>1877</v>
      </c>
      <c r="AH63" s="784"/>
      <c r="AI63" s="784" t="s">
        <v>1878</v>
      </c>
      <c r="AJ63" s="784"/>
      <c r="AK63" s="784"/>
      <c r="AL63" s="784" t="s">
        <v>1879</v>
      </c>
      <c r="AM63" s="784" t="s">
        <v>1880</v>
      </c>
      <c r="AN63" s="784" t="s">
        <v>1881</v>
      </c>
      <c r="AO63" s="786" t="s">
        <v>1882</v>
      </c>
      <c r="AP63" s="786" t="s">
        <v>1883</v>
      </c>
      <c r="AQ63" s="803" t="s">
        <v>1884</v>
      </c>
      <c r="AR63" s="785" t="s">
        <v>1885</v>
      </c>
      <c r="AS63" s="785" t="s">
        <v>1886</v>
      </c>
      <c r="AT63" s="783">
        <v>1920</v>
      </c>
      <c r="AV63" s="673"/>
      <c r="AW63" s="807"/>
      <c r="AX63" s="673"/>
      <c r="AY63" s="808"/>
      <c r="AZ63" s="673"/>
      <c r="BA63" s="808"/>
      <c r="BB63" s="779"/>
      <c r="BC63" s="821"/>
      <c r="BD63" s="821"/>
      <c r="BE63" s="821"/>
      <c r="BF63" s="824"/>
      <c r="BG63" s="824"/>
      <c r="BH63" s="825"/>
      <c r="BI63" s="825"/>
      <c r="BJ63" s="824"/>
      <c r="BK63" s="824"/>
      <c r="BL63" s="825"/>
      <c r="BM63" s="825"/>
    </row>
    <row r="64" spans="5:65" ht="17.25" customHeight="1">
      <c r="S64" s="2276"/>
      <c r="T64" s="2276"/>
      <c r="U64" s="2276"/>
      <c r="V64" s="2276"/>
      <c r="X64" s="736" t="s">
        <v>82</v>
      </c>
      <c r="Y64" s="672"/>
      <c r="AE64" s="783">
        <v>1921</v>
      </c>
      <c r="AF64" s="784" t="s">
        <v>1876</v>
      </c>
      <c r="AG64" s="784"/>
      <c r="AH64" s="784"/>
      <c r="AI64" s="784" t="s">
        <v>1887</v>
      </c>
      <c r="AJ64" s="784"/>
      <c r="AK64" s="784"/>
      <c r="AL64" s="784" t="s">
        <v>1879</v>
      </c>
      <c r="AM64" s="784" t="s">
        <v>1888</v>
      </c>
      <c r="AN64" s="784" t="s">
        <v>1889</v>
      </c>
      <c r="AO64" s="805" t="s">
        <v>1890</v>
      </c>
      <c r="AP64" s="786" t="s">
        <v>1891</v>
      </c>
      <c r="AQ64" s="803" t="s">
        <v>1892</v>
      </c>
      <c r="AR64" s="785" t="s">
        <v>1893</v>
      </c>
      <c r="AS64" s="806" t="s">
        <v>1894</v>
      </c>
      <c r="AT64" s="783">
        <v>1921</v>
      </c>
      <c r="AV64" s="807"/>
      <c r="AW64" s="807"/>
      <c r="AX64" s="808"/>
      <c r="AY64" s="808"/>
      <c r="AZ64" s="808"/>
      <c r="BA64" s="808"/>
      <c r="BB64" s="779"/>
      <c r="BC64" s="821"/>
      <c r="BD64" s="821"/>
      <c r="BE64" s="821"/>
      <c r="BF64" s="824"/>
      <c r="BG64" s="824"/>
      <c r="BH64" s="825"/>
      <c r="BI64" s="825"/>
      <c r="BJ64" s="824"/>
      <c r="BK64" s="824"/>
      <c r="BL64" s="825"/>
      <c r="BM64" s="825"/>
    </row>
    <row r="65" spans="2:65" ht="17.25" customHeight="1">
      <c r="S65" s="2276"/>
      <c r="T65" s="2276"/>
      <c r="U65" s="2276"/>
      <c r="V65" s="2276"/>
      <c r="X65" s="736" t="s">
        <v>84</v>
      </c>
      <c r="Y65" s="672"/>
      <c r="AE65" s="783">
        <v>1922</v>
      </c>
      <c r="AF65" s="784" t="s">
        <v>1876</v>
      </c>
      <c r="AG65" s="784"/>
      <c r="AH65" s="784"/>
      <c r="AI65" s="784" t="s">
        <v>99</v>
      </c>
      <c r="AJ65" s="784"/>
      <c r="AK65" s="784"/>
      <c r="AL65" s="784" t="s">
        <v>1879</v>
      </c>
      <c r="AM65" s="784" t="s">
        <v>1895</v>
      </c>
      <c r="AN65" s="784" t="s">
        <v>1896</v>
      </c>
      <c r="AO65" s="805" t="s">
        <v>1897</v>
      </c>
      <c r="AP65" s="784" t="s">
        <v>1898</v>
      </c>
      <c r="AQ65" s="803" t="s">
        <v>1899</v>
      </c>
      <c r="AR65" s="785" t="s">
        <v>1900</v>
      </c>
      <c r="AS65" s="806" t="s">
        <v>1901</v>
      </c>
      <c r="AT65" s="783">
        <v>1922</v>
      </c>
      <c r="AV65" s="807"/>
      <c r="AW65" s="807"/>
      <c r="AX65" s="808"/>
      <c r="AY65" s="808"/>
      <c r="AZ65" s="808"/>
      <c r="BA65" s="808"/>
      <c r="BB65" s="779"/>
      <c r="BC65" s="821"/>
      <c r="BD65" s="821"/>
      <c r="BE65" s="821"/>
      <c r="BF65" s="824"/>
      <c r="BG65" s="824"/>
      <c r="BH65" s="825"/>
      <c r="BI65" s="825"/>
      <c r="BJ65" s="824"/>
      <c r="BK65" s="824"/>
      <c r="BL65" s="825"/>
      <c r="BM65" s="825"/>
    </row>
    <row r="66" spans="2:65" ht="17.25" customHeight="1">
      <c r="B66" s="826"/>
      <c r="C66" s="826"/>
      <c r="D66" s="826"/>
      <c r="E66" s="826"/>
      <c r="F66" s="826"/>
      <c r="G66" s="826"/>
      <c r="H66" s="826"/>
      <c r="I66" s="826"/>
      <c r="J66" s="826"/>
      <c r="K66" s="826"/>
      <c r="L66" s="826"/>
      <c r="S66" s="2276"/>
      <c r="T66" s="2276"/>
      <c r="U66" s="2276"/>
      <c r="V66" s="2276"/>
      <c r="X66" s="736" t="s">
        <v>86</v>
      </c>
      <c r="Y66" s="672"/>
      <c r="AE66" s="783">
        <v>1923</v>
      </c>
      <c r="AF66" s="784" t="s">
        <v>1876</v>
      </c>
      <c r="AG66" s="784"/>
      <c r="AH66" s="784"/>
      <c r="AI66" s="784" t="s">
        <v>99</v>
      </c>
      <c r="AJ66" s="784"/>
      <c r="AK66" s="784"/>
      <c r="AL66" s="784" t="s">
        <v>1879</v>
      </c>
      <c r="AM66" s="784" t="s">
        <v>1902</v>
      </c>
      <c r="AN66" s="784" t="s">
        <v>1903</v>
      </c>
      <c r="AO66" s="805" t="s">
        <v>1904</v>
      </c>
      <c r="AP66" s="786" t="s">
        <v>1905</v>
      </c>
      <c r="AQ66" s="803" t="s">
        <v>1906</v>
      </c>
      <c r="AR66" s="785" t="s">
        <v>1907</v>
      </c>
      <c r="AS66" s="806" t="s">
        <v>1908</v>
      </c>
      <c r="AT66" s="783">
        <v>1923</v>
      </c>
      <c r="AV66" s="807"/>
      <c r="AW66" s="807"/>
      <c r="AX66" s="808"/>
      <c r="AY66" s="808"/>
      <c r="AZ66" s="808"/>
      <c r="BA66" s="808"/>
      <c r="BB66" s="779"/>
      <c r="BC66" s="821"/>
      <c r="BD66" s="821"/>
      <c r="BE66" s="821"/>
      <c r="BF66" s="824"/>
      <c r="BG66" s="824"/>
      <c r="BH66" s="825"/>
      <c r="BI66" s="825"/>
      <c r="BJ66" s="824"/>
      <c r="BK66" s="824"/>
      <c r="BL66" s="825"/>
      <c r="BM66" s="825"/>
    </row>
    <row r="67" spans="2:65" ht="17.25" customHeight="1">
      <c r="G67" s="827"/>
      <c r="H67" s="827"/>
      <c r="I67" s="827"/>
      <c r="J67" s="671"/>
      <c r="S67" s="2276"/>
      <c r="T67" s="2276"/>
      <c r="U67" s="2276"/>
      <c r="V67" s="2276"/>
      <c r="X67" s="736" t="s">
        <v>89</v>
      </c>
      <c r="Y67" s="672"/>
      <c r="AE67" s="783">
        <v>1924</v>
      </c>
      <c r="AF67" s="784" t="s">
        <v>1876</v>
      </c>
      <c r="AG67" s="784" t="s">
        <v>1680</v>
      </c>
      <c r="AH67" s="784"/>
      <c r="AI67" s="784" t="s">
        <v>1909</v>
      </c>
      <c r="AJ67" s="784"/>
      <c r="AK67" s="784"/>
      <c r="AL67" s="784" t="s">
        <v>1879</v>
      </c>
      <c r="AM67" s="784" t="s">
        <v>1910</v>
      </c>
      <c r="AN67" s="784" t="s">
        <v>1911</v>
      </c>
      <c r="AO67" s="786" t="s">
        <v>1912</v>
      </c>
      <c r="AP67" s="786" t="s">
        <v>1913</v>
      </c>
      <c r="AQ67" s="803" t="s">
        <v>1914</v>
      </c>
      <c r="AR67" s="785" t="s">
        <v>1915</v>
      </c>
      <c r="AS67" s="785" t="s">
        <v>1916</v>
      </c>
      <c r="AT67" s="783">
        <v>1924</v>
      </c>
      <c r="AY67" s="808"/>
      <c r="BA67" s="808"/>
      <c r="BB67" s="779"/>
      <c r="BC67" s="821"/>
      <c r="BD67" s="821"/>
      <c r="BE67" s="821"/>
      <c r="BF67" s="824"/>
      <c r="BG67" s="824"/>
      <c r="BH67" s="825"/>
      <c r="BI67" s="825"/>
      <c r="BJ67" s="824"/>
      <c r="BK67" s="824"/>
      <c r="BL67" s="825"/>
      <c r="BM67" s="825"/>
    </row>
    <row r="68" spans="2:65" ht="17.25" customHeight="1">
      <c r="G68" s="404"/>
      <c r="J68" s="671"/>
      <c r="S68" s="2276"/>
      <c r="T68" s="2276"/>
      <c r="U68" s="2276"/>
      <c r="V68" s="2276"/>
      <c r="X68" s="736" t="s">
        <v>94</v>
      </c>
      <c r="Y68" s="672"/>
      <c r="AE68" s="783">
        <v>1925</v>
      </c>
      <c r="AF68" s="784" t="s">
        <v>1876</v>
      </c>
      <c r="AG68" s="784"/>
      <c r="AH68" s="784"/>
      <c r="AI68" s="784" t="s">
        <v>1917</v>
      </c>
      <c r="AJ68" s="784"/>
      <c r="AK68" s="784"/>
      <c r="AL68" s="784" t="s">
        <v>1879</v>
      </c>
      <c r="AM68" s="784" t="s">
        <v>1918</v>
      </c>
      <c r="AN68" s="784" t="s">
        <v>1919</v>
      </c>
      <c r="AO68" s="847" t="s">
        <v>1920</v>
      </c>
      <c r="AP68" s="786" t="s">
        <v>1921</v>
      </c>
      <c r="AQ68" s="803" t="s">
        <v>1922</v>
      </c>
      <c r="AR68" s="785" t="s">
        <v>1923</v>
      </c>
      <c r="AS68" s="806" t="s">
        <v>1924</v>
      </c>
      <c r="AT68" s="783">
        <v>1925</v>
      </c>
      <c r="AV68" s="807"/>
      <c r="AW68" s="807"/>
      <c r="AX68" s="808"/>
      <c r="AY68" s="808"/>
      <c r="AZ68" s="808"/>
      <c r="BA68" s="808"/>
      <c r="BB68" s="779"/>
      <c r="BC68" s="821"/>
      <c r="BD68" s="821"/>
      <c r="BE68" s="821"/>
      <c r="BF68" s="824"/>
      <c r="BG68" s="824"/>
      <c r="BH68" s="825"/>
      <c r="BI68" s="825"/>
      <c r="BJ68" s="824"/>
      <c r="BK68" s="824"/>
      <c r="BL68" s="825"/>
      <c r="BM68" s="825"/>
    </row>
    <row r="69" spans="2:65" ht="17.25" customHeight="1">
      <c r="G69" s="699"/>
      <c r="J69" s="671"/>
      <c r="S69" s="2276"/>
      <c r="T69" s="2276"/>
      <c r="U69" s="2276"/>
      <c r="V69" s="2276"/>
      <c r="X69" s="736" t="s">
        <v>102</v>
      </c>
      <c r="Y69" s="672"/>
      <c r="AE69" s="783">
        <v>1926</v>
      </c>
      <c r="AF69" s="784" t="s">
        <v>1876</v>
      </c>
      <c r="AG69" s="784" t="s">
        <v>1925</v>
      </c>
      <c r="AH69" s="784"/>
      <c r="AI69" s="784" t="s">
        <v>1926</v>
      </c>
      <c r="AJ69" s="784"/>
      <c r="AK69" s="784"/>
      <c r="AL69" s="784" t="s">
        <v>1879</v>
      </c>
      <c r="AM69" s="784" t="s">
        <v>1927</v>
      </c>
      <c r="AN69" s="784" t="s">
        <v>1928</v>
      </c>
      <c r="AO69" s="805" t="s">
        <v>1929</v>
      </c>
      <c r="AP69" s="784" t="s">
        <v>1930</v>
      </c>
      <c r="AQ69" s="803" t="s">
        <v>1931</v>
      </c>
      <c r="AR69" s="785" t="s">
        <v>1932</v>
      </c>
      <c r="AS69" s="806" t="s">
        <v>1933</v>
      </c>
      <c r="AT69" s="783">
        <v>1926</v>
      </c>
      <c r="AV69" s="807"/>
      <c r="AW69" s="807"/>
      <c r="AX69" s="808"/>
      <c r="AY69" s="808"/>
      <c r="AZ69" s="808"/>
      <c r="BA69" s="808"/>
      <c r="BB69" s="779"/>
      <c r="BC69" s="821"/>
      <c r="BD69" s="821"/>
      <c r="BE69" s="821"/>
      <c r="BF69" s="824"/>
      <c r="BG69" s="824"/>
      <c r="BH69" s="825"/>
      <c r="BI69" s="825"/>
      <c r="BJ69" s="824"/>
      <c r="BK69" s="824"/>
      <c r="BL69" s="825"/>
      <c r="BM69" s="825"/>
    </row>
    <row r="70" spans="2:65" ht="17.25" customHeight="1">
      <c r="G70" s="253"/>
      <c r="J70" s="671"/>
      <c r="S70" s="2276"/>
      <c r="T70" s="2276"/>
      <c r="U70" s="2276"/>
      <c r="V70" s="2276"/>
      <c r="X70" s="736" t="s">
        <v>104</v>
      </c>
      <c r="Y70" s="672"/>
      <c r="AE70" s="783">
        <v>1927</v>
      </c>
      <c r="AF70" s="784" t="s">
        <v>1876</v>
      </c>
      <c r="AG70" s="784"/>
      <c r="AH70" s="784"/>
      <c r="AI70" s="784" t="s">
        <v>1934</v>
      </c>
      <c r="AJ70" s="784" t="s">
        <v>1935</v>
      </c>
      <c r="AK70" s="784"/>
      <c r="AL70" s="784" t="s">
        <v>1879</v>
      </c>
      <c r="AM70" s="784" t="s">
        <v>1936</v>
      </c>
      <c r="AN70" s="784" t="s">
        <v>1937</v>
      </c>
      <c r="AO70" s="805" t="s">
        <v>1938</v>
      </c>
      <c r="AP70" s="784" t="s">
        <v>1939</v>
      </c>
      <c r="AQ70" s="803" t="s">
        <v>1940</v>
      </c>
      <c r="AR70" s="785" t="s">
        <v>1941</v>
      </c>
      <c r="AS70" s="806" t="s">
        <v>1942</v>
      </c>
      <c r="AT70" s="783">
        <v>1927</v>
      </c>
      <c r="AV70" s="807"/>
      <c r="AW70" s="807"/>
      <c r="AX70" s="808"/>
      <c r="AY70" s="808"/>
      <c r="AZ70" s="808"/>
      <c r="BA70" s="808"/>
      <c r="BB70" s="779"/>
      <c r="BC70" s="821"/>
      <c r="BD70" s="821"/>
      <c r="BE70" s="821"/>
      <c r="BF70" s="824"/>
      <c r="BG70" s="824"/>
      <c r="BH70" s="825"/>
      <c r="BI70" s="825"/>
      <c r="BJ70" s="824"/>
      <c r="BK70" s="824"/>
      <c r="BL70" s="825"/>
      <c r="BM70" s="825"/>
    </row>
    <row r="71" spans="2:65" ht="17.25" customHeight="1">
      <c r="G71" s="253"/>
      <c r="J71" s="671"/>
      <c r="S71" s="2276"/>
      <c r="T71" s="2276"/>
      <c r="U71" s="2276"/>
      <c r="V71" s="2276"/>
      <c r="X71" s="736" t="s">
        <v>77</v>
      </c>
      <c r="Y71" s="672"/>
      <c r="AE71" s="783">
        <v>1928</v>
      </c>
      <c r="AF71" s="784" t="s">
        <v>1876</v>
      </c>
      <c r="AG71" s="784" t="s">
        <v>1943</v>
      </c>
      <c r="AH71" s="784"/>
      <c r="AI71" s="784" t="s">
        <v>1944</v>
      </c>
      <c r="AJ71" s="784"/>
      <c r="AK71" s="784"/>
      <c r="AL71" s="784" t="s">
        <v>1879</v>
      </c>
      <c r="AM71" s="784" t="s">
        <v>1945</v>
      </c>
      <c r="AN71" s="784" t="s">
        <v>1946</v>
      </c>
      <c r="AO71" s="784" t="s">
        <v>1947</v>
      </c>
      <c r="AP71" s="786" t="s">
        <v>1948</v>
      </c>
      <c r="AQ71" s="803" t="s">
        <v>1949</v>
      </c>
      <c r="AR71" s="785" t="s">
        <v>1950</v>
      </c>
      <c r="AS71" s="785" t="s">
        <v>1951</v>
      </c>
      <c r="AT71" s="783">
        <v>1928</v>
      </c>
      <c r="AW71" s="848"/>
      <c r="AY71" s="848"/>
      <c r="BA71" s="848"/>
      <c r="BB71" s="779"/>
      <c r="BC71" s="821"/>
      <c r="BD71" s="821"/>
      <c r="BE71" s="821"/>
      <c r="BF71" s="824"/>
      <c r="BG71" s="824"/>
      <c r="BH71" s="825"/>
      <c r="BI71" s="825"/>
      <c r="BJ71" s="824"/>
      <c r="BK71" s="824"/>
      <c r="BL71" s="825"/>
      <c r="BM71" s="825"/>
    </row>
    <row r="72" spans="2:65" ht="17.25" customHeight="1">
      <c r="S72" s="2276"/>
      <c r="T72" s="2276"/>
      <c r="U72" s="2276"/>
      <c r="V72" s="2276"/>
      <c r="X72" s="736" t="s">
        <v>112</v>
      </c>
      <c r="Y72" s="672"/>
      <c r="AA72" s="262"/>
      <c r="AB72" s="262"/>
      <c r="AE72" s="783">
        <v>1929</v>
      </c>
      <c r="AF72" s="784" t="s">
        <v>1876</v>
      </c>
      <c r="AG72" s="784" t="s">
        <v>1952</v>
      </c>
      <c r="AH72" s="784"/>
      <c r="AI72" s="784" t="s">
        <v>99</v>
      </c>
      <c r="AJ72" s="784"/>
      <c r="AK72" s="784"/>
      <c r="AL72" s="784" t="s">
        <v>1879</v>
      </c>
      <c r="AM72" s="784" t="s">
        <v>1953</v>
      </c>
      <c r="AN72" s="784" t="s">
        <v>1954</v>
      </c>
      <c r="AO72" s="805" t="s">
        <v>1955</v>
      </c>
      <c r="AP72" s="784" t="s">
        <v>1956</v>
      </c>
      <c r="AQ72" s="803" t="s">
        <v>1957</v>
      </c>
      <c r="AR72" s="785" t="s">
        <v>1958</v>
      </c>
      <c r="AS72" s="806" t="s">
        <v>1959</v>
      </c>
      <c r="AT72" s="783">
        <v>1929</v>
      </c>
      <c r="AV72" s="848"/>
      <c r="AW72" s="848"/>
      <c r="AX72" s="848"/>
      <c r="AY72" s="848"/>
      <c r="AZ72" s="848"/>
      <c r="BA72" s="848"/>
      <c r="BB72" s="779"/>
      <c r="BC72" s="821"/>
      <c r="BD72" s="821"/>
      <c r="BE72" s="821"/>
      <c r="BF72" s="824"/>
      <c r="BG72" s="824"/>
      <c r="BH72" s="825"/>
      <c r="BI72" s="825"/>
      <c r="BJ72" s="824"/>
      <c r="BK72" s="824"/>
      <c r="BL72" s="825"/>
      <c r="BM72" s="825"/>
    </row>
    <row r="73" spans="2:65" ht="17.25" customHeight="1">
      <c r="S73" s="2276"/>
      <c r="T73" s="2276"/>
      <c r="U73" s="2276"/>
      <c r="V73" s="2276"/>
      <c r="X73" s="736" t="s">
        <v>116</v>
      </c>
      <c r="Y73" s="672"/>
      <c r="AA73" s="262"/>
      <c r="AB73" s="262"/>
      <c r="AE73" s="783">
        <v>1930</v>
      </c>
      <c r="AF73" s="784" t="s">
        <v>99</v>
      </c>
      <c r="AG73" s="784"/>
      <c r="AH73" s="784"/>
      <c r="AI73" s="784" t="s">
        <v>99</v>
      </c>
      <c r="AJ73" s="784"/>
      <c r="AK73" s="784"/>
      <c r="AL73" s="784" t="s">
        <v>1960</v>
      </c>
      <c r="AM73" s="784" t="s">
        <v>1961</v>
      </c>
      <c r="AN73" s="784" t="s">
        <v>1962</v>
      </c>
      <c r="AO73" s="805" t="s">
        <v>1963</v>
      </c>
      <c r="AP73" s="784" t="s">
        <v>1964</v>
      </c>
      <c r="AQ73" s="803" t="s">
        <v>1965</v>
      </c>
      <c r="AR73" s="785" t="s">
        <v>1966</v>
      </c>
      <c r="AS73" s="806" t="s">
        <v>1967</v>
      </c>
      <c r="AT73" s="783">
        <v>1930</v>
      </c>
      <c r="AV73" s="848"/>
      <c r="AW73" s="848"/>
      <c r="AX73" s="848"/>
      <c r="AY73" s="848"/>
      <c r="AZ73" s="848"/>
      <c r="BA73" s="848"/>
      <c r="BB73" s="779"/>
      <c r="BC73" s="821"/>
      <c r="BD73" s="821"/>
      <c r="BE73" s="821"/>
      <c r="BF73" s="824"/>
      <c r="BG73" s="824"/>
      <c r="BH73" s="825"/>
      <c r="BI73" s="825"/>
      <c r="BJ73" s="824"/>
      <c r="BK73" s="824"/>
      <c r="BL73" s="825"/>
      <c r="BM73" s="825"/>
    </row>
    <row r="74" spans="2:65" ht="17.25" customHeight="1">
      <c r="S74" s="2276"/>
      <c r="T74" s="2276"/>
      <c r="U74" s="2276"/>
      <c r="V74" s="2276"/>
      <c r="X74" s="738" t="s">
        <v>118</v>
      </c>
      <c r="Y74" s="672"/>
      <c r="AA74" s="262"/>
      <c r="AB74" s="262"/>
      <c r="AE74" s="783">
        <v>1931</v>
      </c>
      <c r="AF74" s="784" t="s">
        <v>99</v>
      </c>
      <c r="AG74" s="784"/>
      <c r="AH74" s="784"/>
      <c r="AI74" s="845" t="s">
        <v>1968</v>
      </c>
      <c r="AJ74" s="845" t="s">
        <v>1969</v>
      </c>
      <c r="AK74" s="845"/>
      <c r="AL74" s="784" t="s">
        <v>1960</v>
      </c>
      <c r="AM74" s="784" t="s">
        <v>1970</v>
      </c>
      <c r="AN74" s="784" t="s">
        <v>1971</v>
      </c>
      <c r="AO74" s="805" t="s">
        <v>1972</v>
      </c>
      <c r="AP74" s="784" t="s">
        <v>1973</v>
      </c>
      <c r="AQ74" s="803" t="s">
        <v>1974</v>
      </c>
      <c r="AR74" s="785" t="s">
        <v>1975</v>
      </c>
      <c r="AS74" s="806" t="s">
        <v>1976</v>
      </c>
      <c r="AT74" s="783">
        <v>1931</v>
      </c>
      <c r="AV74" s="848"/>
      <c r="AW74" s="848"/>
      <c r="AX74" s="848"/>
      <c r="AY74" s="848"/>
      <c r="AZ74" s="848"/>
      <c r="BA74" s="848"/>
      <c r="BB74" s="779"/>
      <c r="BC74" s="821"/>
      <c r="BD74" s="821"/>
      <c r="BE74" s="821"/>
      <c r="BF74" s="824"/>
      <c r="BG74" s="824"/>
      <c r="BH74" s="825"/>
      <c r="BI74" s="825"/>
      <c r="BJ74" s="824"/>
      <c r="BK74" s="824"/>
      <c r="BL74" s="825"/>
      <c r="BM74" s="825"/>
    </row>
    <row r="75" spans="2:65" ht="17.25" customHeight="1">
      <c r="M75" s="739"/>
      <c r="N75" s="739"/>
      <c r="O75" s="739"/>
      <c r="P75" s="739"/>
      <c r="S75" s="740"/>
      <c r="T75" s="740"/>
      <c r="U75" s="740"/>
      <c r="V75" s="740"/>
      <c r="X75" s="738" t="s">
        <v>121</v>
      </c>
      <c r="Y75" s="672"/>
      <c r="AA75" s="262"/>
      <c r="AB75" s="262"/>
      <c r="AE75" s="783">
        <v>1932</v>
      </c>
      <c r="AF75" s="843" t="s">
        <v>1977</v>
      </c>
      <c r="AG75" s="784" t="s">
        <v>1978</v>
      </c>
      <c r="AH75" s="843"/>
      <c r="AI75" s="784" t="s">
        <v>1979</v>
      </c>
      <c r="AJ75" s="785"/>
      <c r="AK75" s="784"/>
      <c r="AL75" s="784" t="s">
        <v>1960</v>
      </c>
      <c r="AM75" s="784" t="s">
        <v>1980</v>
      </c>
      <c r="AN75" s="784" t="s">
        <v>1981</v>
      </c>
      <c r="AO75" s="805" t="s">
        <v>1982</v>
      </c>
      <c r="AP75" s="784" t="s">
        <v>1983</v>
      </c>
      <c r="AQ75" s="803" t="s">
        <v>1984</v>
      </c>
      <c r="AR75" s="785" t="s">
        <v>1985</v>
      </c>
      <c r="AS75" s="806" t="s">
        <v>1986</v>
      </c>
      <c r="AT75" s="783">
        <v>1932</v>
      </c>
      <c r="AV75" s="848"/>
      <c r="AW75" s="848"/>
      <c r="AX75" s="848"/>
      <c r="AY75" s="848"/>
      <c r="AZ75" s="848"/>
      <c r="BA75" s="848"/>
      <c r="BB75" s="779"/>
      <c r="BC75" s="821"/>
      <c r="BD75" s="821"/>
      <c r="BE75" s="821"/>
      <c r="BF75" s="824"/>
      <c r="BG75" s="824"/>
      <c r="BH75" s="825"/>
      <c r="BI75" s="825"/>
      <c r="BJ75" s="824"/>
      <c r="BK75" s="824"/>
      <c r="BL75" s="825"/>
      <c r="BM75" s="825"/>
    </row>
    <row r="76" spans="2:65" ht="17.25" customHeight="1">
      <c r="M76" s="739"/>
      <c r="N76" s="739"/>
      <c r="O76" s="739"/>
      <c r="P76" s="739"/>
      <c r="S76" s="2260" t="str">
        <f>".st "&amp;人物卡!E3&amp;"？"&amp;"力量"&amp;G14&amp;"str"&amp;G14&amp;"敏捷"&amp;J14&amp;"dex"&amp;J14&amp;"意志"&amp;M14&amp;"pow"&amp;M14&amp;"体质"&amp;H14&amp;"con"&amp;H14&amp;"外貌"&amp;K14&amp;"app"&amp;K14&amp;"教育"&amp;N14&amp;"edu"&amp;N14&amp;"体型"&amp;I14&amp;"siz"&amp;I14&amp;"智力"&amp;L14&amp;"灵感"&amp;L14&amp;"int"&amp;L14&amp;"san"&amp;人物卡!N10&amp;"san值"&amp;人物卡!N10&amp;"理智"&amp;人物卡!N10&amp;"理智值"&amp;人物卡!N10&amp;"幸运"&amp;O14&amp;"运气"&amp;O14&amp;"mp"&amp;人物卡!W10&amp;"魔法"&amp;人物卡!W10&amp;"hp"&amp;人物卡!E10&amp;"体力"&amp;人物卡!E10&amp;人物卡!F16&amp;人物卡!R16&amp;人物卡!F17&amp;人物卡!R17&amp;人物卡!F18&amp;人物卡!R18&amp;人物卡!F19&amp;人物卡!R19&amp;IF(人物卡!H20="","",人物卡!H20&amp;人物卡!R20)&amp;IF(人物卡!H21="","",人物卡!H21&amp;人物卡!R21)&amp;IF(人物卡!H22="","",人物卡!H22&amp;人物卡!R22)&amp;人物卡!F23&amp;人物卡!R23&amp;"魅惑"&amp;人物卡!R23&amp;人物卡!F24&amp;人物卡!R24&amp;"计算机"&amp;人物卡!R25&amp;"计算机使用"&amp;人物卡!R25&amp;"电脑"&amp;人物卡!R25&amp;"信用"&amp;人物卡!R26&amp;"信誉"&amp;人物卡!R26&amp;"信用评级"&amp;人物卡!R26&amp;"克苏鲁"&amp;人物卡!R27&amp;"克苏鲁神话"&amp;人物卡!R27&amp;"cm"&amp;人物卡!R27&amp;人物卡!F28&amp;人物卡!R28&amp;人物卡!F29&amp;人物卡!R29&amp;"汽车"&amp;人物卡!R30&amp;"驾驶"&amp;人物卡!R30&amp;"汽车驾驶"&amp;人物卡!R30&amp;人物卡!F31&amp;人物卡!R31&amp;"电子学"&amp;人物卡!R32&amp;人物卡!F33&amp;人物卡!R33&amp;人物卡!H34&amp;人物卡!R34&amp;IF(人物卡!H35="","",人物卡!H35&amp;人物卡!R35)&amp;IF(人物卡!H36="","",人物卡!H36&amp;人物卡!R36)&amp;IF(人物卡!H37="","",人物卡!H36&amp;人物卡!R37)&amp;人物卡!H38&amp;人物卡!R38&amp;IF(W15=1,人物卡!AB39&amp;人物卡!R39&amp;"步枪"&amp;人物卡!R39&amp;"霰弹枪"&amp;人物卡!R39&amp;"步霰"&amp;人物卡!R39,IF(人物卡!H39="","",人物卡!H39&amp;人物卡!R39))&amp;IF(W16=1,人物卡!AB40&amp;人物卡!R40&amp;"步枪"&amp;人物卡!R40&amp;"霰弹枪"&amp;人物卡!R40&amp;"步霰"&amp;人物卡!R40,IF(人物卡!H40="","",人物卡!H40&amp;人物卡!R40))&amp;IF(W17=1,人物卡!AB41&amp;人物卡!R41&amp;"步枪"&amp;人物卡!R41&amp;"霰弹枪"&amp;人物卡!R41&amp;"步霰"&amp;人物卡!R41,IF(人物卡!H41="","",人物卡!H41&amp;人物卡!R41))&amp;人物卡!F42&amp;人物卡!R42&amp;人物卡!F43&amp;人物卡!R43&amp;人物卡!F44&amp;人物卡!R44&amp;人物卡!F45&amp;人物卡!R45&amp;IF(人物卡!H46="","",人物卡!H46&amp;人物卡!R46)&amp;IF(人物卡!H47="","",人物卡!H47&amp;人物卡!R47)&amp;IF(人物卡!H48="","",人物卡!H48&amp;人物卡!R48)&amp;人物卡!F49&amp;人物卡!R49&amp;人物卡!AB16&amp;人物卡!AN16&amp;"图书馆"&amp;人物卡!AN17&amp;"图书馆使用"&amp;人物卡!AN17&amp;人物卡!AB18&amp;人物卡!AN18&amp;"开锁"&amp;人物卡!AN19&amp;"撬锁"&amp;人物卡!AN19&amp;"锁匠"&amp;人物卡!AN19&amp;人物卡!AB20&amp;人物卡!AN20&amp;人物卡!AB21&amp;人物卡!AN21&amp;"博物学"&amp;人物卡!AN22&amp;"自然学"&amp;人物卡!AN22&amp;"领航"&amp;人物卡!AN23&amp;"导航"&amp;人物卡!AN23&amp;人物卡!AB24&amp;人物卡!AN24&amp;"重型操作"&amp;人物卡!AN25&amp;"重型机械"&amp;人物卡!AN25&amp;"操作重型机械"&amp;人物卡!AN25&amp;"重型"&amp;人物卡!AN25&amp;人物卡!AB26&amp;人物卡!AN26&amp;IF(人物卡!AD27="","",人物卡!AD27&amp;人物卡!AN27)&amp;人物卡!AB28&amp;人物卡!AN28&amp;人物卡!AB29&amp;人物卡!AN29&amp;人物卡!AB30&amp;人物卡!AN30&amp;IF(人物卡!AD31="","",人物卡!AD31&amp;人物卡!AN31)&amp;IF(人物卡!AD32="","",人物卡!AD32&amp;人物卡!AN32)&amp;IF(人物卡!AD33="","",人物卡!AD33&amp;人物卡!AN33)&amp;人物卡!AB34&amp;人物卡!AN34&amp;人物卡!AB35&amp;人物卡!AN35&amp;人物卡!AB36&amp;人物卡!AN36&amp;"生存"&amp;人物卡!AN37&amp;人物卡!AB38&amp;人物卡!AN38&amp;人物卡!AB39&amp;人物卡!AN39&amp;人物卡!AB40&amp;人物卡!AN40&amp;人物卡!AB41&amp;人物卡!AN41&amp;人物卡!AB42&amp;人物卡!AN42&amp;人物卡!AB43&amp;人物卡!AN43&amp;人物卡!AB44&amp;人物卡!AN44&amp;人物卡!AB45&amp;人物卡!AN45&amp;人物卡!AB46&amp;人物卡!AN46&amp;IF(人物卡!AD47="","",人物卡!AD47&amp;人物卡!AN47)&amp;IF(W18=1,"",人物卡!AB48&amp;人物卡!AN48)&amp;IF(人物卡!AB49="","",人物卡!AB49&amp;人物卡!AN49)</f>
        <v>.st тополь？力量50str50敏捷70dex70意志80pow80体质50con50外貌70app70教育60edu60体型50siz50智力70灵感70int70san69san值69理智69理智值69幸运55运气55mp魔法hp4体力4会计5人类学1估价5考古学1取悦15魅惑15攀爬20计算机5计算机使用5电脑5信用15信誉15信用评级15克苏鲁0克苏鲁神话0cm0乔装5闪避35汽车20驾驶20汽车驾驶20电气维修10电子学1话术5斗殴25手枪20急救60历史5恐吓15跳跃20母语60法律5图书馆20图书馆使用20聆听58开锁80撬锁80锁匠80机械维修10医学1博物学10自然学10领航10导航10神秘学5重型操作1重型机械1操作重型机械1重型1说服10精神分析80心理学10骑术5妙手80侦查60潜行20生存10游泳20投掷20追踪10驯兽5潜水1爆破1读唇1催眠80炮术1</v>
      </c>
      <c r="T76" s="2260"/>
      <c r="U76" s="2260"/>
      <c r="V76" s="2260"/>
      <c r="X76" s="736" t="s">
        <v>123</v>
      </c>
      <c r="Y76" s="672"/>
      <c r="AA76" s="262"/>
      <c r="AB76" s="262"/>
      <c r="AE76" s="783">
        <v>1933</v>
      </c>
      <c r="AF76" s="843" t="s">
        <v>1987</v>
      </c>
      <c r="AG76" s="843"/>
      <c r="AH76" s="843"/>
      <c r="AI76" s="784" t="s">
        <v>1988</v>
      </c>
      <c r="AJ76" s="784"/>
      <c r="AK76" s="784"/>
      <c r="AL76" s="784" t="s">
        <v>1960</v>
      </c>
      <c r="AM76" s="784" t="s">
        <v>1989</v>
      </c>
      <c r="AN76" s="784" t="s">
        <v>1990</v>
      </c>
      <c r="AO76" s="805" t="s">
        <v>1991</v>
      </c>
      <c r="AP76" s="784" t="s">
        <v>1992</v>
      </c>
      <c r="AQ76" s="803" t="s">
        <v>1993</v>
      </c>
      <c r="AR76" s="785" t="s">
        <v>1994</v>
      </c>
      <c r="AS76" s="806" t="s">
        <v>1995</v>
      </c>
      <c r="AT76" s="783">
        <v>1933</v>
      </c>
      <c r="AV76" s="848"/>
      <c r="AW76" s="848"/>
      <c r="AX76" s="848"/>
      <c r="AY76" s="848"/>
      <c r="AZ76" s="848"/>
      <c r="BA76" s="848"/>
      <c r="BB76" s="779"/>
      <c r="BC76" s="821"/>
      <c r="BD76" s="821"/>
      <c r="BE76" s="821"/>
      <c r="BF76" s="824"/>
      <c r="BG76" s="824"/>
      <c r="BH76" s="825"/>
      <c r="BI76" s="825"/>
      <c r="BJ76" s="824"/>
      <c r="BK76" s="824"/>
      <c r="BL76" s="825"/>
      <c r="BM76" s="825"/>
    </row>
    <row r="77" spans="2:65" ht="17.25" customHeight="1">
      <c r="M77" s="739"/>
      <c r="N77" s="739"/>
      <c r="O77" s="739"/>
      <c r="P77" s="739"/>
      <c r="S77" s="2260"/>
      <c r="T77" s="2260"/>
      <c r="U77" s="2260"/>
      <c r="V77" s="2260"/>
      <c r="X77" s="736" t="s">
        <v>80</v>
      </c>
      <c r="Y77" s="672"/>
      <c r="AA77" s="262"/>
      <c r="AB77" s="262"/>
      <c r="AE77" s="783">
        <v>1934</v>
      </c>
      <c r="AF77" s="784" t="s">
        <v>99</v>
      </c>
      <c r="AG77" s="784"/>
      <c r="AH77" s="784"/>
      <c r="AI77" s="845" t="s">
        <v>1996</v>
      </c>
      <c r="AJ77" s="845"/>
      <c r="AK77" s="845"/>
      <c r="AL77" s="784" t="s">
        <v>1960</v>
      </c>
      <c r="AM77" s="784" t="s">
        <v>1997</v>
      </c>
      <c r="AN77" s="784" t="s">
        <v>1998</v>
      </c>
      <c r="AO77" s="805" t="s">
        <v>1999</v>
      </c>
      <c r="AP77" s="786" t="s">
        <v>2000</v>
      </c>
      <c r="AQ77" s="803" t="s">
        <v>2001</v>
      </c>
      <c r="AR77" s="785" t="s">
        <v>2002</v>
      </c>
      <c r="AS77" s="806" t="s">
        <v>2003</v>
      </c>
      <c r="AT77" s="783">
        <v>1934</v>
      </c>
      <c r="AV77" s="848"/>
      <c r="AW77" s="848"/>
      <c r="AX77" s="848"/>
      <c r="AY77" s="848"/>
      <c r="AZ77" s="848"/>
      <c r="BA77" s="848"/>
      <c r="BB77" s="779"/>
      <c r="BC77" s="821"/>
      <c r="BD77" s="821"/>
      <c r="BE77" s="821"/>
      <c r="BF77" s="824"/>
      <c r="BG77" s="824"/>
      <c r="BH77" s="825"/>
      <c r="BI77" s="825"/>
      <c r="BJ77" s="824"/>
      <c r="BK77" s="824"/>
      <c r="BL77" s="825"/>
      <c r="BM77" s="825"/>
    </row>
    <row r="78" spans="2:65" ht="17.25" customHeight="1">
      <c r="M78" s="739"/>
      <c r="N78" s="739"/>
      <c r="O78" s="739"/>
      <c r="P78" s="739"/>
      <c r="S78" s="2260"/>
      <c r="T78" s="2260"/>
      <c r="U78" s="2260"/>
      <c r="V78" s="2260"/>
      <c r="X78" s="736" t="s">
        <v>128</v>
      </c>
      <c r="Y78" s="672"/>
      <c r="AA78" s="262"/>
      <c r="AB78" s="262"/>
      <c r="AE78" s="783">
        <v>1935</v>
      </c>
      <c r="AF78" s="784" t="s">
        <v>99</v>
      </c>
      <c r="AG78" s="784"/>
      <c r="AH78" s="784"/>
      <c r="AI78" s="845" t="s">
        <v>2004</v>
      </c>
      <c r="AJ78" s="845" t="s">
        <v>2005</v>
      </c>
      <c r="AK78" s="845"/>
      <c r="AL78" s="784" t="s">
        <v>1960</v>
      </c>
      <c r="AM78" s="784" t="s">
        <v>2006</v>
      </c>
      <c r="AN78" s="784" t="s">
        <v>2007</v>
      </c>
      <c r="AO78" s="786" t="s">
        <v>2008</v>
      </c>
      <c r="AP78" s="786" t="s">
        <v>2000</v>
      </c>
      <c r="AQ78" s="803" t="s">
        <v>2009</v>
      </c>
      <c r="AR78" s="785" t="s">
        <v>2010</v>
      </c>
      <c r="AS78" s="785" t="s">
        <v>2011</v>
      </c>
      <c r="AT78" s="783">
        <v>1935</v>
      </c>
      <c r="AV78" s="821"/>
      <c r="AW78" s="821"/>
      <c r="AX78" s="850"/>
      <c r="AY78" s="850"/>
      <c r="AZ78" s="850"/>
      <c r="BA78" s="850"/>
      <c r="BB78" s="779"/>
      <c r="BC78" s="821"/>
      <c r="BD78" s="821"/>
      <c r="BE78" s="821"/>
      <c r="BF78" s="824"/>
      <c r="BG78" s="824"/>
      <c r="BH78" s="825"/>
      <c r="BI78" s="825"/>
      <c r="BJ78" s="824"/>
      <c r="BK78" s="824"/>
      <c r="BL78" s="825"/>
      <c r="BM78" s="825"/>
    </row>
    <row r="79" spans="2:65" ht="17.25" customHeight="1">
      <c r="G79" s="248"/>
      <c r="H79" s="248"/>
      <c r="I79" s="253"/>
      <c r="J79" s="671"/>
      <c r="M79" s="739"/>
      <c r="N79" s="739"/>
      <c r="O79" s="739"/>
      <c r="P79" s="739"/>
      <c r="S79" s="2260"/>
      <c r="T79" s="2260"/>
      <c r="U79" s="2260"/>
      <c r="V79" s="2260"/>
      <c r="X79" s="736" t="s">
        <v>132</v>
      </c>
      <c r="Y79" s="672"/>
      <c r="AA79" s="262"/>
      <c r="AB79" s="262"/>
      <c r="AE79" s="783">
        <v>1936</v>
      </c>
      <c r="AF79" s="844" t="s">
        <v>2012</v>
      </c>
      <c r="AG79" s="844"/>
      <c r="AH79" s="844"/>
      <c r="AI79" s="845" t="s">
        <v>2013</v>
      </c>
      <c r="AJ79" s="845" t="s">
        <v>2014</v>
      </c>
      <c r="AK79" s="845"/>
      <c r="AL79" s="784" t="s">
        <v>1960</v>
      </c>
      <c r="AM79" s="784" t="s">
        <v>2015</v>
      </c>
      <c r="AN79" s="784" t="s">
        <v>2016</v>
      </c>
      <c r="AO79" s="805" t="s">
        <v>2017</v>
      </c>
      <c r="AP79" s="786" t="s">
        <v>2000</v>
      </c>
      <c r="AQ79" s="803" t="s">
        <v>2018</v>
      </c>
      <c r="AR79" s="785" t="s">
        <v>2019</v>
      </c>
      <c r="AS79" s="806" t="s">
        <v>2020</v>
      </c>
      <c r="AT79" s="783">
        <v>1936</v>
      </c>
      <c r="AV79" s="821"/>
      <c r="AW79" s="821"/>
      <c r="AX79" s="850"/>
      <c r="AY79" s="850"/>
      <c r="AZ79" s="850"/>
      <c r="BA79" s="850"/>
      <c r="BB79" s="779"/>
      <c r="BC79" s="821"/>
      <c r="BD79" s="821"/>
      <c r="BE79" s="821"/>
      <c r="BF79" s="824"/>
      <c r="BG79" s="824"/>
      <c r="BH79" s="825"/>
      <c r="BI79" s="825"/>
      <c r="BJ79" s="824"/>
      <c r="BK79" s="824"/>
      <c r="BL79" s="825"/>
      <c r="BM79" s="825"/>
    </row>
    <row r="80" spans="2:65" ht="17.25" customHeight="1">
      <c r="G80" s="248"/>
      <c r="H80" s="248"/>
      <c r="I80" s="248"/>
      <c r="J80" s="671"/>
      <c r="M80" s="739"/>
      <c r="N80" s="739"/>
      <c r="O80" s="739"/>
      <c r="P80" s="739"/>
      <c r="S80" s="2260"/>
      <c r="T80" s="2260"/>
      <c r="U80" s="2260"/>
      <c r="V80" s="2260"/>
      <c r="X80" s="736" t="s">
        <v>137</v>
      </c>
      <c r="Y80" s="672"/>
      <c r="AA80" s="262"/>
      <c r="AB80" s="262"/>
      <c r="AE80" s="783">
        <v>1937</v>
      </c>
      <c r="AF80" s="784" t="s">
        <v>99</v>
      </c>
      <c r="AG80" s="784"/>
      <c r="AH80" s="784"/>
      <c r="AI80" s="845" t="s">
        <v>2021</v>
      </c>
      <c r="AJ80" s="845" t="s">
        <v>2022</v>
      </c>
      <c r="AK80" s="845" t="s">
        <v>2023</v>
      </c>
      <c r="AL80" s="784" t="s">
        <v>1960</v>
      </c>
      <c r="AM80" s="784" t="s">
        <v>2024</v>
      </c>
      <c r="AN80" s="784" t="s">
        <v>2025</v>
      </c>
      <c r="AO80" s="805" t="s">
        <v>2026</v>
      </c>
      <c r="AP80" s="786" t="s">
        <v>2000</v>
      </c>
      <c r="AQ80" s="803" t="s">
        <v>2027</v>
      </c>
      <c r="AR80" s="785" t="s">
        <v>2028</v>
      </c>
      <c r="AS80" s="806" t="s">
        <v>2029</v>
      </c>
      <c r="AT80" s="783">
        <v>1937</v>
      </c>
      <c r="AV80" s="821"/>
      <c r="AW80" s="821"/>
      <c r="AX80" s="850"/>
      <c r="AY80" s="850"/>
      <c r="AZ80" s="850"/>
      <c r="BA80" s="850"/>
      <c r="BB80" s="779"/>
      <c r="BC80" s="821"/>
      <c r="BD80" s="821"/>
      <c r="BE80" s="821"/>
      <c r="BF80" s="852"/>
      <c r="BG80" s="852"/>
      <c r="BH80" s="853"/>
      <c r="BI80" s="853"/>
      <c r="BJ80" s="852"/>
      <c r="BK80" s="852"/>
      <c r="BL80" s="853"/>
      <c r="BM80" s="853"/>
    </row>
    <row r="81" spans="2:65" ht="17.25" customHeight="1">
      <c r="B81" s="673"/>
      <c r="C81" s="673"/>
      <c r="D81" s="673"/>
      <c r="E81" s="673"/>
      <c r="F81" s="248"/>
      <c r="G81" s="248"/>
      <c r="H81" s="248"/>
      <c r="I81" s="253"/>
      <c r="J81" s="671"/>
      <c r="M81" s="739"/>
      <c r="N81" s="739"/>
      <c r="O81" s="739"/>
      <c r="P81" s="739"/>
      <c r="S81" s="2260"/>
      <c r="T81" s="2260"/>
      <c r="U81" s="2260"/>
      <c r="V81" s="2260"/>
      <c r="X81" s="736" t="s">
        <v>140</v>
      </c>
      <c r="Y81" s="672"/>
      <c r="AA81" s="262"/>
      <c r="AB81" s="262"/>
      <c r="AE81" s="783">
        <v>1938</v>
      </c>
      <c r="AF81" s="784" t="s">
        <v>99</v>
      </c>
      <c r="AG81" s="784"/>
      <c r="AH81" s="784"/>
      <c r="AI81" s="845" t="s">
        <v>2030</v>
      </c>
      <c r="AJ81" s="845" t="s">
        <v>2031</v>
      </c>
      <c r="AK81" s="845"/>
      <c r="AL81" s="784" t="s">
        <v>1960</v>
      </c>
      <c r="AM81" s="784" t="s">
        <v>2032</v>
      </c>
      <c r="AN81" s="784" t="s">
        <v>2033</v>
      </c>
      <c r="AO81" s="805" t="s">
        <v>2034</v>
      </c>
      <c r="AP81" s="786" t="s">
        <v>2000</v>
      </c>
      <c r="AQ81" s="803" t="s">
        <v>2035</v>
      </c>
      <c r="AR81" s="785" t="s">
        <v>2036</v>
      </c>
      <c r="AS81" s="806" t="s">
        <v>2037</v>
      </c>
      <c r="AT81" s="783">
        <v>1938</v>
      </c>
      <c r="AV81" s="821"/>
      <c r="AW81" s="821"/>
      <c r="AX81" s="850"/>
      <c r="AY81" s="850"/>
      <c r="AZ81" s="850"/>
      <c r="BA81" s="850"/>
      <c r="BB81" s="779"/>
      <c r="BC81" s="821"/>
      <c r="BD81" s="821"/>
      <c r="BE81" s="821"/>
      <c r="BF81" s="852"/>
      <c r="BG81" s="852"/>
      <c r="BH81" s="853"/>
      <c r="BI81" s="853"/>
      <c r="BJ81" s="852"/>
      <c r="BK81" s="852"/>
      <c r="BL81" s="853"/>
      <c r="BM81" s="853"/>
    </row>
    <row r="82" spans="2:65" ht="17.25" customHeight="1">
      <c r="B82" s="673"/>
      <c r="C82" s="253"/>
      <c r="D82" s="673"/>
      <c r="E82" s="248"/>
      <c r="F82" s="248"/>
      <c r="G82" s="248"/>
      <c r="H82" s="248"/>
      <c r="I82" s="248"/>
      <c r="J82" s="671"/>
      <c r="M82" s="739"/>
      <c r="N82" s="739"/>
      <c r="O82" s="739"/>
      <c r="P82" s="739"/>
      <c r="S82" s="2260"/>
      <c r="T82" s="2260"/>
      <c r="U82" s="2260"/>
      <c r="V82" s="2260"/>
      <c r="X82" s="736" t="s">
        <v>143</v>
      </c>
      <c r="Y82" s="672"/>
      <c r="AA82" s="262"/>
      <c r="AB82" s="262"/>
      <c r="AE82" s="783">
        <v>1939</v>
      </c>
      <c r="AF82" s="845" t="s">
        <v>2038</v>
      </c>
      <c r="AG82" s="845"/>
      <c r="AH82" s="845"/>
      <c r="AI82" s="784" t="s">
        <v>99</v>
      </c>
      <c r="AJ82" s="784"/>
      <c r="AK82" s="784"/>
      <c r="AL82" s="784" t="s">
        <v>1960</v>
      </c>
      <c r="AM82" s="784" t="s">
        <v>2039</v>
      </c>
      <c r="AN82" s="784" t="s">
        <v>2040</v>
      </c>
      <c r="AO82" s="805" t="s">
        <v>2041</v>
      </c>
      <c r="AP82" s="786" t="s">
        <v>2000</v>
      </c>
      <c r="AQ82" s="803" t="s">
        <v>2042</v>
      </c>
      <c r="AR82" s="785" t="s">
        <v>2043</v>
      </c>
      <c r="AS82" s="806" t="s">
        <v>2044</v>
      </c>
      <c r="AT82" s="783">
        <v>1939</v>
      </c>
      <c r="AV82" s="821"/>
      <c r="AW82" s="821"/>
      <c r="AX82" s="850"/>
      <c r="AY82" s="850"/>
      <c r="AZ82" s="850"/>
      <c r="BA82" s="850"/>
      <c r="BB82" s="779"/>
      <c r="BC82" s="821"/>
      <c r="BD82" s="821"/>
      <c r="BE82" s="821"/>
      <c r="BF82" s="852"/>
      <c r="BG82" s="852"/>
      <c r="BH82" s="853"/>
      <c r="BI82" s="853"/>
      <c r="BJ82" s="852"/>
      <c r="BK82" s="852"/>
      <c r="BL82" s="853"/>
      <c r="BM82" s="853"/>
    </row>
    <row r="83" spans="2:65" ht="17.25" customHeight="1">
      <c r="B83" s="673"/>
      <c r="C83" s="253"/>
      <c r="D83" s="673"/>
      <c r="E83" s="673"/>
      <c r="F83" s="248"/>
      <c r="G83" s="248"/>
      <c r="H83" s="248"/>
      <c r="I83" s="253"/>
      <c r="J83" s="671"/>
      <c r="M83" s="739"/>
      <c r="N83" s="739"/>
      <c r="O83" s="739"/>
      <c r="P83" s="739"/>
      <c r="S83" s="2260"/>
      <c r="T83" s="2260"/>
      <c r="U83" s="2260"/>
      <c r="V83" s="2260"/>
      <c r="X83" s="736" t="s">
        <v>145</v>
      </c>
      <c r="Y83" s="672"/>
      <c r="AA83" s="262"/>
      <c r="AB83" s="262"/>
      <c r="AC83" s="846"/>
      <c r="AD83" s="427"/>
      <c r="AE83" s="783">
        <v>1940</v>
      </c>
      <c r="AF83" s="845" t="s">
        <v>2038</v>
      </c>
      <c r="AG83" s="845" t="s">
        <v>1843</v>
      </c>
      <c r="AH83" s="845"/>
      <c r="AI83" s="784" t="s">
        <v>2045</v>
      </c>
      <c r="AJ83" s="784"/>
      <c r="AK83" s="784"/>
      <c r="AL83" s="784" t="s">
        <v>2046</v>
      </c>
      <c r="AM83" s="784" t="s">
        <v>2047</v>
      </c>
      <c r="AN83" s="784" t="s">
        <v>2048</v>
      </c>
      <c r="AO83" s="805" t="s">
        <v>2049</v>
      </c>
      <c r="AP83" s="784" t="s">
        <v>2050</v>
      </c>
      <c r="AQ83" s="803" t="s">
        <v>2051</v>
      </c>
      <c r="AR83" s="785" t="s">
        <v>2052</v>
      </c>
      <c r="AS83" s="806" t="s">
        <v>2053</v>
      </c>
      <c r="AT83" s="783">
        <v>1940</v>
      </c>
      <c r="AV83" s="821"/>
      <c r="AW83" s="821"/>
      <c r="AX83" s="850"/>
      <c r="AY83" s="850"/>
      <c r="AZ83" s="850"/>
      <c r="BA83" s="850"/>
      <c r="BB83" s="779"/>
      <c r="BC83" s="821"/>
      <c r="BD83" s="821"/>
      <c r="BE83" s="821"/>
      <c r="BF83" s="852"/>
      <c r="BG83" s="852"/>
      <c r="BH83" s="853"/>
      <c r="BI83" s="853"/>
      <c r="BJ83" s="852"/>
      <c r="BK83" s="852"/>
      <c r="BL83" s="853"/>
      <c r="BM83" s="853"/>
    </row>
    <row r="84" spans="2:65" ht="17.25" customHeight="1">
      <c r="B84" s="253"/>
      <c r="C84" s="248"/>
      <c r="D84" s="673"/>
      <c r="E84" s="253"/>
      <c r="F84" s="253"/>
      <c r="G84" s="253"/>
      <c r="H84" s="253"/>
      <c r="I84" s="253"/>
      <c r="J84" s="671"/>
      <c r="M84" s="739"/>
      <c r="N84" s="739"/>
      <c r="O84" s="739"/>
      <c r="P84" s="739"/>
      <c r="S84" s="2260"/>
      <c r="T84" s="2260"/>
      <c r="U84" s="2260"/>
      <c r="V84" s="2260"/>
      <c r="X84" s="738" t="s">
        <v>147</v>
      </c>
      <c r="Y84" s="672"/>
      <c r="AA84" s="262"/>
      <c r="AB84" s="262"/>
      <c r="AE84" s="783">
        <v>1941</v>
      </c>
      <c r="AF84" s="845" t="s">
        <v>2038</v>
      </c>
      <c r="AG84" s="845"/>
      <c r="AH84" s="845"/>
      <c r="AI84" s="784" t="s">
        <v>2054</v>
      </c>
      <c r="AJ84" s="784"/>
      <c r="AK84" s="784"/>
      <c r="AL84" s="784" t="s">
        <v>2046</v>
      </c>
      <c r="AM84" s="784" t="s">
        <v>2055</v>
      </c>
      <c r="AN84" s="784" t="s">
        <v>2056</v>
      </c>
      <c r="AO84" s="805" t="s">
        <v>2057</v>
      </c>
      <c r="AP84" s="786" t="s">
        <v>2000</v>
      </c>
      <c r="AQ84" s="803" t="s">
        <v>2058</v>
      </c>
      <c r="AR84" s="785" t="s">
        <v>2059</v>
      </c>
      <c r="AS84" s="806" t="s">
        <v>2060</v>
      </c>
      <c r="AT84" s="783">
        <v>1941</v>
      </c>
      <c r="AV84" s="821"/>
      <c r="AW84" s="821"/>
      <c r="AX84" s="850"/>
      <c r="AY84" s="850"/>
      <c r="AZ84" s="850"/>
      <c r="BA84" s="850"/>
      <c r="BB84" s="779"/>
      <c r="BC84" s="821"/>
      <c r="BD84" s="821"/>
      <c r="BE84" s="821"/>
      <c r="BF84" s="852"/>
      <c r="BG84" s="852"/>
      <c r="BH84" s="853"/>
      <c r="BI84" s="853"/>
      <c r="BJ84" s="852"/>
      <c r="BK84" s="852"/>
      <c r="BL84" s="853"/>
      <c r="BM84" s="853"/>
    </row>
    <row r="85" spans="2:65" ht="17.25" customHeight="1">
      <c r="B85" s="673"/>
      <c r="C85" s="253"/>
      <c r="D85" s="673"/>
      <c r="E85" s="673"/>
      <c r="F85" s="248"/>
      <c r="G85" s="248"/>
      <c r="H85" s="248"/>
      <c r="I85" s="253"/>
      <c r="J85" s="671"/>
      <c r="M85" s="739"/>
      <c r="N85" s="739"/>
      <c r="O85" s="739"/>
      <c r="P85" s="739"/>
      <c r="S85" s="2260"/>
      <c r="T85" s="2260"/>
      <c r="U85" s="2260"/>
      <c r="V85" s="2260"/>
      <c r="X85" s="738" t="s">
        <v>149</v>
      </c>
      <c r="Y85" s="672"/>
      <c r="AA85" s="262"/>
      <c r="AB85" s="262"/>
      <c r="AE85" s="783">
        <v>1942</v>
      </c>
      <c r="AF85" s="845" t="s">
        <v>2038</v>
      </c>
      <c r="AG85" s="845"/>
      <c r="AH85" s="845"/>
      <c r="AI85" s="784" t="s">
        <v>99</v>
      </c>
      <c r="AJ85" s="784"/>
      <c r="AK85" s="784"/>
      <c r="AL85" s="784" t="s">
        <v>2046</v>
      </c>
      <c r="AM85" s="784" t="s">
        <v>2061</v>
      </c>
      <c r="AN85" s="784" t="s">
        <v>2062</v>
      </c>
      <c r="AO85" s="805" t="s">
        <v>2063</v>
      </c>
      <c r="AP85" s="786" t="s">
        <v>2000</v>
      </c>
      <c r="AQ85" s="803" t="s">
        <v>2064</v>
      </c>
      <c r="AR85" s="785" t="s">
        <v>2065</v>
      </c>
      <c r="AS85" s="806" t="s">
        <v>2066</v>
      </c>
      <c r="AT85" s="783">
        <v>1942</v>
      </c>
      <c r="AV85" s="821"/>
      <c r="AW85" s="821"/>
      <c r="AX85" s="850"/>
      <c r="AY85" s="850"/>
      <c r="AZ85" s="850"/>
      <c r="BA85" s="850"/>
      <c r="BB85" s="779"/>
      <c r="BC85" s="821"/>
      <c r="BD85" s="821"/>
      <c r="BE85" s="821"/>
      <c r="BF85" s="852"/>
      <c r="BG85" s="852"/>
      <c r="BH85" s="854"/>
      <c r="BI85" s="854"/>
      <c r="BJ85" s="852"/>
      <c r="BK85" s="852"/>
      <c r="BL85" s="854"/>
      <c r="BM85" s="854"/>
    </row>
    <row r="86" spans="2:65" ht="17.25" customHeight="1">
      <c r="B86" s="248"/>
      <c r="C86" s="253"/>
      <c r="D86" s="673"/>
      <c r="E86" s="248"/>
      <c r="F86" s="248"/>
      <c r="G86" s="248"/>
      <c r="H86" s="248"/>
      <c r="I86" s="248"/>
      <c r="J86" s="671"/>
      <c r="M86" s="739"/>
      <c r="N86" s="739"/>
      <c r="O86" s="739"/>
      <c r="P86" s="739"/>
      <c r="S86" s="2260"/>
      <c r="T86" s="2260"/>
      <c r="U86" s="2260"/>
      <c r="V86" s="2260"/>
      <c r="X86" s="738" t="s">
        <v>151</v>
      </c>
      <c r="Y86" s="672"/>
      <c r="AA86" s="262"/>
      <c r="AB86" s="262"/>
      <c r="AE86" s="783">
        <v>1943</v>
      </c>
      <c r="AF86" s="845" t="s">
        <v>2038</v>
      </c>
      <c r="AG86" s="845"/>
      <c r="AH86" s="845"/>
      <c r="AI86" s="784" t="s">
        <v>99</v>
      </c>
      <c r="AJ86" s="784"/>
      <c r="AK86" s="784"/>
      <c r="AL86" s="784" t="s">
        <v>2046</v>
      </c>
      <c r="AM86" s="784" t="s">
        <v>2067</v>
      </c>
      <c r="AN86" s="784" t="s">
        <v>2068</v>
      </c>
      <c r="AO86" s="805" t="s">
        <v>2069</v>
      </c>
      <c r="AP86" s="784" t="s">
        <v>2070</v>
      </c>
      <c r="AQ86" s="803" t="s">
        <v>2071</v>
      </c>
      <c r="AR86" s="785" t="s">
        <v>2072</v>
      </c>
      <c r="AS86" s="806" t="s">
        <v>2073</v>
      </c>
      <c r="AT86" s="783">
        <v>1943</v>
      </c>
      <c r="AV86" s="821"/>
      <c r="AW86" s="821"/>
      <c r="AX86" s="850"/>
      <c r="AY86" s="850"/>
      <c r="AZ86" s="850"/>
      <c r="BA86" s="850"/>
      <c r="BB86" s="779"/>
      <c r="BC86" s="821"/>
      <c r="BD86" s="821"/>
      <c r="BE86" s="821"/>
      <c r="BF86" s="852"/>
      <c r="BG86" s="852"/>
      <c r="BH86" s="854"/>
      <c r="BI86" s="854"/>
      <c r="BJ86" s="852"/>
      <c r="BK86" s="852"/>
      <c r="BL86" s="854"/>
      <c r="BM86" s="854"/>
    </row>
    <row r="87" spans="2:65" ht="17.25" customHeight="1">
      <c r="B87" s="404"/>
      <c r="C87" s="253"/>
      <c r="D87" s="673"/>
      <c r="E87" s="673"/>
      <c r="F87" s="248"/>
      <c r="G87" s="248"/>
      <c r="H87" s="248"/>
      <c r="I87" s="403"/>
      <c r="J87" s="671"/>
      <c r="M87" s="739"/>
      <c r="N87" s="739"/>
      <c r="O87" s="739"/>
      <c r="P87" s="739"/>
      <c r="S87" s="2260"/>
      <c r="T87" s="2260"/>
      <c r="U87" s="2260"/>
      <c r="V87" s="2260"/>
      <c r="X87" s="738" t="s">
        <v>154</v>
      </c>
      <c r="Y87" s="672"/>
      <c r="AA87" s="262"/>
      <c r="AB87" s="262"/>
      <c r="AC87" s="262"/>
      <c r="AD87" s="262"/>
      <c r="AE87" s="783">
        <v>1944</v>
      </c>
      <c r="AF87" s="845" t="s">
        <v>2074</v>
      </c>
      <c r="AG87" s="845" t="s">
        <v>1843</v>
      </c>
      <c r="AH87" s="845"/>
      <c r="AI87" s="784" t="s">
        <v>99</v>
      </c>
      <c r="AJ87" s="784"/>
      <c r="AK87" s="784"/>
      <c r="AL87" s="784" t="s">
        <v>2046</v>
      </c>
      <c r="AM87" s="784" t="s">
        <v>2075</v>
      </c>
      <c r="AN87" s="784" t="s">
        <v>2076</v>
      </c>
      <c r="AO87" s="805" t="s">
        <v>2077</v>
      </c>
      <c r="AP87" s="786" t="s">
        <v>2000</v>
      </c>
      <c r="AQ87" s="803" t="s">
        <v>2078</v>
      </c>
      <c r="AR87" s="785" t="s">
        <v>2079</v>
      </c>
      <c r="AS87" s="806" t="s">
        <v>2080</v>
      </c>
      <c r="AT87" s="783">
        <v>1944</v>
      </c>
      <c r="AV87" s="848"/>
      <c r="AW87" s="848"/>
      <c r="AX87" s="821"/>
      <c r="AY87" s="821"/>
      <c r="AZ87" s="848"/>
      <c r="BA87" s="848"/>
      <c r="BB87" s="779"/>
      <c r="BC87" s="821"/>
      <c r="BD87" s="821"/>
      <c r="BE87" s="821"/>
      <c r="BF87" s="852"/>
      <c r="BG87" s="852"/>
      <c r="BH87" s="854"/>
      <c r="BI87" s="854"/>
      <c r="BJ87" s="852"/>
      <c r="BK87" s="852"/>
      <c r="BL87" s="854"/>
      <c r="BM87" s="854"/>
    </row>
    <row r="88" spans="2:65" ht="17.25" customHeight="1">
      <c r="B88" s="253"/>
      <c r="C88" s="253"/>
      <c r="D88" s="673"/>
      <c r="E88" s="253"/>
      <c r="F88" s="253"/>
      <c r="G88" s="253"/>
      <c r="H88" s="253"/>
      <c r="I88" s="253"/>
      <c r="J88" s="671"/>
      <c r="M88" s="739"/>
      <c r="N88" s="739"/>
      <c r="O88" s="739"/>
      <c r="P88" s="739"/>
      <c r="S88" s="740"/>
      <c r="T88" s="740"/>
      <c r="U88" s="740"/>
      <c r="V88" s="740"/>
      <c r="X88" s="738" t="s">
        <v>74</v>
      </c>
      <c r="Y88" s="672"/>
      <c r="AA88" s="262"/>
      <c r="AB88" s="262"/>
      <c r="AC88" s="262"/>
      <c r="AD88" s="262"/>
      <c r="AE88" s="783">
        <v>1945</v>
      </c>
      <c r="AF88" s="845" t="s">
        <v>2038</v>
      </c>
      <c r="AG88" s="845"/>
      <c r="AH88" s="845"/>
      <c r="AI88" s="847" t="s">
        <v>2081</v>
      </c>
      <c r="AJ88" s="847" t="s">
        <v>2082</v>
      </c>
      <c r="AK88" s="847" t="s">
        <v>2083</v>
      </c>
      <c r="AL88" s="784" t="s">
        <v>2046</v>
      </c>
      <c r="AM88" s="784" t="s">
        <v>2084</v>
      </c>
      <c r="AN88" s="784" t="s">
        <v>2085</v>
      </c>
      <c r="AO88" s="805" t="s">
        <v>2086</v>
      </c>
      <c r="AP88" s="786" t="s">
        <v>2087</v>
      </c>
      <c r="AQ88" s="803" t="s">
        <v>2088</v>
      </c>
      <c r="AR88" s="785" t="s">
        <v>2089</v>
      </c>
      <c r="AS88" s="849" t="s">
        <v>2090</v>
      </c>
      <c r="AT88" s="783">
        <v>1945</v>
      </c>
      <c r="AV88" s="848"/>
      <c r="AW88" s="848"/>
      <c r="AX88" s="821"/>
      <c r="AY88" s="821"/>
      <c r="AZ88" s="848"/>
      <c r="BA88" s="848"/>
      <c r="BB88" s="779"/>
      <c r="BC88" s="821"/>
      <c r="BD88" s="821"/>
      <c r="BE88" s="821"/>
      <c r="BF88" s="852"/>
      <c r="BG88" s="852"/>
      <c r="BH88" s="854"/>
      <c r="BI88" s="854"/>
      <c r="BJ88" s="852"/>
      <c r="BK88" s="852"/>
      <c r="BL88" s="854"/>
      <c r="BM88" s="854"/>
    </row>
    <row r="89" spans="2:65" ht="17.25" customHeight="1">
      <c r="B89" s="699"/>
      <c r="C89" s="253"/>
      <c r="F89" s="828"/>
      <c r="G89" s="248"/>
      <c r="H89" s="248"/>
      <c r="I89" s="699"/>
      <c r="J89" s="671"/>
      <c r="M89" s="739"/>
      <c r="N89" s="739"/>
      <c r="O89" s="739"/>
      <c r="P89" s="739"/>
      <c r="S89" s="740"/>
      <c r="T89" s="740"/>
      <c r="U89" s="740"/>
      <c r="V89" s="740"/>
      <c r="X89" s="738" t="s">
        <v>157</v>
      </c>
      <c r="Y89" s="672"/>
      <c r="AA89" s="262"/>
      <c r="AB89" s="262"/>
      <c r="AC89" s="262"/>
      <c r="AD89" s="262"/>
      <c r="AE89" s="783">
        <v>1946</v>
      </c>
      <c r="AF89" s="784" t="s">
        <v>99</v>
      </c>
      <c r="AG89" s="784"/>
      <c r="AH89" s="784"/>
      <c r="AI89" s="784" t="s">
        <v>2091</v>
      </c>
      <c r="AJ89" s="784"/>
      <c r="AK89" s="784"/>
      <c r="AL89" s="784" t="s">
        <v>2046</v>
      </c>
      <c r="AM89" s="784" t="s">
        <v>2092</v>
      </c>
      <c r="AN89" s="784" t="s">
        <v>2093</v>
      </c>
      <c r="AO89" s="786" t="s">
        <v>2094</v>
      </c>
      <c r="AP89" s="786" t="s">
        <v>2095</v>
      </c>
      <c r="AQ89" s="803" t="s">
        <v>2096</v>
      </c>
      <c r="AR89" s="785" t="s">
        <v>2097</v>
      </c>
      <c r="AS89" s="785" t="s">
        <v>2098</v>
      </c>
      <c r="AT89" s="783">
        <v>1946</v>
      </c>
      <c r="AV89" s="673"/>
      <c r="AW89" s="673"/>
      <c r="AX89" s="673"/>
      <c r="AY89" s="673"/>
      <c r="AZ89" s="673"/>
      <c r="BA89" s="673"/>
      <c r="BB89" s="779"/>
      <c r="BC89" s="673"/>
      <c r="BD89" s="673"/>
      <c r="BE89" s="821"/>
      <c r="BF89" s="852"/>
      <c r="BG89" s="852"/>
      <c r="BH89" s="854"/>
      <c r="BI89" s="854"/>
      <c r="BJ89" s="852"/>
      <c r="BK89" s="852"/>
      <c r="BL89" s="854"/>
      <c r="BM89" s="854"/>
    </row>
    <row r="90" spans="2:65" ht="17.25" customHeight="1">
      <c r="B90" s="699"/>
      <c r="C90" s="699"/>
      <c r="D90" s="699"/>
      <c r="E90" s="699"/>
      <c r="F90" s="699"/>
      <c r="G90" s="699"/>
      <c r="H90" s="699"/>
      <c r="I90" s="699"/>
      <c r="J90" s="671"/>
      <c r="M90" s="739"/>
      <c r="N90" s="739"/>
      <c r="O90" s="739"/>
      <c r="P90" s="739"/>
      <c r="S90" s="740"/>
      <c r="T90" s="740"/>
      <c r="U90" s="740"/>
      <c r="V90" s="740"/>
      <c r="X90" s="738" t="s">
        <v>159</v>
      </c>
      <c r="Y90" s="672"/>
      <c r="AA90" s="262"/>
      <c r="AB90" s="262"/>
      <c r="AC90" s="262"/>
      <c r="AD90" s="262"/>
      <c r="AE90" s="783">
        <v>1947</v>
      </c>
      <c r="AF90" s="847" t="s">
        <v>2099</v>
      </c>
      <c r="AG90" s="847"/>
      <c r="AH90" s="847"/>
      <c r="AI90" s="784" t="s">
        <v>99</v>
      </c>
      <c r="AJ90" s="784"/>
      <c r="AK90" s="784"/>
      <c r="AL90" s="784" t="s">
        <v>2046</v>
      </c>
      <c r="AM90" s="784" t="s">
        <v>2100</v>
      </c>
      <c r="AN90" s="784" t="s">
        <v>2101</v>
      </c>
      <c r="AO90" s="786" t="s">
        <v>2102</v>
      </c>
      <c r="AP90" s="786" t="s">
        <v>2095</v>
      </c>
      <c r="AQ90" s="803" t="s">
        <v>2103</v>
      </c>
      <c r="AR90" s="785" t="s">
        <v>2104</v>
      </c>
      <c r="AS90" s="785" t="s">
        <v>2105</v>
      </c>
      <c r="AT90" s="783">
        <v>1947</v>
      </c>
      <c r="AV90" s="673"/>
      <c r="AW90" s="673"/>
      <c r="AX90" s="673"/>
      <c r="AY90" s="673"/>
      <c r="AZ90" s="673"/>
      <c r="BA90" s="673"/>
      <c r="BB90" s="779"/>
      <c r="BC90" s="673"/>
      <c r="BD90" s="673"/>
      <c r="BE90" s="821"/>
      <c r="BF90" s="852"/>
      <c r="BG90" s="852"/>
      <c r="BH90" s="854"/>
      <c r="BI90" s="854"/>
      <c r="BJ90" s="852"/>
      <c r="BK90" s="852"/>
      <c r="BL90" s="854"/>
      <c r="BM90" s="854"/>
    </row>
    <row r="91" spans="2:65" ht="17.25" customHeight="1">
      <c r="H91" s="648"/>
      <c r="M91" s="739"/>
      <c r="N91" s="739"/>
      <c r="O91" s="739"/>
      <c r="P91" s="739"/>
      <c r="S91" s="740"/>
      <c r="T91" s="740"/>
      <c r="U91" s="740"/>
      <c r="V91" s="740"/>
      <c r="X91" s="622" t="str">
        <f>IF(ISBLANK(人物卡!AB48),"",人物卡!AB48)</f>
        <v>自定义技能</v>
      </c>
      <c r="Y91" s="672"/>
      <c r="AA91" s="262"/>
      <c r="AB91" s="262"/>
      <c r="AC91" s="262"/>
      <c r="AD91" s="262"/>
      <c r="AE91" s="783">
        <v>1948</v>
      </c>
      <c r="AF91" s="847" t="s">
        <v>2106</v>
      </c>
      <c r="AG91" s="847" t="s">
        <v>1776</v>
      </c>
      <c r="AH91" s="847"/>
      <c r="AI91" s="784" t="s">
        <v>2107</v>
      </c>
      <c r="AJ91" s="784"/>
      <c r="AK91" s="784"/>
      <c r="AL91" s="784" t="s">
        <v>2046</v>
      </c>
      <c r="AM91" s="784" t="s">
        <v>2108</v>
      </c>
      <c r="AN91" s="784" t="s">
        <v>2109</v>
      </c>
      <c r="AO91" s="786" t="s">
        <v>2110</v>
      </c>
      <c r="AP91" s="786" t="s">
        <v>2095</v>
      </c>
      <c r="AQ91" s="803" t="s">
        <v>2111</v>
      </c>
      <c r="AR91" s="785" t="s">
        <v>2112</v>
      </c>
      <c r="AS91" s="785" t="s">
        <v>2113</v>
      </c>
      <c r="AT91" s="783">
        <v>1948</v>
      </c>
      <c r="AV91" s="673"/>
      <c r="AW91" s="673"/>
      <c r="AX91" s="673"/>
      <c r="AY91" s="673"/>
      <c r="AZ91" s="673"/>
      <c r="BA91" s="673"/>
      <c r="BB91" s="779"/>
      <c r="BC91" s="673"/>
      <c r="BD91" s="673"/>
      <c r="BE91" s="821"/>
      <c r="BF91" s="852"/>
      <c r="BG91" s="852"/>
      <c r="BH91" s="854"/>
      <c r="BI91" s="854"/>
      <c r="BJ91" s="852"/>
      <c r="BK91" s="852"/>
      <c r="BL91" s="854"/>
      <c r="BM91" s="854"/>
    </row>
    <row r="92" spans="2:65" ht="17.25" customHeight="1">
      <c r="H92" s="648"/>
      <c r="M92" s="739"/>
      <c r="N92" s="739"/>
      <c r="O92" s="739"/>
      <c r="P92" s="739"/>
      <c r="S92" s="740"/>
      <c r="T92" s="740"/>
      <c r="U92" s="740"/>
      <c r="V92" s="740"/>
      <c r="X92" s="633" t="str">
        <f>IF(ISBLANK(人物卡!AB49),"",人物卡!AB49)</f>
        <v/>
      </c>
      <c r="Y92" s="677"/>
      <c r="AA92" s="262"/>
      <c r="AE92" s="783">
        <v>1949</v>
      </c>
      <c r="AF92" s="784" t="s">
        <v>2114</v>
      </c>
      <c r="AG92" s="784"/>
      <c r="AH92" s="784"/>
      <c r="AI92" s="784" t="s">
        <v>2115</v>
      </c>
      <c r="AJ92" s="784"/>
      <c r="AK92" s="784"/>
      <c r="AL92" s="784" t="s">
        <v>2046</v>
      </c>
      <c r="AM92" s="784" t="s">
        <v>2116</v>
      </c>
      <c r="AN92" s="784" t="s">
        <v>2117</v>
      </c>
      <c r="AO92" s="786" t="s">
        <v>2118</v>
      </c>
      <c r="AP92" s="786" t="s">
        <v>2095</v>
      </c>
      <c r="AQ92" s="803" t="s">
        <v>2119</v>
      </c>
      <c r="AR92" s="785" t="s">
        <v>2120</v>
      </c>
      <c r="AS92" s="785" t="s">
        <v>2121</v>
      </c>
      <c r="AT92" s="783">
        <v>1949</v>
      </c>
      <c r="AV92" s="673"/>
      <c r="AW92" s="673"/>
      <c r="AX92" s="673"/>
      <c r="AY92" s="673"/>
      <c r="AZ92" s="673"/>
      <c r="BA92" s="673"/>
      <c r="BB92" s="779"/>
      <c r="BC92" s="673"/>
      <c r="BD92" s="673"/>
      <c r="BE92" s="821"/>
      <c r="BF92" s="852"/>
      <c r="BG92" s="852"/>
      <c r="BH92" s="854"/>
      <c r="BI92" s="854"/>
      <c r="BJ92" s="852"/>
      <c r="BK92" s="852"/>
      <c r="BL92" s="854"/>
      <c r="BM92" s="854"/>
    </row>
    <row r="93" spans="2:65" ht="17.25" customHeight="1">
      <c r="B93" s="829"/>
      <c r="C93" s="830">
        <v>2</v>
      </c>
      <c r="D93" s="830">
        <v>3</v>
      </c>
      <c r="E93" s="649">
        <v>4</v>
      </c>
      <c r="F93" s="649">
        <v>5</v>
      </c>
      <c r="G93" s="831">
        <v>6</v>
      </c>
      <c r="H93" s="831">
        <v>7</v>
      </c>
      <c r="I93" s="649">
        <v>8</v>
      </c>
      <c r="J93" s="649">
        <v>9</v>
      </c>
      <c r="K93" s="670">
        <v>10</v>
      </c>
      <c r="M93" s="739"/>
      <c r="N93" s="739"/>
      <c r="O93" s="739"/>
      <c r="P93" s="739"/>
      <c r="S93" s="740"/>
      <c r="T93" s="740"/>
      <c r="U93" s="740"/>
      <c r="V93" s="740"/>
      <c r="AA93" s="262"/>
      <c r="AE93" s="783">
        <v>1950</v>
      </c>
      <c r="AF93" s="784" t="s">
        <v>2122</v>
      </c>
      <c r="AG93" s="784"/>
      <c r="AH93" s="784"/>
      <c r="AI93" s="784" t="s">
        <v>2123</v>
      </c>
      <c r="AJ93" s="784" t="s">
        <v>2124</v>
      </c>
      <c r="AK93" s="784"/>
      <c r="AL93" s="784" t="s">
        <v>2125</v>
      </c>
      <c r="AM93" s="784" t="s">
        <v>1550</v>
      </c>
      <c r="AN93" s="784" t="s">
        <v>2126</v>
      </c>
      <c r="AO93" s="786" t="s">
        <v>2127</v>
      </c>
      <c r="AP93" s="786" t="s">
        <v>2095</v>
      </c>
      <c r="AQ93" s="803" t="s">
        <v>2128</v>
      </c>
      <c r="AR93" s="785" t="s">
        <v>2129</v>
      </c>
      <c r="AS93" s="785" t="s">
        <v>2130</v>
      </c>
      <c r="AT93" s="783">
        <v>1950</v>
      </c>
      <c r="AV93" s="673"/>
      <c r="AW93" s="673"/>
      <c r="AX93" s="673"/>
      <c r="AY93" s="673"/>
      <c r="AZ93" s="673"/>
      <c r="BA93" s="673"/>
      <c r="BB93" s="779"/>
      <c r="BC93" s="673"/>
      <c r="BD93" s="673"/>
      <c r="BE93" s="821"/>
      <c r="BF93" s="824"/>
      <c r="BG93" s="824"/>
      <c r="BH93" s="824"/>
      <c r="BI93" s="824"/>
      <c r="BJ93" s="824"/>
      <c r="BK93" s="824"/>
      <c r="BL93" s="824"/>
      <c r="BM93" s="824"/>
    </row>
    <row r="94" spans="2:65" ht="17.25" customHeight="1">
      <c r="B94" s="832" t="s">
        <v>59</v>
      </c>
      <c r="C94" s="833" t="s">
        <v>96</v>
      </c>
      <c r="D94" s="833" t="s">
        <v>2131</v>
      </c>
      <c r="E94" s="833" t="s">
        <v>2132</v>
      </c>
      <c r="F94" s="833" t="s">
        <v>2133</v>
      </c>
      <c r="G94" s="833" t="s">
        <v>2134</v>
      </c>
      <c r="H94" s="833" t="s">
        <v>2135</v>
      </c>
      <c r="I94" s="833" t="s">
        <v>2136</v>
      </c>
      <c r="J94" s="833" t="s">
        <v>2137</v>
      </c>
      <c r="K94" s="836" t="s">
        <v>2138</v>
      </c>
      <c r="L94" s="2042"/>
      <c r="M94" s="739"/>
      <c r="N94" s="739"/>
      <c r="O94" s="739"/>
      <c r="P94" s="739"/>
      <c r="S94" s="740"/>
      <c r="T94" s="740"/>
      <c r="U94" s="740"/>
      <c r="V94" s="740"/>
      <c r="AA94" s="262"/>
      <c r="AE94" s="783">
        <v>1951</v>
      </c>
      <c r="AF94" s="784" t="s">
        <v>2122</v>
      </c>
      <c r="AG94" s="784"/>
      <c r="AH94" s="784"/>
      <c r="AI94" s="784" t="s">
        <v>2139</v>
      </c>
      <c r="AJ94" s="784" t="s">
        <v>2140</v>
      </c>
      <c r="AK94" s="784"/>
      <c r="AL94" s="784" t="s">
        <v>2125</v>
      </c>
      <c r="AM94" s="784" t="s">
        <v>1559</v>
      </c>
      <c r="AN94" s="784" t="s">
        <v>2141</v>
      </c>
      <c r="AO94" s="786" t="s">
        <v>2142</v>
      </c>
      <c r="AP94" s="786" t="s">
        <v>2095</v>
      </c>
      <c r="AQ94" s="803" t="s">
        <v>2143</v>
      </c>
      <c r="AR94" s="785" t="s">
        <v>2144</v>
      </c>
      <c r="AS94" s="785" t="s">
        <v>2145</v>
      </c>
      <c r="AT94" s="783">
        <v>1951</v>
      </c>
      <c r="AV94" s="673"/>
      <c r="AW94" s="673"/>
      <c r="AX94" s="673"/>
      <c r="AY94" s="673"/>
      <c r="AZ94" s="673"/>
      <c r="BA94" s="673"/>
      <c r="BB94" s="779"/>
      <c r="BC94" s="673"/>
      <c r="BD94" s="673"/>
      <c r="BE94" s="821"/>
      <c r="BF94" s="824"/>
      <c r="BG94" s="824"/>
      <c r="BH94" s="824"/>
      <c r="BI94" s="824"/>
      <c r="BJ94" s="824"/>
      <c r="BK94" s="824"/>
      <c r="BL94" s="824"/>
      <c r="BM94" s="824"/>
    </row>
    <row r="95" spans="2:65" ht="17.25" customHeight="1">
      <c r="B95" s="799" t="s">
        <v>65</v>
      </c>
      <c r="C95" s="834" t="s">
        <v>2146</v>
      </c>
      <c r="D95" s="614" t="s">
        <v>99</v>
      </c>
      <c r="E95" s="614" t="s">
        <v>2147</v>
      </c>
      <c r="F95" s="614" t="s">
        <v>2148</v>
      </c>
      <c r="G95" s="614" t="s">
        <v>2149</v>
      </c>
      <c r="H95" s="614" t="s">
        <v>2150</v>
      </c>
      <c r="I95" s="614" t="s">
        <v>2151</v>
      </c>
      <c r="J95" s="614" t="s">
        <v>2152</v>
      </c>
      <c r="K95" s="837" t="s">
        <v>2153</v>
      </c>
      <c r="L95" s="2042"/>
      <c r="M95" s="739"/>
      <c r="N95" s="739"/>
      <c r="O95" s="739"/>
      <c r="P95" s="739"/>
      <c r="S95" s="740"/>
      <c r="T95" s="740"/>
      <c r="U95" s="740"/>
      <c r="V95" s="740"/>
      <c r="AE95" s="783">
        <v>1952</v>
      </c>
      <c r="AF95" s="784" t="s">
        <v>2122</v>
      </c>
      <c r="AG95" s="784" t="s">
        <v>2154</v>
      </c>
      <c r="AH95" s="784"/>
      <c r="AI95" s="784" t="s">
        <v>99</v>
      </c>
      <c r="AJ95" s="784"/>
      <c r="AK95" s="784"/>
      <c r="AL95" s="784" t="s">
        <v>2125</v>
      </c>
      <c r="AM95" s="784" t="s">
        <v>1566</v>
      </c>
      <c r="AN95" s="784" t="s">
        <v>2155</v>
      </c>
      <c r="AO95" s="786" t="s">
        <v>2156</v>
      </c>
      <c r="AP95" s="784" t="s">
        <v>2157</v>
      </c>
      <c r="AQ95" s="803" t="s">
        <v>2158</v>
      </c>
      <c r="AR95" s="785" t="s">
        <v>2159</v>
      </c>
      <c r="AS95" s="785" t="s">
        <v>2160</v>
      </c>
      <c r="AT95" s="783">
        <v>1952</v>
      </c>
      <c r="AV95" s="673"/>
      <c r="AW95" s="673"/>
      <c r="AX95" s="673"/>
      <c r="AY95" s="673"/>
      <c r="AZ95" s="673"/>
      <c r="BA95" s="673"/>
      <c r="BB95" s="779"/>
      <c r="BC95" s="673"/>
      <c r="BD95" s="673"/>
      <c r="BE95" s="821"/>
      <c r="BF95" s="824"/>
      <c r="BG95" s="824"/>
      <c r="BH95" s="824"/>
      <c r="BI95" s="824"/>
      <c r="BJ95" s="824"/>
      <c r="BK95" s="824"/>
      <c r="BL95" s="824"/>
      <c r="BM95" s="824"/>
    </row>
    <row r="96" spans="2:65" ht="17.25" customHeight="1">
      <c r="B96" s="799" t="s">
        <v>67</v>
      </c>
      <c r="C96" s="834" t="s">
        <v>2161</v>
      </c>
      <c r="D96" s="614" t="s">
        <v>99</v>
      </c>
      <c r="E96" s="614" t="s">
        <v>99</v>
      </c>
      <c r="F96" s="614" t="s">
        <v>2162</v>
      </c>
      <c r="G96" s="614" t="s">
        <v>2163</v>
      </c>
      <c r="H96" s="614" t="s">
        <v>2164</v>
      </c>
      <c r="I96" s="614" t="s">
        <v>2165</v>
      </c>
      <c r="J96" s="614" t="s">
        <v>2166</v>
      </c>
      <c r="K96" s="672" t="s">
        <v>2167</v>
      </c>
      <c r="L96" s="2042"/>
      <c r="M96" s="739"/>
      <c r="N96" s="739"/>
      <c r="O96" s="739"/>
      <c r="P96" s="739"/>
      <c r="S96" s="740"/>
      <c r="T96" s="740"/>
      <c r="U96" s="740"/>
      <c r="V96" s="740"/>
      <c r="AE96" s="783">
        <v>1953</v>
      </c>
      <c r="AF96" s="784" t="s">
        <v>99</v>
      </c>
      <c r="AG96" s="784"/>
      <c r="AH96" s="784"/>
      <c r="AI96" s="784" t="s">
        <v>2168</v>
      </c>
      <c r="AJ96" s="784"/>
      <c r="AK96" s="784"/>
      <c r="AL96" s="784" t="s">
        <v>2125</v>
      </c>
      <c r="AM96" s="784" t="s">
        <v>1577</v>
      </c>
      <c r="AN96" s="784" t="s">
        <v>2169</v>
      </c>
      <c r="AO96" s="786" t="s">
        <v>2170</v>
      </c>
      <c r="AP96" s="786" t="s">
        <v>2171</v>
      </c>
      <c r="AQ96" s="803" t="s">
        <v>2172</v>
      </c>
      <c r="AR96" s="785" t="s">
        <v>2173</v>
      </c>
      <c r="AS96" s="785" t="s">
        <v>2174</v>
      </c>
      <c r="AT96" s="783">
        <v>1953</v>
      </c>
      <c r="AV96" s="673"/>
      <c r="AW96" s="673"/>
      <c r="AX96" s="673"/>
      <c r="AY96" s="673"/>
      <c r="AZ96" s="673"/>
      <c r="BA96" s="673"/>
      <c r="BB96" s="779"/>
      <c r="BC96" s="673"/>
      <c r="BD96" s="673"/>
      <c r="BE96" s="821"/>
      <c r="BF96" s="824"/>
      <c r="BG96" s="824"/>
      <c r="BH96" s="824"/>
      <c r="BI96" s="824"/>
      <c r="BJ96" s="824"/>
      <c r="BK96" s="824"/>
      <c r="BL96" s="824"/>
      <c r="BM96" s="824"/>
    </row>
    <row r="97" spans="1:65" ht="17.25" customHeight="1">
      <c r="B97" s="799" t="s">
        <v>71</v>
      </c>
      <c r="C97" s="834" t="s">
        <v>2146</v>
      </c>
      <c r="D97" s="614" t="s">
        <v>99</v>
      </c>
      <c r="E97" s="614" t="s">
        <v>99</v>
      </c>
      <c r="F97" s="614" t="s">
        <v>2175</v>
      </c>
      <c r="G97" s="614" t="s">
        <v>2176</v>
      </c>
      <c r="H97" s="819" t="s">
        <v>2177</v>
      </c>
      <c r="I97" s="614" t="s">
        <v>2178</v>
      </c>
      <c r="J97" s="822" t="s">
        <v>2179</v>
      </c>
      <c r="K97" s="838" t="s">
        <v>2180</v>
      </c>
      <c r="L97" s="2042"/>
      <c r="M97" s="739"/>
      <c r="N97" s="739"/>
      <c r="O97" s="739"/>
      <c r="P97" s="739"/>
      <c r="S97" s="740"/>
      <c r="T97" s="740"/>
      <c r="U97" s="740"/>
      <c r="V97" s="740"/>
      <c r="AE97" s="783">
        <v>1954</v>
      </c>
      <c r="AF97" s="784" t="s">
        <v>99</v>
      </c>
      <c r="AG97" s="784"/>
      <c r="AH97" s="784"/>
      <c r="AI97" s="784" t="s">
        <v>99</v>
      </c>
      <c r="AJ97" s="784"/>
      <c r="AK97" s="784"/>
      <c r="AL97" s="784" t="s">
        <v>2125</v>
      </c>
      <c r="AM97" s="784" t="s">
        <v>1593</v>
      </c>
      <c r="AN97" s="784" t="s">
        <v>2181</v>
      </c>
      <c r="AO97" s="786" t="s">
        <v>2182</v>
      </c>
      <c r="AP97" s="786" t="s">
        <v>2183</v>
      </c>
      <c r="AQ97" s="803" t="s">
        <v>2184</v>
      </c>
      <c r="AR97" s="785" t="s">
        <v>2185</v>
      </c>
      <c r="AS97" s="785" t="s">
        <v>2186</v>
      </c>
      <c r="AT97" s="783">
        <v>1954</v>
      </c>
      <c r="AV97" s="673"/>
      <c r="AW97" s="673"/>
      <c r="AX97" s="673"/>
      <c r="AY97" s="673"/>
      <c r="AZ97" s="673"/>
      <c r="BA97" s="673"/>
      <c r="BB97" s="779"/>
      <c r="BC97" s="673"/>
      <c r="BD97" s="673"/>
      <c r="BE97" s="821"/>
      <c r="BF97" s="824"/>
      <c r="BG97" s="824"/>
      <c r="BH97" s="824"/>
      <c r="BI97" s="824"/>
      <c r="BJ97" s="824"/>
      <c r="BK97" s="824"/>
      <c r="BL97" s="824"/>
      <c r="BM97" s="824"/>
    </row>
    <row r="98" spans="1:65" ht="17.25" customHeight="1">
      <c r="B98" s="799" t="s">
        <v>75</v>
      </c>
      <c r="C98" s="834" t="s">
        <v>2161</v>
      </c>
      <c r="D98" s="614" t="s">
        <v>99</v>
      </c>
      <c r="E98" s="614" t="s">
        <v>99</v>
      </c>
      <c r="F98" s="614" t="s">
        <v>2187</v>
      </c>
      <c r="G98" s="819" t="s">
        <v>2188</v>
      </c>
      <c r="H98" s="822" t="s">
        <v>2189</v>
      </c>
      <c r="I98" s="821" t="s">
        <v>2190</v>
      </c>
      <c r="J98" s="821" t="s">
        <v>2191</v>
      </c>
      <c r="K98" s="837" t="s">
        <v>2192</v>
      </c>
      <c r="L98" s="2042"/>
      <c r="M98" s="739"/>
      <c r="N98" s="739"/>
      <c r="O98" s="739"/>
      <c r="P98" s="739"/>
      <c r="S98" s="740"/>
      <c r="T98" s="740"/>
      <c r="U98" s="740"/>
      <c r="V98" s="740"/>
      <c r="AE98" s="783">
        <v>1955</v>
      </c>
      <c r="AF98" s="784" t="s">
        <v>2193</v>
      </c>
      <c r="AG98" s="784"/>
      <c r="AH98" s="784"/>
      <c r="AI98" s="784" t="s">
        <v>2194</v>
      </c>
      <c r="AJ98" s="784"/>
      <c r="AK98" s="784"/>
      <c r="AL98" s="784" t="s">
        <v>2125</v>
      </c>
      <c r="AM98" s="784" t="s">
        <v>1609</v>
      </c>
      <c r="AN98" s="784" t="s">
        <v>2195</v>
      </c>
      <c r="AO98" s="786" t="s">
        <v>2196</v>
      </c>
      <c r="AP98" s="786" t="s">
        <v>2183</v>
      </c>
      <c r="AQ98" s="803" t="s">
        <v>2197</v>
      </c>
      <c r="AR98" s="785" t="s">
        <v>2198</v>
      </c>
      <c r="AS98" s="785" t="s">
        <v>2199</v>
      </c>
      <c r="AT98" s="783">
        <v>1955</v>
      </c>
      <c r="AV98" s="673"/>
      <c r="AW98" s="673"/>
      <c r="AX98" s="673"/>
      <c r="AY98" s="673"/>
      <c r="AZ98" s="673"/>
      <c r="BA98" s="673"/>
      <c r="BB98" s="779"/>
      <c r="BC98" s="673"/>
      <c r="BD98" s="673"/>
      <c r="BE98" s="821"/>
      <c r="BF98" s="824"/>
      <c r="BG98" s="824"/>
      <c r="BH98" s="824"/>
      <c r="BI98" s="824"/>
      <c r="BJ98" s="824"/>
      <c r="BK98" s="824"/>
      <c r="BL98" s="824"/>
      <c r="BM98" s="824"/>
    </row>
    <row r="99" spans="1:65" ht="17.25" customHeight="1">
      <c r="B99" s="622" t="s">
        <v>2200</v>
      </c>
      <c r="C99" s="834" t="s">
        <v>225</v>
      </c>
      <c r="D99" s="614" t="s">
        <v>225</v>
      </c>
      <c r="E99" s="614" t="s">
        <v>225</v>
      </c>
      <c r="F99" s="614" t="s">
        <v>225</v>
      </c>
      <c r="G99" s="614" t="s">
        <v>225</v>
      </c>
      <c r="H99" s="614" t="s">
        <v>225</v>
      </c>
      <c r="I99" s="614" t="s">
        <v>225</v>
      </c>
      <c r="J99" s="614" t="s">
        <v>225</v>
      </c>
      <c r="K99" s="672" t="s">
        <v>225</v>
      </c>
      <c r="L99" s="2042"/>
      <c r="M99" s="739"/>
      <c r="N99" s="739"/>
      <c r="O99" s="739"/>
      <c r="P99" s="739"/>
      <c r="S99" s="740"/>
      <c r="T99" s="740"/>
      <c r="U99" s="740"/>
      <c r="V99" s="740"/>
      <c r="AE99" s="783">
        <v>1956</v>
      </c>
      <c r="AF99" s="784" t="s">
        <v>2201</v>
      </c>
      <c r="AG99" s="784"/>
      <c r="AH99" s="784"/>
      <c r="AI99" s="784" t="s">
        <v>2202</v>
      </c>
      <c r="AJ99" s="784"/>
      <c r="AK99" s="784"/>
      <c r="AL99" s="784" t="s">
        <v>2125</v>
      </c>
      <c r="AM99" s="784" t="s">
        <v>1624</v>
      </c>
      <c r="AN99" s="784" t="s">
        <v>2203</v>
      </c>
      <c r="AO99" s="786" t="s">
        <v>2204</v>
      </c>
      <c r="AP99" s="786" t="s">
        <v>2183</v>
      </c>
      <c r="AQ99" s="803" t="s">
        <v>2205</v>
      </c>
      <c r="AR99" s="785" t="s">
        <v>2206</v>
      </c>
      <c r="AS99" s="785" t="s">
        <v>2207</v>
      </c>
      <c r="AT99" s="783">
        <v>1956</v>
      </c>
      <c r="AV99" s="673"/>
      <c r="AW99" s="673"/>
      <c r="AX99" s="673"/>
      <c r="AY99" s="673"/>
      <c r="AZ99" s="673"/>
      <c r="BA99" s="673"/>
      <c r="BB99" s="779"/>
      <c r="BC99" s="673"/>
      <c r="BD99" s="673"/>
      <c r="BE99" s="821"/>
      <c r="BF99" s="824"/>
      <c r="BG99" s="824"/>
      <c r="BH99" s="824"/>
      <c r="BI99" s="824"/>
      <c r="BJ99" s="824"/>
      <c r="BK99" s="824"/>
      <c r="BL99" s="824"/>
      <c r="BM99" s="824"/>
    </row>
    <row r="100" spans="1:65" ht="17.25" customHeight="1">
      <c r="B100" s="799" t="s">
        <v>2208</v>
      </c>
      <c r="C100" s="834" t="s">
        <v>99</v>
      </c>
      <c r="D100" s="614" t="s">
        <v>2209</v>
      </c>
      <c r="E100" s="614" t="s">
        <v>99</v>
      </c>
      <c r="F100" s="673" t="s">
        <v>2210</v>
      </c>
      <c r="G100" s="807" t="s">
        <v>2211</v>
      </c>
      <c r="H100" s="808" t="s">
        <v>2212</v>
      </c>
      <c r="I100" s="421" t="s">
        <v>2213</v>
      </c>
      <c r="J100" s="673" t="s">
        <v>2214</v>
      </c>
      <c r="K100" s="837" t="s">
        <v>2215</v>
      </c>
      <c r="L100" s="2042"/>
      <c r="M100" s="739"/>
      <c r="N100" s="739"/>
      <c r="O100" s="739"/>
      <c r="P100" s="739"/>
      <c r="S100" s="740"/>
      <c r="T100" s="740"/>
      <c r="U100" s="740"/>
      <c r="V100" s="740"/>
      <c r="AE100" s="783">
        <v>1957</v>
      </c>
      <c r="AF100" s="784" t="s">
        <v>2216</v>
      </c>
      <c r="AG100" s="784" t="s">
        <v>2217</v>
      </c>
      <c r="AH100" s="784"/>
      <c r="AI100" s="784" t="s">
        <v>99</v>
      </c>
      <c r="AJ100" s="784"/>
      <c r="AK100" s="784"/>
      <c r="AL100" s="784" t="s">
        <v>2125</v>
      </c>
      <c r="AM100" s="784" t="s">
        <v>1636</v>
      </c>
      <c r="AN100" s="784" t="s">
        <v>2218</v>
      </c>
      <c r="AO100" s="786" t="s">
        <v>2219</v>
      </c>
      <c r="AP100" s="786" t="s">
        <v>2183</v>
      </c>
      <c r="AQ100" s="803" t="s">
        <v>2220</v>
      </c>
      <c r="AR100" s="785" t="s">
        <v>2221</v>
      </c>
      <c r="AS100" s="785" t="s">
        <v>2222</v>
      </c>
      <c r="AT100" s="783">
        <v>1957</v>
      </c>
      <c r="AV100" s="673"/>
      <c r="AW100" s="673"/>
      <c r="AX100" s="673"/>
      <c r="AY100" s="673"/>
      <c r="AZ100" s="673"/>
      <c r="BA100" s="673"/>
      <c r="BB100" s="779"/>
      <c r="BC100" s="673"/>
      <c r="BD100" s="673"/>
      <c r="BE100" s="821"/>
      <c r="BF100" s="855"/>
      <c r="BG100" s="855"/>
      <c r="BH100" s="855"/>
      <c r="BI100" s="855"/>
      <c r="BJ100" s="855"/>
      <c r="BK100" s="855"/>
      <c r="BL100" s="855"/>
      <c r="BM100" s="855"/>
    </row>
    <row r="101" spans="1:65" ht="17.25" customHeight="1">
      <c r="A101" s="835" t="s">
        <v>1377</v>
      </c>
      <c r="B101" s="835" t="s">
        <v>1377</v>
      </c>
      <c r="C101" s="834" t="s">
        <v>2146</v>
      </c>
      <c r="D101" s="808" t="s">
        <v>2223</v>
      </c>
      <c r="E101" s="614" t="s">
        <v>99</v>
      </c>
      <c r="F101" s="673" t="s">
        <v>2224</v>
      </c>
      <c r="G101" s="807" t="s">
        <v>2211</v>
      </c>
      <c r="H101" s="808" t="s">
        <v>2212</v>
      </c>
      <c r="I101" s="421" t="s">
        <v>2213</v>
      </c>
      <c r="J101" s="673" t="s">
        <v>2214</v>
      </c>
      <c r="K101" s="837" t="s">
        <v>2215</v>
      </c>
      <c r="L101" s="2042"/>
      <c r="M101" s="673"/>
      <c r="S101" s="740"/>
      <c r="T101" s="740"/>
      <c r="U101" s="740"/>
      <c r="V101" s="740"/>
      <c r="AE101" s="783">
        <v>1958</v>
      </c>
      <c r="AF101" s="784" t="s">
        <v>99</v>
      </c>
      <c r="AG101" s="784"/>
      <c r="AH101" s="784"/>
      <c r="AI101" s="784" t="s">
        <v>2225</v>
      </c>
      <c r="AJ101" s="784"/>
      <c r="AK101" s="784"/>
      <c r="AL101" s="784" t="s">
        <v>2125</v>
      </c>
      <c r="AM101" s="784" t="s">
        <v>1653</v>
      </c>
      <c r="AN101" s="784" t="s">
        <v>2226</v>
      </c>
      <c r="AO101" s="786" t="s">
        <v>2227</v>
      </c>
      <c r="AP101" s="786" t="s">
        <v>2183</v>
      </c>
      <c r="AQ101" s="803" t="s">
        <v>2228</v>
      </c>
      <c r="AR101" s="785" t="s">
        <v>2229</v>
      </c>
      <c r="AS101" s="785" t="s">
        <v>2230</v>
      </c>
      <c r="AT101" s="783">
        <v>1958</v>
      </c>
      <c r="AV101" s="673"/>
      <c r="AW101" s="673"/>
      <c r="AX101" s="673"/>
      <c r="AY101" s="673"/>
      <c r="AZ101" s="673"/>
      <c r="BA101" s="673"/>
      <c r="BB101" s="779"/>
      <c r="BC101" s="673"/>
      <c r="BD101" s="673"/>
      <c r="BE101" s="821"/>
      <c r="BF101" s="855"/>
      <c r="BG101" s="855"/>
      <c r="BH101" s="855"/>
      <c r="BI101" s="855"/>
      <c r="BJ101" s="855"/>
      <c r="BK101" s="855"/>
      <c r="BL101" s="855"/>
      <c r="BM101" s="855"/>
    </row>
    <row r="102" spans="1:65" ht="17.25" customHeight="1">
      <c r="A102" s="835" t="s">
        <v>2231</v>
      </c>
      <c r="B102" s="835" t="s">
        <v>2231</v>
      </c>
      <c r="C102" s="834" t="s">
        <v>2146</v>
      </c>
      <c r="D102" s="808" t="s">
        <v>2223</v>
      </c>
      <c r="E102" s="614" t="s">
        <v>99</v>
      </c>
      <c r="F102" s="673" t="s">
        <v>2232</v>
      </c>
      <c r="G102" s="807" t="s">
        <v>2211</v>
      </c>
      <c r="H102" s="808" t="s">
        <v>2212</v>
      </c>
      <c r="I102" s="421" t="s">
        <v>2213</v>
      </c>
      <c r="J102" s="673" t="s">
        <v>2214</v>
      </c>
      <c r="K102" s="837" t="s">
        <v>2215</v>
      </c>
      <c r="L102" s="2042"/>
      <c r="M102" s="804"/>
      <c r="AE102" s="783">
        <v>1959</v>
      </c>
      <c r="AF102" s="784" t="s">
        <v>99</v>
      </c>
      <c r="AG102" s="784"/>
      <c r="AH102" s="784"/>
      <c r="AI102" s="784" t="s">
        <v>2233</v>
      </c>
      <c r="AJ102" s="784" t="s">
        <v>2234</v>
      </c>
      <c r="AK102" s="784"/>
      <c r="AL102" s="784" t="s">
        <v>2125</v>
      </c>
      <c r="AM102" s="784" t="s">
        <v>1668</v>
      </c>
      <c r="AN102" s="784" t="s">
        <v>2235</v>
      </c>
      <c r="AO102" s="786" t="s">
        <v>2236</v>
      </c>
      <c r="AP102" s="786" t="s">
        <v>2183</v>
      </c>
      <c r="AQ102" s="803" t="s">
        <v>2237</v>
      </c>
      <c r="AR102" s="785" t="s">
        <v>2238</v>
      </c>
      <c r="AS102" s="785" t="s">
        <v>2239</v>
      </c>
      <c r="AT102" s="783">
        <v>1959</v>
      </c>
      <c r="AV102" s="673"/>
      <c r="AW102" s="673"/>
      <c r="AX102" s="673"/>
      <c r="AY102" s="673"/>
      <c r="AZ102" s="673"/>
      <c r="BA102" s="673"/>
      <c r="BB102" s="779"/>
      <c r="BC102" s="673"/>
      <c r="BD102" s="673"/>
      <c r="BE102" s="821"/>
      <c r="BF102" s="855"/>
      <c r="BG102" s="855"/>
      <c r="BH102" s="855"/>
      <c r="BI102" s="855"/>
      <c r="BJ102" s="855"/>
      <c r="BK102" s="855"/>
      <c r="BL102" s="855"/>
      <c r="BM102" s="855"/>
    </row>
    <row r="103" spans="1:65" ht="17.25" customHeight="1">
      <c r="A103" s="622" t="s">
        <v>1382</v>
      </c>
      <c r="B103" s="622" t="s">
        <v>1382</v>
      </c>
      <c r="C103" s="834" t="s">
        <v>2146</v>
      </c>
      <c r="D103" s="808" t="s">
        <v>2223</v>
      </c>
      <c r="E103" s="614" t="s">
        <v>99</v>
      </c>
      <c r="F103" s="673" t="s">
        <v>2240</v>
      </c>
      <c r="G103" s="807" t="s">
        <v>2211</v>
      </c>
      <c r="H103" s="808" t="s">
        <v>2212</v>
      </c>
      <c r="I103" s="421" t="s">
        <v>2213</v>
      </c>
      <c r="J103" s="673" t="s">
        <v>2214</v>
      </c>
      <c r="K103" s="837" t="s">
        <v>2215</v>
      </c>
      <c r="L103" s="2042"/>
      <c r="AE103" s="783">
        <v>1960</v>
      </c>
      <c r="AF103" s="784" t="s">
        <v>2241</v>
      </c>
      <c r="AG103" s="784"/>
      <c r="AH103" s="784"/>
      <c r="AI103" s="784" t="s">
        <v>99</v>
      </c>
      <c r="AJ103" s="784"/>
      <c r="AK103" s="784"/>
      <c r="AL103" s="784" t="s">
        <v>2242</v>
      </c>
      <c r="AM103" s="784" t="s">
        <v>1685</v>
      </c>
      <c r="AN103" s="784" t="s">
        <v>2243</v>
      </c>
      <c r="AO103" s="786" t="s">
        <v>2244</v>
      </c>
      <c r="AP103" s="786" t="s">
        <v>2183</v>
      </c>
      <c r="AQ103" s="803" t="s">
        <v>2245</v>
      </c>
      <c r="AR103" s="785" t="s">
        <v>2246</v>
      </c>
      <c r="AS103" s="785" t="s">
        <v>2247</v>
      </c>
      <c r="AT103" s="783">
        <v>1960</v>
      </c>
      <c r="AV103" s="673"/>
      <c r="AW103" s="673"/>
      <c r="AX103" s="673"/>
      <c r="AY103" s="673"/>
      <c r="AZ103" s="673"/>
      <c r="BA103" s="673"/>
      <c r="BB103" s="779"/>
      <c r="BC103" s="673"/>
      <c r="BD103" s="673"/>
      <c r="BE103" s="821"/>
      <c r="BF103" s="855"/>
      <c r="BG103" s="855"/>
      <c r="BH103" s="855"/>
      <c r="BI103" s="855"/>
      <c r="BJ103" s="855"/>
      <c r="BK103" s="855"/>
      <c r="BL103" s="855"/>
      <c r="BM103" s="855"/>
    </row>
    <row r="104" spans="1:65" ht="17.25" customHeight="1">
      <c r="A104" s="622" t="s">
        <v>1381</v>
      </c>
      <c r="B104" s="622" t="s">
        <v>1381</v>
      </c>
      <c r="C104" s="834" t="s">
        <v>2146</v>
      </c>
      <c r="D104" s="808" t="s">
        <v>2223</v>
      </c>
      <c r="E104" s="614" t="s">
        <v>99</v>
      </c>
      <c r="F104" s="673" t="s">
        <v>2248</v>
      </c>
      <c r="G104" s="807" t="s">
        <v>2211</v>
      </c>
      <c r="H104" s="808" t="s">
        <v>2212</v>
      </c>
      <c r="I104" s="421" t="s">
        <v>2213</v>
      </c>
      <c r="J104" s="673" t="s">
        <v>2214</v>
      </c>
      <c r="K104" s="837" t="s">
        <v>2215</v>
      </c>
      <c r="L104" s="2042"/>
      <c r="AE104" s="783">
        <v>1961</v>
      </c>
      <c r="AF104" s="784" t="s">
        <v>2249</v>
      </c>
      <c r="AG104" s="784"/>
      <c r="AH104" s="784"/>
      <c r="AI104" s="784" t="s">
        <v>99</v>
      </c>
      <c r="AJ104" s="784"/>
      <c r="AK104" s="784"/>
      <c r="AL104" s="784" t="s">
        <v>2242</v>
      </c>
      <c r="AM104" s="784" t="s">
        <v>1698</v>
      </c>
      <c r="AN104" s="784" t="s">
        <v>2250</v>
      </c>
      <c r="AO104" s="786" t="s">
        <v>2251</v>
      </c>
      <c r="AP104" s="786" t="s">
        <v>2252</v>
      </c>
      <c r="AQ104" s="803" t="s">
        <v>2253</v>
      </c>
      <c r="AR104" s="785" t="s">
        <v>2254</v>
      </c>
      <c r="AS104" s="785" t="s">
        <v>2255</v>
      </c>
      <c r="AT104" s="783">
        <v>1961</v>
      </c>
      <c r="AV104" s="673"/>
      <c r="AW104" s="673"/>
      <c r="AX104" s="673"/>
      <c r="AY104" s="673"/>
      <c r="AZ104" s="673"/>
      <c r="BA104" s="673"/>
      <c r="BB104" s="779"/>
      <c r="BC104" s="673"/>
      <c r="BD104" s="673"/>
      <c r="BE104" s="821"/>
      <c r="BF104" s="855"/>
      <c r="BG104" s="855"/>
      <c r="BH104" s="855"/>
      <c r="BI104" s="855"/>
      <c r="BJ104" s="855"/>
      <c r="BK104" s="855"/>
      <c r="BL104" s="855"/>
      <c r="BM104" s="855"/>
    </row>
    <row r="105" spans="1:65" ht="17.25" customHeight="1">
      <c r="A105" s="622" t="s">
        <v>1393</v>
      </c>
      <c r="B105" s="622" t="s">
        <v>1393</v>
      </c>
      <c r="C105" s="834" t="s">
        <v>2146</v>
      </c>
      <c r="D105" s="808" t="s">
        <v>2223</v>
      </c>
      <c r="E105" s="614" t="s">
        <v>99</v>
      </c>
      <c r="F105" s="682" t="s">
        <v>2256</v>
      </c>
      <c r="G105" s="807" t="s">
        <v>2211</v>
      </c>
      <c r="H105" s="808" t="s">
        <v>2212</v>
      </c>
      <c r="I105" s="421" t="s">
        <v>2213</v>
      </c>
      <c r="J105" s="673" t="s">
        <v>2214</v>
      </c>
      <c r="K105" s="837" t="s">
        <v>2215</v>
      </c>
      <c r="L105" s="2042"/>
      <c r="AE105" s="783">
        <v>1962</v>
      </c>
      <c r="AF105" s="784" t="s">
        <v>99</v>
      </c>
      <c r="AG105" s="784"/>
      <c r="AH105" s="784"/>
      <c r="AI105" s="784" t="s">
        <v>2257</v>
      </c>
      <c r="AJ105" s="784"/>
      <c r="AK105" s="784"/>
      <c r="AL105" s="784" t="s">
        <v>2242</v>
      </c>
      <c r="AM105" s="784" t="s">
        <v>1712</v>
      </c>
      <c r="AN105" s="784" t="s">
        <v>2258</v>
      </c>
      <c r="AO105" s="786" t="s">
        <v>2259</v>
      </c>
      <c r="AP105" s="786" t="s">
        <v>2260</v>
      </c>
      <c r="AQ105" s="803" t="s">
        <v>2261</v>
      </c>
      <c r="AR105" s="785" t="s">
        <v>2262</v>
      </c>
      <c r="AS105" s="785" t="s">
        <v>2263</v>
      </c>
      <c r="AT105" s="783">
        <v>1962</v>
      </c>
      <c r="AV105" s="673"/>
      <c r="AW105" s="673"/>
      <c r="AX105" s="673"/>
      <c r="AY105" s="673"/>
      <c r="AZ105" s="673"/>
      <c r="BA105" s="673"/>
      <c r="BB105" s="779"/>
      <c r="BC105" s="673"/>
      <c r="BD105" s="673"/>
      <c r="BE105" s="821"/>
      <c r="BF105" s="855"/>
      <c r="BG105" s="855"/>
      <c r="BH105" s="855"/>
      <c r="BI105" s="855"/>
      <c r="BJ105" s="855"/>
      <c r="BK105" s="855"/>
      <c r="BL105" s="855"/>
      <c r="BM105" s="855"/>
    </row>
    <row r="106" spans="1:65" ht="17.25" customHeight="1">
      <c r="A106" s="622" t="s">
        <v>1388</v>
      </c>
      <c r="B106" s="622" t="s">
        <v>1388</v>
      </c>
      <c r="C106" s="834" t="s">
        <v>2146</v>
      </c>
      <c r="D106" s="808" t="s">
        <v>2223</v>
      </c>
      <c r="E106" s="614" t="s">
        <v>99</v>
      </c>
      <c r="F106" s="673" t="s">
        <v>2264</v>
      </c>
      <c r="G106" s="807" t="s">
        <v>2211</v>
      </c>
      <c r="H106" s="808" t="s">
        <v>2212</v>
      </c>
      <c r="I106" s="421" t="s">
        <v>2213</v>
      </c>
      <c r="J106" s="673" t="s">
        <v>2214</v>
      </c>
      <c r="K106" s="837" t="s">
        <v>2215</v>
      </c>
      <c r="L106" s="2042"/>
      <c r="AE106" s="783">
        <v>1963</v>
      </c>
      <c r="AF106" s="784" t="s">
        <v>99</v>
      </c>
      <c r="AG106" s="784"/>
      <c r="AH106" s="784"/>
      <c r="AI106" s="784" t="s">
        <v>99</v>
      </c>
      <c r="AJ106" s="784"/>
      <c r="AK106" s="784"/>
      <c r="AL106" s="784" t="s">
        <v>2242</v>
      </c>
      <c r="AM106" s="784" t="s">
        <v>1727</v>
      </c>
      <c r="AN106" s="784" t="s">
        <v>2265</v>
      </c>
      <c r="AO106" s="786" t="s">
        <v>2266</v>
      </c>
      <c r="AP106" s="786" t="s">
        <v>2267</v>
      </c>
      <c r="AQ106" s="803" t="s">
        <v>2261</v>
      </c>
      <c r="AR106" s="785" t="s">
        <v>2262</v>
      </c>
      <c r="AS106" s="785"/>
      <c r="AT106" s="783">
        <v>1963</v>
      </c>
      <c r="AV106" s="673"/>
      <c r="AW106" s="673"/>
      <c r="AX106" s="673"/>
      <c r="AY106" s="673"/>
      <c r="AZ106" s="673"/>
      <c r="BA106" s="673"/>
      <c r="BB106" s="779"/>
      <c r="BC106" s="673"/>
      <c r="BD106" s="673"/>
      <c r="BE106" s="821"/>
      <c r="BF106" s="855"/>
      <c r="BG106" s="855"/>
      <c r="BH106" s="855"/>
      <c r="BI106" s="855"/>
      <c r="BJ106" s="855"/>
      <c r="BK106" s="855"/>
      <c r="BL106" s="855"/>
      <c r="BM106" s="855"/>
    </row>
    <row r="107" spans="1:65" ht="17.25" customHeight="1">
      <c r="A107" s="622" t="s">
        <v>2268</v>
      </c>
      <c r="B107" s="622" t="s">
        <v>2268</v>
      </c>
      <c r="C107" s="834" t="s">
        <v>2146</v>
      </c>
      <c r="D107" s="808" t="s">
        <v>2223</v>
      </c>
      <c r="E107" s="614" t="s">
        <v>99</v>
      </c>
      <c r="F107" s="614" t="s">
        <v>2269</v>
      </c>
      <c r="G107" s="807" t="s">
        <v>2211</v>
      </c>
      <c r="H107" s="808" t="s">
        <v>2212</v>
      </c>
      <c r="I107" s="421" t="s">
        <v>2213</v>
      </c>
      <c r="J107" s="673" t="s">
        <v>2214</v>
      </c>
      <c r="K107" s="837" t="s">
        <v>2215</v>
      </c>
      <c r="L107" s="2042"/>
      <c r="AE107" s="783">
        <v>1964</v>
      </c>
      <c r="AF107" s="784" t="s">
        <v>2270</v>
      </c>
      <c r="AG107" s="784"/>
      <c r="AH107" s="784"/>
      <c r="AI107" s="784" t="s">
        <v>2271</v>
      </c>
      <c r="AJ107" s="784"/>
      <c r="AK107" s="784"/>
      <c r="AL107" s="784" t="s">
        <v>2242</v>
      </c>
      <c r="AM107" s="784" t="s">
        <v>1740</v>
      </c>
      <c r="AN107" s="784" t="s">
        <v>2272</v>
      </c>
      <c r="AO107" s="786" t="s">
        <v>2273</v>
      </c>
      <c r="AP107" s="786" t="s">
        <v>2274</v>
      </c>
      <c r="AQ107" s="803" t="s">
        <v>2275</v>
      </c>
      <c r="AR107" s="785" t="s">
        <v>2276</v>
      </c>
      <c r="AS107" s="785" t="s">
        <v>2277</v>
      </c>
      <c r="AT107" s="783">
        <v>1964</v>
      </c>
      <c r="AV107" s="673"/>
      <c r="AW107" s="673"/>
      <c r="AX107" s="673"/>
      <c r="AY107" s="673"/>
      <c r="AZ107" s="673"/>
      <c r="BA107" s="673"/>
      <c r="BB107" s="779"/>
      <c r="BC107" s="673"/>
      <c r="BD107" s="673"/>
      <c r="BE107" s="821"/>
      <c r="BF107" s="855"/>
      <c r="BG107" s="855"/>
      <c r="BH107" s="855"/>
      <c r="BI107" s="855"/>
      <c r="BJ107" s="855"/>
      <c r="BK107" s="855"/>
      <c r="BL107" s="855"/>
      <c r="BM107" s="855"/>
    </row>
    <row r="108" spans="1:65" ht="17.25" customHeight="1">
      <c r="A108" s="622" t="s">
        <v>1391</v>
      </c>
      <c r="B108" s="622" t="s">
        <v>1391</v>
      </c>
      <c r="C108" s="834" t="s">
        <v>2146</v>
      </c>
      <c r="D108" s="808" t="s">
        <v>2223</v>
      </c>
      <c r="E108" s="614" t="s">
        <v>99</v>
      </c>
      <c r="F108" s="673" t="s">
        <v>2278</v>
      </c>
      <c r="G108" s="807" t="s">
        <v>2211</v>
      </c>
      <c r="H108" s="808" t="s">
        <v>2212</v>
      </c>
      <c r="I108" s="421" t="s">
        <v>2213</v>
      </c>
      <c r="J108" s="673" t="s">
        <v>2214</v>
      </c>
      <c r="K108" s="837" t="s">
        <v>2215</v>
      </c>
      <c r="L108" s="2042"/>
      <c r="AE108" s="783">
        <v>1965</v>
      </c>
      <c r="AF108" s="784" t="s">
        <v>99</v>
      </c>
      <c r="AG108" s="784"/>
      <c r="AH108" s="784"/>
      <c r="AI108" s="784" t="s">
        <v>99</v>
      </c>
      <c r="AJ108" s="784" t="s">
        <v>2279</v>
      </c>
      <c r="AK108" s="784"/>
      <c r="AL108" s="784" t="s">
        <v>2242</v>
      </c>
      <c r="AM108" s="784" t="s">
        <v>1752</v>
      </c>
      <c r="AN108" s="784" t="s">
        <v>2280</v>
      </c>
      <c r="AO108" s="786" t="s">
        <v>2281</v>
      </c>
      <c r="AP108" s="786" t="s">
        <v>2274</v>
      </c>
      <c r="AQ108" s="803" t="s">
        <v>2282</v>
      </c>
      <c r="AR108" s="785" t="s">
        <v>2283</v>
      </c>
      <c r="AS108" s="785" t="s">
        <v>2284</v>
      </c>
      <c r="AT108" s="783">
        <v>1965</v>
      </c>
      <c r="AV108" s="673"/>
      <c r="AW108" s="673"/>
      <c r="AX108" s="673"/>
      <c r="AY108" s="673"/>
      <c r="AZ108" s="673"/>
      <c r="BA108" s="673"/>
      <c r="BB108" s="779"/>
      <c r="BC108" s="673"/>
      <c r="BD108" s="673"/>
      <c r="BE108" s="821"/>
      <c r="BF108" s="855"/>
      <c r="BG108" s="855"/>
      <c r="BH108" s="855"/>
      <c r="BI108" s="855"/>
      <c r="BJ108" s="855"/>
      <c r="BK108" s="855"/>
      <c r="BL108" s="855"/>
      <c r="BM108" s="855"/>
    </row>
    <row r="109" spans="1:65" ht="17.25" customHeight="1">
      <c r="A109" s="622" t="s">
        <v>2285</v>
      </c>
      <c r="B109" s="622" t="s">
        <v>2285</v>
      </c>
      <c r="C109" s="834" t="s">
        <v>2146</v>
      </c>
      <c r="D109" s="808" t="s">
        <v>2223</v>
      </c>
      <c r="E109" s="614" t="s">
        <v>99</v>
      </c>
      <c r="F109" s="673" t="s">
        <v>2286</v>
      </c>
      <c r="G109" s="807" t="s">
        <v>2211</v>
      </c>
      <c r="H109" s="808" t="s">
        <v>2212</v>
      </c>
      <c r="I109" s="421" t="s">
        <v>2213</v>
      </c>
      <c r="J109" s="673" t="s">
        <v>2214</v>
      </c>
      <c r="K109" s="837" t="s">
        <v>2215</v>
      </c>
      <c r="L109" s="2042"/>
      <c r="AE109" s="783">
        <v>1966</v>
      </c>
      <c r="AF109" s="784" t="s">
        <v>99</v>
      </c>
      <c r="AG109" s="784"/>
      <c r="AH109" s="784"/>
      <c r="AI109" s="784" t="s">
        <v>2287</v>
      </c>
      <c r="AJ109" s="784" t="s">
        <v>2288</v>
      </c>
      <c r="AK109" s="784"/>
      <c r="AL109" s="784" t="s">
        <v>2242</v>
      </c>
      <c r="AM109" s="784" t="s">
        <v>1762</v>
      </c>
      <c r="AN109" s="784" t="s">
        <v>2289</v>
      </c>
      <c r="AO109" s="786" t="s">
        <v>2290</v>
      </c>
      <c r="AP109" s="786" t="s">
        <v>2274</v>
      </c>
      <c r="AQ109" s="803" t="s">
        <v>2291</v>
      </c>
      <c r="AR109" s="785" t="s">
        <v>2292</v>
      </c>
      <c r="AS109" s="785" t="s">
        <v>2293</v>
      </c>
      <c r="AT109" s="783">
        <v>1966</v>
      </c>
      <c r="AV109" s="673"/>
      <c r="AW109" s="673"/>
      <c r="AX109" s="673"/>
      <c r="AY109" s="673"/>
      <c r="AZ109" s="673"/>
      <c r="BA109" s="673"/>
      <c r="BB109" s="779"/>
      <c r="BC109" s="673"/>
      <c r="BD109" s="673"/>
      <c r="BE109" s="821"/>
      <c r="BF109" s="824"/>
      <c r="BG109" s="824"/>
      <c r="BH109" s="824"/>
      <c r="BI109" s="824"/>
      <c r="BJ109" s="824"/>
      <c r="BK109" s="824"/>
      <c r="BL109" s="824"/>
      <c r="BM109" s="824"/>
    </row>
    <row r="110" spans="1:65" ht="17.25" customHeight="1">
      <c r="A110" s="622" t="s">
        <v>2294</v>
      </c>
      <c r="B110" s="622" t="s">
        <v>2294</v>
      </c>
      <c r="C110" s="834" t="s">
        <v>2146</v>
      </c>
      <c r="D110" s="808" t="s">
        <v>2223</v>
      </c>
      <c r="E110" s="614" t="s">
        <v>99</v>
      </c>
      <c r="F110" s="673" t="s">
        <v>2295</v>
      </c>
      <c r="G110" s="807" t="s">
        <v>2211</v>
      </c>
      <c r="H110" s="808" t="s">
        <v>2212</v>
      </c>
      <c r="I110" s="421" t="s">
        <v>2213</v>
      </c>
      <c r="J110" s="673" t="s">
        <v>2214</v>
      </c>
      <c r="K110" s="837" t="s">
        <v>2215</v>
      </c>
      <c r="L110" s="2042"/>
      <c r="AE110" s="783">
        <v>1967</v>
      </c>
      <c r="AF110" s="784" t="s">
        <v>99</v>
      </c>
      <c r="AG110" s="784"/>
      <c r="AH110" s="784"/>
      <c r="AI110" s="784" t="s">
        <v>99</v>
      </c>
      <c r="AJ110" s="784"/>
      <c r="AK110" s="784"/>
      <c r="AL110" s="784" t="s">
        <v>2242</v>
      </c>
      <c r="AM110" s="784" t="s">
        <v>1769</v>
      </c>
      <c r="AN110" s="784" t="s">
        <v>2296</v>
      </c>
      <c r="AO110" s="786" t="s">
        <v>2297</v>
      </c>
      <c r="AP110" s="786" t="s">
        <v>2274</v>
      </c>
      <c r="AQ110" s="803" t="s">
        <v>2298</v>
      </c>
      <c r="AR110" s="785" t="s">
        <v>2299</v>
      </c>
      <c r="AS110" s="785" t="s">
        <v>2300</v>
      </c>
      <c r="AT110" s="783">
        <v>1967</v>
      </c>
      <c r="AV110" s="673"/>
      <c r="AW110" s="673"/>
      <c r="AX110" s="673"/>
      <c r="AY110" s="673"/>
      <c r="AZ110" s="673"/>
      <c r="BA110" s="673"/>
      <c r="BB110" s="779"/>
      <c r="BC110" s="673"/>
      <c r="BD110" s="673"/>
      <c r="BE110" s="821"/>
      <c r="BF110" s="824"/>
      <c r="BG110" s="824"/>
      <c r="BH110" s="824"/>
      <c r="BI110" s="824"/>
      <c r="BJ110" s="824"/>
      <c r="BK110" s="824"/>
      <c r="BL110" s="824"/>
      <c r="BM110" s="824"/>
    </row>
    <row r="111" spans="1:65" ht="17.25" customHeight="1">
      <c r="A111" s="622" t="s">
        <v>2301</v>
      </c>
      <c r="B111" s="622" t="s">
        <v>2301</v>
      </c>
      <c r="C111" s="834" t="s">
        <v>2146</v>
      </c>
      <c r="D111" s="808" t="s">
        <v>2223</v>
      </c>
      <c r="E111" s="614" t="s">
        <v>99</v>
      </c>
      <c r="F111" s="673" t="s">
        <v>2302</v>
      </c>
      <c r="G111" s="807" t="s">
        <v>2211</v>
      </c>
      <c r="H111" s="808" t="s">
        <v>2212</v>
      </c>
      <c r="I111" s="421" t="s">
        <v>2213</v>
      </c>
      <c r="J111" s="673" t="s">
        <v>2214</v>
      </c>
      <c r="K111" s="837" t="s">
        <v>2215</v>
      </c>
      <c r="L111" s="2042"/>
      <c r="AE111" s="783">
        <v>1968</v>
      </c>
      <c r="AF111" s="784" t="s">
        <v>2303</v>
      </c>
      <c r="AG111" s="784"/>
      <c r="AH111" s="784"/>
      <c r="AI111" s="784" t="s">
        <v>99</v>
      </c>
      <c r="AJ111" s="784"/>
      <c r="AK111" s="784"/>
      <c r="AL111" s="784" t="s">
        <v>2242</v>
      </c>
      <c r="AM111" s="784" t="s">
        <v>1777</v>
      </c>
      <c r="AN111" s="784" t="s">
        <v>2304</v>
      </c>
      <c r="AO111" s="805" t="s">
        <v>2305</v>
      </c>
      <c r="AP111" s="786" t="s">
        <v>2274</v>
      </c>
      <c r="AQ111" s="803" t="s">
        <v>2306</v>
      </c>
      <c r="AR111" s="785" t="s">
        <v>2307</v>
      </c>
      <c r="AS111" s="806" t="s">
        <v>2308</v>
      </c>
      <c r="AT111" s="783">
        <v>1968</v>
      </c>
      <c r="AV111" s="848"/>
      <c r="AW111" s="848"/>
      <c r="AX111" s="821"/>
      <c r="AY111" s="821"/>
      <c r="AZ111" s="848"/>
      <c r="BA111" s="848"/>
      <c r="BB111" s="779"/>
      <c r="BC111" s="821"/>
      <c r="BD111" s="821"/>
      <c r="BE111" s="821"/>
      <c r="BF111" s="824"/>
      <c r="BG111" s="824"/>
      <c r="BH111" s="824"/>
      <c r="BI111" s="824"/>
      <c r="BJ111" s="824"/>
      <c r="BK111" s="824"/>
      <c r="BL111" s="824"/>
      <c r="BM111" s="824"/>
    </row>
    <row r="112" spans="1:65" ht="17.25" customHeight="1">
      <c r="A112" s="622" t="s">
        <v>1397</v>
      </c>
      <c r="B112" s="622" t="s">
        <v>1397</v>
      </c>
      <c r="C112" s="834" t="s">
        <v>2146</v>
      </c>
      <c r="D112" s="808" t="s">
        <v>2223</v>
      </c>
      <c r="E112" s="614" t="s">
        <v>99</v>
      </c>
      <c r="F112" s="673" t="s">
        <v>2309</v>
      </c>
      <c r="G112" s="807" t="s">
        <v>2211</v>
      </c>
      <c r="H112" s="808" t="s">
        <v>2212</v>
      </c>
      <c r="I112" s="421" t="s">
        <v>2213</v>
      </c>
      <c r="J112" s="673" t="s">
        <v>2214</v>
      </c>
      <c r="K112" s="837" t="s">
        <v>2215</v>
      </c>
      <c r="L112" s="2042"/>
      <c r="M112" s="839"/>
      <c r="N112" s="2335" t="s">
        <v>2310</v>
      </c>
      <c r="O112" s="2335"/>
      <c r="P112" s="2335"/>
      <c r="Q112" s="2335"/>
      <c r="R112" s="2336"/>
      <c r="S112" s="841"/>
      <c r="T112" s="2335" t="s">
        <v>2311</v>
      </c>
      <c r="U112" s="2335"/>
      <c r="V112" s="2335"/>
      <c r="W112" s="2335"/>
      <c r="X112" s="2336"/>
      <c r="AE112" s="783">
        <v>1969</v>
      </c>
      <c r="AF112" s="784" t="s">
        <v>2312</v>
      </c>
      <c r="AG112" s="784" t="s">
        <v>2313</v>
      </c>
      <c r="AH112" s="784"/>
      <c r="AI112" s="784" t="s">
        <v>99</v>
      </c>
      <c r="AJ112" s="784"/>
      <c r="AK112" s="784"/>
      <c r="AL112" s="784" t="s">
        <v>2242</v>
      </c>
      <c r="AM112" s="784" t="s">
        <v>1786</v>
      </c>
      <c r="AN112" s="784" t="s">
        <v>2314</v>
      </c>
      <c r="AO112" s="805" t="s">
        <v>2315</v>
      </c>
      <c r="AP112" s="786" t="s">
        <v>2316</v>
      </c>
      <c r="AQ112" s="803" t="s">
        <v>2317</v>
      </c>
      <c r="AR112" s="785" t="s">
        <v>2318</v>
      </c>
      <c r="AS112" s="806" t="s">
        <v>2319</v>
      </c>
      <c r="AT112" s="783">
        <v>1969</v>
      </c>
      <c r="AV112" s="848"/>
      <c r="AW112" s="848"/>
      <c r="AX112" s="821"/>
      <c r="AY112" s="821"/>
      <c r="AZ112" s="848"/>
      <c r="BA112" s="848"/>
      <c r="BB112" s="779"/>
      <c r="BC112" s="821"/>
      <c r="BD112" s="821"/>
      <c r="BE112" s="821"/>
      <c r="BF112" s="824"/>
      <c r="BG112" s="824"/>
      <c r="BH112" s="824"/>
      <c r="BI112" s="824"/>
      <c r="BJ112" s="824"/>
      <c r="BK112" s="824"/>
      <c r="BL112" s="824"/>
      <c r="BM112" s="824"/>
    </row>
    <row r="113" spans="1:65" ht="17.25" customHeight="1">
      <c r="A113" s="622" t="s">
        <v>2320</v>
      </c>
      <c r="B113" s="622" t="s">
        <v>2320</v>
      </c>
      <c r="C113" s="834" t="s">
        <v>2146</v>
      </c>
      <c r="D113" s="808" t="s">
        <v>2223</v>
      </c>
      <c r="E113" s="614" t="s">
        <v>99</v>
      </c>
      <c r="F113" s="673" t="s">
        <v>2321</v>
      </c>
      <c r="G113" s="807" t="s">
        <v>2211</v>
      </c>
      <c r="H113" s="808" t="s">
        <v>2212</v>
      </c>
      <c r="I113" s="421" t="s">
        <v>2213</v>
      </c>
      <c r="J113" s="673" t="s">
        <v>2214</v>
      </c>
      <c r="K113" s="837" t="s">
        <v>2215</v>
      </c>
      <c r="L113" s="2042"/>
      <c r="M113" s="840">
        <v>0</v>
      </c>
      <c r="N113" s="2294" t="s">
        <v>2322</v>
      </c>
      <c r="O113" s="2294"/>
      <c r="P113" s="2294"/>
      <c r="Q113" s="2294"/>
      <c r="R113" s="2295"/>
      <c r="S113" s="842">
        <v>0</v>
      </c>
      <c r="T113" s="2294" t="s">
        <v>2323</v>
      </c>
      <c r="U113" s="2294"/>
      <c r="V113" s="2294"/>
      <c r="W113" s="2294"/>
      <c r="X113" s="2295"/>
      <c r="AE113" s="783">
        <v>1970</v>
      </c>
      <c r="AF113" s="784" t="s">
        <v>99</v>
      </c>
      <c r="AG113" s="784"/>
      <c r="AH113" s="784"/>
      <c r="AI113" s="784" t="s">
        <v>2324</v>
      </c>
      <c r="AJ113" s="784"/>
      <c r="AK113" s="784"/>
      <c r="AL113" s="784" t="s">
        <v>2325</v>
      </c>
      <c r="AM113" s="784" t="s">
        <v>1795</v>
      </c>
      <c r="AN113" s="784" t="s">
        <v>2326</v>
      </c>
      <c r="AO113" s="805" t="s">
        <v>2327</v>
      </c>
      <c r="AP113" s="786" t="s">
        <v>2328</v>
      </c>
      <c r="AQ113" s="803" t="s">
        <v>2329</v>
      </c>
      <c r="AR113" s="785" t="s">
        <v>2330</v>
      </c>
      <c r="AS113" s="806" t="s">
        <v>2331</v>
      </c>
      <c r="AT113" s="783">
        <v>1970</v>
      </c>
      <c r="AV113" s="824"/>
      <c r="AW113" s="824"/>
      <c r="AX113" s="851"/>
      <c r="AY113" s="851"/>
      <c r="AZ113" s="824"/>
      <c r="BA113" s="824"/>
      <c r="BB113" s="779"/>
      <c r="BC113" s="851"/>
      <c r="BD113" s="851"/>
      <c r="BE113" s="851"/>
      <c r="BF113" s="824"/>
      <c r="BG113" s="824"/>
      <c r="BH113" s="824"/>
      <c r="BI113" s="824"/>
      <c r="BJ113" s="824"/>
      <c r="BK113" s="824"/>
      <c r="BL113" s="824"/>
      <c r="BM113" s="824"/>
    </row>
    <row r="114" spans="1:65" ht="17.25" customHeight="1">
      <c r="A114" s="622" t="s">
        <v>2332</v>
      </c>
      <c r="B114" s="622" t="s">
        <v>2332</v>
      </c>
      <c r="C114" s="834" t="s">
        <v>2146</v>
      </c>
      <c r="D114" s="808" t="s">
        <v>2223</v>
      </c>
      <c r="E114" s="614" t="s">
        <v>99</v>
      </c>
      <c r="F114" s="673" t="s">
        <v>2333</v>
      </c>
      <c r="G114" s="807" t="s">
        <v>2211</v>
      </c>
      <c r="H114" s="808" t="s">
        <v>2212</v>
      </c>
      <c r="I114" s="421" t="s">
        <v>2213</v>
      </c>
      <c r="J114" s="673" t="s">
        <v>2214</v>
      </c>
      <c r="K114" s="837" t="s">
        <v>2215</v>
      </c>
      <c r="L114" s="2042"/>
      <c r="M114" s="840">
        <v>1</v>
      </c>
      <c r="N114" s="2294" t="s">
        <v>2334</v>
      </c>
      <c r="O114" s="2294"/>
      <c r="P114" s="2294"/>
      <c r="Q114" s="2294"/>
      <c r="R114" s="2295"/>
      <c r="S114" s="842">
        <v>1</v>
      </c>
      <c r="T114" s="2294" t="s">
        <v>2335</v>
      </c>
      <c r="U114" s="2294"/>
      <c r="V114" s="2294"/>
      <c r="W114" s="2294"/>
      <c r="X114" s="2295"/>
      <c r="AE114" s="783">
        <v>1971</v>
      </c>
      <c r="AF114" s="784" t="s">
        <v>99</v>
      </c>
      <c r="AG114" s="784"/>
      <c r="AH114" s="784"/>
      <c r="AI114" s="784" t="s">
        <v>2336</v>
      </c>
      <c r="AJ114" s="784"/>
      <c r="AK114" s="784"/>
      <c r="AL114" s="784" t="s">
        <v>2325</v>
      </c>
      <c r="AM114" s="784" t="s">
        <v>1805</v>
      </c>
      <c r="AN114" s="784" t="s">
        <v>2337</v>
      </c>
      <c r="AO114" s="805" t="s">
        <v>2338</v>
      </c>
      <c r="AP114" s="786" t="s">
        <v>2328</v>
      </c>
      <c r="AQ114" s="803" t="s">
        <v>2339</v>
      </c>
      <c r="AR114" s="785" t="s">
        <v>2340</v>
      </c>
      <c r="AS114" s="806" t="s">
        <v>2341</v>
      </c>
      <c r="AT114" s="783">
        <v>1971</v>
      </c>
      <c r="AV114" s="824"/>
      <c r="AW114" s="824"/>
      <c r="AX114" s="851"/>
      <c r="AY114" s="851"/>
      <c r="AZ114" s="824"/>
      <c r="BA114" s="824"/>
      <c r="BB114" s="779"/>
      <c r="BC114" s="851"/>
      <c r="BD114" s="851"/>
      <c r="BE114" s="851"/>
      <c r="BF114" s="824"/>
      <c r="BG114" s="824"/>
      <c r="BH114" s="824"/>
      <c r="BI114" s="824"/>
      <c r="BJ114" s="824"/>
      <c r="BK114" s="824"/>
      <c r="BL114" s="824"/>
      <c r="BM114" s="824"/>
    </row>
    <row r="115" spans="1:65" ht="17.25" customHeight="1">
      <c r="A115" s="622" t="s">
        <v>1390</v>
      </c>
      <c r="B115" s="622" t="s">
        <v>1390</v>
      </c>
      <c r="C115" s="834" t="s">
        <v>2146</v>
      </c>
      <c r="D115" s="808" t="s">
        <v>2223</v>
      </c>
      <c r="E115" s="614" t="s">
        <v>99</v>
      </c>
      <c r="F115" s="673" t="s">
        <v>2342</v>
      </c>
      <c r="G115" s="807" t="s">
        <v>2211</v>
      </c>
      <c r="H115" s="808" t="s">
        <v>2212</v>
      </c>
      <c r="I115" s="421" t="s">
        <v>2213</v>
      </c>
      <c r="J115" s="673" t="s">
        <v>2214</v>
      </c>
      <c r="K115" s="837" t="s">
        <v>2215</v>
      </c>
      <c r="L115" s="2042"/>
      <c r="M115" s="840">
        <v>2</v>
      </c>
      <c r="N115" s="2294" t="s">
        <v>2343</v>
      </c>
      <c r="O115" s="2294"/>
      <c r="P115" s="2294"/>
      <c r="Q115" s="2294"/>
      <c r="R115" s="2295"/>
      <c r="S115" s="842">
        <v>2</v>
      </c>
      <c r="T115" s="2294" t="s">
        <v>2344</v>
      </c>
      <c r="U115" s="2294"/>
      <c r="V115" s="2294"/>
      <c r="W115" s="2294"/>
      <c r="X115" s="2295"/>
      <c r="AE115" s="783">
        <v>1972</v>
      </c>
      <c r="AF115" s="784" t="s">
        <v>2345</v>
      </c>
      <c r="AG115" s="784"/>
      <c r="AH115" s="784"/>
      <c r="AI115" s="784" t="s">
        <v>2346</v>
      </c>
      <c r="AJ115" s="784"/>
      <c r="AK115" s="784"/>
      <c r="AL115" s="784" t="s">
        <v>2325</v>
      </c>
      <c r="AM115" s="784" t="s">
        <v>1818</v>
      </c>
      <c r="AN115" s="784" t="s">
        <v>2347</v>
      </c>
      <c r="AO115" s="805" t="s">
        <v>2348</v>
      </c>
      <c r="AP115" s="786" t="s">
        <v>2328</v>
      </c>
      <c r="AQ115" s="803" t="s">
        <v>2349</v>
      </c>
      <c r="AR115" s="785" t="s">
        <v>2350</v>
      </c>
      <c r="AS115" s="806" t="s">
        <v>2351</v>
      </c>
      <c r="AT115" s="783">
        <v>1972</v>
      </c>
      <c r="AV115" s="824"/>
      <c r="AW115" s="824"/>
      <c r="AX115" s="851"/>
      <c r="AY115" s="851"/>
      <c r="AZ115" s="824"/>
      <c r="BA115" s="824"/>
      <c r="BB115" s="779"/>
      <c r="BC115" s="851"/>
      <c r="BD115" s="851"/>
      <c r="BE115" s="851"/>
      <c r="BF115" s="824"/>
      <c r="BG115" s="824"/>
      <c r="BH115" s="824"/>
      <c r="BI115" s="824"/>
      <c r="BJ115" s="824"/>
      <c r="BK115" s="824"/>
      <c r="BL115" s="824"/>
      <c r="BM115" s="824"/>
    </row>
    <row r="116" spans="1:65" ht="17.25" customHeight="1">
      <c r="A116" s="622" t="s">
        <v>2352</v>
      </c>
      <c r="B116" s="622" t="s">
        <v>2352</v>
      </c>
      <c r="C116" s="834" t="s">
        <v>2146</v>
      </c>
      <c r="D116" s="808" t="s">
        <v>2223</v>
      </c>
      <c r="E116" s="614" t="s">
        <v>99</v>
      </c>
      <c r="F116" s="673" t="s">
        <v>2353</v>
      </c>
      <c r="G116" s="807" t="s">
        <v>2211</v>
      </c>
      <c r="H116" s="808" t="s">
        <v>2212</v>
      </c>
      <c r="I116" s="421" t="s">
        <v>2213</v>
      </c>
      <c r="J116" s="673" t="s">
        <v>2214</v>
      </c>
      <c r="K116" s="837" t="s">
        <v>2215</v>
      </c>
      <c r="L116" s="2042"/>
      <c r="M116" s="840">
        <v>3</v>
      </c>
      <c r="N116" s="2294" t="s">
        <v>2354</v>
      </c>
      <c r="O116" s="2294"/>
      <c r="P116" s="2294"/>
      <c r="Q116" s="2294"/>
      <c r="R116" s="2295"/>
      <c r="S116" s="842">
        <v>3</v>
      </c>
      <c r="T116" s="2294" t="s">
        <v>2355</v>
      </c>
      <c r="U116" s="2294"/>
      <c r="V116" s="2294"/>
      <c r="W116" s="2294"/>
      <c r="X116" s="2295"/>
      <c r="AE116" s="783">
        <v>1973</v>
      </c>
      <c r="AF116" s="784" t="s">
        <v>99</v>
      </c>
      <c r="AG116" s="784"/>
      <c r="AH116" s="784"/>
      <c r="AI116" s="784" t="s">
        <v>2356</v>
      </c>
      <c r="AJ116" s="784"/>
      <c r="AK116" s="784"/>
      <c r="AL116" s="784" t="s">
        <v>2325</v>
      </c>
      <c r="AM116" s="784" t="s">
        <v>1827</v>
      </c>
      <c r="AN116" s="784" t="s">
        <v>2357</v>
      </c>
      <c r="AO116" s="805" t="s">
        <v>2358</v>
      </c>
      <c r="AP116" s="786" t="s">
        <v>2328</v>
      </c>
      <c r="AQ116" s="803" t="s">
        <v>2359</v>
      </c>
      <c r="AR116" s="785" t="s">
        <v>2360</v>
      </c>
      <c r="AS116" s="806" t="s">
        <v>2361</v>
      </c>
      <c r="AT116" s="783">
        <v>1973</v>
      </c>
      <c r="AV116" s="824"/>
      <c r="AW116" s="824"/>
      <c r="AX116" s="851"/>
      <c r="AY116" s="851"/>
      <c r="AZ116" s="824"/>
      <c r="BA116" s="824"/>
      <c r="BB116" s="779"/>
      <c r="BC116" s="851"/>
      <c r="BD116" s="851"/>
      <c r="BE116" s="851"/>
      <c r="BF116" s="824"/>
      <c r="BG116" s="824"/>
      <c r="BH116" s="824"/>
      <c r="BI116" s="824"/>
      <c r="BJ116" s="824"/>
      <c r="BK116" s="824"/>
      <c r="BL116" s="824"/>
      <c r="BM116" s="824"/>
    </row>
    <row r="117" spans="1:65" ht="17.25" customHeight="1">
      <c r="A117" s="622" t="s">
        <v>2362</v>
      </c>
      <c r="B117" s="622" t="s">
        <v>2362</v>
      </c>
      <c r="C117" s="834" t="s">
        <v>2146</v>
      </c>
      <c r="D117" s="808" t="s">
        <v>2223</v>
      </c>
      <c r="E117" s="614" t="s">
        <v>99</v>
      </c>
      <c r="F117" s="673" t="s">
        <v>2363</v>
      </c>
      <c r="G117" s="807" t="s">
        <v>2211</v>
      </c>
      <c r="H117" s="808" t="s">
        <v>2212</v>
      </c>
      <c r="I117" s="421" t="s">
        <v>2213</v>
      </c>
      <c r="J117" s="673" t="s">
        <v>2214</v>
      </c>
      <c r="K117" s="837" t="s">
        <v>2215</v>
      </c>
      <c r="L117" s="2042"/>
      <c r="M117" s="840">
        <v>4</v>
      </c>
      <c r="N117" s="2294" t="s">
        <v>2364</v>
      </c>
      <c r="O117" s="2294"/>
      <c r="P117" s="2294"/>
      <c r="Q117" s="2294"/>
      <c r="R117" s="2295"/>
      <c r="S117" s="842">
        <v>4</v>
      </c>
      <c r="T117" s="2294" t="s">
        <v>2365</v>
      </c>
      <c r="U117" s="2294"/>
      <c r="V117" s="2294"/>
      <c r="W117" s="2294"/>
      <c r="X117" s="2295"/>
      <c r="AE117" s="783">
        <v>1974</v>
      </c>
      <c r="AF117" s="784" t="s">
        <v>99</v>
      </c>
      <c r="AG117" s="784"/>
      <c r="AH117" s="784"/>
      <c r="AI117" s="784" t="s">
        <v>99</v>
      </c>
      <c r="AJ117" s="784"/>
      <c r="AK117" s="784"/>
      <c r="AL117" s="784" t="s">
        <v>2325</v>
      </c>
      <c r="AM117" s="784" t="s">
        <v>1833</v>
      </c>
      <c r="AN117" s="784" t="s">
        <v>2366</v>
      </c>
      <c r="AO117" s="786" t="s">
        <v>2367</v>
      </c>
      <c r="AP117" s="786" t="s">
        <v>2368</v>
      </c>
      <c r="AQ117" s="803" t="s">
        <v>2359</v>
      </c>
      <c r="AR117" s="785" t="s">
        <v>2360</v>
      </c>
      <c r="AS117" s="785"/>
      <c r="AT117" s="783">
        <v>1974</v>
      </c>
      <c r="AV117" s="673"/>
      <c r="AW117" s="673"/>
      <c r="AX117" s="673"/>
      <c r="AY117" s="673"/>
      <c r="AZ117" s="673"/>
      <c r="BA117" s="673"/>
      <c r="BB117" s="779"/>
      <c r="BC117" s="673"/>
      <c r="BD117" s="673"/>
      <c r="BE117" s="673"/>
      <c r="BF117" s="673"/>
      <c r="BG117" s="673"/>
      <c r="BH117" s="673"/>
      <c r="BI117" s="673"/>
      <c r="BJ117" s="673"/>
      <c r="BK117" s="673"/>
      <c r="BL117" s="673"/>
      <c r="BM117" s="673"/>
    </row>
    <row r="118" spans="1:65" ht="17.25" customHeight="1">
      <c r="A118" s="622" t="s">
        <v>1402</v>
      </c>
      <c r="B118" s="622" t="s">
        <v>1402</v>
      </c>
      <c r="C118" s="834" t="s">
        <v>2146</v>
      </c>
      <c r="D118" s="808" t="s">
        <v>2223</v>
      </c>
      <c r="E118" s="614" t="s">
        <v>99</v>
      </c>
      <c r="F118" s="673" t="s">
        <v>2369</v>
      </c>
      <c r="G118" s="807" t="s">
        <v>2211</v>
      </c>
      <c r="H118" s="808" t="s">
        <v>2212</v>
      </c>
      <c r="I118" s="421" t="s">
        <v>2213</v>
      </c>
      <c r="J118" s="673" t="s">
        <v>2214</v>
      </c>
      <c r="K118" s="837" t="s">
        <v>2215</v>
      </c>
      <c r="L118" s="2042"/>
      <c r="M118" s="840">
        <v>5</v>
      </c>
      <c r="N118" s="2294" t="s">
        <v>2370</v>
      </c>
      <c r="O118" s="2294"/>
      <c r="P118" s="2294"/>
      <c r="Q118" s="2294"/>
      <c r="R118" s="2295"/>
      <c r="S118" s="842">
        <v>5</v>
      </c>
      <c r="T118" s="2294" t="s">
        <v>2371</v>
      </c>
      <c r="U118" s="2294"/>
      <c r="V118" s="2294"/>
      <c r="W118" s="2294"/>
      <c r="X118" s="2295"/>
      <c r="AE118" s="783">
        <v>1975</v>
      </c>
      <c r="AF118" s="784" t="s">
        <v>2372</v>
      </c>
      <c r="AG118" s="784"/>
      <c r="AH118" s="784"/>
      <c r="AI118" s="784" t="s">
        <v>2373</v>
      </c>
      <c r="AJ118" s="784"/>
      <c r="AK118" s="784"/>
      <c r="AL118" s="784" t="s">
        <v>2325</v>
      </c>
      <c r="AM118" s="784" t="s">
        <v>1838</v>
      </c>
      <c r="AN118" s="784" t="s">
        <v>2374</v>
      </c>
      <c r="AO118" s="786" t="s">
        <v>2375</v>
      </c>
      <c r="AP118" s="786" t="s">
        <v>2376</v>
      </c>
      <c r="AQ118" s="803" t="s">
        <v>2377</v>
      </c>
      <c r="AR118" s="785" t="s">
        <v>2378</v>
      </c>
      <c r="AS118" s="785" t="s">
        <v>2379</v>
      </c>
      <c r="AT118" s="783">
        <v>1975</v>
      </c>
      <c r="AV118" s="673"/>
      <c r="AW118" s="673"/>
      <c r="AX118" s="673"/>
      <c r="AY118" s="673"/>
      <c r="AZ118" s="673"/>
      <c r="BA118" s="673"/>
      <c r="BB118" s="779"/>
      <c r="BC118" s="673"/>
      <c r="BD118" s="673"/>
      <c r="BE118" s="673"/>
      <c r="BF118" s="673"/>
      <c r="BG118" s="673"/>
      <c r="BH118" s="673"/>
      <c r="BI118" s="673"/>
      <c r="BJ118" s="673"/>
      <c r="BK118" s="673"/>
      <c r="BL118" s="673"/>
      <c r="BM118" s="673"/>
    </row>
    <row r="119" spans="1:65" ht="17.25" customHeight="1">
      <c r="A119" s="622" t="s">
        <v>2380</v>
      </c>
      <c r="B119" s="622" t="s">
        <v>2380</v>
      </c>
      <c r="C119" s="834" t="s">
        <v>2146</v>
      </c>
      <c r="D119" s="808" t="s">
        <v>2223</v>
      </c>
      <c r="E119" s="614" t="s">
        <v>99</v>
      </c>
      <c r="F119" s="673" t="s">
        <v>2381</v>
      </c>
      <c r="G119" s="807" t="s">
        <v>2211</v>
      </c>
      <c r="H119" s="808" t="s">
        <v>2212</v>
      </c>
      <c r="I119" s="421" t="s">
        <v>2213</v>
      </c>
      <c r="J119" s="673" t="s">
        <v>2214</v>
      </c>
      <c r="K119" s="837" t="s">
        <v>2215</v>
      </c>
      <c r="L119" s="2042"/>
      <c r="M119" s="840">
        <v>6</v>
      </c>
      <c r="N119" s="2294" t="s">
        <v>2382</v>
      </c>
      <c r="O119" s="2294"/>
      <c r="P119" s="2294"/>
      <c r="Q119" s="2294"/>
      <c r="R119" s="2295"/>
      <c r="S119" s="842">
        <v>6</v>
      </c>
      <c r="T119" s="2294" t="s">
        <v>2383</v>
      </c>
      <c r="U119" s="2294"/>
      <c r="V119" s="2294"/>
      <c r="W119" s="2294"/>
      <c r="X119" s="2295"/>
      <c r="AE119" s="783">
        <v>1976</v>
      </c>
      <c r="AF119" s="784" t="s">
        <v>2384</v>
      </c>
      <c r="AG119" s="784"/>
      <c r="AH119" s="784"/>
      <c r="AI119" s="784" t="s">
        <v>2385</v>
      </c>
      <c r="AJ119" s="784" t="s">
        <v>2386</v>
      </c>
      <c r="AK119" s="784" t="s">
        <v>2387</v>
      </c>
      <c r="AL119" s="784" t="s">
        <v>2325</v>
      </c>
      <c r="AM119" s="784" t="s">
        <v>1845</v>
      </c>
      <c r="AN119" s="784" t="s">
        <v>2388</v>
      </c>
      <c r="AO119" s="786" t="s">
        <v>2389</v>
      </c>
      <c r="AP119" s="786" t="s">
        <v>2376</v>
      </c>
      <c r="AQ119" s="803" t="s">
        <v>2390</v>
      </c>
      <c r="AR119" s="785" t="s">
        <v>2391</v>
      </c>
      <c r="AS119" s="785" t="s">
        <v>2392</v>
      </c>
      <c r="AT119" s="783">
        <v>1976</v>
      </c>
      <c r="AV119" s="673"/>
      <c r="AW119" s="673"/>
      <c r="AX119" s="673"/>
      <c r="AY119" s="673"/>
      <c r="AZ119" s="673"/>
      <c r="BA119" s="673"/>
      <c r="BB119" s="779"/>
      <c r="BC119" s="673"/>
      <c r="BD119" s="673"/>
      <c r="BE119" s="673"/>
      <c r="BF119" s="673"/>
      <c r="BG119" s="673"/>
      <c r="BH119" s="673"/>
      <c r="BI119" s="673"/>
      <c r="BJ119" s="673"/>
      <c r="BK119" s="673"/>
      <c r="BL119" s="673"/>
      <c r="BM119" s="673"/>
    </row>
    <row r="120" spans="1:65" ht="17.25" customHeight="1">
      <c r="A120" s="622" t="s">
        <v>2393</v>
      </c>
      <c r="B120" s="622" t="s">
        <v>2393</v>
      </c>
      <c r="C120" s="834" t="s">
        <v>2146</v>
      </c>
      <c r="D120" s="808" t="s">
        <v>2223</v>
      </c>
      <c r="E120" s="614" t="s">
        <v>99</v>
      </c>
      <c r="F120" s="673" t="s">
        <v>2394</v>
      </c>
      <c r="G120" s="807" t="s">
        <v>2211</v>
      </c>
      <c r="H120" s="808" t="s">
        <v>2212</v>
      </c>
      <c r="I120" s="421" t="s">
        <v>2213</v>
      </c>
      <c r="J120" s="673" t="s">
        <v>2214</v>
      </c>
      <c r="K120" s="837" t="s">
        <v>2215</v>
      </c>
      <c r="L120" s="2042"/>
      <c r="M120" s="840">
        <v>7</v>
      </c>
      <c r="N120" s="2294" t="s">
        <v>2395</v>
      </c>
      <c r="O120" s="2294"/>
      <c r="P120" s="2294"/>
      <c r="Q120" s="2294"/>
      <c r="R120" s="2295"/>
      <c r="S120" s="842">
        <v>7</v>
      </c>
      <c r="T120" s="2294" t="s">
        <v>2396</v>
      </c>
      <c r="U120" s="2294"/>
      <c r="V120" s="2294"/>
      <c r="W120" s="2294"/>
      <c r="X120" s="2295"/>
      <c r="AE120" s="783">
        <v>1977</v>
      </c>
      <c r="AF120" s="784" t="s">
        <v>99</v>
      </c>
      <c r="AG120" s="784"/>
      <c r="AH120" s="784"/>
      <c r="AI120" s="784" t="s">
        <v>99</v>
      </c>
      <c r="AJ120" s="784"/>
      <c r="AK120" s="784"/>
      <c r="AL120" s="784" t="s">
        <v>2325</v>
      </c>
      <c r="AM120" s="784" t="s">
        <v>1855</v>
      </c>
      <c r="AN120" s="784" t="s">
        <v>2397</v>
      </c>
      <c r="AO120" s="786" t="s">
        <v>2398</v>
      </c>
      <c r="AP120" s="786" t="s">
        <v>2399</v>
      </c>
      <c r="AQ120" s="803" t="s">
        <v>2400</v>
      </c>
      <c r="AR120" s="785" t="s">
        <v>2401</v>
      </c>
      <c r="AS120" s="785" t="s">
        <v>2402</v>
      </c>
      <c r="AT120" s="783">
        <v>1977</v>
      </c>
      <c r="AV120" s="673"/>
      <c r="AW120" s="673"/>
      <c r="AX120" s="673"/>
      <c r="AY120" s="673"/>
      <c r="AZ120" s="673"/>
      <c r="BA120" s="673"/>
      <c r="BB120" s="779"/>
      <c r="BC120" s="673"/>
      <c r="BD120" s="673"/>
      <c r="BE120" s="673"/>
      <c r="BF120" s="673"/>
      <c r="BG120" s="673"/>
      <c r="BH120" s="673"/>
      <c r="BI120" s="673"/>
      <c r="BJ120" s="673"/>
      <c r="BK120" s="673"/>
      <c r="BL120" s="673"/>
      <c r="BM120" s="673"/>
    </row>
    <row r="121" spans="1:65" ht="17.25" customHeight="1">
      <c r="A121" s="622" t="s">
        <v>1384</v>
      </c>
      <c r="B121" s="622" t="s">
        <v>1384</v>
      </c>
      <c r="C121" s="834" t="s">
        <v>2146</v>
      </c>
      <c r="D121" s="808" t="s">
        <v>2223</v>
      </c>
      <c r="E121" s="614" t="s">
        <v>99</v>
      </c>
      <c r="F121" s="673" t="s">
        <v>2403</v>
      </c>
      <c r="G121" s="807" t="s">
        <v>2211</v>
      </c>
      <c r="H121" s="808" t="s">
        <v>2212</v>
      </c>
      <c r="I121" s="421" t="s">
        <v>2213</v>
      </c>
      <c r="J121" s="673" t="s">
        <v>2214</v>
      </c>
      <c r="K121" s="837" t="s">
        <v>2215</v>
      </c>
      <c r="L121" s="2042"/>
      <c r="M121" s="840">
        <v>8</v>
      </c>
      <c r="N121" s="2294" t="s">
        <v>2404</v>
      </c>
      <c r="O121" s="2294"/>
      <c r="P121" s="2294"/>
      <c r="Q121" s="2294"/>
      <c r="R121" s="2295"/>
      <c r="S121" s="842">
        <v>8</v>
      </c>
      <c r="T121" s="2294" t="s">
        <v>2405</v>
      </c>
      <c r="U121" s="2294"/>
      <c r="V121" s="2294"/>
      <c r="W121" s="2294"/>
      <c r="X121" s="2295"/>
      <c r="AE121" s="783">
        <v>1978</v>
      </c>
      <c r="AF121" s="784" t="s">
        <v>99</v>
      </c>
      <c r="AG121" s="784"/>
      <c r="AH121" s="784"/>
      <c r="AI121" s="784" t="s">
        <v>99</v>
      </c>
      <c r="AJ121" s="784"/>
      <c r="AK121" s="784"/>
      <c r="AL121" s="784" t="s">
        <v>2325</v>
      </c>
      <c r="AM121" s="784" t="s">
        <v>1861</v>
      </c>
      <c r="AN121" s="784" t="s">
        <v>2406</v>
      </c>
      <c r="AO121" s="786" t="s">
        <v>2407</v>
      </c>
      <c r="AP121" s="786" t="s">
        <v>2408</v>
      </c>
      <c r="AQ121" s="803" t="s">
        <v>2409</v>
      </c>
      <c r="AR121" s="785" t="s">
        <v>2410</v>
      </c>
      <c r="AS121" s="785" t="s">
        <v>2411</v>
      </c>
      <c r="AT121" s="783">
        <v>1978</v>
      </c>
      <c r="AV121" s="673"/>
      <c r="AW121" s="673"/>
      <c r="AX121" s="673"/>
      <c r="AY121" s="673"/>
      <c r="AZ121" s="673"/>
      <c r="BA121" s="673"/>
      <c r="BB121" s="779"/>
      <c r="BC121" s="673"/>
      <c r="BD121" s="673"/>
      <c r="BE121" s="673"/>
      <c r="BF121" s="673"/>
      <c r="BG121" s="673"/>
      <c r="BH121" s="673"/>
      <c r="BI121" s="673"/>
      <c r="BJ121" s="673"/>
      <c r="BK121" s="673"/>
      <c r="BL121" s="673"/>
      <c r="BM121" s="673"/>
    </row>
    <row r="122" spans="1:65" ht="17.25" customHeight="1">
      <c r="A122" s="622" t="s">
        <v>2412</v>
      </c>
      <c r="B122" s="622" t="s">
        <v>2412</v>
      </c>
      <c r="C122" s="834" t="s">
        <v>2146</v>
      </c>
      <c r="D122" s="808" t="s">
        <v>2223</v>
      </c>
      <c r="E122" s="614" t="s">
        <v>99</v>
      </c>
      <c r="F122" s="673" t="s">
        <v>2413</v>
      </c>
      <c r="G122" s="807" t="s">
        <v>2211</v>
      </c>
      <c r="H122" s="808" t="s">
        <v>2212</v>
      </c>
      <c r="I122" s="421" t="s">
        <v>2213</v>
      </c>
      <c r="J122" s="673" t="s">
        <v>2214</v>
      </c>
      <c r="K122" s="837" t="s">
        <v>2215</v>
      </c>
      <c r="L122" s="2042"/>
      <c r="M122" s="840">
        <v>9</v>
      </c>
      <c r="N122" s="2294" t="s">
        <v>2414</v>
      </c>
      <c r="O122" s="2294"/>
      <c r="P122" s="2294"/>
      <c r="Q122" s="2294"/>
      <c r="R122" s="2295"/>
      <c r="S122" s="842">
        <v>9</v>
      </c>
      <c r="T122" s="2294" t="s">
        <v>2415</v>
      </c>
      <c r="U122" s="2294"/>
      <c r="V122" s="2294"/>
      <c r="W122" s="2294"/>
      <c r="X122" s="2295"/>
      <c r="AE122" s="783">
        <v>1979</v>
      </c>
      <c r="AF122" s="784" t="s">
        <v>99</v>
      </c>
      <c r="AG122" s="784"/>
      <c r="AH122" s="784"/>
      <c r="AI122" s="784" t="s">
        <v>99</v>
      </c>
      <c r="AJ122" s="784"/>
      <c r="AK122" s="784"/>
      <c r="AL122" s="784" t="s">
        <v>2325</v>
      </c>
      <c r="AM122" s="784" t="s">
        <v>1869</v>
      </c>
      <c r="AN122" s="784" t="s">
        <v>2416</v>
      </c>
      <c r="AO122" s="786" t="s">
        <v>2417</v>
      </c>
      <c r="AP122" s="786" t="s">
        <v>2408</v>
      </c>
      <c r="AQ122" s="803" t="s">
        <v>2418</v>
      </c>
      <c r="AR122" s="785" t="s">
        <v>2419</v>
      </c>
      <c r="AS122" s="785" t="s">
        <v>2420</v>
      </c>
      <c r="AT122" s="783">
        <v>1979</v>
      </c>
      <c r="BB122" s="779"/>
    </row>
    <row r="123" spans="1:65" ht="17.25" customHeight="1">
      <c r="A123" s="622" t="s">
        <v>2421</v>
      </c>
      <c r="B123" s="622" t="s">
        <v>2421</v>
      </c>
      <c r="C123" s="834" t="s">
        <v>2146</v>
      </c>
      <c r="D123" s="808" t="s">
        <v>2223</v>
      </c>
      <c r="E123" s="614" t="s">
        <v>99</v>
      </c>
      <c r="F123" s="673" t="s">
        <v>2422</v>
      </c>
      <c r="G123" s="807" t="s">
        <v>2211</v>
      </c>
      <c r="H123" s="808" t="s">
        <v>2212</v>
      </c>
      <c r="I123" s="421" t="s">
        <v>2213</v>
      </c>
      <c r="J123" s="673" t="s">
        <v>2214</v>
      </c>
      <c r="K123" s="837" t="s">
        <v>2215</v>
      </c>
      <c r="L123" s="2042"/>
      <c r="M123" s="840">
        <v>10</v>
      </c>
      <c r="N123" s="2294" t="s">
        <v>2423</v>
      </c>
      <c r="O123" s="2294"/>
      <c r="P123" s="2294"/>
      <c r="Q123" s="2294"/>
      <c r="R123" s="2295"/>
      <c r="S123" s="842">
        <v>10</v>
      </c>
      <c r="T123" s="2294" t="s">
        <v>2424</v>
      </c>
      <c r="U123" s="2294"/>
      <c r="V123" s="2294"/>
      <c r="W123" s="2294"/>
      <c r="X123" s="2295"/>
      <c r="AE123" s="783">
        <v>1980</v>
      </c>
      <c r="AF123" s="784" t="s">
        <v>2425</v>
      </c>
      <c r="AG123" s="784"/>
      <c r="AH123" s="784"/>
      <c r="AI123" s="784" t="s">
        <v>99</v>
      </c>
      <c r="AJ123" s="784"/>
      <c r="AK123" s="784"/>
      <c r="AL123" s="784" t="s">
        <v>2426</v>
      </c>
      <c r="AM123" s="784" t="s">
        <v>1880</v>
      </c>
      <c r="AN123" s="784" t="s">
        <v>2427</v>
      </c>
      <c r="AO123" s="786" t="s">
        <v>2428</v>
      </c>
      <c r="AP123" s="786" t="s">
        <v>2408</v>
      </c>
      <c r="AQ123" s="803" t="s">
        <v>2429</v>
      </c>
      <c r="AR123" s="785" t="s">
        <v>2430</v>
      </c>
      <c r="AS123" s="785" t="s">
        <v>2431</v>
      </c>
      <c r="AT123" s="783">
        <v>1980</v>
      </c>
      <c r="BB123" s="779"/>
    </row>
    <row r="124" spans="1:65" ht="17.25" customHeight="1">
      <c r="A124" s="622" t="s">
        <v>1389</v>
      </c>
      <c r="B124" s="622" t="s">
        <v>1389</v>
      </c>
      <c r="C124" s="834" t="s">
        <v>2146</v>
      </c>
      <c r="D124" s="808" t="s">
        <v>2223</v>
      </c>
      <c r="E124" s="614" t="s">
        <v>99</v>
      </c>
      <c r="F124" s="673" t="s">
        <v>2432</v>
      </c>
      <c r="G124" s="807" t="s">
        <v>2211</v>
      </c>
      <c r="H124" s="808" t="s">
        <v>2212</v>
      </c>
      <c r="I124" s="421" t="s">
        <v>2213</v>
      </c>
      <c r="J124" s="673" t="s">
        <v>2214</v>
      </c>
      <c r="K124" s="837" t="s">
        <v>2215</v>
      </c>
      <c r="L124" s="2042"/>
      <c r="M124" s="840">
        <v>11</v>
      </c>
      <c r="N124" s="2294" t="s">
        <v>2433</v>
      </c>
      <c r="O124" s="2294"/>
      <c r="P124" s="2294"/>
      <c r="Q124" s="2294"/>
      <c r="R124" s="2295"/>
      <c r="S124" s="842">
        <v>11</v>
      </c>
      <c r="T124" s="2294" t="s">
        <v>2434</v>
      </c>
      <c r="U124" s="2294"/>
      <c r="V124" s="2294"/>
      <c r="W124" s="2294"/>
      <c r="X124" s="2295"/>
      <c r="AE124" s="783">
        <v>1981</v>
      </c>
      <c r="AF124" s="784" t="s">
        <v>99</v>
      </c>
      <c r="AG124" s="784"/>
      <c r="AH124" s="784"/>
      <c r="AI124" s="784" t="s">
        <v>2435</v>
      </c>
      <c r="AJ124" s="784"/>
      <c r="AK124" s="784"/>
      <c r="AL124" s="784" t="s">
        <v>2426</v>
      </c>
      <c r="AM124" s="784" t="s">
        <v>1888</v>
      </c>
      <c r="AN124" s="784" t="s">
        <v>2436</v>
      </c>
      <c r="AO124" s="786" t="s">
        <v>2437</v>
      </c>
      <c r="AP124" s="786" t="s">
        <v>2438</v>
      </c>
      <c r="AQ124" s="803" t="s">
        <v>2429</v>
      </c>
      <c r="AR124" s="785" t="s">
        <v>2430</v>
      </c>
      <c r="AS124" s="785"/>
      <c r="AT124" s="783">
        <v>1981</v>
      </c>
      <c r="BB124" s="779"/>
    </row>
    <row r="125" spans="1:65" ht="17.25" customHeight="1">
      <c r="A125" s="622" t="s">
        <v>2439</v>
      </c>
      <c r="B125" s="622" t="s">
        <v>2439</v>
      </c>
      <c r="C125" s="834" t="s">
        <v>2146</v>
      </c>
      <c r="D125" s="808" t="s">
        <v>2223</v>
      </c>
      <c r="E125" s="614" t="s">
        <v>99</v>
      </c>
      <c r="F125" s="682" t="s">
        <v>2440</v>
      </c>
      <c r="G125" s="807" t="s">
        <v>2211</v>
      </c>
      <c r="H125" s="808" t="s">
        <v>2212</v>
      </c>
      <c r="I125" s="421" t="s">
        <v>2213</v>
      </c>
      <c r="J125" s="673" t="s">
        <v>2214</v>
      </c>
      <c r="K125" s="837" t="s">
        <v>2215</v>
      </c>
      <c r="L125" s="2042"/>
      <c r="M125" s="840">
        <v>12</v>
      </c>
      <c r="N125" s="2294" t="s">
        <v>2441</v>
      </c>
      <c r="O125" s="2294"/>
      <c r="P125" s="2294"/>
      <c r="Q125" s="2294"/>
      <c r="R125" s="2295"/>
      <c r="S125" s="842">
        <v>12</v>
      </c>
      <c r="T125" s="2294" t="s">
        <v>2442</v>
      </c>
      <c r="U125" s="2294"/>
      <c r="V125" s="2294"/>
      <c r="W125" s="2294"/>
      <c r="X125" s="2295"/>
      <c r="AE125" s="783">
        <v>1982</v>
      </c>
      <c r="AF125" s="784" t="s">
        <v>99</v>
      </c>
      <c r="AG125" s="784"/>
      <c r="AH125" s="784"/>
      <c r="AI125" s="784" t="s">
        <v>99</v>
      </c>
      <c r="AJ125" s="784"/>
      <c r="AK125" s="784"/>
      <c r="AL125" s="784" t="s">
        <v>2426</v>
      </c>
      <c r="AM125" s="784" t="s">
        <v>1895</v>
      </c>
      <c r="AN125" s="784" t="s">
        <v>2443</v>
      </c>
      <c r="AO125" s="786" t="s">
        <v>2444</v>
      </c>
      <c r="AP125" s="786" t="s">
        <v>2445</v>
      </c>
      <c r="AQ125" s="803" t="s">
        <v>2429</v>
      </c>
      <c r="AR125" s="785" t="s">
        <v>2430</v>
      </c>
      <c r="AS125" s="785"/>
      <c r="AT125" s="783">
        <v>1982</v>
      </c>
      <c r="BB125" s="779"/>
    </row>
    <row r="126" spans="1:65" ht="17.25" customHeight="1">
      <c r="A126" s="622" t="s">
        <v>2446</v>
      </c>
      <c r="B126" s="622" t="s">
        <v>2446</v>
      </c>
      <c r="C126" s="834" t="s">
        <v>2146</v>
      </c>
      <c r="D126" s="808" t="s">
        <v>2223</v>
      </c>
      <c r="E126" s="614" t="s">
        <v>99</v>
      </c>
      <c r="F126" s="673" t="s">
        <v>2447</v>
      </c>
      <c r="G126" s="807" t="s">
        <v>2211</v>
      </c>
      <c r="H126" s="808" t="s">
        <v>2212</v>
      </c>
      <c r="I126" s="421" t="s">
        <v>2213</v>
      </c>
      <c r="J126" s="673" t="s">
        <v>2214</v>
      </c>
      <c r="K126" s="837" t="s">
        <v>2215</v>
      </c>
      <c r="L126" s="2042"/>
      <c r="M126" s="840">
        <v>13</v>
      </c>
      <c r="N126" s="2294" t="s">
        <v>2448</v>
      </c>
      <c r="O126" s="2294"/>
      <c r="P126" s="2294"/>
      <c r="Q126" s="2294"/>
      <c r="R126" s="2295"/>
      <c r="S126" s="842">
        <v>13</v>
      </c>
      <c r="T126" s="2294" t="s">
        <v>2449</v>
      </c>
      <c r="U126" s="2294"/>
      <c r="V126" s="2294"/>
      <c r="W126" s="2294"/>
      <c r="X126" s="2295"/>
      <c r="AE126" s="783">
        <v>1983</v>
      </c>
      <c r="AF126" s="784" t="s">
        <v>99</v>
      </c>
      <c r="AG126" s="784"/>
      <c r="AH126" s="784"/>
      <c r="AI126" s="784" t="s">
        <v>2450</v>
      </c>
      <c r="AJ126" s="784"/>
      <c r="AK126" s="784"/>
      <c r="AL126" s="784" t="s">
        <v>2426</v>
      </c>
      <c r="AM126" s="784" t="s">
        <v>1902</v>
      </c>
      <c r="AN126" s="784" t="s">
        <v>2451</v>
      </c>
      <c r="AO126" s="786" t="s">
        <v>2452</v>
      </c>
      <c r="AP126" s="786" t="s">
        <v>2445</v>
      </c>
      <c r="AQ126" s="803" t="s">
        <v>2429</v>
      </c>
      <c r="AR126" s="785" t="s">
        <v>2430</v>
      </c>
      <c r="AS126" s="785"/>
      <c r="AT126" s="783">
        <v>1983</v>
      </c>
      <c r="BB126" s="779"/>
    </row>
    <row r="127" spans="1:65" ht="17.25" customHeight="1">
      <c r="A127" s="622" t="s">
        <v>2453</v>
      </c>
      <c r="B127" s="622" t="s">
        <v>2453</v>
      </c>
      <c r="C127" s="834" t="s">
        <v>2146</v>
      </c>
      <c r="D127" s="808" t="s">
        <v>2223</v>
      </c>
      <c r="E127" s="614" t="s">
        <v>99</v>
      </c>
      <c r="F127" s="673" t="s">
        <v>2454</v>
      </c>
      <c r="G127" s="807" t="s">
        <v>2211</v>
      </c>
      <c r="H127" s="808" t="s">
        <v>2212</v>
      </c>
      <c r="I127" s="421" t="s">
        <v>2213</v>
      </c>
      <c r="J127" s="673" t="s">
        <v>2214</v>
      </c>
      <c r="K127" s="837" t="s">
        <v>2215</v>
      </c>
      <c r="L127" s="2042"/>
      <c r="M127" s="840">
        <v>14</v>
      </c>
      <c r="N127" s="2294" t="s">
        <v>2455</v>
      </c>
      <c r="O127" s="2294"/>
      <c r="P127" s="2294"/>
      <c r="Q127" s="2294"/>
      <c r="R127" s="2295"/>
      <c r="S127" s="842">
        <v>14</v>
      </c>
      <c r="T127" s="2294" t="s">
        <v>2456</v>
      </c>
      <c r="U127" s="2294"/>
      <c r="V127" s="2294"/>
      <c r="W127" s="2294"/>
      <c r="X127" s="2295"/>
      <c r="AE127" s="783">
        <v>1984</v>
      </c>
      <c r="AF127" s="784" t="s">
        <v>1977</v>
      </c>
      <c r="AG127" s="784"/>
      <c r="AH127" s="784"/>
      <c r="AI127" s="784" t="s">
        <v>99</v>
      </c>
      <c r="AJ127" s="784"/>
      <c r="AK127" s="784"/>
      <c r="AL127" s="784" t="s">
        <v>2426</v>
      </c>
      <c r="AM127" s="784" t="s">
        <v>1910</v>
      </c>
      <c r="AN127" s="784" t="s">
        <v>2457</v>
      </c>
      <c r="AO127" s="786" t="s">
        <v>2458</v>
      </c>
      <c r="AP127" s="786" t="s">
        <v>2445</v>
      </c>
      <c r="AQ127" s="803" t="s">
        <v>2459</v>
      </c>
      <c r="AR127" s="785" t="s">
        <v>2460</v>
      </c>
      <c r="AS127" s="785" t="s">
        <v>2461</v>
      </c>
      <c r="AT127" s="783">
        <v>1984</v>
      </c>
      <c r="BB127" s="779"/>
    </row>
    <row r="128" spans="1:65" ht="17.25" customHeight="1">
      <c r="A128" s="622" t="s">
        <v>2462</v>
      </c>
      <c r="B128" s="622" t="s">
        <v>2462</v>
      </c>
      <c r="C128" s="834" t="s">
        <v>2146</v>
      </c>
      <c r="D128" s="808" t="s">
        <v>2223</v>
      </c>
      <c r="E128" s="614" t="s">
        <v>99</v>
      </c>
      <c r="F128" s="682" t="s">
        <v>2463</v>
      </c>
      <c r="G128" s="807" t="s">
        <v>2211</v>
      </c>
      <c r="H128" s="808" t="s">
        <v>2212</v>
      </c>
      <c r="I128" s="421" t="s">
        <v>2213</v>
      </c>
      <c r="J128" s="673" t="s">
        <v>2214</v>
      </c>
      <c r="K128" s="837" t="s">
        <v>2215</v>
      </c>
      <c r="L128" s="2042"/>
      <c r="M128" s="840">
        <v>15</v>
      </c>
      <c r="N128" s="2294" t="s">
        <v>2464</v>
      </c>
      <c r="O128" s="2294"/>
      <c r="P128" s="2294"/>
      <c r="Q128" s="2294"/>
      <c r="R128" s="2295"/>
      <c r="S128" s="842">
        <v>15</v>
      </c>
      <c r="T128" s="2294" t="s">
        <v>2465</v>
      </c>
      <c r="U128" s="2294"/>
      <c r="V128" s="2294"/>
      <c r="W128" s="2294"/>
      <c r="X128" s="2295"/>
      <c r="AE128" s="783">
        <v>1985</v>
      </c>
      <c r="AF128" s="784" t="s">
        <v>99</v>
      </c>
      <c r="AG128" s="784"/>
      <c r="AH128" s="784"/>
      <c r="AI128" s="784" t="s">
        <v>99</v>
      </c>
      <c r="AJ128" s="784"/>
      <c r="AK128" s="784"/>
      <c r="AL128" s="784" t="s">
        <v>2426</v>
      </c>
      <c r="AM128" s="784" t="s">
        <v>1918</v>
      </c>
      <c r="AN128" s="784" t="s">
        <v>2466</v>
      </c>
      <c r="AO128" s="786" t="s">
        <v>2467</v>
      </c>
      <c r="AP128" s="786" t="s">
        <v>2445</v>
      </c>
      <c r="AQ128" s="803" t="s">
        <v>2459</v>
      </c>
      <c r="AR128" s="785" t="s">
        <v>2460</v>
      </c>
      <c r="AS128" s="785"/>
      <c r="AT128" s="783">
        <v>1985</v>
      </c>
      <c r="BB128" s="779"/>
    </row>
    <row r="129" spans="1:54" ht="17.25" customHeight="1">
      <c r="A129" s="614" t="str">
        <f>Q226</f>
        <v/>
      </c>
      <c r="B129" s="622" t="s">
        <v>2200</v>
      </c>
      <c r="C129" s="834" t="s">
        <v>225</v>
      </c>
      <c r="D129" s="614" t="s">
        <v>225</v>
      </c>
      <c r="E129" s="614" t="s">
        <v>225</v>
      </c>
      <c r="F129" s="614" t="s">
        <v>225</v>
      </c>
      <c r="G129" s="614" t="s">
        <v>225</v>
      </c>
      <c r="H129" s="614" t="s">
        <v>225</v>
      </c>
      <c r="I129" s="614" t="s">
        <v>225</v>
      </c>
      <c r="J129" s="614" t="s">
        <v>225</v>
      </c>
      <c r="K129" s="672" t="s">
        <v>225</v>
      </c>
      <c r="L129" s="2042"/>
      <c r="M129" s="840">
        <v>16</v>
      </c>
      <c r="N129" s="2294" t="s">
        <v>2468</v>
      </c>
      <c r="O129" s="2294"/>
      <c r="P129" s="2294"/>
      <c r="Q129" s="2294"/>
      <c r="R129" s="2295"/>
      <c r="S129" s="842">
        <v>16</v>
      </c>
      <c r="T129" s="2294" t="s">
        <v>2469</v>
      </c>
      <c r="U129" s="2294"/>
      <c r="V129" s="2294"/>
      <c r="W129" s="2294"/>
      <c r="X129" s="2295"/>
      <c r="AE129" s="783">
        <v>1986</v>
      </c>
      <c r="AF129" s="784" t="s">
        <v>2470</v>
      </c>
      <c r="AG129" s="784"/>
      <c r="AH129" s="784"/>
      <c r="AI129" s="784" t="s">
        <v>99</v>
      </c>
      <c r="AJ129" s="784"/>
      <c r="AK129" s="784"/>
      <c r="AL129" s="784" t="s">
        <v>2426</v>
      </c>
      <c r="AM129" s="784" t="s">
        <v>1927</v>
      </c>
      <c r="AN129" s="784" t="s">
        <v>2471</v>
      </c>
      <c r="AO129" s="786" t="s">
        <v>2472</v>
      </c>
      <c r="AP129" s="786" t="s">
        <v>2445</v>
      </c>
      <c r="AQ129" s="803" t="s">
        <v>2473</v>
      </c>
      <c r="AR129" s="785" t="s">
        <v>2474</v>
      </c>
      <c r="AS129" s="785" t="s">
        <v>2475</v>
      </c>
      <c r="AT129" s="783">
        <v>1986</v>
      </c>
      <c r="BB129" s="779"/>
    </row>
    <row r="130" spans="1:54" ht="17.25" customHeight="1">
      <c r="B130" s="622" t="s">
        <v>85</v>
      </c>
      <c r="C130" s="834" t="s">
        <v>2476</v>
      </c>
      <c r="D130" s="614" t="s">
        <v>2477</v>
      </c>
      <c r="E130" s="614" t="s">
        <v>2478</v>
      </c>
      <c r="F130" s="779" t="s">
        <v>2479</v>
      </c>
      <c r="G130" s="614" t="s">
        <v>2480</v>
      </c>
      <c r="H130" s="614" t="s">
        <v>2481</v>
      </c>
      <c r="I130" s="614" t="s">
        <v>2482</v>
      </c>
      <c r="J130" s="614" t="s">
        <v>2483</v>
      </c>
      <c r="K130" s="672" t="s">
        <v>2484</v>
      </c>
      <c r="L130" s="2042"/>
      <c r="M130" s="840">
        <v>17</v>
      </c>
      <c r="N130" s="2294" t="s">
        <v>2485</v>
      </c>
      <c r="O130" s="2294"/>
      <c r="P130" s="2294"/>
      <c r="Q130" s="2294"/>
      <c r="R130" s="2295"/>
      <c r="S130" s="842">
        <v>17</v>
      </c>
      <c r="T130" s="2294" t="s">
        <v>2486</v>
      </c>
      <c r="U130" s="2294"/>
      <c r="V130" s="2294"/>
      <c r="W130" s="2294"/>
      <c r="X130" s="2295"/>
      <c r="AE130" s="783">
        <v>1987</v>
      </c>
      <c r="AF130" s="784" t="s">
        <v>2470</v>
      </c>
      <c r="AG130" s="863"/>
      <c r="AH130" s="863"/>
      <c r="AI130" s="784" t="s">
        <v>99</v>
      </c>
      <c r="AJ130" s="784"/>
      <c r="AK130" s="784"/>
      <c r="AL130" s="784" t="s">
        <v>2426</v>
      </c>
      <c r="AM130" s="784" t="s">
        <v>1936</v>
      </c>
      <c r="AN130" s="784" t="s">
        <v>2487</v>
      </c>
      <c r="AO130" s="786" t="s">
        <v>2488</v>
      </c>
      <c r="AP130" s="786" t="s">
        <v>2445</v>
      </c>
      <c r="AQ130" s="803" t="s">
        <v>2473</v>
      </c>
      <c r="AR130" s="785" t="s">
        <v>2474</v>
      </c>
      <c r="AS130" s="785"/>
      <c r="AT130" s="783">
        <v>1987</v>
      </c>
      <c r="BB130" s="779"/>
    </row>
    <row r="131" spans="1:54" ht="17.25" customHeight="1">
      <c r="B131" s="622" t="s">
        <v>88</v>
      </c>
      <c r="C131" s="834" t="s">
        <v>2489</v>
      </c>
      <c r="D131" s="614" t="s">
        <v>99</v>
      </c>
      <c r="E131" s="614" t="s">
        <v>2490</v>
      </c>
      <c r="F131" s="614" t="s">
        <v>2491</v>
      </c>
      <c r="G131" s="614" t="s">
        <v>2492</v>
      </c>
      <c r="H131" s="614" t="s">
        <v>2493</v>
      </c>
      <c r="I131" s="614" t="s">
        <v>2494</v>
      </c>
      <c r="J131" s="614" t="s">
        <v>2495</v>
      </c>
      <c r="K131" s="672" t="s">
        <v>2496</v>
      </c>
      <c r="L131" s="2042"/>
      <c r="M131" s="840">
        <v>18</v>
      </c>
      <c r="N131" s="2294" t="s">
        <v>2497</v>
      </c>
      <c r="O131" s="2294"/>
      <c r="P131" s="2294"/>
      <c r="Q131" s="2294"/>
      <c r="R131" s="2295"/>
      <c r="S131" s="842">
        <v>18</v>
      </c>
      <c r="T131" s="2294" t="s">
        <v>2498</v>
      </c>
      <c r="U131" s="2294"/>
      <c r="V131" s="2294"/>
      <c r="W131" s="2294"/>
      <c r="X131" s="2295"/>
      <c r="AE131" s="783">
        <v>1988</v>
      </c>
      <c r="AF131" s="784" t="s">
        <v>2470</v>
      </c>
      <c r="AG131" s="863" t="s">
        <v>2499</v>
      </c>
      <c r="AH131" s="863"/>
      <c r="AI131" s="784" t="s">
        <v>2500</v>
      </c>
      <c r="AJ131" s="784" t="s">
        <v>2501</v>
      </c>
      <c r="AK131" s="784"/>
      <c r="AL131" s="784" t="s">
        <v>2426</v>
      </c>
      <c r="AM131" s="784" t="s">
        <v>1945</v>
      </c>
      <c r="AN131" s="784" t="s">
        <v>2502</v>
      </c>
      <c r="AO131" s="784" t="s">
        <v>2503</v>
      </c>
      <c r="AP131" s="786" t="s">
        <v>2445</v>
      </c>
      <c r="AQ131" s="803" t="s">
        <v>2504</v>
      </c>
      <c r="AR131" s="785" t="s">
        <v>2505</v>
      </c>
      <c r="AS131" s="785" t="s">
        <v>2506</v>
      </c>
      <c r="AT131" s="783">
        <v>1988</v>
      </c>
      <c r="BB131" s="779"/>
    </row>
    <row r="132" spans="1:54" ht="17.25" customHeight="1">
      <c r="B132" s="622" t="s">
        <v>2507</v>
      </c>
      <c r="C132" s="834" t="s">
        <v>2146</v>
      </c>
      <c r="D132" s="614" t="s">
        <v>2508</v>
      </c>
      <c r="E132" s="614" t="s">
        <v>99</v>
      </c>
      <c r="F132" s="614" t="s">
        <v>2509</v>
      </c>
      <c r="G132" s="614" t="s">
        <v>2510</v>
      </c>
      <c r="H132" s="614" t="s">
        <v>2511</v>
      </c>
      <c r="I132" s="614" t="s">
        <v>2512</v>
      </c>
      <c r="J132" s="614" t="s">
        <v>2513</v>
      </c>
      <c r="K132" s="672" t="s">
        <v>2514</v>
      </c>
      <c r="L132" s="2042"/>
      <c r="M132" s="840">
        <v>19</v>
      </c>
      <c r="N132" s="2294" t="s">
        <v>2515</v>
      </c>
      <c r="O132" s="2294"/>
      <c r="P132" s="2294"/>
      <c r="Q132" s="2294"/>
      <c r="R132" s="2295"/>
      <c r="S132" s="842">
        <v>19</v>
      </c>
      <c r="T132" s="2294" t="s">
        <v>2516</v>
      </c>
      <c r="U132" s="2294"/>
      <c r="V132" s="2294"/>
      <c r="W132" s="2294"/>
      <c r="X132" s="2295"/>
      <c r="AE132" s="783">
        <v>1989</v>
      </c>
      <c r="AF132" s="784" t="s">
        <v>2470</v>
      </c>
      <c r="AG132" s="863" t="s">
        <v>2517</v>
      </c>
      <c r="AH132" s="863"/>
      <c r="AI132" s="784" t="s">
        <v>99</v>
      </c>
      <c r="AJ132" s="784"/>
      <c r="AK132" s="784"/>
      <c r="AL132" s="784" t="s">
        <v>2426</v>
      </c>
      <c r="AM132" s="784" t="s">
        <v>1953</v>
      </c>
      <c r="AN132" s="784" t="s">
        <v>2518</v>
      </c>
      <c r="AO132" s="786" t="s">
        <v>2519</v>
      </c>
      <c r="AP132" s="786" t="s">
        <v>2520</v>
      </c>
      <c r="AQ132" s="785" t="s">
        <v>2521</v>
      </c>
      <c r="AR132" s="785" t="s">
        <v>2522</v>
      </c>
      <c r="AS132" s="785" t="s">
        <v>2523</v>
      </c>
      <c r="AT132" s="783">
        <v>1989</v>
      </c>
      <c r="BB132" s="779"/>
    </row>
    <row r="133" spans="1:54" ht="17.25" customHeight="1">
      <c r="B133" s="622" t="s">
        <v>101</v>
      </c>
      <c r="C133" s="834" t="s">
        <v>2524</v>
      </c>
      <c r="D133" s="614" t="s">
        <v>99</v>
      </c>
      <c r="E133" s="614" t="s">
        <v>99</v>
      </c>
      <c r="F133" s="614" t="s">
        <v>2525</v>
      </c>
      <c r="G133" s="614" t="s">
        <v>2526</v>
      </c>
      <c r="H133" s="614" t="s">
        <v>2527</v>
      </c>
      <c r="I133" s="614" t="s">
        <v>2528</v>
      </c>
      <c r="J133" s="614" t="s">
        <v>2529</v>
      </c>
      <c r="K133" s="672" t="s">
        <v>2530</v>
      </c>
      <c r="L133" s="2042"/>
      <c r="M133" s="840">
        <v>20</v>
      </c>
      <c r="N133" s="2294" t="s">
        <v>2531</v>
      </c>
      <c r="O133" s="2294"/>
      <c r="P133" s="2294"/>
      <c r="Q133" s="2294"/>
      <c r="R133" s="2295"/>
      <c r="S133" s="842">
        <v>20</v>
      </c>
      <c r="T133" s="2294" t="s">
        <v>2532</v>
      </c>
      <c r="U133" s="2294"/>
      <c r="V133" s="2294"/>
      <c r="W133" s="2294"/>
      <c r="X133" s="2295"/>
      <c r="AE133" s="783">
        <v>1990</v>
      </c>
      <c r="AF133" s="784" t="s">
        <v>2470</v>
      </c>
      <c r="AG133" s="863"/>
      <c r="AH133" s="863"/>
      <c r="AI133" s="784" t="s">
        <v>2533</v>
      </c>
      <c r="AJ133" s="784"/>
      <c r="AK133" s="784"/>
      <c r="AL133" s="784" t="s">
        <v>2534</v>
      </c>
      <c r="AM133" s="784" t="s">
        <v>1961</v>
      </c>
      <c r="AN133" s="784" t="s">
        <v>2535</v>
      </c>
      <c r="AO133" s="786" t="s">
        <v>2536</v>
      </c>
      <c r="AP133" s="786" t="s">
        <v>2537</v>
      </c>
      <c r="AQ133" s="785" t="s">
        <v>2521</v>
      </c>
      <c r="AR133" s="785" t="s">
        <v>2522</v>
      </c>
      <c r="AS133" s="785"/>
      <c r="AT133" s="783">
        <v>1990</v>
      </c>
      <c r="BB133" s="779"/>
    </row>
    <row r="134" spans="1:54" ht="17.25" customHeight="1">
      <c r="B134" s="622" t="s">
        <v>103</v>
      </c>
      <c r="C134" s="834" t="s">
        <v>2524</v>
      </c>
      <c r="D134" s="614" t="s">
        <v>99</v>
      </c>
      <c r="E134" s="614" t="s">
        <v>99</v>
      </c>
      <c r="F134" s="614" t="s">
        <v>2538</v>
      </c>
      <c r="G134" s="614" t="s">
        <v>2539</v>
      </c>
      <c r="H134" s="614" t="s">
        <v>2540</v>
      </c>
      <c r="I134" s="614" t="s">
        <v>2541</v>
      </c>
      <c r="J134" s="614" t="s">
        <v>2542</v>
      </c>
      <c r="K134" s="672" t="s">
        <v>2543</v>
      </c>
      <c r="L134" s="2042"/>
      <c r="M134" s="840">
        <v>21</v>
      </c>
      <c r="N134" s="2294" t="s">
        <v>2544</v>
      </c>
      <c r="O134" s="2294"/>
      <c r="P134" s="2294"/>
      <c r="Q134" s="2294"/>
      <c r="R134" s="2295"/>
      <c r="S134" s="842">
        <v>21</v>
      </c>
      <c r="T134" s="2294" t="s">
        <v>2545</v>
      </c>
      <c r="U134" s="2294"/>
      <c r="V134" s="2294"/>
      <c r="W134" s="2294"/>
      <c r="X134" s="2295"/>
      <c r="AE134" s="783">
        <v>1991</v>
      </c>
      <c r="AF134" s="784" t="s">
        <v>99</v>
      </c>
      <c r="AG134" s="784"/>
      <c r="AH134" s="784"/>
      <c r="AI134" s="784" t="s">
        <v>99</v>
      </c>
      <c r="AJ134" s="784"/>
      <c r="AK134" s="784"/>
      <c r="AL134" s="784" t="s">
        <v>2534</v>
      </c>
      <c r="AM134" s="784" t="s">
        <v>1970</v>
      </c>
      <c r="AN134" s="784" t="s">
        <v>2546</v>
      </c>
      <c r="AO134" s="786" t="s">
        <v>2547</v>
      </c>
      <c r="AP134" s="786" t="s">
        <v>2537</v>
      </c>
      <c r="AQ134" s="785" t="s">
        <v>2521</v>
      </c>
      <c r="AR134" s="785" t="s">
        <v>2522</v>
      </c>
      <c r="AS134" s="785"/>
      <c r="AT134" s="783">
        <v>1991</v>
      </c>
      <c r="BB134" s="779"/>
    </row>
    <row r="135" spans="1:54" ht="17.25" customHeight="1">
      <c r="B135" s="622" t="s">
        <v>110</v>
      </c>
      <c r="C135" s="834" t="s">
        <v>2146</v>
      </c>
      <c r="D135" s="614" t="s">
        <v>99</v>
      </c>
      <c r="E135" s="614" t="s">
        <v>99</v>
      </c>
      <c r="F135" s="779" t="s">
        <v>2548</v>
      </c>
      <c r="G135" s="614" t="s">
        <v>2549</v>
      </c>
      <c r="H135" s="614" t="s">
        <v>2550</v>
      </c>
      <c r="I135" s="614" t="s">
        <v>2551</v>
      </c>
      <c r="J135" s="614" t="s">
        <v>2552</v>
      </c>
      <c r="K135" s="672" t="s">
        <v>2553</v>
      </c>
      <c r="L135" s="2042"/>
      <c r="M135" s="840">
        <v>22</v>
      </c>
      <c r="N135" s="2294" t="s">
        <v>2554</v>
      </c>
      <c r="O135" s="2294"/>
      <c r="P135" s="2294"/>
      <c r="Q135" s="2294"/>
      <c r="R135" s="2295"/>
      <c r="S135" s="842">
        <v>22</v>
      </c>
      <c r="T135" s="2294" t="s">
        <v>2555</v>
      </c>
      <c r="U135" s="2294"/>
      <c r="V135" s="2294"/>
      <c r="W135" s="2294"/>
      <c r="X135" s="2295"/>
      <c r="AE135" s="783">
        <v>1992</v>
      </c>
      <c r="AF135" s="784" t="s">
        <v>2556</v>
      </c>
      <c r="AG135" s="784"/>
      <c r="AH135" s="784"/>
      <c r="AI135" s="784" t="s">
        <v>2557</v>
      </c>
      <c r="AJ135" s="784"/>
      <c r="AK135" s="784"/>
      <c r="AL135" s="784" t="s">
        <v>2534</v>
      </c>
      <c r="AM135" s="784" t="s">
        <v>1980</v>
      </c>
      <c r="AN135" s="784" t="s">
        <v>2558</v>
      </c>
      <c r="AO135" s="786" t="s">
        <v>2559</v>
      </c>
      <c r="AP135" s="786" t="s">
        <v>2537</v>
      </c>
      <c r="AQ135" s="785" t="s">
        <v>2521</v>
      </c>
      <c r="AR135" s="785" t="s">
        <v>2522</v>
      </c>
      <c r="AS135" s="785"/>
      <c r="AT135" s="783">
        <v>1992</v>
      </c>
      <c r="BB135" s="779"/>
    </row>
    <row r="136" spans="1:54" ht="17.25" customHeight="1">
      <c r="B136" s="622" t="s">
        <v>111</v>
      </c>
      <c r="C136" s="834" t="s">
        <v>2560</v>
      </c>
      <c r="D136" s="614" t="s">
        <v>99</v>
      </c>
      <c r="E136" s="614" t="s">
        <v>2561</v>
      </c>
      <c r="F136" s="614" t="s">
        <v>2562</v>
      </c>
      <c r="G136" s="614" t="s">
        <v>99</v>
      </c>
      <c r="H136" s="614" t="s">
        <v>99</v>
      </c>
      <c r="I136" s="614" t="s">
        <v>2563</v>
      </c>
      <c r="J136" s="614" t="s">
        <v>99</v>
      </c>
      <c r="K136" s="672" t="s">
        <v>99</v>
      </c>
      <c r="L136" s="2042"/>
      <c r="M136" s="840">
        <v>23</v>
      </c>
      <c r="N136" s="2294" t="s">
        <v>2564</v>
      </c>
      <c r="O136" s="2294"/>
      <c r="P136" s="2294"/>
      <c r="Q136" s="2294"/>
      <c r="R136" s="2295"/>
      <c r="S136" s="842">
        <v>23</v>
      </c>
      <c r="T136" s="2294" t="s">
        <v>2565</v>
      </c>
      <c r="U136" s="2294"/>
      <c r="V136" s="2294"/>
      <c r="W136" s="2294"/>
      <c r="X136" s="2295"/>
      <c r="AE136" s="783">
        <v>1993</v>
      </c>
      <c r="AF136" s="784" t="s">
        <v>99</v>
      </c>
      <c r="AG136" s="784"/>
      <c r="AH136" s="784"/>
      <c r="AI136" s="784" t="s">
        <v>2566</v>
      </c>
      <c r="AJ136" s="784"/>
      <c r="AK136" s="784"/>
      <c r="AL136" s="784" t="s">
        <v>2534</v>
      </c>
      <c r="AM136" s="784" t="s">
        <v>1989</v>
      </c>
      <c r="AN136" s="784" t="s">
        <v>2567</v>
      </c>
      <c r="AO136" s="786" t="s">
        <v>2568</v>
      </c>
      <c r="AP136" s="786" t="s">
        <v>2569</v>
      </c>
      <c r="AQ136" s="785" t="s">
        <v>2521</v>
      </c>
      <c r="AR136" s="785" t="s">
        <v>2522</v>
      </c>
      <c r="AS136" s="785"/>
      <c r="AT136" s="783">
        <v>1993</v>
      </c>
      <c r="BB136" s="779"/>
    </row>
    <row r="137" spans="1:54" ht="17.25" customHeight="1">
      <c r="B137" s="622" t="s">
        <v>115</v>
      </c>
      <c r="C137" s="834" t="s">
        <v>2489</v>
      </c>
      <c r="D137" s="614" t="s">
        <v>2570</v>
      </c>
      <c r="E137" s="614" t="s">
        <v>99</v>
      </c>
      <c r="F137" s="614" t="s">
        <v>2571</v>
      </c>
      <c r="G137" s="614" t="s">
        <v>2572</v>
      </c>
      <c r="H137" s="614" t="s">
        <v>2573</v>
      </c>
      <c r="I137" s="614" t="s">
        <v>2574</v>
      </c>
      <c r="J137" s="614" t="s">
        <v>2575</v>
      </c>
      <c r="K137" s="672" t="s">
        <v>2576</v>
      </c>
      <c r="L137" s="2042"/>
      <c r="M137" s="840">
        <v>24</v>
      </c>
      <c r="N137" s="2294" t="s">
        <v>2577</v>
      </c>
      <c r="O137" s="2294"/>
      <c r="P137" s="2294"/>
      <c r="Q137" s="2294"/>
      <c r="R137" s="2295"/>
      <c r="S137" s="842">
        <v>24</v>
      </c>
      <c r="T137" s="2294" t="s">
        <v>2578</v>
      </c>
      <c r="U137" s="2294"/>
      <c r="V137" s="2294"/>
      <c r="W137" s="2294"/>
      <c r="X137" s="2295"/>
      <c r="AE137" s="783">
        <v>1994</v>
      </c>
      <c r="AF137" s="784" t="s">
        <v>99</v>
      </c>
      <c r="AG137" s="784"/>
      <c r="AH137" s="784"/>
      <c r="AI137" s="784" t="s">
        <v>99</v>
      </c>
      <c r="AJ137" s="784"/>
      <c r="AK137" s="784"/>
      <c r="AL137" s="784" t="s">
        <v>2534</v>
      </c>
      <c r="AM137" s="784" t="s">
        <v>1997</v>
      </c>
      <c r="AN137" s="784" t="s">
        <v>2579</v>
      </c>
      <c r="AO137" s="786" t="s">
        <v>2580</v>
      </c>
      <c r="AP137" s="786" t="s">
        <v>2581</v>
      </c>
      <c r="AQ137" s="785" t="s">
        <v>2521</v>
      </c>
      <c r="AR137" s="785" t="s">
        <v>2522</v>
      </c>
      <c r="AS137" s="785"/>
      <c r="AT137" s="783">
        <v>1994</v>
      </c>
      <c r="BB137" s="779"/>
    </row>
    <row r="138" spans="1:54" ht="17.25" customHeight="1">
      <c r="B138" s="622" t="s">
        <v>117</v>
      </c>
      <c r="C138" s="834" t="s">
        <v>2582</v>
      </c>
      <c r="D138" s="614" t="s">
        <v>99</v>
      </c>
      <c r="E138" s="614" t="s">
        <v>99</v>
      </c>
      <c r="F138" s="614" t="s">
        <v>2583</v>
      </c>
      <c r="G138" s="614" t="s">
        <v>2584</v>
      </c>
      <c r="H138" s="614" t="s">
        <v>2585</v>
      </c>
      <c r="I138" s="614" t="s">
        <v>2586</v>
      </c>
      <c r="J138" s="614" t="s">
        <v>2587</v>
      </c>
      <c r="K138" s="672" t="s">
        <v>2588</v>
      </c>
      <c r="L138" s="2042"/>
      <c r="M138" s="840">
        <v>25</v>
      </c>
      <c r="N138" s="2294" t="s">
        <v>2589</v>
      </c>
      <c r="O138" s="2294"/>
      <c r="P138" s="2294"/>
      <c r="Q138" s="2294"/>
      <c r="R138" s="2295"/>
      <c r="S138" s="842">
        <v>25</v>
      </c>
      <c r="T138" s="2294" t="s">
        <v>2590</v>
      </c>
      <c r="U138" s="2294"/>
      <c r="V138" s="2294"/>
      <c r="W138" s="2294"/>
      <c r="X138" s="2295"/>
      <c r="AE138" s="783">
        <v>1995</v>
      </c>
      <c r="AF138" s="784" t="s">
        <v>99</v>
      </c>
      <c r="AG138" s="784"/>
      <c r="AH138" s="784"/>
      <c r="AI138" s="784" t="s">
        <v>99</v>
      </c>
      <c r="AJ138" s="784"/>
      <c r="AK138" s="784"/>
      <c r="AL138" s="784" t="s">
        <v>2534</v>
      </c>
      <c r="AM138" s="784" t="s">
        <v>2006</v>
      </c>
      <c r="AN138" s="784" t="s">
        <v>2591</v>
      </c>
      <c r="AO138" s="786" t="s">
        <v>2592</v>
      </c>
      <c r="AP138" s="786" t="s">
        <v>2581</v>
      </c>
      <c r="AQ138" s="785" t="s">
        <v>2521</v>
      </c>
      <c r="AR138" s="785" t="s">
        <v>2522</v>
      </c>
      <c r="AS138" s="785"/>
      <c r="AT138" s="783">
        <v>1995</v>
      </c>
      <c r="BB138" s="779"/>
    </row>
    <row r="139" spans="1:54" ht="17.25" customHeight="1">
      <c r="B139" s="622" t="s">
        <v>120</v>
      </c>
      <c r="C139" s="834" t="s">
        <v>2161</v>
      </c>
      <c r="D139" s="614" t="s">
        <v>2508</v>
      </c>
      <c r="E139" s="614" t="s">
        <v>2593</v>
      </c>
      <c r="F139" s="614" t="s">
        <v>2594</v>
      </c>
      <c r="G139" s="614" t="s">
        <v>2595</v>
      </c>
      <c r="H139" s="614" t="s">
        <v>2596</v>
      </c>
      <c r="I139" s="614" t="s">
        <v>2597</v>
      </c>
      <c r="J139" s="614" t="s">
        <v>2598</v>
      </c>
      <c r="K139" s="672" t="s">
        <v>2599</v>
      </c>
      <c r="L139" s="2042"/>
      <c r="M139" s="840">
        <v>26</v>
      </c>
      <c r="N139" s="2294" t="s">
        <v>2600</v>
      </c>
      <c r="O139" s="2294"/>
      <c r="P139" s="2294"/>
      <c r="Q139" s="2294"/>
      <c r="R139" s="2295"/>
      <c r="S139" s="842">
        <v>26</v>
      </c>
      <c r="T139" s="2294" t="s">
        <v>2601</v>
      </c>
      <c r="U139" s="2294"/>
      <c r="V139" s="2294"/>
      <c r="W139" s="2294"/>
      <c r="X139" s="2295"/>
      <c r="AE139" s="783">
        <v>1996</v>
      </c>
      <c r="AF139" s="784" t="s">
        <v>2602</v>
      </c>
      <c r="AG139" s="784"/>
      <c r="AH139" s="784"/>
      <c r="AI139" s="784" t="s">
        <v>99</v>
      </c>
      <c r="AJ139" s="784"/>
      <c r="AK139" s="784"/>
      <c r="AL139" s="784" t="s">
        <v>2534</v>
      </c>
      <c r="AM139" s="784" t="s">
        <v>2015</v>
      </c>
      <c r="AN139" s="784" t="s">
        <v>2603</v>
      </c>
      <c r="AO139" s="786" t="s">
        <v>2604</v>
      </c>
      <c r="AP139" s="786" t="s">
        <v>2581</v>
      </c>
      <c r="AQ139" s="785" t="s">
        <v>2521</v>
      </c>
      <c r="AR139" s="785" t="s">
        <v>2522</v>
      </c>
      <c r="AS139" s="785"/>
      <c r="AT139" s="783">
        <v>1996</v>
      </c>
      <c r="BB139" s="779"/>
    </row>
    <row r="140" spans="1:54" ht="17.25" customHeight="1">
      <c r="B140" s="622" t="s">
        <v>122</v>
      </c>
      <c r="C140" s="834" t="s">
        <v>2146</v>
      </c>
      <c r="D140" s="614" t="s">
        <v>2477</v>
      </c>
      <c r="E140" s="614" t="s">
        <v>2478</v>
      </c>
      <c r="F140" s="614" t="s">
        <v>2605</v>
      </c>
      <c r="G140" s="614" t="s">
        <v>2480</v>
      </c>
      <c r="H140" s="614" t="s">
        <v>2481</v>
      </c>
      <c r="I140" s="614" t="s">
        <v>2606</v>
      </c>
      <c r="J140" s="614" t="s">
        <v>2607</v>
      </c>
      <c r="K140" s="672" t="s">
        <v>2608</v>
      </c>
      <c r="L140" s="2042"/>
      <c r="M140" s="840">
        <v>27</v>
      </c>
      <c r="N140" s="2294" t="s">
        <v>2609</v>
      </c>
      <c r="O140" s="2294"/>
      <c r="P140" s="2294"/>
      <c r="Q140" s="2294"/>
      <c r="R140" s="2295"/>
      <c r="S140" s="842">
        <v>27</v>
      </c>
      <c r="T140" s="2294" t="s">
        <v>2610</v>
      </c>
      <c r="U140" s="2294"/>
      <c r="V140" s="2294"/>
      <c r="W140" s="2294"/>
      <c r="X140" s="2295"/>
      <c r="AE140" s="783">
        <v>1997</v>
      </c>
      <c r="AF140" s="784" t="s">
        <v>99</v>
      </c>
      <c r="AG140" s="784"/>
      <c r="AH140" s="784"/>
      <c r="AI140" s="784" t="s">
        <v>2611</v>
      </c>
      <c r="AJ140" s="784"/>
      <c r="AK140" s="784"/>
      <c r="AL140" s="784" t="s">
        <v>2534</v>
      </c>
      <c r="AM140" s="784" t="s">
        <v>2024</v>
      </c>
      <c r="AN140" s="784" t="s">
        <v>2612</v>
      </c>
      <c r="AO140" s="786" t="s">
        <v>2613</v>
      </c>
      <c r="AP140" s="786" t="s">
        <v>2581</v>
      </c>
      <c r="AQ140" s="785" t="s">
        <v>2521</v>
      </c>
      <c r="AR140" s="785" t="s">
        <v>2522</v>
      </c>
      <c r="AS140" s="785"/>
      <c r="AT140" s="783">
        <v>1997</v>
      </c>
      <c r="BB140" s="779"/>
    </row>
    <row r="141" spans="1:54" ht="17.25" customHeight="1">
      <c r="B141" s="622" t="s">
        <v>2200</v>
      </c>
      <c r="C141" s="834" t="s">
        <v>225</v>
      </c>
      <c r="D141" s="614" t="s">
        <v>225</v>
      </c>
      <c r="E141" s="614" t="s">
        <v>225</v>
      </c>
      <c r="F141" s="614" t="s">
        <v>225</v>
      </c>
      <c r="G141" s="614" t="s">
        <v>225</v>
      </c>
      <c r="H141" s="614" t="s">
        <v>225</v>
      </c>
      <c r="I141" s="614" t="s">
        <v>225</v>
      </c>
      <c r="J141" s="614" t="s">
        <v>225</v>
      </c>
      <c r="K141" s="672" t="s">
        <v>225</v>
      </c>
      <c r="L141" s="2042"/>
      <c r="M141" s="840">
        <v>28</v>
      </c>
      <c r="N141" s="2294" t="s">
        <v>2614</v>
      </c>
      <c r="O141" s="2294"/>
      <c r="P141" s="2294"/>
      <c r="Q141" s="2294"/>
      <c r="R141" s="2295"/>
      <c r="S141" s="842">
        <v>28</v>
      </c>
      <c r="T141" s="2294" t="s">
        <v>2615</v>
      </c>
      <c r="U141" s="2294"/>
      <c r="V141" s="2294"/>
      <c r="W141" s="2294"/>
      <c r="X141" s="2295"/>
      <c r="AE141" s="783">
        <v>1998</v>
      </c>
      <c r="AF141" s="784" t="s">
        <v>99</v>
      </c>
      <c r="AG141" s="784"/>
      <c r="AH141" s="784"/>
      <c r="AI141" s="784" t="s">
        <v>2616</v>
      </c>
      <c r="AJ141" s="784"/>
      <c r="AK141" s="784"/>
      <c r="AL141" s="784" t="s">
        <v>2534</v>
      </c>
      <c r="AM141" s="784" t="s">
        <v>2032</v>
      </c>
      <c r="AN141" s="784" t="s">
        <v>2617</v>
      </c>
      <c r="AO141" s="786" t="s">
        <v>2618</v>
      </c>
      <c r="AP141" s="786" t="s">
        <v>2581</v>
      </c>
      <c r="AQ141" s="785" t="s">
        <v>2521</v>
      </c>
      <c r="AR141" s="785" t="s">
        <v>2522</v>
      </c>
      <c r="AS141" s="785"/>
      <c r="AT141" s="783">
        <v>1998</v>
      </c>
      <c r="BB141" s="779"/>
    </row>
    <row r="142" spans="1:54" ht="17.25" customHeight="1">
      <c r="B142" s="622" t="s">
        <v>164</v>
      </c>
      <c r="C142" s="834" t="s">
        <v>99</v>
      </c>
      <c r="D142" s="614" t="s">
        <v>2619</v>
      </c>
      <c r="E142" s="614" t="s">
        <v>99</v>
      </c>
      <c r="F142" s="614" t="s">
        <v>2620</v>
      </c>
      <c r="G142" s="614" t="s">
        <v>99</v>
      </c>
      <c r="H142" s="614" t="s">
        <v>99</v>
      </c>
      <c r="I142" s="614" t="s">
        <v>2621</v>
      </c>
      <c r="J142" s="614" t="s">
        <v>99</v>
      </c>
      <c r="K142" s="672" t="s">
        <v>99</v>
      </c>
      <c r="L142" s="2042"/>
      <c r="M142" s="840">
        <v>29</v>
      </c>
      <c r="N142" s="2294" t="s">
        <v>2622</v>
      </c>
      <c r="O142" s="2294"/>
      <c r="P142" s="2294"/>
      <c r="Q142" s="2294"/>
      <c r="R142" s="2295"/>
      <c r="S142" s="842">
        <v>29</v>
      </c>
      <c r="T142" s="2294" t="s">
        <v>2623</v>
      </c>
      <c r="U142" s="2294"/>
      <c r="V142" s="2294"/>
      <c r="W142" s="2294"/>
      <c r="X142" s="2295"/>
      <c r="AE142" s="783">
        <v>1999</v>
      </c>
      <c r="AF142" s="784" t="s">
        <v>2624</v>
      </c>
      <c r="AG142" s="784"/>
      <c r="AH142" s="784"/>
      <c r="AI142" s="784" t="s">
        <v>2625</v>
      </c>
      <c r="AJ142" s="784" t="s">
        <v>2626</v>
      </c>
      <c r="AK142" s="784"/>
      <c r="AL142" s="784" t="s">
        <v>2534</v>
      </c>
      <c r="AM142" s="784" t="s">
        <v>2039</v>
      </c>
      <c r="AN142" s="784" t="s">
        <v>2627</v>
      </c>
      <c r="AO142" s="784" t="s">
        <v>2628</v>
      </c>
      <c r="AP142" s="786" t="s">
        <v>2581</v>
      </c>
      <c r="AQ142" s="785" t="s">
        <v>2521</v>
      </c>
      <c r="AR142" s="785" t="s">
        <v>2522</v>
      </c>
      <c r="AS142" s="785"/>
      <c r="AT142" s="783">
        <v>1999</v>
      </c>
      <c r="BB142" s="779"/>
    </row>
    <row r="143" spans="1:54" ht="17.25" customHeight="1">
      <c r="A143" s="622" t="s">
        <v>2629</v>
      </c>
      <c r="B143" s="622" t="s">
        <v>2629</v>
      </c>
      <c r="C143" s="834" t="s">
        <v>2146</v>
      </c>
      <c r="D143" s="614" t="s">
        <v>2630</v>
      </c>
      <c r="E143" s="614" t="s">
        <v>99</v>
      </c>
      <c r="F143" s="614" t="s">
        <v>2631</v>
      </c>
      <c r="G143" s="614" t="s">
        <v>99</v>
      </c>
      <c r="H143" s="614" t="s">
        <v>99</v>
      </c>
      <c r="I143" s="614" t="s">
        <v>2621</v>
      </c>
      <c r="J143" s="614" t="s">
        <v>99</v>
      </c>
      <c r="K143" s="672" t="s">
        <v>99</v>
      </c>
      <c r="L143" s="2042"/>
      <c r="M143" s="840">
        <v>30</v>
      </c>
      <c r="N143" s="2294" t="s">
        <v>2632</v>
      </c>
      <c r="O143" s="2294"/>
      <c r="P143" s="2294"/>
      <c r="Q143" s="2294"/>
      <c r="R143" s="2295"/>
      <c r="S143" s="842">
        <v>30</v>
      </c>
      <c r="T143" s="2294" t="s">
        <v>2633</v>
      </c>
      <c r="U143" s="2294"/>
      <c r="V143" s="2294"/>
      <c r="W143" s="2294"/>
      <c r="X143" s="2295"/>
      <c r="AE143" s="783">
        <v>2000</v>
      </c>
      <c r="AF143" s="784" t="s">
        <v>2634</v>
      </c>
      <c r="AG143" s="784" t="s">
        <v>2635</v>
      </c>
      <c r="AH143" s="784"/>
      <c r="AI143" s="784" t="s">
        <v>2636</v>
      </c>
      <c r="AJ143" s="784"/>
      <c r="AK143" s="784"/>
      <c r="AL143" s="784" t="s">
        <v>2637</v>
      </c>
      <c r="AM143" s="784" t="s">
        <v>2047</v>
      </c>
      <c r="AN143" s="784" t="s">
        <v>2638</v>
      </c>
      <c r="AO143" s="786" t="s">
        <v>2639</v>
      </c>
      <c r="AP143" s="786" t="s">
        <v>2581</v>
      </c>
      <c r="AQ143" s="785" t="s">
        <v>2521</v>
      </c>
      <c r="AR143" s="785" t="s">
        <v>2522</v>
      </c>
      <c r="AS143" s="785"/>
      <c r="AT143" s="783">
        <v>2000</v>
      </c>
      <c r="BB143" s="779"/>
    </row>
    <row r="144" spans="1:54" ht="17.25" customHeight="1">
      <c r="A144" s="622" t="s">
        <v>2640</v>
      </c>
      <c r="B144" s="622" t="s">
        <v>2640</v>
      </c>
      <c r="C144" s="834" t="s">
        <v>2582</v>
      </c>
      <c r="D144" s="614" t="s">
        <v>2630</v>
      </c>
      <c r="E144" s="614" t="s">
        <v>99</v>
      </c>
      <c r="F144" s="614" t="s">
        <v>2641</v>
      </c>
      <c r="G144" s="614" t="s">
        <v>99</v>
      </c>
      <c r="H144" s="614" t="s">
        <v>99</v>
      </c>
      <c r="I144" s="614" t="s">
        <v>2621</v>
      </c>
      <c r="J144" s="614" t="s">
        <v>99</v>
      </c>
      <c r="K144" s="672" t="s">
        <v>99</v>
      </c>
      <c r="L144" s="2042"/>
      <c r="M144" s="840">
        <v>31</v>
      </c>
      <c r="N144" s="2294" t="s">
        <v>2642</v>
      </c>
      <c r="O144" s="2294"/>
      <c r="P144" s="2294"/>
      <c r="Q144" s="2294"/>
      <c r="R144" s="2295"/>
      <c r="S144" s="842">
        <v>31</v>
      </c>
      <c r="T144" s="2294" t="s">
        <v>2643</v>
      </c>
      <c r="U144" s="2294"/>
      <c r="V144" s="2294"/>
      <c r="W144" s="2294"/>
      <c r="X144" s="2295"/>
      <c r="AE144" s="783">
        <v>2001</v>
      </c>
      <c r="AF144" s="784" t="s">
        <v>99</v>
      </c>
      <c r="AG144" s="784"/>
      <c r="AH144" s="784"/>
      <c r="AI144" s="784" t="s">
        <v>2644</v>
      </c>
      <c r="AJ144" s="784"/>
      <c r="AK144" s="784"/>
      <c r="AL144" s="784" t="s">
        <v>2637</v>
      </c>
      <c r="AM144" s="784" t="s">
        <v>2055</v>
      </c>
      <c r="AN144" s="784" t="s">
        <v>2645</v>
      </c>
      <c r="AO144" s="786" t="s">
        <v>2646</v>
      </c>
      <c r="AP144" s="786" t="s">
        <v>2647</v>
      </c>
      <c r="AQ144" s="803" t="s">
        <v>2648</v>
      </c>
      <c r="AR144" s="785" t="s">
        <v>2649</v>
      </c>
      <c r="AS144" s="785" t="s">
        <v>2650</v>
      </c>
      <c r="AT144" s="783">
        <v>2001</v>
      </c>
      <c r="BB144" s="779"/>
    </row>
    <row r="145" spans="1:71" ht="17.25" customHeight="1">
      <c r="A145" s="622" t="s">
        <v>2651</v>
      </c>
      <c r="B145" s="622" t="s">
        <v>126</v>
      </c>
      <c r="C145" s="834" t="s">
        <v>2652</v>
      </c>
      <c r="D145" s="614" t="s">
        <v>2630</v>
      </c>
      <c r="E145" s="614" t="s">
        <v>99</v>
      </c>
      <c r="F145" s="614" t="s">
        <v>2653</v>
      </c>
      <c r="G145" s="614" t="s">
        <v>99</v>
      </c>
      <c r="H145" s="614" t="s">
        <v>99</v>
      </c>
      <c r="I145" s="614" t="s">
        <v>2621</v>
      </c>
      <c r="J145" s="614" t="s">
        <v>99</v>
      </c>
      <c r="K145" s="672" t="s">
        <v>99</v>
      </c>
      <c r="L145" s="2042"/>
      <c r="M145" s="840">
        <v>32</v>
      </c>
      <c r="N145" s="2294" t="s">
        <v>2654</v>
      </c>
      <c r="O145" s="2294"/>
      <c r="P145" s="2294"/>
      <c r="Q145" s="2294"/>
      <c r="R145" s="2295"/>
      <c r="S145" s="842">
        <v>32</v>
      </c>
      <c r="T145" s="2294" t="s">
        <v>2655</v>
      </c>
      <c r="U145" s="2294"/>
      <c r="V145" s="2294"/>
      <c r="W145" s="2294"/>
      <c r="X145" s="2295"/>
      <c r="AE145" s="783">
        <v>2002</v>
      </c>
      <c r="AF145" s="784" t="s">
        <v>2656</v>
      </c>
      <c r="AG145" s="784"/>
      <c r="AH145" s="784"/>
      <c r="AI145" s="784" t="s">
        <v>2657</v>
      </c>
      <c r="AJ145" s="784"/>
      <c r="AK145" s="784"/>
      <c r="AL145" s="784" t="s">
        <v>2637</v>
      </c>
      <c r="AM145" s="784" t="s">
        <v>2061</v>
      </c>
      <c r="AN145" s="784" t="s">
        <v>2658</v>
      </c>
      <c r="AO145" s="786" t="s">
        <v>2659</v>
      </c>
      <c r="AP145" s="786" t="s">
        <v>2660</v>
      </c>
      <c r="AQ145" s="803" t="s">
        <v>2648</v>
      </c>
      <c r="AR145" s="785" t="s">
        <v>2649</v>
      </c>
      <c r="AS145" s="785"/>
      <c r="AT145" s="783">
        <v>2002</v>
      </c>
      <c r="BB145" s="779"/>
    </row>
    <row r="146" spans="1:71" ht="17.25" customHeight="1">
      <c r="A146" s="622" t="s">
        <v>1407</v>
      </c>
      <c r="B146" s="622" t="s">
        <v>2651</v>
      </c>
      <c r="C146" s="834" t="s">
        <v>2476</v>
      </c>
      <c r="D146" s="614" t="s">
        <v>2630</v>
      </c>
      <c r="E146" s="614" t="s">
        <v>99</v>
      </c>
      <c r="F146" s="614" t="s">
        <v>2661</v>
      </c>
      <c r="G146" s="614" t="s">
        <v>99</v>
      </c>
      <c r="H146" s="614" t="s">
        <v>99</v>
      </c>
      <c r="I146" s="614" t="s">
        <v>2621</v>
      </c>
      <c r="J146" s="614" t="s">
        <v>99</v>
      </c>
      <c r="K146" s="672" t="s">
        <v>99</v>
      </c>
      <c r="L146" s="2042"/>
      <c r="M146" s="840">
        <v>33</v>
      </c>
      <c r="N146" s="2294" t="s">
        <v>2662</v>
      </c>
      <c r="O146" s="2294"/>
      <c r="P146" s="2294"/>
      <c r="Q146" s="2294"/>
      <c r="R146" s="2295"/>
      <c r="S146" s="842">
        <v>33</v>
      </c>
      <c r="T146" s="2294" t="s">
        <v>2663</v>
      </c>
      <c r="U146" s="2294"/>
      <c r="V146" s="2294"/>
      <c r="W146" s="2294"/>
      <c r="X146" s="2295"/>
      <c r="AE146" s="783">
        <v>2003</v>
      </c>
      <c r="AF146" s="784" t="s">
        <v>99</v>
      </c>
      <c r="AG146" s="784"/>
      <c r="AH146" s="784"/>
      <c r="AI146" s="784" t="s">
        <v>2664</v>
      </c>
      <c r="AJ146" s="784" t="s">
        <v>2665</v>
      </c>
      <c r="AK146" s="784"/>
      <c r="AL146" s="784" t="s">
        <v>2637</v>
      </c>
      <c r="AM146" s="784" t="s">
        <v>2067</v>
      </c>
      <c r="AN146" s="784" t="s">
        <v>2666</v>
      </c>
      <c r="AO146" s="786" t="s">
        <v>2667</v>
      </c>
      <c r="AP146" s="786" t="s">
        <v>2660</v>
      </c>
      <c r="AQ146" s="803" t="s">
        <v>2648</v>
      </c>
      <c r="AR146" s="785" t="s">
        <v>2649</v>
      </c>
      <c r="AS146" s="785"/>
      <c r="AT146" s="783">
        <v>2003</v>
      </c>
      <c r="BB146" s="779"/>
    </row>
    <row r="147" spans="1:71" ht="17.25" customHeight="1">
      <c r="A147" s="622" t="s">
        <v>2668</v>
      </c>
      <c r="B147" s="622" t="s">
        <v>1407</v>
      </c>
      <c r="C147" s="834" t="s">
        <v>2489</v>
      </c>
      <c r="D147" s="614" t="s">
        <v>2630</v>
      </c>
      <c r="E147" s="614" t="s">
        <v>99</v>
      </c>
      <c r="F147" s="614" t="s">
        <v>2669</v>
      </c>
      <c r="G147" s="614" t="s">
        <v>99</v>
      </c>
      <c r="H147" s="614" t="s">
        <v>99</v>
      </c>
      <c r="I147" s="614" t="s">
        <v>2621</v>
      </c>
      <c r="J147" s="614" t="s">
        <v>99</v>
      </c>
      <c r="K147" s="672" t="s">
        <v>99</v>
      </c>
      <c r="L147" s="2042"/>
      <c r="M147" s="840">
        <v>34</v>
      </c>
      <c r="N147" s="2294" t="s">
        <v>2670</v>
      </c>
      <c r="O147" s="2294"/>
      <c r="P147" s="2294"/>
      <c r="Q147" s="2294"/>
      <c r="R147" s="2295"/>
      <c r="S147" s="842">
        <v>34</v>
      </c>
      <c r="T147" s="2294" t="s">
        <v>2671</v>
      </c>
      <c r="U147" s="2294"/>
      <c r="V147" s="2294"/>
      <c r="W147" s="2294"/>
      <c r="X147" s="2295"/>
      <c r="AE147" s="783">
        <v>2004</v>
      </c>
      <c r="AF147" s="784" t="s">
        <v>1622</v>
      </c>
      <c r="AG147" s="784"/>
      <c r="AH147" s="784"/>
      <c r="AI147" s="784" t="s">
        <v>99</v>
      </c>
      <c r="AJ147" s="784"/>
      <c r="AK147" s="784"/>
      <c r="AL147" s="784" t="s">
        <v>2637</v>
      </c>
      <c r="AM147" s="784" t="s">
        <v>2075</v>
      </c>
      <c r="AN147" s="784" t="s">
        <v>2672</v>
      </c>
      <c r="AO147" s="786" t="s">
        <v>2673</v>
      </c>
      <c r="AP147" s="786" t="s">
        <v>2660</v>
      </c>
      <c r="AQ147" s="803" t="s">
        <v>2648</v>
      </c>
      <c r="AR147" s="785" t="s">
        <v>2649</v>
      </c>
      <c r="AS147" s="785"/>
      <c r="AT147" s="783">
        <v>2004</v>
      </c>
    </row>
    <row r="148" spans="1:71" ht="17.25" customHeight="1">
      <c r="A148" s="622" t="s">
        <v>2674</v>
      </c>
      <c r="B148" s="622" t="s">
        <v>2668</v>
      </c>
      <c r="C148" s="834" t="s">
        <v>2476</v>
      </c>
      <c r="D148" s="614" t="s">
        <v>2630</v>
      </c>
      <c r="E148" s="614" t="s">
        <v>99</v>
      </c>
      <c r="F148" s="614" t="s">
        <v>2675</v>
      </c>
      <c r="G148" s="614" t="s">
        <v>99</v>
      </c>
      <c r="H148" s="614" t="s">
        <v>99</v>
      </c>
      <c r="I148" s="614" t="s">
        <v>2621</v>
      </c>
      <c r="J148" s="614" t="s">
        <v>99</v>
      </c>
      <c r="K148" s="672" t="s">
        <v>99</v>
      </c>
      <c r="L148" s="2042"/>
      <c r="M148" s="840">
        <v>35</v>
      </c>
      <c r="N148" s="2294" t="s">
        <v>2676</v>
      </c>
      <c r="O148" s="2294"/>
      <c r="P148" s="2294"/>
      <c r="Q148" s="2294"/>
      <c r="R148" s="2295"/>
      <c r="S148" s="842">
        <v>35</v>
      </c>
      <c r="T148" s="2294" t="s">
        <v>2677</v>
      </c>
      <c r="U148" s="2294"/>
      <c r="V148" s="2294"/>
      <c r="W148" s="2294"/>
      <c r="X148" s="2295"/>
      <c r="AE148" s="783">
        <v>2005</v>
      </c>
      <c r="AF148" s="784" t="s">
        <v>99</v>
      </c>
      <c r="AG148" s="784"/>
      <c r="AH148" s="784"/>
      <c r="AI148" s="784" t="s">
        <v>99</v>
      </c>
      <c r="AJ148" s="784"/>
      <c r="AK148" s="784"/>
      <c r="AL148" s="784" t="s">
        <v>2637</v>
      </c>
      <c r="AM148" s="784" t="s">
        <v>2084</v>
      </c>
      <c r="AN148" s="784" t="s">
        <v>2678</v>
      </c>
      <c r="AO148" s="786" t="s">
        <v>2679</v>
      </c>
      <c r="AP148" s="786" t="s">
        <v>2660</v>
      </c>
      <c r="AQ148" s="803" t="s">
        <v>2648</v>
      </c>
      <c r="AR148" s="785" t="s">
        <v>2649</v>
      </c>
      <c r="AS148" s="785"/>
      <c r="AT148" s="783">
        <v>2005</v>
      </c>
    </row>
    <row r="149" spans="1:71" ht="17.25" customHeight="1">
      <c r="A149" s="622" t="s">
        <v>1406</v>
      </c>
      <c r="B149" s="622" t="s">
        <v>2674</v>
      </c>
      <c r="C149" s="834" t="s">
        <v>2582</v>
      </c>
      <c r="D149" s="614" t="s">
        <v>2630</v>
      </c>
      <c r="E149" s="614" t="s">
        <v>99</v>
      </c>
      <c r="F149" s="614" t="s">
        <v>2680</v>
      </c>
      <c r="G149" s="614" t="s">
        <v>99</v>
      </c>
      <c r="H149" s="614" t="s">
        <v>99</v>
      </c>
      <c r="I149" s="614" t="s">
        <v>2621</v>
      </c>
      <c r="J149" s="614" t="s">
        <v>99</v>
      </c>
      <c r="K149" s="672" t="s">
        <v>99</v>
      </c>
      <c r="L149" s="2042"/>
      <c r="M149" s="840">
        <v>36</v>
      </c>
      <c r="N149" s="2294" t="s">
        <v>2681</v>
      </c>
      <c r="O149" s="2294"/>
      <c r="P149" s="2294"/>
      <c r="Q149" s="2294"/>
      <c r="R149" s="2295"/>
      <c r="S149" s="842">
        <v>36</v>
      </c>
      <c r="T149" s="2294" t="s">
        <v>2682</v>
      </c>
      <c r="U149" s="2294"/>
      <c r="V149" s="2294"/>
      <c r="W149" s="2294"/>
      <c r="X149" s="2295"/>
      <c r="AE149" s="783">
        <v>2006</v>
      </c>
      <c r="AF149" s="784" t="s">
        <v>99</v>
      </c>
      <c r="AG149" s="784"/>
      <c r="AH149" s="784"/>
      <c r="AI149" s="784" t="s">
        <v>2683</v>
      </c>
      <c r="AJ149" s="784"/>
      <c r="AK149" s="784"/>
      <c r="AL149" s="784" t="s">
        <v>2637</v>
      </c>
      <c r="AM149" s="784" t="s">
        <v>2092</v>
      </c>
      <c r="AN149" s="784" t="s">
        <v>2684</v>
      </c>
      <c r="AO149" s="784" t="s">
        <v>2685</v>
      </c>
      <c r="AP149" s="786" t="s">
        <v>2660</v>
      </c>
      <c r="AQ149" s="803" t="s">
        <v>2648</v>
      </c>
      <c r="AR149" s="785" t="s">
        <v>2649</v>
      </c>
      <c r="AS149" s="785"/>
      <c r="AT149" s="783">
        <v>2006</v>
      </c>
      <c r="BC149" s="673"/>
      <c r="BD149" s="673"/>
      <c r="BE149" s="673"/>
      <c r="BF149" s="673"/>
      <c r="BG149" s="673"/>
      <c r="BH149" s="673"/>
      <c r="BI149" s="673"/>
      <c r="BJ149" s="673"/>
      <c r="BK149" s="673"/>
      <c r="BL149" s="673"/>
      <c r="BM149" s="673"/>
      <c r="BN149" s="673"/>
      <c r="BO149" s="673"/>
      <c r="BP149" s="673"/>
      <c r="BQ149" s="673"/>
      <c r="BR149" s="673"/>
      <c r="BS149" s="673"/>
    </row>
    <row r="150" spans="1:71" ht="17.25" customHeight="1">
      <c r="B150" s="622" t="s">
        <v>1406</v>
      </c>
      <c r="C150" s="834" t="s">
        <v>2489</v>
      </c>
      <c r="D150" s="614" t="s">
        <v>2630</v>
      </c>
      <c r="E150" s="614" t="s">
        <v>99</v>
      </c>
      <c r="F150" s="614" t="s">
        <v>2686</v>
      </c>
      <c r="G150" s="614" t="s">
        <v>99</v>
      </c>
      <c r="H150" s="614" t="s">
        <v>99</v>
      </c>
      <c r="I150" s="614" t="s">
        <v>2621</v>
      </c>
      <c r="J150" s="614" t="s">
        <v>99</v>
      </c>
      <c r="K150" s="672" t="s">
        <v>99</v>
      </c>
      <c r="L150" s="2042"/>
      <c r="M150" s="840">
        <v>37</v>
      </c>
      <c r="N150" s="2294" t="s">
        <v>2687</v>
      </c>
      <c r="O150" s="2294"/>
      <c r="P150" s="2294"/>
      <c r="Q150" s="2294"/>
      <c r="R150" s="2295"/>
      <c r="S150" s="842">
        <v>37</v>
      </c>
      <c r="T150" s="2294" t="s">
        <v>2688</v>
      </c>
      <c r="U150" s="2294"/>
      <c r="V150" s="2294"/>
      <c r="W150" s="2294"/>
      <c r="X150" s="2295"/>
      <c r="AE150" s="783">
        <v>2007</v>
      </c>
      <c r="AF150" s="784" t="s">
        <v>99</v>
      </c>
      <c r="AG150" s="784"/>
      <c r="AH150" s="784"/>
      <c r="AI150" s="784" t="s">
        <v>99</v>
      </c>
      <c r="AJ150" s="784"/>
      <c r="AK150" s="784"/>
      <c r="AL150" s="784" t="s">
        <v>2637</v>
      </c>
      <c r="AM150" s="784" t="s">
        <v>2100</v>
      </c>
      <c r="AN150" s="784" t="s">
        <v>2689</v>
      </c>
      <c r="AO150" s="786" t="s">
        <v>2690</v>
      </c>
      <c r="AP150" s="786" t="s">
        <v>2660</v>
      </c>
      <c r="AQ150" s="803" t="s">
        <v>2648</v>
      </c>
      <c r="AR150" s="785" t="s">
        <v>2649</v>
      </c>
      <c r="AS150" s="785"/>
      <c r="AT150" s="783">
        <v>2007</v>
      </c>
      <c r="BC150" s="673"/>
      <c r="BD150" s="673"/>
      <c r="BE150" s="673"/>
      <c r="BF150" s="673"/>
      <c r="BG150" s="673"/>
      <c r="BH150" s="673"/>
      <c r="BI150" s="673"/>
      <c r="BJ150" s="673"/>
      <c r="BK150" s="673"/>
      <c r="BL150" s="673"/>
      <c r="BM150" s="673"/>
      <c r="BN150" s="673"/>
      <c r="BO150" s="673"/>
      <c r="BP150" s="673"/>
      <c r="BQ150" s="673"/>
      <c r="BR150" s="673"/>
      <c r="BS150" s="673"/>
    </row>
    <row r="151" spans="1:71" ht="17.25" customHeight="1">
      <c r="B151" s="622" t="s">
        <v>2200</v>
      </c>
      <c r="C151" s="834" t="s">
        <v>225</v>
      </c>
      <c r="D151" s="614" t="s">
        <v>225</v>
      </c>
      <c r="E151" s="614" t="s">
        <v>225</v>
      </c>
      <c r="F151" s="614" t="s">
        <v>225</v>
      </c>
      <c r="G151" s="614" t="s">
        <v>225</v>
      </c>
      <c r="H151" s="614" t="s">
        <v>225</v>
      </c>
      <c r="I151" s="614" t="s">
        <v>225</v>
      </c>
      <c r="J151" s="614" t="s">
        <v>225</v>
      </c>
      <c r="K151" s="672" t="s">
        <v>225</v>
      </c>
      <c r="L151" s="2042"/>
      <c r="M151" s="840">
        <v>38</v>
      </c>
      <c r="N151" s="2294" t="s">
        <v>2691</v>
      </c>
      <c r="O151" s="2294"/>
      <c r="P151" s="2294"/>
      <c r="Q151" s="2294"/>
      <c r="R151" s="2295"/>
      <c r="S151" s="842">
        <v>38</v>
      </c>
      <c r="T151" s="2294" t="s">
        <v>2692</v>
      </c>
      <c r="U151" s="2294"/>
      <c r="V151" s="2294"/>
      <c r="W151" s="2294"/>
      <c r="X151" s="2295"/>
      <c r="AE151" s="783">
        <v>2008</v>
      </c>
      <c r="AF151" s="784" t="s">
        <v>2693</v>
      </c>
      <c r="AG151" s="784"/>
      <c r="AH151" s="784"/>
      <c r="AI151" s="784" t="s">
        <v>2693</v>
      </c>
      <c r="AJ151" s="784" t="s">
        <v>2694</v>
      </c>
      <c r="AK151" s="784"/>
      <c r="AL151" s="784" t="s">
        <v>2637</v>
      </c>
      <c r="AM151" s="784" t="s">
        <v>2108</v>
      </c>
      <c r="AN151" s="784" t="s">
        <v>2695</v>
      </c>
      <c r="AO151" s="786" t="s">
        <v>2696</v>
      </c>
      <c r="AP151" s="786" t="s">
        <v>2660</v>
      </c>
      <c r="AQ151" s="803" t="s">
        <v>2648</v>
      </c>
      <c r="AR151" s="785" t="s">
        <v>2697</v>
      </c>
      <c r="AS151" s="785"/>
      <c r="AT151" s="783">
        <v>2008</v>
      </c>
      <c r="BC151" s="673"/>
      <c r="BD151" s="673"/>
      <c r="BE151" s="673"/>
      <c r="BF151" s="673"/>
      <c r="BG151" s="673"/>
      <c r="BH151" s="673"/>
      <c r="BI151" s="673"/>
      <c r="BJ151" s="673"/>
      <c r="BK151" s="673"/>
      <c r="BL151" s="673"/>
      <c r="BM151" s="673"/>
      <c r="BN151" s="673"/>
      <c r="BO151" s="673"/>
      <c r="BP151" s="673"/>
      <c r="BQ151" s="673"/>
      <c r="BR151" s="673"/>
      <c r="BS151" s="673"/>
    </row>
    <row r="152" spans="1:71" ht="17.25" customHeight="1">
      <c r="B152" s="736" t="s">
        <v>2698</v>
      </c>
      <c r="C152" s="834" t="s">
        <v>99</v>
      </c>
      <c r="D152" s="614" t="s">
        <v>2619</v>
      </c>
      <c r="E152" s="614" t="s">
        <v>2699</v>
      </c>
      <c r="F152" s="614" t="s">
        <v>2700</v>
      </c>
      <c r="G152" s="614" t="s">
        <v>99</v>
      </c>
      <c r="H152" s="614" t="s">
        <v>99</v>
      </c>
      <c r="I152" s="614" t="s">
        <v>2621</v>
      </c>
      <c r="J152" s="614" t="s">
        <v>99</v>
      </c>
      <c r="K152" s="672" t="s">
        <v>99</v>
      </c>
      <c r="L152" s="2042"/>
      <c r="M152" s="840">
        <v>39</v>
      </c>
      <c r="N152" s="2294" t="s">
        <v>2701</v>
      </c>
      <c r="O152" s="2294"/>
      <c r="P152" s="2294"/>
      <c r="Q152" s="2294"/>
      <c r="R152" s="2295"/>
      <c r="S152" s="842">
        <v>39</v>
      </c>
      <c r="T152" s="2294" t="s">
        <v>2702</v>
      </c>
      <c r="U152" s="2294"/>
      <c r="V152" s="2294"/>
      <c r="W152" s="2294"/>
      <c r="X152" s="2295"/>
      <c r="AE152" s="783">
        <v>2009</v>
      </c>
      <c r="AF152" s="784" t="s">
        <v>99</v>
      </c>
      <c r="AG152" s="784"/>
      <c r="AH152" s="784"/>
      <c r="AI152" s="784" t="s">
        <v>99</v>
      </c>
      <c r="AJ152" s="784"/>
      <c r="AK152" s="784"/>
      <c r="AL152" s="784" t="s">
        <v>2637</v>
      </c>
      <c r="AM152" s="784" t="s">
        <v>2116</v>
      </c>
      <c r="AN152" s="784" t="s">
        <v>2703</v>
      </c>
      <c r="AO152" s="784" t="s">
        <v>2704</v>
      </c>
      <c r="AP152" s="784" t="s">
        <v>2705</v>
      </c>
      <c r="AQ152" s="803" t="s">
        <v>2706</v>
      </c>
      <c r="AR152" s="785" t="s">
        <v>2697</v>
      </c>
      <c r="AS152" s="785" t="s">
        <v>2707</v>
      </c>
      <c r="AT152" s="783">
        <v>2009</v>
      </c>
      <c r="BC152" s="673"/>
      <c r="BD152" s="673"/>
      <c r="BE152" s="673"/>
      <c r="BF152" s="673"/>
      <c r="BG152" s="673"/>
      <c r="BH152" s="673"/>
      <c r="BI152" s="673"/>
      <c r="BJ152" s="673"/>
      <c r="BK152" s="673"/>
      <c r="BL152" s="673"/>
      <c r="BM152" s="673"/>
      <c r="BN152" s="673"/>
      <c r="BO152" s="673"/>
      <c r="BP152" s="673"/>
      <c r="BQ152" s="673"/>
      <c r="BR152" s="673"/>
      <c r="BS152" s="673"/>
    </row>
    <row r="153" spans="1:71" ht="17.25" customHeight="1">
      <c r="A153" s="622" t="s">
        <v>393</v>
      </c>
      <c r="B153" s="622" t="s">
        <v>393</v>
      </c>
      <c r="C153" s="834" t="s">
        <v>2652</v>
      </c>
      <c r="D153" s="614" t="s">
        <v>2708</v>
      </c>
      <c r="E153" s="614" t="s">
        <v>2699</v>
      </c>
      <c r="F153" s="614" t="s">
        <v>2709</v>
      </c>
      <c r="G153" s="614" t="s">
        <v>99</v>
      </c>
      <c r="H153" s="614" t="s">
        <v>99</v>
      </c>
      <c r="I153" s="614" t="s">
        <v>2621</v>
      </c>
      <c r="J153" s="614" t="s">
        <v>99</v>
      </c>
      <c r="K153" s="672" t="s">
        <v>99</v>
      </c>
      <c r="L153" s="2042"/>
      <c r="M153" s="840">
        <v>40</v>
      </c>
      <c r="N153" s="2294" t="s">
        <v>2710</v>
      </c>
      <c r="O153" s="2294"/>
      <c r="P153" s="2294"/>
      <c r="Q153" s="2294"/>
      <c r="R153" s="2295"/>
      <c r="S153" s="842">
        <v>40</v>
      </c>
      <c r="T153" s="2294" t="s">
        <v>2711</v>
      </c>
      <c r="U153" s="2294"/>
      <c r="V153" s="2294"/>
      <c r="W153" s="2294"/>
      <c r="X153" s="2295"/>
      <c r="AE153" s="783">
        <v>2010</v>
      </c>
      <c r="AF153" s="784" t="s">
        <v>99</v>
      </c>
      <c r="AG153" s="784"/>
      <c r="AH153" s="784"/>
      <c r="AI153" s="784" t="s">
        <v>2712</v>
      </c>
      <c r="AJ153" s="784" t="s">
        <v>2713</v>
      </c>
      <c r="AK153" s="784"/>
      <c r="AL153" s="784" t="s">
        <v>2714</v>
      </c>
      <c r="AM153" s="784" t="s">
        <v>1550</v>
      </c>
      <c r="AN153" s="784" t="s">
        <v>2715</v>
      </c>
      <c r="AO153" s="786" t="s">
        <v>2716</v>
      </c>
      <c r="AP153" s="786" t="s">
        <v>2717</v>
      </c>
      <c r="AQ153" s="803" t="s">
        <v>2706</v>
      </c>
      <c r="AR153" s="785" t="s">
        <v>2697</v>
      </c>
      <c r="AS153" s="785"/>
      <c r="AT153" s="783">
        <v>2010</v>
      </c>
      <c r="BC153" s="673"/>
      <c r="BD153" s="673"/>
      <c r="BE153" s="673"/>
      <c r="BF153" s="673"/>
      <c r="BG153" s="673"/>
      <c r="BH153" s="673"/>
      <c r="BI153" s="673"/>
      <c r="BJ153" s="673"/>
      <c r="BK153" s="673"/>
      <c r="BL153" s="673"/>
      <c r="BM153" s="673"/>
      <c r="BN153" s="673"/>
      <c r="BO153" s="673"/>
      <c r="BP153" s="673"/>
      <c r="BQ153" s="673"/>
      <c r="BR153" s="673"/>
      <c r="BS153" s="673"/>
    </row>
    <row r="154" spans="1:71" ht="17.25" customHeight="1">
      <c r="A154" s="622" t="s">
        <v>2718</v>
      </c>
      <c r="B154" s="622" t="s">
        <v>2718</v>
      </c>
      <c r="C154" s="834" t="s">
        <v>2476</v>
      </c>
      <c r="D154" s="614" t="s">
        <v>2708</v>
      </c>
      <c r="E154" s="614" t="s">
        <v>2699</v>
      </c>
      <c r="F154" s="614" t="s">
        <v>2719</v>
      </c>
      <c r="G154" s="614" t="s">
        <v>99</v>
      </c>
      <c r="H154" s="614" t="s">
        <v>99</v>
      </c>
      <c r="I154" s="614" t="s">
        <v>2621</v>
      </c>
      <c r="J154" s="614" t="s">
        <v>99</v>
      </c>
      <c r="K154" s="672" t="s">
        <v>99</v>
      </c>
      <c r="L154" s="2042"/>
      <c r="M154" s="840">
        <v>41</v>
      </c>
      <c r="N154" s="2294" t="s">
        <v>2720</v>
      </c>
      <c r="O154" s="2294"/>
      <c r="P154" s="2294"/>
      <c r="Q154" s="2294"/>
      <c r="R154" s="2295"/>
      <c r="S154" s="842">
        <v>41</v>
      </c>
      <c r="T154" s="2294" t="s">
        <v>2721</v>
      </c>
      <c r="U154" s="2294"/>
      <c r="V154" s="2294"/>
      <c r="W154" s="2294"/>
      <c r="X154" s="2295"/>
      <c r="AE154" s="783">
        <v>2011</v>
      </c>
      <c r="AF154" s="784" t="s">
        <v>2722</v>
      </c>
      <c r="AG154" s="784"/>
      <c r="AH154" s="784"/>
      <c r="AI154" s="784" t="s">
        <v>99</v>
      </c>
      <c r="AJ154" s="784"/>
      <c r="AK154" s="784"/>
      <c r="AL154" s="784" t="s">
        <v>2714</v>
      </c>
      <c r="AM154" s="784" t="s">
        <v>1559</v>
      </c>
      <c r="AN154" s="784" t="s">
        <v>2723</v>
      </c>
      <c r="AO154" s="786" t="s">
        <v>2724</v>
      </c>
      <c r="AP154" s="786" t="s">
        <v>2717</v>
      </c>
      <c r="AQ154" s="803" t="s">
        <v>2706</v>
      </c>
      <c r="AR154" s="785" t="s">
        <v>2697</v>
      </c>
      <c r="AS154" s="785"/>
      <c r="AT154" s="783">
        <v>2011</v>
      </c>
      <c r="BC154" s="673"/>
      <c r="BD154" s="673"/>
      <c r="BE154" s="673"/>
      <c r="BF154" s="673"/>
      <c r="BG154" s="673"/>
      <c r="BH154" s="673"/>
      <c r="BI154" s="673"/>
      <c r="BJ154" s="673"/>
      <c r="BK154" s="673"/>
      <c r="BL154" s="673"/>
      <c r="BM154" s="673"/>
      <c r="BN154" s="673"/>
      <c r="BO154" s="673"/>
      <c r="BP154" s="673"/>
      <c r="BQ154" s="673"/>
      <c r="BR154" s="673"/>
      <c r="BS154" s="673"/>
    </row>
    <row r="155" spans="1:71" ht="17.25" customHeight="1">
      <c r="A155" s="622" t="s">
        <v>2725</v>
      </c>
      <c r="B155" s="622" t="s">
        <v>1409</v>
      </c>
      <c r="C155" s="834" t="s">
        <v>2476</v>
      </c>
      <c r="D155" s="614" t="s">
        <v>2708</v>
      </c>
      <c r="E155" s="614" t="s">
        <v>2699</v>
      </c>
      <c r="F155" s="614" t="s">
        <v>2726</v>
      </c>
      <c r="G155" s="614" t="s">
        <v>99</v>
      </c>
      <c r="H155" s="614" t="s">
        <v>99</v>
      </c>
      <c r="I155" s="614" t="s">
        <v>2621</v>
      </c>
      <c r="J155" s="614" t="s">
        <v>99</v>
      </c>
      <c r="K155" s="672" t="s">
        <v>99</v>
      </c>
      <c r="L155" s="2042"/>
      <c r="M155" s="840">
        <v>42</v>
      </c>
      <c r="N155" s="2294" t="s">
        <v>2727</v>
      </c>
      <c r="O155" s="2294"/>
      <c r="P155" s="2294"/>
      <c r="Q155" s="2294"/>
      <c r="R155" s="2295"/>
      <c r="S155" s="842">
        <v>42</v>
      </c>
      <c r="T155" s="2294" t="s">
        <v>2728</v>
      </c>
      <c r="U155" s="2294"/>
      <c r="V155" s="2294"/>
      <c r="W155" s="2294"/>
      <c r="X155" s="2295"/>
      <c r="AE155" s="783">
        <v>2012</v>
      </c>
      <c r="AF155" s="784" t="s">
        <v>1776</v>
      </c>
      <c r="AG155" s="784" t="s">
        <v>2729</v>
      </c>
      <c r="AH155" s="784" t="s">
        <v>2730</v>
      </c>
      <c r="AI155" s="784" t="s">
        <v>2731</v>
      </c>
      <c r="AJ155" s="784"/>
      <c r="AK155" s="784"/>
      <c r="AL155" s="784" t="s">
        <v>2714</v>
      </c>
      <c r="AM155" s="784" t="s">
        <v>1566</v>
      </c>
      <c r="AN155" s="784" t="s">
        <v>2732</v>
      </c>
      <c r="AO155" s="786" t="s">
        <v>2733</v>
      </c>
      <c r="AP155" s="786" t="s">
        <v>2717</v>
      </c>
      <c r="AQ155" s="803" t="s">
        <v>2734</v>
      </c>
      <c r="AR155" s="803" t="s">
        <v>2735</v>
      </c>
      <c r="AS155" s="785" t="s">
        <v>2736</v>
      </c>
      <c r="AT155" s="783">
        <v>2012</v>
      </c>
      <c r="BC155" s="673"/>
      <c r="BD155" s="673"/>
      <c r="BE155" s="673"/>
      <c r="BF155" s="673"/>
      <c r="BG155" s="673"/>
      <c r="BH155" s="673"/>
      <c r="BI155" s="673"/>
      <c r="BJ155" s="673"/>
      <c r="BK155" s="673"/>
      <c r="BL155" s="673"/>
      <c r="BM155" s="673"/>
      <c r="BN155" s="673"/>
      <c r="BO155" s="673"/>
      <c r="BP155" s="673"/>
      <c r="BQ155" s="673"/>
      <c r="BR155" s="673"/>
      <c r="BS155" s="673"/>
    </row>
    <row r="156" spans="1:71" ht="17.25" customHeight="1">
      <c r="A156" s="622" t="s">
        <v>2737</v>
      </c>
      <c r="B156" s="622" t="s">
        <v>2737</v>
      </c>
      <c r="C156" s="834" t="s">
        <v>2582</v>
      </c>
      <c r="D156" s="614" t="s">
        <v>2708</v>
      </c>
      <c r="E156" s="614" t="s">
        <v>2699</v>
      </c>
      <c r="F156" s="614" t="s">
        <v>2738</v>
      </c>
      <c r="G156" s="614" t="s">
        <v>99</v>
      </c>
      <c r="H156" s="614" t="s">
        <v>99</v>
      </c>
      <c r="I156" s="614" t="s">
        <v>2621</v>
      </c>
      <c r="J156" s="614" t="s">
        <v>99</v>
      </c>
      <c r="K156" s="672" t="s">
        <v>99</v>
      </c>
      <c r="L156" s="2042"/>
      <c r="M156" s="840">
        <v>43</v>
      </c>
      <c r="N156" s="2294" t="s">
        <v>2739</v>
      </c>
      <c r="O156" s="2294"/>
      <c r="P156" s="2294"/>
      <c r="Q156" s="2294"/>
      <c r="R156" s="2295"/>
      <c r="S156" s="842">
        <v>43</v>
      </c>
      <c r="T156" s="2294" t="s">
        <v>2740</v>
      </c>
      <c r="U156" s="2294"/>
      <c r="V156" s="2294"/>
      <c r="W156" s="2294"/>
      <c r="X156" s="2295"/>
      <c r="AE156" s="783">
        <v>2013</v>
      </c>
      <c r="AF156" s="860" t="s">
        <v>2741</v>
      </c>
      <c r="AG156" s="860" t="s">
        <v>2742</v>
      </c>
      <c r="AH156" s="860"/>
      <c r="AI156" s="860" t="s">
        <v>2743</v>
      </c>
      <c r="AJ156" s="785" t="s">
        <v>2744</v>
      </c>
      <c r="AK156" s="860" t="s">
        <v>2745</v>
      </c>
      <c r="AL156" s="784" t="s">
        <v>2714</v>
      </c>
      <c r="AM156" s="784" t="s">
        <v>1577</v>
      </c>
      <c r="AN156" s="784" t="s">
        <v>2746</v>
      </c>
      <c r="AO156" s="868" t="s">
        <v>2747</v>
      </c>
      <c r="AP156" s="786" t="s">
        <v>2717</v>
      </c>
      <c r="AQ156" s="860" t="s">
        <v>2734</v>
      </c>
      <c r="AR156" s="803" t="s">
        <v>2748</v>
      </c>
      <c r="AS156" s="785"/>
      <c r="AT156" s="783">
        <v>2013</v>
      </c>
      <c r="BC156" s="673"/>
      <c r="BD156" s="871"/>
      <c r="BE156" s="871"/>
      <c r="BF156" s="871"/>
      <c r="BG156" s="871"/>
      <c r="BH156" s="871"/>
      <c r="BI156" s="871"/>
      <c r="BJ156" s="673"/>
      <c r="BK156" s="673"/>
      <c r="BL156" s="673"/>
      <c r="BM156" s="673"/>
      <c r="BN156" s="673"/>
      <c r="BO156" s="673"/>
      <c r="BP156" s="673"/>
      <c r="BQ156" s="673"/>
      <c r="BR156" s="673"/>
      <c r="BS156" s="673"/>
    </row>
    <row r="157" spans="1:71" ht="17.25" customHeight="1">
      <c r="A157" s="622" t="s">
        <v>2749</v>
      </c>
      <c r="B157" s="622" t="s">
        <v>2749</v>
      </c>
      <c r="C157" s="834" t="s">
        <v>2582</v>
      </c>
      <c r="D157" s="614" t="s">
        <v>2708</v>
      </c>
      <c r="E157" s="614" t="s">
        <v>2699</v>
      </c>
      <c r="F157" s="614" t="s">
        <v>2750</v>
      </c>
      <c r="G157" s="614" t="s">
        <v>99</v>
      </c>
      <c r="H157" s="614" t="s">
        <v>99</v>
      </c>
      <c r="I157" s="614" t="s">
        <v>2621</v>
      </c>
      <c r="J157" s="614" t="s">
        <v>99</v>
      </c>
      <c r="K157" s="672" t="s">
        <v>99</v>
      </c>
      <c r="L157" s="2042"/>
      <c r="M157" s="840">
        <v>44</v>
      </c>
      <c r="N157" s="2294" t="s">
        <v>2751</v>
      </c>
      <c r="O157" s="2294"/>
      <c r="P157" s="2294"/>
      <c r="Q157" s="2294"/>
      <c r="R157" s="2295"/>
      <c r="S157" s="842">
        <v>44</v>
      </c>
      <c r="T157" s="2294" t="s">
        <v>2752</v>
      </c>
      <c r="U157" s="2294"/>
      <c r="V157" s="2294"/>
      <c r="W157" s="2294"/>
      <c r="X157" s="2295"/>
      <c r="AE157" s="783">
        <v>2014</v>
      </c>
      <c r="AF157" s="785" t="s">
        <v>2753</v>
      </c>
      <c r="AG157" s="785" t="s">
        <v>2754</v>
      </c>
      <c r="AH157" s="785" t="s">
        <v>2755</v>
      </c>
      <c r="AI157" s="785" t="s">
        <v>2756</v>
      </c>
      <c r="AJ157" s="785" t="s">
        <v>2757</v>
      </c>
      <c r="AK157" s="785" t="s">
        <v>2758</v>
      </c>
      <c r="AL157" s="784" t="s">
        <v>2714</v>
      </c>
      <c r="AM157" s="784" t="s">
        <v>1593</v>
      </c>
      <c r="AN157" s="784" t="s">
        <v>2759</v>
      </c>
      <c r="AO157" s="803" t="s">
        <v>2760</v>
      </c>
      <c r="AP157" s="786" t="s">
        <v>2717</v>
      </c>
      <c r="AQ157" s="785" t="s">
        <v>2734</v>
      </c>
      <c r="AR157" s="803" t="s">
        <v>2761</v>
      </c>
      <c r="AS157" s="785"/>
      <c r="AT157" s="783">
        <v>2014</v>
      </c>
      <c r="BB157" s="872"/>
      <c r="BC157" s="873"/>
      <c r="BD157" s="873"/>
      <c r="BE157" s="873"/>
      <c r="BF157" s="873"/>
      <c r="BG157" s="873"/>
      <c r="BH157" s="873"/>
      <c r="BI157" s="873"/>
      <c r="BJ157" s="673"/>
      <c r="BK157" s="875"/>
      <c r="BL157" s="875"/>
      <c r="BM157" s="875"/>
      <c r="BN157" s="875"/>
      <c r="BO157" s="875"/>
      <c r="BP157" s="875"/>
      <c r="BQ157" s="875"/>
      <c r="BR157" s="875"/>
      <c r="BS157" s="673"/>
    </row>
    <row r="158" spans="1:71" ht="17.25" customHeight="1">
      <c r="A158" s="622" t="s">
        <v>2762</v>
      </c>
      <c r="B158" s="622" t="s">
        <v>139</v>
      </c>
      <c r="C158" s="834" t="s">
        <v>2489</v>
      </c>
      <c r="D158" s="614" t="s">
        <v>2708</v>
      </c>
      <c r="E158" s="614" t="s">
        <v>2699</v>
      </c>
      <c r="F158" s="614" t="s">
        <v>2763</v>
      </c>
      <c r="G158" s="614" t="s">
        <v>99</v>
      </c>
      <c r="H158" s="614" t="s">
        <v>99</v>
      </c>
      <c r="I158" s="614" t="s">
        <v>2621</v>
      </c>
      <c r="J158" s="614" t="s">
        <v>99</v>
      </c>
      <c r="K158" s="672" t="s">
        <v>99</v>
      </c>
      <c r="L158" s="2042"/>
      <c r="M158" s="840">
        <v>45</v>
      </c>
      <c r="N158" s="2294" t="s">
        <v>2764</v>
      </c>
      <c r="O158" s="2294"/>
      <c r="P158" s="2294"/>
      <c r="Q158" s="2294"/>
      <c r="R158" s="2295"/>
      <c r="S158" s="842">
        <v>45</v>
      </c>
      <c r="T158" s="2294" t="s">
        <v>2765</v>
      </c>
      <c r="U158" s="2294"/>
      <c r="V158" s="2294"/>
      <c r="W158" s="2294"/>
      <c r="X158" s="2295"/>
      <c r="AE158" s="783">
        <v>2015</v>
      </c>
      <c r="AF158" s="785" t="s">
        <v>2766</v>
      </c>
      <c r="AG158" s="785"/>
      <c r="AH158" s="785"/>
      <c r="AI158" s="785" t="s">
        <v>2767</v>
      </c>
      <c r="AJ158" s="785" t="s">
        <v>2768</v>
      </c>
      <c r="AK158" s="785"/>
      <c r="AL158" s="784" t="s">
        <v>2714</v>
      </c>
      <c r="AM158" s="784" t="s">
        <v>1609</v>
      </c>
      <c r="AN158" s="784" t="s">
        <v>2769</v>
      </c>
      <c r="AO158" s="803" t="s">
        <v>2770</v>
      </c>
      <c r="AP158" s="786" t="s">
        <v>2717</v>
      </c>
      <c r="AQ158" s="785" t="s">
        <v>2734</v>
      </c>
      <c r="AR158" s="803" t="s">
        <v>2771</v>
      </c>
      <c r="AS158" s="785"/>
      <c r="AT158" s="783">
        <v>2015</v>
      </c>
      <c r="BB158" s="872"/>
      <c r="BC158" s="873"/>
      <c r="BD158" s="873"/>
      <c r="BE158" s="873"/>
      <c r="BF158" s="873"/>
      <c r="BG158" s="873"/>
      <c r="BH158" s="873"/>
      <c r="BI158" s="873"/>
      <c r="BJ158" s="875"/>
      <c r="BK158" s="875"/>
      <c r="BL158" s="875"/>
      <c r="BM158" s="875"/>
      <c r="BN158" s="875"/>
      <c r="BO158" s="875"/>
      <c r="BP158" s="875"/>
      <c r="BQ158" s="875"/>
      <c r="BR158" s="875"/>
      <c r="BS158" s="673"/>
    </row>
    <row r="159" spans="1:71" ht="17.25" customHeight="1">
      <c r="B159" s="622" t="s">
        <v>2762</v>
      </c>
      <c r="C159" s="834" t="s">
        <v>2582</v>
      </c>
      <c r="D159" s="614" t="s">
        <v>2708</v>
      </c>
      <c r="E159" s="614" t="s">
        <v>2699</v>
      </c>
      <c r="F159" s="614" t="s">
        <v>2772</v>
      </c>
      <c r="G159" s="614" t="s">
        <v>99</v>
      </c>
      <c r="H159" s="614" t="s">
        <v>99</v>
      </c>
      <c r="I159" s="614" t="s">
        <v>2621</v>
      </c>
      <c r="J159" s="614" t="s">
        <v>99</v>
      </c>
      <c r="K159" s="672" t="s">
        <v>99</v>
      </c>
      <c r="L159" s="2042"/>
      <c r="M159" s="840">
        <v>46</v>
      </c>
      <c r="N159" s="2294" t="s">
        <v>2773</v>
      </c>
      <c r="O159" s="2294"/>
      <c r="P159" s="2294"/>
      <c r="Q159" s="2294"/>
      <c r="R159" s="2295"/>
      <c r="S159" s="842">
        <v>46</v>
      </c>
      <c r="T159" s="2294" t="s">
        <v>2774</v>
      </c>
      <c r="U159" s="2294"/>
      <c r="V159" s="2294"/>
      <c r="W159" s="2294"/>
      <c r="X159" s="2295"/>
      <c r="AE159" s="783">
        <v>2016</v>
      </c>
      <c r="AF159" s="785" t="s">
        <v>2775</v>
      </c>
      <c r="AG159" s="785"/>
      <c r="AH159" s="785"/>
      <c r="AI159" s="785" t="s">
        <v>99</v>
      </c>
      <c r="AJ159" s="785"/>
      <c r="AK159" s="785"/>
      <c r="AL159" s="784" t="s">
        <v>2714</v>
      </c>
      <c r="AM159" s="784" t="s">
        <v>1624</v>
      </c>
      <c r="AN159" s="784" t="s">
        <v>2776</v>
      </c>
      <c r="AO159" s="803" t="s">
        <v>2777</v>
      </c>
      <c r="AP159" s="786" t="s">
        <v>2717</v>
      </c>
      <c r="AQ159" s="785"/>
      <c r="AR159" s="803" t="s">
        <v>2778</v>
      </c>
      <c r="AS159" s="785" t="s">
        <v>2734</v>
      </c>
      <c r="AT159" s="783">
        <v>2016</v>
      </c>
      <c r="BB159" s="872"/>
      <c r="BC159" s="873"/>
      <c r="BD159" s="873"/>
      <c r="BE159" s="873"/>
      <c r="BF159" s="873"/>
      <c r="BG159" s="873"/>
      <c r="BH159" s="873"/>
      <c r="BI159" s="873"/>
      <c r="BJ159" s="875"/>
      <c r="BK159" s="875"/>
      <c r="BL159" s="875"/>
      <c r="BM159" s="875"/>
      <c r="BN159" s="875"/>
      <c r="BO159" s="875"/>
      <c r="BP159" s="875"/>
      <c r="BQ159" s="875"/>
      <c r="BR159" s="875"/>
      <c r="BS159" s="673"/>
    </row>
    <row r="160" spans="1:71" ht="17.25" customHeight="1">
      <c r="B160" s="622" t="s">
        <v>2200</v>
      </c>
      <c r="C160" s="834" t="s">
        <v>225</v>
      </c>
      <c r="D160" s="614" t="s">
        <v>225</v>
      </c>
      <c r="E160" s="614" t="s">
        <v>225</v>
      </c>
      <c r="F160" s="614" t="s">
        <v>225</v>
      </c>
      <c r="G160" s="614" t="s">
        <v>225</v>
      </c>
      <c r="H160" s="614" t="s">
        <v>225</v>
      </c>
      <c r="I160" s="614" t="s">
        <v>225</v>
      </c>
      <c r="J160" s="614" t="s">
        <v>225</v>
      </c>
      <c r="K160" s="672" t="s">
        <v>225</v>
      </c>
      <c r="L160" s="2042"/>
      <c r="M160" s="840">
        <v>47</v>
      </c>
      <c r="N160" s="2294" t="s">
        <v>2779</v>
      </c>
      <c r="O160" s="2294"/>
      <c r="P160" s="2294"/>
      <c r="Q160" s="2294"/>
      <c r="R160" s="2295"/>
      <c r="S160" s="842">
        <v>47</v>
      </c>
      <c r="T160" s="2294" t="s">
        <v>2780</v>
      </c>
      <c r="U160" s="2294"/>
      <c r="V160" s="2294"/>
      <c r="W160" s="2294"/>
      <c r="X160" s="2295"/>
      <c r="AE160" s="783">
        <v>2017</v>
      </c>
      <c r="AF160" s="785" t="s">
        <v>2781</v>
      </c>
      <c r="AG160" s="785" t="s">
        <v>2782</v>
      </c>
      <c r="AH160" s="785"/>
      <c r="AI160" s="785" t="s">
        <v>99</v>
      </c>
      <c r="AJ160" s="785"/>
      <c r="AK160" s="785"/>
      <c r="AL160" s="784" t="s">
        <v>2714</v>
      </c>
      <c r="AM160" s="784" t="s">
        <v>1636</v>
      </c>
      <c r="AN160" s="784" t="s">
        <v>2783</v>
      </c>
      <c r="AO160" s="803" t="s">
        <v>2784</v>
      </c>
      <c r="AP160" s="784" t="s">
        <v>2785</v>
      </c>
      <c r="AQ160" s="785"/>
      <c r="AR160" s="803" t="s">
        <v>2778</v>
      </c>
      <c r="AS160" s="785"/>
      <c r="AT160" s="783">
        <v>2017</v>
      </c>
      <c r="BB160" s="872"/>
      <c r="BC160" s="873"/>
      <c r="BD160" s="873"/>
      <c r="BE160" s="873"/>
      <c r="BF160" s="873"/>
      <c r="BG160" s="873"/>
      <c r="BH160" s="873"/>
      <c r="BI160" s="873"/>
      <c r="BJ160" s="875"/>
      <c r="BK160" s="875"/>
      <c r="BL160" s="875"/>
      <c r="BM160" s="875"/>
      <c r="BN160" s="875"/>
      <c r="BO160" s="875"/>
      <c r="BP160" s="875"/>
      <c r="BQ160" s="875"/>
      <c r="BR160" s="875"/>
      <c r="BS160" s="673"/>
    </row>
    <row r="161" spans="2:71" ht="17.25" customHeight="1">
      <c r="B161" s="736" t="s">
        <v>148</v>
      </c>
      <c r="C161" s="834" t="s">
        <v>2786</v>
      </c>
      <c r="D161" s="614" t="s">
        <v>99</v>
      </c>
      <c r="E161" s="614" t="s">
        <v>2787</v>
      </c>
      <c r="F161" s="614" t="s">
        <v>2788</v>
      </c>
      <c r="G161" s="614" t="s">
        <v>99</v>
      </c>
      <c r="H161" s="614" t="s">
        <v>99</v>
      </c>
      <c r="I161" s="614" t="s">
        <v>2789</v>
      </c>
      <c r="J161" s="614" t="s">
        <v>2790</v>
      </c>
      <c r="K161" s="672" t="s">
        <v>2791</v>
      </c>
      <c r="L161" s="2042"/>
      <c r="M161" s="840">
        <v>48</v>
      </c>
      <c r="N161" s="2294" t="s">
        <v>2792</v>
      </c>
      <c r="O161" s="2294"/>
      <c r="P161" s="2294"/>
      <c r="Q161" s="2294"/>
      <c r="R161" s="2295"/>
      <c r="S161" s="842">
        <v>48</v>
      </c>
      <c r="T161" s="2294" t="s">
        <v>2793</v>
      </c>
      <c r="U161" s="2294"/>
      <c r="V161" s="2294"/>
      <c r="W161" s="2294"/>
      <c r="X161" s="2295"/>
      <c r="AE161" s="783">
        <v>2018</v>
      </c>
      <c r="AF161" s="785" t="s">
        <v>2794</v>
      </c>
      <c r="AG161" s="785" t="s">
        <v>2795</v>
      </c>
      <c r="AH161" s="785"/>
      <c r="AI161" s="785" t="s">
        <v>2796</v>
      </c>
      <c r="AJ161" s="785"/>
      <c r="AK161" s="785"/>
      <c r="AL161" s="784" t="s">
        <v>2714</v>
      </c>
      <c r="AM161" s="784" t="s">
        <v>1653</v>
      </c>
      <c r="AN161" s="784" t="s">
        <v>2797</v>
      </c>
      <c r="AO161" s="803" t="s">
        <v>2798</v>
      </c>
      <c r="AP161" s="784" t="s">
        <v>2799</v>
      </c>
      <c r="AQ161" s="785"/>
      <c r="AR161" s="803" t="s">
        <v>2778</v>
      </c>
      <c r="AS161" s="785"/>
      <c r="AT161" s="783">
        <v>2018</v>
      </c>
      <c r="BB161" s="872"/>
      <c r="BC161" s="873"/>
      <c r="BD161" s="873"/>
      <c r="BE161" s="873"/>
      <c r="BF161" s="873"/>
      <c r="BG161" s="873"/>
      <c r="BH161" s="873"/>
      <c r="BI161" s="873"/>
      <c r="BJ161" s="875"/>
      <c r="BK161" s="875"/>
      <c r="BL161" s="875"/>
      <c r="BM161" s="875"/>
      <c r="BN161" s="875"/>
      <c r="BO161" s="875"/>
      <c r="BP161" s="875"/>
      <c r="BQ161" s="875"/>
      <c r="BR161" s="875"/>
      <c r="BS161" s="673"/>
    </row>
    <row r="162" spans="2:71" ht="17.25" customHeight="1">
      <c r="B162" s="736" t="s">
        <v>150</v>
      </c>
      <c r="C162" s="834" t="s">
        <v>2146</v>
      </c>
      <c r="D162" s="614" t="s">
        <v>99</v>
      </c>
      <c r="E162" s="614" t="s">
        <v>99</v>
      </c>
      <c r="F162" s="614" t="s">
        <v>2800</v>
      </c>
      <c r="G162" s="614" t="s">
        <v>2801</v>
      </c>
      <c r="H162" s="614" t="s">
        <v>2802</v>
      </c>
      <c r="I162" s="614" t="s">
        <v>2803</v>
      </c>
      <c r="J162" s="614" t="s">
        <v>2804</v>
      </c>
      <c r="K162" s="672" t="s">
        <v>2805</v>
      </c>
      <c r="L162" s="2042"/>
      <c r="M162" s="840">
        <v>49</v>
      </c>
      <c r="N162" s="2294" t="s">
        <v>2806</v>
      </c>
      <c r="O162" s="2294"/>
      <c r="P162" s="2294"/>
      <c r="Q162" s="2294"/>
      <c r="R162" s="2295"/>
      <c r="S162" s="842">
        <v>49</v>
      </c>
      <c r="T162" s="2294" t="s">
        <v>2807</v>
      </c>
      <c r="U162" s="2294"/>
      <c r="V162" s="2294"/>
      <c r="W162" s="2294"/>
      <c r="X162" s="2295"/>
      <c r="AE162" s="783">
        <v>2019</v>
      </c>
      <c r="AF162" s="785" t="s">
        <v>2808</v>
      </c>
      <c r="AG162" s="785" t="s">
        <v>2809</v>
      </c>
      <c r="AH162" s="785" t="s">
        <v>2810</v>
      </c>
      <c r="AI162" s="785" t="s">
        <v>2811</v>
      </c>
      <c r="AJ162" s="785"/>
      <c r="AK162" s="785"/>
      <c r="AL162" s="784" t="s">
        <v>2714</v>
      </c>
      <c r="AM162" s="784" t="s">
        <v>2006</v>
      </c>
      <c r="AN162" s="784" t="s">
        <v>2812</v>
      </c>
      <c r="AO162" s="803" t="s">
        <v>2813</v>
      </c>
      <c r="AP162" s="784" t="s">
        <v>2799</v>
      </c>
      <c r="AQ162" s="785"/>
      <c r="AR162" s="803" t="s">
        <v>2778</v>
      </c>
      <c r="AS162" s="785"/>
      <c r="AT162" s="783">
        <v>2019</v>
      </c>
      <c r="BB162" s="872"/>
      <c r="BC162" s="873"/>
      <c r="BD162" s="873"/>
      <c r="BE162" s="873"/>
      <c r="BF162" s="873"/>
      <c r="BG162" s="873"/>
      <c r="BH162" s="873"/>
      <c r="BI162" s="873"/>
      <c r="BJ162" s="875"/>
      <c r="BK162" s="875"/>
      <c r="BL162" s="875"/>
      <c r="BM162" s="875"/>
      <c r="BN162" s="875"/>
      <c r="BO162" s="875"/>
      <c r="BP162" s="875"/>
      <c r="BQ162" s="875"/>
      <c r="BR162" s="875"/>
      <c r="BS162" s="673"/>
    </row>
    <row r="163" spans="2:71" ht="17.25" customHeight="1">
      <c r="B163" s="736" t="s">
        <v>153</v>
      </c>
      <c r="C163" s="834" t="s">
        <v>2476</v>
      </c>
      <c r="D163" s="614" t="s">
        <v>2477</v>
      </c>
      <c r="E163" s="614" t="s">
        <v>2478</v>
      </c>
      <c r="F163" s="614" t="s">
        <v>2814</v>
      </c>
      <c r="G163" s="614" t="s">
        <v>2480</v>
      </c>
      <c r="H163" s="614" t="s">
        <v>2481</v>
      </c>
      <c r="I163" s="779" t="s">
        <v>2815</v>
      </c>
      <c r="J163" s="614" t="s">
        <v>2816</v>
      </c>
      <c r="K163" s="672" t="s">
        <v>2817</v>
      </c>
      <c r="L163" s="2042"/>
      <c r="M163" s="840">
        <v>50</v>
      </c>
      <c r="N163" s="2294" t="s">
        <v>2818</v>
      </c>
      <c r="O163" s="2294"/>
      <c r="P163" s="2294"/>
      <c r="Q163" s="2294"/>
      <c r="R163" s="2295"/>
      <c r="S163" s="842">
        <v>50</v>
      </c>
      <c r="T163" s="2294" t="s">
        <v>2819</v>
      </c>
      <c r="U163" s="2294"/>
      <c r="V163" s="2294"/>
      <c r="W163" s="2294"/>
      <c r="X163" s="2295"/>
      <c r="AE163" s="783">
        <v>2020</v>
      </c>
      <c r="AF163" s="785" t="s">
        <v>2820</v>
      </c>
      <c r="AG163" s="785" t="s">
        <v>2821</v>
      </c>
      <c r="AH163" s="785" t="s">
        <v>2822</v>
      </c>
      <c r="AI163" s="785" t="s">
        <v>2823</v>
      </c>
      <c r="AJ163" s="785" t="s">
        <v>2824</v>
      </c>
      <c r="AK163" s="785" t="s">
        <v>2825</v>
      </c>
      <c r="AL163" s="784" t="s">
        <v>2826</v>
      </c>
      <c r="AM163" s="784" t="s">
        <v>1685</v>
      </c>
      <c r="AN163" s="784" t="s">
        <v>2827</v>
      </c>
      <c r="AO163" s="803" t="s">
        <v>2828</v>
      </c>
      <c r="AP163" s="784" t="s">
        <v>2799</v>
      </c>
      <c r="AQ163" s="785"/>
      <c r="AR163" s="803" t="s">
        <v>2778</v>
      </c>
      <c r="AS163" s="785"/>
      <c r="AT163" s="783">
        <v>2020</v>
      </c>
      <c r="AU163" s="869"/>
      <c r="AV163" s="870"/>
      <c r="AW163" s="870"/>
      <c r="AX163" s="870"/>
      <c r="AY163" s="870"/>
      <c r="AZ163" s="870"/>
      <c r="BA163" s="870"/>
      <c r="BB163" s="874"/>
      <c r="BC163" s="873"/>
      <c r="BD163" s="873"/>
      <c r="BE163" s="873"/>
      <c r="BF163" s="873"/>
      <c r="BG163" s="873"/>
      <c r="BH163" s="873"/>
      <c r="BI163" s="873"/>
      <c r="BJ163" s="875"/>
      <c r="BK163" s="875"/>
      <c r="BL163" s="875"/>
      <c r="BM163" s="875"/>
      <c r="BN163" s="875"/>
      <c r="BO163" s="875"/>
      <c r="BP163" s="875"/>
      <c r="BQ163" s="875"/>
      <c r="BR163" s="875"/>
      <c r="BS163" s="673"/>
    </row>
    <row r="164" spans="2:71" ht="15.6" customHeight="1">
      <c r="B164" s="736" t="s">
        <v>155</v>
      </c>
      <c r="C164" s="834" t="s">
        <v>2489</v>
      </c>
      <c r="D164" s="614" t="s">
        <v>99</v>
      </c>
      <c r="E164" s="614" t="s">
        <v>99</v>
      </c>
      <c r="F164" s="614" t="s">
        <v>2829</v>
      </c>
      <c r="G164" s="614" t="s">
        <v>2830</v>
      </c>
      <c r="H164" s="614" t="s">
        <v>2831</v>
      </c>
      <c r="I164" s="614" t="s">
        <v>2832</v>
      </c>
      <c r="J164" s="614" t="s">
        <v>2833</v>
      </c>
      <c r="K164" s="672" t="s">
        <v>2834</v>
      </c>
      <c r="L164" s="2042"/>
      <c r="M164" s="840">
        <v>51</v>
      </c>
      <c r="N164" s="2294" t="s">
        <v>2835</v>
      </c>
      <c r="O164" s="2294"/>
      <c r="P164" s="2294"/>
      <c r="Q164" s="2294"/>
      <c r="R164" s="2295"/>
      <c r="S164" s="842">
        <v>51</v>
      </c>
      <c r="T164" s="2294" t="s">
        <v>2836</v>
      </c>
      <c r="U164" s="2294"/>
      <c r="V164" s="2294"/>
      <c r="W164" s="2294"/>
      <c r="X164" s="2295"/>
      <c r="AE164" s="785"/>
      <c r="AF164" s="785" t="s">
        <v>2270</v>
      </c>
      <c r="AG164" s="785"/>
      <c r="AH164" s="785"/>
      <c r="AI164" s="785"/>
      <c r="AJ164" s="785"/>
      <c r="AK164" s="785"/>
      <c r="AL164" s="785"/>
      <c r="AM164" s="784"/>
      <c r="AN164" s="785"/>
      <c r="AO164" s="785" t="s">
        <v>2837</v>
      </c>
      <c r="AP164" s="784"/>
      <c r="AQ164" s="785"/>
      <c r="AR164" s="785"/>
      <c r="AS164" s="785"/>
      <c r="AT164" s="785"/>
      <c r="BC164" s="673"/>
      <c r="BD164" s="673"/>
      <c r="BE164" s="673"/>
      <c r="BF164" s="673"/>
      <c r="BG164" s="673"/>
      <c r="BH164" s="673"/>
      <c r="BI164" s="673"/>
      <c r="BJ164" s="673"/>
      <c r="BK164" s="673"/>
      <c r="BL164" s="673"/>
      <c r="BM164" s="673"/>
      <c r="BN164" s="673"/>
      <c r="BO164" s="673"/>
      <c r="BP164" s="673"/>
      <c r="BQ164" s="673"/>
      <c r="BR164" s="673"/>
      <c r="BS164" s="673"/>
    </row>
    <row r="165" spans="2:71" ht="15.6" customHeight="1">
      <c r="B165" s="736" t="s">
        <v>2838</v>
      </c>
      <c r="C165" s="834" t="s">
        <v>2161</v>
      </c>
      <c r="D165" s="614" t="s">
        <v>2209</v>
      </c>
      <c r="E165" s="614" t="s">
        <v>99</v>
      </c>
      <c r="F165" s="614" t="s">
        <v>2839</v>
      </c>
      <c r="G165" s="614" t="s">
        <v>2840</v>
      </c>
      <c r="H165" s="614" t="s">
        <v>2841</v>
      </c>
      <c r="I165" s="614" t="s">
        <v>2842</v>
      </c>
      <c r="J165" s="614" t="s">
        <v>2843</v>
      </c>
      <c r="K165" s="672" t="s">
        <v>2844</v>
      </c>
      <c r="L165" s="2042"/>
      <c r="M165" s="840">
        <v>52</v>
      </c>
      <c r="N165" s="2294" t="s">
        <v>2845</v>
      </c>
      <c r="O165" s="2294"/>
      <c r="P165" s="2294"/>
      <c r="Q165" s="2294"/>
      <c r="R165" s="2295"/>
      <c r="S165" s="842">
        <v>52</v>
      </c>
      <c r="T165" s="2294" t="s">
        <v>2846</v>
      </c>
      <c r="U165" s="2294"/>
      <c r="V165" s="2294"/>
      <c r="W165" s="2294"/>
      <c r="X165" s="2295"/>
      <c r="AL165" s="428"/>
      <c r="AM165" s="864" t="s">
        <v>1712</v>
      </c>
      <c r="BC165" s="673"/>
      <c r="BD165" s="673"/>
      <c r="BE165" s="673"/>
      <c r="BF165" s="673"/>
      <c r="BG165" s="673"/>
      <c r="BH165" s="673"/>
      <c r="BI165" s="673"/>
      <c r="BJ165" s="673"/>
      <c r="BK165" s="673"/>
      <c r="BL165" s="673"/>
      <c r="BM165" s="673"/>
      <c r="BN165" s="673"/>
      <c r="BO165" s="673"/>
      <c r="BP165" s="673"/>
      <c r="BQ165" s="673"/>
      <c r="BR165" s="673"/>
      <c r="BS165" s="673"/>
    </row>
    <row r="166" spans="2:71" ht="15.6" customHeight="1">
      <c r="B166" s="736" t="s">
        <v>162</v>
      </c>
      <c r="C166" s="834" t="s">
        <v>2847</v>
      </c>
      <c r="D166" s="614" t="s">
        <v>99</v>
      </c>
      <c r="E166" s="614" t="s">
        <v>99</v>
      </c>
      <c r="F166" s="614" t="s">
        <v>2848</v>
      </c>
      <c r="G166" s="614" t="s">
        <v>99</v>
      </c>
      <c r="H166" s="614" t="s">
        <v>99</v>
      </c>
      <c r="I166" s="614" t="s">
        <v>2842</v>
      </c>
      <c r="J166" s="614" t="s">
        <v>2843</v>
      </c>
      <c r="K166" s="672" t="s">
        <v>2844</v>
      </c>
      <c r="L166" s="2042"/>
      <c r="M166" s="840">
        <v>53</v>
      </c>
      <c r="N166" s="2294" t="s">
        <v>2849</v>
      </c>
      <c r="O166" s="2294"/>
      <c r="P166" s="2294"/>
      <c r="Q166" s="2294"/>
      <c r="R166" s="2295"/>
      <c r="S166" s="842">
        <v>53</v>
      </c>
      <c r="T166" s="2294" t="s">
        <v>2850</v>
      </c>
      <c r="U166" s="2294"/>
      <c r="V166" s="2294"/>
      <c r="W166" s="2294"/>
      <c r="X166" s="2295"/>
      <c r="AE166" s="651"/>
      <c r="AG166" s="649"/>
      <c r="AH166" s="649"/>
      <c r="AI166" s="649"/>
      <c r="AJ166" s="649"/>
      <c r="AK166" s="649"/>
      <c r="AL166" s="865"/>
      <c r="AM166" s="428" t="s">
        <v>1727</v>
      </c>
      <c r="BC166" s="673"/>
      <c r="BD166" s="673"/>
      <c r="BE166" s="673"/>
      <c r="BF166" s="673"/>
      <c r="BG166" s="673"/>
      <c r="BH166" s="673"/>
      <c r="BI166" s="673"/>
      <c r="BJ166" s="673"/>
      <c r="BK166" s="673"/>
      <c r="BL166" s="673"/>
      <c r="BM166" s="673"/>
      <c r="BN166" s="673"/>
      <c r="BO166" s="673"/>
      <c r="BP166" s="673"/>
      <c r="BQ166" s="673"/>
      <c r="BR166" s="673"/>
      <c r="BS166" s="673"/>
    </row>
    <row r="167" spans="2:71" ht="15.6" customHeight="1">
      <c r="B167" s="736" t="s">
        <v>66</v>
      </c>
      <c r="C167" s="834" t="s">
        <v>2146</v>
      </c>
      <c r="D167" s="614" t="s">
        <v>99</v>
      </c>
      <c r="E167" s="614" t="s">
        <v>99</v>
      </c>
      <c r="F167" s="614" t="s">
        <v>2851</v>
      </c>
      <c r="G167" s="614" t="s">
        <v>2852</v>
      </c>
      <c r="H167" s="614" t="s">
        <v>2853</v>
      </c>
      <c r="I167" s="614" t="s">
        <v>2854</v>
      </c>
      <c r="J167" s="614" t="s">
        <v>2855</v>
      </c>
      <c r="K167" s="672" t="s">
        <v>2856</v>
      </c>
      <c r="L167" s="2042"/>
      <c r="M167" s="840">
        <v>54</v>
      </c>
      <c r="N167" s="2294" t="s">
        <v>2857</v>
      </c>
      <c r="O167" s="2294"/>
      <c r="P167" s="2294"/>
      <c r="Q167" s="2294"/>
      <c r="R167" s="2295"/>
      <c r="S167" s="842">
        <v>54</v>
      </c>
      <c r="T167" s="2294" t="s">
        <v>2858</v>
      </c>
      <c r="U167" s="2294"/>
      <c r="V167" s="2294"/>
      <c r="W167" s="2294"/>
      <c r="X167" s="2295"/>
      <c r="AE167" s="622"/>
      <c r="AF167" s="671" t="s">
        <v>2859</v>
      </c>
      <c r="AI167" s="785" t="s">
        <v>2860</v>
      </c>
      <c r="AK167" s="866" t="s">
        <v>2861</v>
      </c>
      <c r="AL167" s="457"/>
      <c r="AM167" s="428" t="s">
        <v>1740</v>
      </c>
    </row>
    <row r="168" spans="2:71" ht="15.6" customHeight="1">
      <c r="B168" s="736" t="s">
        <v>68</v>
      </c>
      <c r="C168" s="834" t="s">
        <v>2489</v>
      </c>
      <c r="D168" s="614" t="s">
        <v>99</v>
      </c>
      <c r="E168" s="614" t="s">
        <v>99</v>
      </c>
      <c r="F168" s="779" t="s">
        <v>2862</v>
      </c>
      <c r="G168" s="614" t="s">
        <v>2852</v>
      </c>
      <c r="H168" s="614" t="s">
        <v>2853</v>
      </c>
      <c r="I168" s="614" t="s">
        <v>2863</v>
      </c>
      <c r="J168" s="614" t="s">
        <v>2864</v>
      </c>
      <c r="K168" s="672" t="s">
        <v>2865</v>
      </c>
      <c r="L168" s="2042"/>
      <c r="M168" s="840">
        <v>55</v>
      </c>
      <c r="N168" s="2294" t="s">
        <v>2866</v>
      </c>
      <c r="O168" s="2294"/>
      <c r="P168" s="2294"/>
      <c r="Q168" s="2294"/>
      <c r="R168" s="2295"/>
      <c r="S168" s="842">
        <v>55</v>
      </c>
      <c r="T168" s="2294" t="s">
        <v>2867</v>
      </c>
      <c r="U168" s="2294"/>
      <c r="V168" s="2294"/>
      <c r="W168" s="2294"/>
      <c r="X168" s="2295"/>
      <c r="AE168" s="622"/>
      <c r="AF168" s="671" t="s">
        <v>2868</v>
      </c>
      <c r="AI168" s="785" t="s">
        <v>2869</v>
      </c>
      <c r="AK168" s="867" t="s">
        <v>2870</v>
      </c>
      <c r="AL168" s="672"/>
      <c r="AM168" s="428" t="s">
        <v>1752</v>
      </c>
    </row>
    <row r="169" spans="2:71" ht="15.6" customHeight="1">
      <c r="B169" s="736" t="s">
        <v>72</v>
      </c>
      <c r="C169" s="834" t="s">
        <v>2489</v>
      </c>
      <c r="D169" s="614" t="s">
        <v>99</v>
      </c>
      <c r="E169" s="614" t="s">
        <v>2871</v>
      </c>
      <c r="F169" s="650" t="s">
        <v>2872</v>
      </c>
      <c r="G169" s="650" t="s">
        <v>2873</v>
      </c>
      <c r="H169" s="650" t="s">
        <v>2874</v>
      </c>
      <c r="I169" s="650" t="s">
        <v>2875</v>
      </c>
      <c r="J169" s="650" t="s">
        <v>2876</v>
      </c>
      <c r="K169" s="837" t="s">
        <v>2877</v>
      </c>
      <c r="L169" s="2042"/>
      <c r="M169" s="840">
        <v>56</v>
      </c>
      <c r="N169" s="2294" t="s">
        <v>2878</v>
      </c>
      <c r="O169" s="2294"/>
      <c r="P169" s="2294"/>
      <c r="Q169" s="2294"/>
      <c r="R169" s="2295"/>
      <c r="S169" s="842">
        <v>56</v>
      </c>
      <c r="T169" s="2294" t="s">
        <v>2879</v>
      </c>
      <c r="U169" s="2294"/>
      <c r="V169" s="2294"/>
      <c r="W169" s="2294"/>
      <c r="X169" s="2295"/>
      <c r="AE169" s="622"/>
      <c r="AF169" s="614" t="s">
        <v>2880</v>
      </c>
      <c r="AI169" s="785"/>
      <c r="AK169" s="867" t="s">
        <v>2881</v>
      </c>
      <c r="AL169" s="457"/>
      <c r="AM169" s="428" t="s">
        <v>1762</v>
      </c>
    </row>
    <row r="170" spans="2:71" ht="15.6" customHeight="1">
      <c r="B170" s="736" t="s">
        <v>76</v>
      </c>
      <c r="C170" s="834" t="s">
        <v>2161</v>
      </c>
      <c r="D170" s="614" t="s">
        <v>99</v>
      </c>
      <c r="E170" s="614" t="s">
        <v>99</v>
      </c>
      <c r="F170" s="650" t="s">
        <v>2882</v>
      </c>
      <c r="G170" s="650" t="s">
        <v>2883</v>
      </c>
      <c r="H170" s="650" t="s">
        <v>2884</v>
      </c>
      <c r="I170" s="650" t="s">
        <v>2885</v>
      </c>
      <c r="J170" s="858" t="s">
        <v>2886</v>
      </c>
      <c r="K170" s="837" t="s">
        <v>2887</v>
      </c>
      <c r="L170" s="2042"/>
      <c r="M170" s="840">
        <v>57</v>
      </c>
      <c r="N170" s="2294" t="s">
        <v>2888</v>
      </c>
      <c r="O170" s="2294"/>
      <c r="P170" s="2294"/>
      <c r="Q170" s="2294"/>
      <c r="R170" s="2295"/>
      <c r="S170" s="842">
        <v>57</v>
      </c>
      <c r="T170" s="2294" t="s">
        <v>2889</v>
      </c>
      <c r="U170" s="2294"/>
      <c r="V170" s="2294"/>
      <c r="W170" s="2294"/>
      <c r="X170" s="2295"/>
      <c r="AE170" s="622"/>
      <c r="AF170" s="861" t="s">
        <v>2890</v>
      </c>
      <c r="AI170" s="785" t="s">
        <v>2891</v>
      </c>
      <c r="AK170" s="867" t="s">
        <v>2892</v>
      </c>
      <c r="AL170" s="457"/>
      <c r="AM170" s="428" t="s">
        <v>1769</v>
      </c>
    </row>
    <row r="171" spans="2:71" ht="15.6" customHeight="1">
      <c r="B171" s="736" t="s">
        <v>79</v>
      </c>
      <c r="C171" s="834" t="s">
        <v>2582</v>
      </c>
      <c r="D171" s="614" t="s">
        <v>99</v>
      </c>
      <c r="E171" s="614" t="s">
        <v>99</v>
      </c>
      <c r="F171" s="650" t="s">
        <v>2893</v>
      </c>
      <c r="G171" s="650" t="s">
        <v>2894</v>
      </c>
      <c r="H171" s="650" t="s">
        <v>2894</v>
      </c>
      <c r="I171" s="650" t="s">
        <v>2895</v>
      </c>
      <c r="J171" s="858" t="s">
        <v>2896</v>
      </c>
      <c r="K171" s="837" t="s">
        <v>2897</v>
      </c>
      <c r="L171" s="2042"/>
      <c r="M171" s="840">
        <v>58</v>
      </c>
      <c r="N171" s="2294" t="s">
        <v>2898</v>
      </c>
      <c r="O171" s="2294"/>
      <c r="P171" s="2294"/>
      <c r="Q171" s="2294"/>
      <c r="R171" s="2295"/>
      <c r="S171" s="842">
        <v>58</v>
      </c>
      <c r="T171" s="2294" t="s">
        <v>2899</v>
      </c>
      <c r="U171" s="2294"/>
      <c r="V171" s="2294"/>
      <c r="W171" s="2294"/>
      <c r="X171" s="2295"/>
      <c r="AE171" s="622"/>
      <c r="AF171" s="861" t="s">
        <v>2900</v>
      </c>
      <c r="AI171" s="785" t="s">
        <v>2901</v>
      </c>
      <c r="AK171" s="867" t="s">
        <v>2902</v>
      </c>
      <c r="AL171" s="457"/>
      <c r="AM171" s="428" t="s">
        <v>1777</v>
      </c>
    </row>
    <row r="172" spans="2:71" ht="15.6" customHeight="1">
      <c r="B172" s="736" t="s">
        <v>82</v>
      </c>
      <c r="C172" s="834" t="s">
        <v>2161</v>
      </c>
      <c r="D172" s="614" t="s">
        <v>99</v>
      </c>
      <c r="E172" s="614" t="s">
        <v>99</v>
      </c>
      <c r="F172" s="650" t="s">
        <v>2903</v>
      </c>
      <c r="G172" s="650" t="s">
        <v>2904</v>
      </c>
      <c r="H172" s="650" t="s">
        <v>2905</v>
      </c>
      <c r="I172" s="650" t="s">
        <v>2906</v>
      </c>
      <c r="J172" s="859" t="s">
        <v>2907</v>
      </c>
      <c r="K172" s="837" t="s">
        <v>2908</v>
      </c>
      <c r="L172" s="2042"/>
      <c r="M172" s="840">
        <v>59</v>
      </c>
      <c r="N172" s="2294" t="s">
        <v>2909</v>
      </c>
      <c r="O172" s="2294"/>
      <c r="P172" s="2294"/>
      <c r="Q172" s="2294"/>
      <c r="R172" s="2295"/>
      <c r="S172" s="842">
        <v>59</v>
      </c>
      <c r="T172" s="2294" t="s">
        <v>2910</v>
      </c>
      <c r="U172" s="2294"/>
      <c r="V172" s="2294"/>
      <c r="W172" s="2294"/>
      <c r="X172" s="2295"/>
      <c r="AE172" s="622"/>
      <c r="AF172" s="862" t="s">
        <v>2911</v>
      </c>
      <c r="AI172" s="785" t="s">
        <v>2912</v>
      </c>
      <c r="AK172" s="867" t="s">
        <v>2913</v>
      </c>
      <c r="AL172" s="457"/>
      <c r="AM172" s="428" t="s">
        <v>1786</v>
      </c>
    </row>
    <row r="173" spans="2:71" ht="15.6" customHeight="1">
      <c r="B173" s="736" t="s">
        <v>84</v>
      </c>
      <c r="C173" s="834" t="s">
        <v>2582</v>
      </c>
      <c r="D173" s="614" t="s">
        <v>99</v>
      </c>
      <c r="E173" s="614" t="s">
        <v>99</v>
      </c>
      <c r="F173" s="650" t="s">
        <v>2914</v>
      </c>
      <c r="G173" s="650" t="s">
        <v>2915</v>
      </c>
      <c r="H173" s="650" t="s">
        <v>2916</v>
      </c>
      <c r="I173" s="650" t="s">
        <v>2917</v>
      </c>
      <c r="J173" s="858" t="s">
        <v>2918</v>
      </c>
      <c r="K173" s="837" t="s">
        <v>2919</v>
      </c>
      <c r="L173" s="2042"/>
      <c r="M173" s="840">
        <v>60</v>
      </c>
      <c r="N173" s="2294" t="s">
        <v>2920</v>
      </c>
      <c r="O173" s="2294"/>
      <c r="P173" s="2294"/>
      <c r="Q173" s="2294"/>
      <c r="R173" s="2295"/>
      <c r="S173" s="842">
        <v>60</v>
      </c>
      <c r="T173" s="2294" t="s">
        <v>2921</v>
      </c>
      <c r="U173" s="2294"/>
      <c r="V173" s="2294"/>
      <c r="W173" s="2294"/>
      <c r="X173" s="2295"/>
      <c r="AE173" s="622"/>
      <c r="AF173" s="614" t="s">
        <v>2922</v>
      </c>
      <c r="AI173" s="785" t="s">
        <v>2923</v>
      </c>
      <c r="AK173" s="867" t="s">
        <v>225</v>
      </c>
      <c r="AL173" s="457"/>
      <c r="AM173" s="428" t="s">
        <v>1795</v>
      </c>
    </row>
    <row r="174" spans="2:71" ht="15.6" customHeight="1">
      <c r="B174" s="736" t="s">
        <v>86</v>
      </c>
      <c r="C174" s="834" t="s">
        <v>2582</v>
      </c>
      <c r="D174" s="614" t="s">
        <v>99</v>
      </c>
      <c r="E174" s="614" t="s">
        <v>99</v>
      </c>
      <c r="F174" s="431" t="s">
        <v>2924</v>
      </c>
      <c r="G174" s="650" t="s">
        <v>2925</v>
      </c>
      <c r="H174" s="650" t="s">
        <v>2926</v>
      </c>
      <c r="I174" s="858" t="s">
        <v>2927</v>
      </c>
      <c r="J174" s="858" t="s">
        <v>2928</v>
      </c>
      <c r="K174" s="837" t="s">
        <v>2929</v>
      </c>
      <c r="L174" s="2042"/>
      <c r="M174" s="840">
        <v>61</v>
      </c>
      <c r="N174" s="2294" t="s">
        <v>2930</v>
      </c>
      <c r="O174" s="2294"/>
      <c r="P174" s="2294"/>
      <c r="Q174" s="2294"/>
      <c r="R174" s="2295"/>
      <c r="S174" s="842">
        <v>61</v>
      </c>
      <c r="T174" s="2294" t="s">
        <v>2931</v>
      </c>
      <c r="U174" s="2294"/>
      <c r="V174" s="2294"/>
      <c r="W174" s="2294"/>
      <c r="X174" s="2295"/>
      <c r="AE174" s="622"/>
      <c r="AF174" s="614" t="s">
        <v>2932</v>
      </c>
      <c r="AI174" s="785"/>
      <c r="AK174" s="867" t="s">
        <v>2933</v>
      </c>
      <c r="AL174" s="457"/>
      <c r="AM174" s="864" t="s">
        <v>1805</v>
      </c>
    </row>
    <row r="175" spans="2:71" ht="15.6" customHeight="1">
      <c r="B175" s="736" t="s">
        <v>89</v>
      </c>
      <c r="C175" s="834" t="s">
        <v>2146</v>
      </c>
      <c r="D175" s="614" t="s">
        <v>99</v>
      </c>
      <c r="E175" s="614" t="s">
        <v>99</v>
      </c>
      <c r="F175" s="614" t="s">
        <v>2934</v>
      </c>
      <c r="G175" s="614" t="s">
        <v>2935</v>
      </c>
      <c r="H175" s="614" t="s">
        <v>2936</v>
      </c>
      <c r="I175" s="856" t="s">
        <v>2937</v>
      </c>
      <c r="J175" s="614" t="s">
        <v>2938</v>
      </c>
      <c r="K175" s="672" t="s">
        <v>2939</v>
      </c>
      <c r="L175" s="2042"/>
      <c r="M175" s="840">
        <v>62</v>
      </c>
      <c r="N175" s="2294" t="s">
        <v>2940</v>
      </c>
      <c r="O175" s="2294"/>
      <c r="P175" s="2294"/>
      <c r="Q175" s="2294"/>
      <c r="R175" s="2295"/>
      <c r="S175" s="842">
        <v>62</v>
      </c>
      <c r="T175" s="2294" t="s">
        <v>2941</v>
      </c>
      <c r="U175" s="2294"/>
      <c r="V175" s="2294"/>
      <c r="W175" s="2294"/>
      <c r="X175" s="2295"/>
      <c r="AE175" s="622"/>
      <c r="AF175" s="614" t="s">
        <v>2942</v>
      </c>
      <c r="AI175" s="785" t="s">
        <v>2943</v>
      </c>
      <c r="AK175" s="867" t="s">
        <v>2944</v>
      </c>
      <c r="AL175" s="457"/>
      <c r="AM175" s="864" t="s">
        <v>1818</v>
      </c>
    </row>
    <row r="176" spans="2:71" ht="15.6" customHeight="1">
      <c r="B176" s="736" t="s">
        <v>94</v>
      </c>
      <c r="C176" s="834" t="s">
        <v>2161</v>
      </c>
      <c r="D176" s="614" t="s">
        <v>99</v>
      </c>
      <c r="E176" s="614" t="s">
        <v>99</v>
      </c>
      <c r="F176" s="614" t="s">
        <v>2945</v>
      </c>
      <c r="G176" s="614" t="s">
        <v>2946</v>
      </c>
      <c r="H176" s="856" t="s">
        <v>2947</v>
      </c>
      <c r="I176" s="856" t="s">
        <v>2948</v>
      </c>
      <c r="J176" s="614" t="s">
        <v>2949</v>
      </c>
      <c r="K176" s="672" t="s">
        <v>2950</v>
      </c>
      <c r="L176" s="2042"/>
      <c r="M176" s="840">
        <v>63</v>
      </c>
      <c r="N176" s="2294" t="s">
        <v>2951</v>
      </c>
      <c r="O176" s="2294"/>
      <c r="P176" s="2294"/>
      <c r="Q176" s="2294"/>
      <c r="R176" s="2295"/>
      <c r="S176" s="842">
        <v>63</v>
      </c>
      <c r="T176" s="2294" t="s">
        <v>2952</v>
      </c>
      <c r="U176" s="2294"/>
      <c r="V176" s="2294"/>
      <c r="W176" s="2294"/>
      <c r="X176" s="2295"/>
      <c r="AE176" s="622"/>
      <c r="AF176" s="614" t="s">
        <v>2953</v>
      </c>
      <c r="AI176" s="785" t="s">
        <v>2954</v>
      </c>
      <c r="AK176" s="867" t="s">
        <v>2955</v>
      </c>
      <c r="AL176" s="457"/>
      <c r="AM176" s="428" t="s">
        <v>1827</v>
      </c>
    </row>
    <row r="177" spans="2:39" ht="15.6" customHeight="1">
      <c r="B177" s="736" t="s">
        <v>102</v>
      </c>
      <c r="C177" s="834" t="s">
        <v>2582</v>
      </c>
      <c r="D177" s="614" t="s">
        <v>2477</v>
      </c>
      <c r="E177" s="857" t="s">
        <v>2478</v>
      </c>
      <c r="F177" s="614" t="s">
        <v>2956</v>
      </c>
      <c r="G177" s="614" t="s">
        <v>2480</v>
      </c>
      <c r="H177" s="614" t="s">
        <v>2481</v>
      </c>
      <c r="I177" s="779" t="s">
        <v>2957</v>
      </c>
      <c r="J177" s="614" t="s">
        <v>2958</v>
      </c>
      <c r="K177" s="672" t="s">
        <v>2959</v>
      </c>
      <c r="L177" s="2042"/>
      <c r="M177" s="840">
        <v>64</v>
      </c>
      <c r="N177" s="2294" t="s">
        <v>2960</v>
      </c>
      <c r="O177" s="2294"/>
      <c r="P177" s="2294"/>
      <c r="Q177" s="2294"/>
      <c r="R177" s="2295"/>
      <c r="S177" s="842">
        <v>64</v>
      </c>
      <c r="T177" s="2294" t="s">
        <v>2961</v>
      </c>
      <c r="U177" s="2294"/>
      <c r="V177" s="2294"/>
      <c r="W177" s="2294"/>
      <c r="X177" s="2295"/>
      <c r="AE177" s="622"/>
      <c r="AF177" s="614" t="s">
        <v>2962</v>
      </c>
      <c r="AI177" s="785" t="s">
        <v>2963</v>
      </c>
      <c r="AK177" s="867" t="s">
        <v>2964</v>
      </c>
      <c r="AL177" s="457"/>
      <c r="AM177" s="428" t="s">
        <v>1833</v>
      </c>
    </row>
    <row r="178" spans="2:39" ht="15.6" customHeight="1">
      <c r="B178" s="736" t="s">
        <v>384</v>
      </c>
      <c r="C178" s="834" t="s">
        <v>2161</v>
      </c>
      <c r="D178" s="614" t="s">
        <v>2209</v>
      </c>
      <c r="E178" s="614" t="s">
        <v>99</v>
      </c>
      <c r="F178" s="614" t="s">
        <v>2965</v>
      </c>
      <c r="G178" s="614" t="s">
        <v>99</v>
      </c>
      <c r="H178" s="614" t="s">
        <v>99</v>
      </c>
      <c r="I178" s="614" t="s">
        <v>99</v>
      </c>
      <c r="J178" s="614" t="s">
        <v>99</v>
      </c>
      <c r="K178" s="672" t="s">
        <v>99</v>
      </c>
      <c r="L178" s="2042"/>
      <c r="M178" s="840">
        <v>65</v>
      </c>
      <c r="N178" s="2294" t="s">
        <v>2966</v>
      </c>
      <c r="O178" s="2294"/>
      <c r="P178" s="2294"/>
      <c r="Q178" s="2294"/>
      <c r="R178" s="2295"/>
      <c r="S178" s="842">
        <v>65</v>
      </c>
      <c r="T178" s="2294" t="s">
        <v>2967</v>
      </c>
      <c r="U178" s="2294"/>
      <c r="V178" s="2294"/>
      <c r="W178" s="2294"/>
      <c r="X178" s="2295"/>
      <c r="AE178" s="622"/>
      <c r="AF178" s="861" t="s">
        <v>2968</v>
      </c>
      <c r="AI178" s="785" t="s">
        <v>2969</v>
      </c>
      <c r="AK178" s="867" t="s">
        <v>2970</v>
      </c>
      <c r="AL178" s="457"/>
      <c r="AM178" s="428" t="s">
        <v>1838</v>
      </c>
    </row>
    <row r="179" spans="2:39" ht="15.6" customHeight="1">
      <c r="B179" s="736" t="s">
        <v>77</v>
      </c>
      <c r="C179" s="834" t="s">
        <v>2161</v>
      </c>
      <c r="D179" s="614" t="s">
        <v>99</v>
      </c>
      <c r="E179" s="614" t="s">
        <v>99</v>
      </c>
      <c r="F179" s="614" t="s">
        <v>2971</v>
      </c>
      <c r="G179" s="614" t="s">
        <v>2972</v>
      </c>
      <c r="H179" s="614" t="s">
        <v>2973</v>
      </c>
      <c r="I179" s="614" t="s">
        <v>2974</v>
      </c>
      <c r="J179" s="614" t="s">
        <v>2975</v>
      </c>
      <c r="K179" s="672" t="s">
        <v>2976</v>
      </c>
      <c r="L179" s="2042"/>
      <c r="M179" s="840">
        <v>66</v>
      </c>
      <c r="N179" s="2294" t="s">
        <v>2977</v>
      </c>
      <c r="O179" s="2294"/>
      <c r="P179" s="2294"/>
      <c r="Q179" s="2294"/>
      <c r="R179" s="2295"/>
      <c r="S179" s="842">
        <v>66</v>
      </c>
      <c r="T179" s="2294" t="s">
        <v>2978</v>
      </c>
      <c r="U179" s="2294"/>
      <c r="V179" s="2294"/>
      <c r="W179" s="2294"/>
      <c r="X179" s="2295"/>
      <c r="AE179" s="622"/>
      <c r="AF179" s="861" t="s">
        <v>2979</v>
      </c>
      <c r="AI179" s="785" t="s">
        <v>2980</v>
      </c>
      <c r="AK179" s="867" t="s">
        <v>2981</v>
      </c>
      <c r="AL179" s="457"/>
      <c r="AM179" s="428" t="s">
        <v>1845</v>
      </c>
    </row>
    <row r="180" spans="2:39" ht="15.6" customHeight="1">
      <c r="B180" s="736" t="s">
        <v>112</v>
      </c>
      <c r="C180" s="834" t="s">
        <v>2582</v>
      </c>
      <c r="D180" s="614" t="s">
        <v>2477</v>
      </c>
      <c r="E180" s="779" t="s">
        <v>2982</v>
      </c>
      <c r="F180" s="614" t="s">
        <v>2983</v>
      </c>
      <c r="G180" s="614" t="s">
        <v>2480</v>
      </c>
      <c r="H180" s="614" t="s">
        <v>2481</v>
      </c>
      <c r="I180" s="614" t="s">
        <v>2984</v>
      </c>
      <c r="J180" s="614" t="s">
        <v>2985</v>
      </c>
      <c r="K180" s="672" t="s">
        <v>2986</v>
      </c>
      <c r="L180" s="2042"/>
      <c r="M180" s="840">
        <v>67</v>
      </c>
      <c r="N180" s="2294" t="s">
        <v>2987</v>
      </c>
      <c r="O180" s="2294"/>
      <c r="P180" s="2294"/>
      <c r="Q180" s="2294"/>
      <c r="R180" s="2295"/>
      <c r="S180" s="842">
        <v>67</v>
      </c>
      <c r="T180" s="2294" t="s">
        <v>2988</v>
      </c>
      <c r="U180" s="2294"/>
      <c r="V180" s="2294"/>
      <c r="W180" s="2294"/>
      <c r="X180" s="2295"/>
      <c r="AE180" s="622"/>
      <c r="AF180" s="861" t="s">
        <v>2989</v>
      </c>
      <c r="AI180" s="785" t="s">
        <v>2990</v>
      </c>
      <c r="AK180" s="867" t="s">
        <v>2991</v>
      </c>
      <c r="AL180" s="672"/>
      <c r="AM180" s="428" t="s">
        <v>1855</v>
      </c>
    </row>
    <row r="181" spans="2:39" ht="15.6" customHeight="1">
      <c r="B181" s="736" t="s">
        <v>116</v>
      </c>
      <c r="C181" s="834" t="s">
        <v>2146</v>
      </c>
      <c r="D181" s="614" t="s">
        <v>99</v>
      </c>
      <c r="E181" s="614" t="s">
        <v>2992</v>
      </c>
      <c r="F181" s="614" t="s">
        <v>2993</v>
      </c>
      <c r="G181" s="614" t="s">
        <v>2994</v>
      </c>
      <c r="H181" s="614" t="s">
        <v>2995</v>
      </c>
      <c r="I181" s="614" t="s">
        <v>2996</v>
      </c>
      <c r="J181" s="614" t="s">
        <v>2997</v>
      </c>
      <c r="K181" s="672" t="s">
        <v>2998</v>
      </c>
      <c r="L181" s="2042"/>
      <c r="M181" s="840">
        <v>68</v>
      </c>
      <c r="N181" s="2294" t="s">
        <v>2999</v>
      </c>
      <c r="O181" s="2294"/>
      <c r="P181" s="2294"/>
      <c r="Q181" s="2294"/>
      <c r="R181" s="2295"/>
      <c r="S181" s="842">
        <v>68</v>
      </c>
      <c r="T181" s="2294" t="s">
        <v>3000</v>
      </c>
      <c r="U181" s="2294"/>
      <c r="V181" s="2294"/>
      <c r="W181" s="2294"/>
      <c r="X181" s="2295"/>
      <c r="AE181" s="622"/>
      <c r="AF181" s="861" t="s">
        <v>3001</v>
      </c>
      <c r="AI181" s="785" t="s">
        <v>3002</v>
      </c>
      <c r="AK181" s="867" t="s">
        <v>3003</v>
      </c>
      <c r="AL181" s="457"/>
      <c r="AM181" s="428" t="s">
        <v>1861</v>
      </c>
    </row>
    <row r="182" spans="2:39" ht="15.6" customHeight="1">
      <c r="B182" s="622" t="s">
        <v>2200</v>
      </c>
      <c r="C182" s="834" t="s">
        <v>225</v>
      </c>
      <c r="D182" s="614" t="s">
        <v>225</v>
      </c>
      <c r="E182" s="614" t="s">
        <v>225</v>
      </c>
      <c r="F182" s="614" t="s">
        <v>225</v>
      </c>
      <c r="G182" s="614" t="s">
        <v>225</v>
      </c>
      <c r="H182" s="614" t="s">
        <v>225</v>
      </c>
      <c r="I182" s="614" t="s">
        <v>225</v>
      </c>
      <c r="J182" s="614" t="s">
        <v>225</v>
      </c>
      <c r="K182" s="672" t="s">
        <v>225</v>
      </c>
      <c r="L182" s="2042"/>
      <c r="M182" s="840">
        <v>69</v>
      </c>
      <c r="N182" s="2294" t="s">
        <v>3004</v>
      </c>
      <c r="O182" s="2294"/>
      <c r="P182" s="2294"/>
      <c r="Q182" s="2294"/>
      <c r="R182" s="2295"/>
      <c r="S182" s="842">
        <v>69</v>
      </c>
      <c r="T182" s="2294" t="s">
        <v>3005</v>
      </c>
      <c r="U182" s="2294"/>
      <c r="V182" s="2294"/>
      <c r="W182" s="2294"/>
      <c r="X182" s="2295"/>
      <c r="AE182" s="622"/>
      <c r="AF182" s="861" t="s">
        <v>3006</v>
      </c>
      <c r="AI182" s="785"/>
      <c r="AK182" s="867" t="s">
        <v>3007</v>
      </c>
      <c r="AL182" s="457"/>
      <c r="AM182" s="428" t="s">
        <v>1869</v>
      </c>
    </row>
    <row r="183" spans="2:39" ht="15.6" customHeight="1">
      <c r="B183" s="738" t="s">
        <v>3008</v>
      </c>
      <c r="C183" s="834" t="s">
        <v>2161</v>
      </c>
      <c r="D183" s="614" t="s">
        <v>2209</v>
      </c>
      <c r="E183" s="614" t="s">
        <v>99</v>
      </c>
      <c r="F183" s="614" t="s">
        <v>3009</v>
      </c>
      <c r="G183" s="614" t="s">
        <v>3010</v>
      </c>
      <c r="H183" s="614" t="s">
        <v>3011</v>
      </c>
      <c r="I183" s="614" t="s">
        <v>3012</v>
      </c>
      <c r="J183" s="614" t="s">
        <v>3013</v>
      </c>
      <c r="K183" s="672" t="s">
        <v>3014</v>
      </c>
      <c r="L183" s="2042"/>
      <c r="M183" s="840">
        <v>70</v>
      </c>
      <c r="N183" s="2294" t="s">
        <v>3015</v>
      </c>
      <c r="O183" s="2294"/>
      <c r="P183" s="2294"/>
      <c r="Q183" s="2294"/>
      <c r="R183" s="2295"/>
      <c r="S183" s="842">
        <v>70</v>
      </c>
      <c r="T183" s="2294" t="s">
        <v>3016</v>
      </c>
      <c r="U183" s="2294"/>
      <c r="V183" s="2294"/>
      <c r="W183" s="2294"/>
      <c r="X183" s="2295"/>
      <c r="AE183" s="622"/>
      <c r="AF183" s="861" t="s">
        <v>3017</v>
      </c>
      <c r="AI183" s="785" t="s">
        <v>3018</v>
      </c>
      <c r="AK183" s="867" t="s">
        <v>3019</v>
      </c>
      <c r="AL183" s="457"/>
      <c r="AM183" s="428" t="s">
        <v>1880</v>
      </c>
    </row>
    <row r="184" spans="2:39" ht="15.6" customHeight="1">
      <c r="B184" s="622" t="s">
        <v>3020</v>
      </c>
      <c r="C184" s="834" t="s">
        <v>2161</v>
      </c>
      <c r="D184" s="614" t="s">
        <v>3021</v>
      </c>
      <c r="E184" s="614" t="s">
        <v>99</v>
      </c>
      <c r="F184" s="614" t="s">
        <v>3022</v>
      </c>
      <c r="G184" s="614" t="s">
        <v>3010</v>
      </c>
      <c r="H184" s="614" t="s">
        <v>3011</v>
      </c>
      <c r="I184" s="614" t="s">
        <v>3012</v>
      </c>
      <c r="J184" s="614" t="s">
        <v>3013</v>
      </c>
      <c r="K184" s="672" t="s">
        <v>3014</v>
      </c>
      <c r="L184" s="2042"/>
      <c r="M184" s="840">
        <v>71</v>
      </c>
      <c r="N184" s="2294" t="s">
        <v>3023</v>
      </c>
      <c r="O184" s="2294"/>
      <c r="P184" s="2294"/>
      <c r="Q184" s="2294"/>
      <c r="R184" s="2295"/>
      <c r="S184" s="842">
        <v>71</v>
      </c>
      <c r="T184" s="2294" t="s">
        <v>3024</v>
      </c>
      <c r="U184" s="2294"/>
      <c r="V184" s="2294"/>
      <c r="W184" s="2294"/>
      <c r="X184" s="2295"/>
      <c r="AE184" s="622"/>
      <c r="AF184" s="861" t="s">
        <v>3025</v>
      </c>
      <c r="AI184" s="785" t="s">
        <v>3026</v>
      </c>
      <c r="AK184" s="867" t="s">
        <v>3027</v>
      </c>
      <c r="AL184" s="457"/>
      <c r="AM184" s="864" t="s">
        <v>1888</v>
      </c>
    </row>
    <row r="185" spans="2:39" ht="15.6" customHeight="1">
      <c r="B185" s="622" t="s">
        <v>1425</v>
      </c>
      <c r="C185" s="834" t="s">
        <v>2161</v>
      </c>
      <c r="D185" s="614" t="s">
        <v>3021</v>
      </c>
      <c r="E185" s="614" t="s">
        <v>99</v>
      </c>
      <c r="F185" s="614" t="s">
        <v>3028</v>
      </c>
      <c r="G185" s="614" t="s">
        <v>3010</v>
      </c>
      <c r="H185" s="614" t="s">
        <v>3011</v>
      </c>
      <c r="I185" s="614" t="s">
        <v>3012</v>
      </c>
      <c r="J185" s="614" t="s">
        <v>3013</v>
      </c>
      <c r="K185" s="672" t="s">
        <v>3014</v>
      </c>
      <c r="L185" s="2042"/>
      <c r="M185" s="840">
        <v>72</v>
      </c>
      <c r="N185" s="2294" t="s">
        <v>3029</v>
      </c>
      <c r="O185" s="2294"/>
      <c r="P185" s="2294"/>
      <c r="Q185" s="2294"/>
      <c r="R185" s="2295"/>
      <c r="S185" s="842">
        <v>72</v>
      </c>
      <c r="T185" s="2294" t="s">
        <v>3030</v>
      </c>
      <c r="U185" s="2294"/>
      <c r="V185" s="2294"/>
      <c r="W185" s="2294"/>
      <c r="X185" s="2295"/>
      <c r="AE185" s="622"/>
      <c r="AF185" s="861" t="s">
        <v>3031</v>
      </c>
      <c r="AI185" s="785" t="s">
        <v>3032</v>
      </c>
      <c r="AK185" s="867" t="s">
        <v>3033</v>
      </c>
      <c r="AL185" s="457"/>
      <c r="AM185" s="864" t="s">
        <v>1895</v>
      </c>
    </row>
    <row r="186" spans="2:39" ht="15.6" customHeight="1">
      <c r="B186" s="622" t="s">
        <v>3034</v>
      </c>
      <c r="C186" s="834" t="s">
        <v>2161</v>
      </c>
      <c r="D186" s="614" t="s">
        <v>3021</v>
      </c>
      <c r="E186" s="614" t="s">
        <v>99</v>
      </c>
      <c r="F186" s="614" t="s">
        <v>3035</v>
      </c>
      <c r="G186" s="614" t="s">
        <v>3010</v>
      </c>
      <c r="H186" s="614" t="s">
        <v>3011</v>
      </c>
      <c r="I186" s="614" t="s">
        <v>3012</v>
      </c>
      <c r="J186" s="614" t="s">
        <v>3013</v>
      </c>
      <c r="K186" s="672" t="s">
        <v>3014</v>
      </c>
      <c r="L186" s="2042"/>
      <c r="M186" s="840">
        <v>73</v>
      </c>
      <c r="N186" s="2294" t="s">
        <v>3036</v>
      </c>
      <c r="O186" s="2294"/>
      <c r="P186" s="2294"/>
      <c r="Q186" s="2294"/>
      <c r="R186" s="2295"/>
      <c r="S186" s="842">
        <v>73</v>
      </c>
      <c r="T186" s="2294" t="s">
        <v>3037</v>
      </c>
      <c r="U186" s="2294"/>
      <c r="V186" s="2294"/>
      <c r="W186" s="2294"/>
      <c r="X186" s="2295"/>
      <c r="AE186" s="622"/>
      <c r="AF186" s="861" t="s">
        <v>3038</v>
      </c>
      <c r="AI186" s="785" t="s">
        <v>3039</v>
      </c>
      <c r="AK186" s="867" t="s">
        <v>3040</v>
      </c>
      <c r="AL186" s="457"/>
      <c r="AM186" s="428" t="s">
        <v>1902</v>
      </c>
    </row>
    <row r="187" spans="2:39" ht="15.6" customHeight="1">
      <c r="B187" s="622" t="s">
        <v>1423</v>
      </c>
      <c r="C187" s="834" t="s">
        <v>2582</v>
      </c>
      <c r="D187" s="614" t="s">
        <v>3021</v>
      </c>
      <c r="E187" s="614" t="s">
        <v>99</v>
      </c>
      <c r="F187" s="614" t="s">
        <v>3041</v>
      </c>
      <c r="G187" s="614" t="s">
        <v>3010</v>
      </c>
      <c r="H187" s="614" t="s">
        <v>3011</v>
      </c>
      <c r="I187" s="614" t="s">
        <v>3012</v>
      </c>
      <c r="J187" s="614" t="s">
        <v>3013</v>
      </c>
      <c r="K187" s="672" t="s">
        <v>3014</v>
      </c>
      <c r="L187" s="2042"/>
      <c r="M187" s="840">
        <v>74</v>
      </c>
      <c r="N187" s="2294" t="s">
        <v>3042</v>
      </c>
      <c r="O187" s="2294"/>
      <c r="P187" s="2294"/>
      <c r="Q187" s="2294"/>
      <c r="R187" s="2295"/>
      <c r="S187" s="842">
        <v>74</v>
      </c>
      <c r="T187" s="2294" t="s">
        <v>3043</v>
      </c>
      <c r="U187" s="2294"/>
      <c r="V187" s="2294"/>
      <c r="W187" s="2294"/>
      <c r="X187" s="2295"/>
      <c r="AE187" s="622"/>
      <c r="AF187" s="861" t="s">
        <v>3044</v>
      </c>
      <c r="AI187" s="785"/>
      <c r="AK187" s="867" t="s">
        <v>225</v>
      </c>
      <c r="AL187" s="457"/>
      <c r="AM187" s="428" t="s">
        <v>1910</v>
      </c>
    </row>
    <row r="188" spans="2:39" ht="15.6" customHeight="1">
      <c r="B188" s="622" t="s">
        <v>1428</v>
      </c>
      <c r="C188" s="834" t="s">
        <v>2161</v>
      </c>
      <c r="D188" s="614" t="s">
        <v>3021</v>
      </c>
      <c r="E188" s="614" t="s">
        <v>99</v>
      </c>
      <c r="F188" s="614" t="s">
        <v>3045</v>
      </c>
      <c r="G188" s="614" t="s">
        <v>3010</v>
      </c>
      <c r="H188" s="614" t="s">
        <v>3011</v>
      </c>
      <c r="I188" s="614" t="s">
        <v>3012</v>
      </c>
      <c r="J188" s="614" t="s">
        <v>3013</v>
      </c>
      <c r="K188" s="672" t="s">
        <v>3014</v>
      </c>
      <c r="L188" s="2042"/>
      <c r="M188" s="840">
        <v>75</v>
      </c>
      <c r="N188" s="2294" t="s">
        <v>3046</v>
      </c>
      <c r="O188" s="2294"/>
      <c r="P188" s="2294"/>
      <c r="Q188" s="2294"/>
      <c r="R188" s="2295"/>
      <c r="S188" s="842">
        <v>75</v>
      </c>
      <c r="T188" s="2294" t="s">
        <v>3047</v>
      </c>
      <c r="U188" s="2294"/>
      <c r="V188" s="2294"/>
      <c r="W188" s="2294"/>
      <c r="X188" s="2295"/>
      <c r="AE188" s="633"/>
      <c r="AF188" s="861" t="s">
        <v>3048</v>
      </c>
      <c r="AG188" s="634"/>
      <c r="AH188" s="634"/>
      <c r="AI188" s="785" t="s">
        <v>3049</v>
      </c>
      <c r="AJ188" s="634"/>
      <c r="AK188" s="867" t="s">
        <v>3050</v>
      </c>
      <c r="AL188" s="458"/>
      <c r="AM188" s="428" t="s">
        <v>1918</v>
      </c>
    </row>
    <row r="189" spans="2:39" ht="15.6" customHeight="1">
      <c r="B189" s="622" t="s">
        <v>3051</v>
      </c>
      <c r="C189" s="834" t="s">
        <v>2161</v>
      </c>
      <c r="D189" s="614" t="s">
        <v>3021</v>
      </c>
      <c r="E189" s="614" t="s">
        <v>99</v>
      </c>
      <c r="F189" s="614" t="s">
        <v>3052</v>
      </c>
      <c r="G189" s="614" t="s">
        <v>3010</v>
      </c>
      <c r="H189" s="614" t="s">
        <v>3011</v>
      </c>
      <c r="I189" s="614" t="s">
        <v>3012</v>
      </c>
      <c r="J189" s="614" t="s">
        <v>3013</v>
      </c>
      <c r="K189" s="672" t="s">
        <v>3014</v>
      </c>
      <c r="L189" s="2042"/>
      <c r="M189" s="840">
        <v>76</v>
      </c>
      <c r="N189" s="2294" t="s">
        <v>3053</v>
      </c>
      <c r="O189" s="2294"/>
      <c r="P189" s="2294"/>
      <c r="Q189" s="2294"/>
      <c r="R189" s="2295"/>
      <c r="S189" s="842">
        <v>76</v>
      </c>
      <c r="T189" s="2294" t="s">
        <v>3054</v>
      </c>
      <c r="U189" s="2294"/>
      <c r="V189" s="2294"/>
      <c r="W189" s="2294"/>
      <c r="X189" s="2295"/>
      <c r="AF189" s="614" t="s">
        <v>322</v>
      </c>
      <c r="AI189" s="785" t="s">
        <v>3055</v>
      </c>
      <c r="AK189" s="867" t="s">
        <v>3056</v>
      </c>
      <c r="AL189" s="428"/>
      <c r="AM189" s="428" t="s">
        <v>1927</v>
      </c>
    </row>
    <row r="190" spans="2:39" ht="15.6" customHeight="1">
      <c r="B190" s="622" t="s">
        <v>1430</v>
      </c>
      <c r="C190" s="834" t="s">
        <v>2161</v>
      </c>
      <c r="D190" s="614" t="s">
        <v>3021</v>
      </c>
      <c r="E190" s="614" t="s">
        <v>99</v>
      </c>
      <c r="F190" s="614" t="s">
        <v>3057</v>
      </c>
      <c r="G190" s="614" t="s">
        <v>3010</v>
      </c>
      <c r="H190" s="614" t="s">
        <v>3011</v>
      </c>
      <c r="I190" s="614" t="s">
        <v>3012</v>
      </c>
      <c r="J190" s="614" t="s">
        <v>3013</v>
      </c>
      <c r="K190" s="672" t="s">
        <v>3014</v>
      </c>
      <c r="L190" s="2042"/>
      <c r="M190" s="840">
        <v>77</v>
      </c>
      <c r="N190" s="2294" t="s">
        <v>3058</v>
      </c>
      <c r="O190" s="2294"/>
      <c r="P190" s="2294"/>
      <c r="Q190" s="2294"/>
      <c r="R190" s="2295"/>
      <c r="S190" s="842">
        <v>77</v>
      </c>
      <c r="T190" s="2294" t="s">
        <v>3059</v>
      </c>
      <c r="U190" s="2294"/>
      <c r="V190" s="2294"/>
      <c r="W190" s="2294"/>
      <c r="X190" s="2295"/>
      <c r="AI190" s="785" t="s">
        <v>3060</v>
      </c>
      <c r="AK190" s="867" t="s">
        <v>3061</v>
      </c>
      <c r="AL190" s="428"/>
      <c r="AM190" s="428" t="s">
        <v>1936</v>
      </c>
    </row>
    <row r="191" spans="2:39" ht="15.6" customHeight="1">
      <c r="B191" s="622" t="s">
        <v>3062</v>
      </c>
      <c r="C191" s="834" t="s">
        <v>2161</v>
      </c>
      <c r="D191" s="614" t="s">
        <v>3021</v>
      </c>
      <c r="E191" s="614" t="s">
        <v>99</v>
      </c>
      <c r="F191" s="614" t="s">
        <v>3063</v>
      </c>
      <c r="G191" s="614" t="s">
        <v>3010</v>
      </c>
      <c r="H191" s="614" t="s">
        <v>3011</v>
      </c>
      <c r="I191" s="614" t="s">
        <v>3012</v>
      </c>
      <c r="J191" s="614" t="s">
        <v>3013</v>
      </c>
      <c r="K191" s="672" t="s">
        <v>3014</v>
      </c>
      <c r="L191" s="2042"/>
      <c r="M191" s="840">
        <v>78</v>
      </c>
      <c r="N191" s="2294" t="s">
        <v>3064</v>
      </c>
      <c r="O191" s="2294"/>
      <c r="P191" s="2294"/>
      <c r="Q191" s="2294"/>
      <c r="R191" s="2295"/>
      <c r="S191" s="842">
        <v>78</v>
      </c>
      <c r="T191" s="2294" t="s">
        <v>3065</v>
      </c>
      <c r="U191" s="2294"/>
      <c r="V191" s="2294"/>
      <c r="W191" s="2294"/>
      <c r="X191" s="2295"/>
      <c r="AI191" s="785" t="s">
        <v>3066</v>
      </c>
      <c r="AK191" s="867" t="s">
        <v>3067</v>
      </c>
      <c r="AL191" s="428"/>
      <c r="AM191" s="428" t="s">
        <v>1945</v>
      </c>
    </row>
    <row r="192" spans="2:39" ht="15.6" customHeight="1">
      <c r="B192" s="622" t="s">
        <v>3068</v>
      </c>
      <c r="C192" s="834" t="s">
        <v>2161</v>
      </c>
      <c r="D192" s="614" t="s">
        <v>3021</v>
      </c>
      <c r="E192" s="614" t="s">
        <v>99</v>
      </c>
      <c r="F192" s="614" t="s">
        <v>3069</v>
      </c>
      <c r="G192" s="614" t="s">
        <v>3010</v>
      </c>
      <c r="H192" s="614" t="s">
        <v>3011</v>
      </c>
      <c r="I192" s="614" t="s">
        <v>3012</v>
      </c>
      <c r="J192" s="614" t="s">
        <v>3013</v>
      </c>
      <c r="K192" s="672" t="s">
        <v>3014</v>
      </c>
      <c r="L192" s="2042"/>
      <c r="M192" s="840">
        <v>79</v>
      </c>
      <c r="N192" s="2294" t="s">
        <v>3070</v>
      </c>
      <c r="O192" s="2294"/>
      <c r="P192" s="2294"/>
      <c r="Q192" s="2294"/>
      <c r="R192" s="2295"/>
      <c r="S192" s="842">
        <v>79</v>
      </c>
      <c r="T192" s="2294" t="s">
        <v>3071</v>
      </c>
      <c r="U192" s="2294"/>
      <c r="V192" s="2294"/>
      <c r="W192" s="2294"/>
      <c r="X192" s="2295"/>
      <c r="AI192" s="785" t="s">
        <v>3072</v>
      </c>
      <c r="AK192" s="867" t="s">
        <v>3073</v>
      </c>
      <c r="AM192" s="428" t="s">
        <v>1953</v>
      </c>
    </row>
    <row r="193" spans="2:39" ht="15.6" customHeight="1">
      <c r="B193" s="622" t="s">
        <v>3074</v>
      </c>
      <c r="C193" s="834" t="s">
        <v>2161</v>
      </c>
      <c r="D193" s="614" t="s">
        <v>3021</v>
      </c>
      <c r="E193" s="614" t="s">
        <v>99</v>
      </c>
      <c r="F193" s="614" t="s">
        <v>3075</v>
      </c>
      <c r="G193" s="614" t="s">
        <v>3010</v>
      </c>
      <c r="H193" s="614" t="s">
        <v>3011</v>
      </c>
      <c r="I193" s="614" t="s">
        <v>3012</v>
      </c>
      <c r="J193" s="614" t="s">
        <v>3013</v>
      </c>
      <c r="K193" s="672" t="s">
        <v>3014</v>
      </c>
      <c r="L193" s="2042"/>
      <c r="M193" s="840">
        <v>80</v>
      </c>
      <c r="N193" s="2294" t="s">
        <v>3076</v>
      </c>
      <c r="O193" s="2294"/>
      <c r="P193" s="2294"/>
      <c r="Q193" s="2294"/>
      <c r="R193" s="2295"/>
      <c r="S193" s="842">
        <v>80</v>
      </c>
      <c r="T193" s="2294" t="s">
        <v>3077</v>
      </c>
      <c r="U193" s="2294"/>
      <c r="V193" s="2294"/>
      <c r="W193" s="2294"/>
      <c r="X193" s="2295"/>
      <c r="AI193" s="785" t="s">
        <v>3078</v>
      </c>
      <c r="AK193" s="867" t="s">
        <v>3079</v>
      </c>
      <c r="AL193" s="428"/>
      <c r="AM193" s="428" t="s">
        <v>1961</v>
      </c>
    </row>
    <row r="194" spans="2:39" ht="15.6" customHeight="1">
      <c r="B194" s="622" t="s">
        <v>3080</v>
      </c>
      <c r="C194" s="834" t="s">
        <v>2161</v>
      </c>
      <c r="D194" s="614" t="s">
        <v>3021</v>
      </c>
      <c r="E194" s="614" t="s">
        <v>99</v>
      </c>
      <c r="F194" s="614" t="s">
        <v>3081</v>
      </c>
      <c r="G194" s="614" t="s">
        <v>3010</v>
      </c>
      <c r="H194" s="614" t="s">
        <v>3011</v>
      </c>
      <c r="I194" s="614" t="s">
        <v>3012</v>
      </c>
      <c r="J194" s="614" t="s">
        <v>3013</v>
      </c>
      <c r="K194" s="672" t="s">
        <v>3014</v>
      </c>
      <c r="L194" s="2042"/>
      <c r="M194" s="840">
        <v>81</v>
      </c>
      <c r="N194" s="2294" t="s">
        <v>3082</v>
      </c>
      <c r="O194" s="2294"/>
      <c r="P194" s="2294"/>
      <c r="Q194" s="2294"/>
      <c r="R194" s="2295"/>
      <c r="S194" s="842">
        <v>81</v>
      </c>
      <c r="T194" s="2294" t="s">
        <v>3083</v>
      </c>
      <c r="U194" s="2294"/>
      <c r="V194" s="2294"/>
      <c r="W194" s="2294"/>
      <c r="X194" s="2295"/>
      <c r="AI194" s="785"/>
      <c r="AK194" s="867" t="s">
        <v>3084</v>
      </c>
      <c r="AL194" s="428"/>
      <c r="AM194" s="864" t="s">
        <v>1970</v>
      </c>
    </row>
    <row r="195" spans="2:39" ht="15.6" customHeight="1">
      <c r="B195" s="622" t="s">
        <v>3085</v>
      </c>
      <c r="C195" s="834" t="s">
        <v>2161</v>
      </c>
      <c r="D195" s="614" t="s">
        <v>3021</v>
      </c>
      <c r="E195" s="614" t="s">
        <v>99</v>
      </c>
      <c r="F195" s="614" t="s">
        <v>3086</v>
      </c>
      <c r="G195" s="614" t="s">
        <v>3010</v>
      </c>
      <c r="H195" s="614" t="s">
        <v>3011</v>
      </c>
      <c r="I195" s="614" t="s">
        <v>3012</v>
      </c>
      <c r="J195" s="614" t="s">
        <v>3013</v>
      </c>
      <c r="K195" s="672" t="s">
        <v>3014</v>
      </c>
      <c r="L195" s="2042"/>
      <c r="M195" s="840">
        <v>82</v>
      </c>
      <c r="N195" s="2294" t="s">
        <v>3087</v>
      </c>
      <c r="O195" s="2294"/>
      <c r="P195" s="2294"/>
      <c r="Q195" s="2294"/>
      <c r="R195" s="2295"/>
      <c r="S195" s="842">
        <v>82</v>
      </c>
      <c r="T195" s="2294" t="s">
        <v>3088</v>
      </c>
      <c r="U195" s="2294"/>
      <c r="V195" s="2294"/>
      <c r="W195" s="2294"/>
      <c r="X195" s="2295"/>
      <c r="AI195" s="785" t="s">
        <v>3089</v>
      </c>
      <c r="AK195" s="867" t="s">
        <v>3090</v>
      </c>
      <c r="AL195" s="428"/>
      <c r="AM195" s="864" t="s">
        <v>1980</v>
      </c>
    </row>
    <row r="196" spans="2:39" ht="15.6" customHeight="1">
      <c r="B196" s="622" t="s">
        <v>3091</v>
      </c>
      <c r="C196" s="834" t="s">
        <v>2161</v>
      </c>
      <c r="D196" s="614" t="s">
        <v>3021</v>
      </c>
      <c r="E196" s="614" t="s">
        <v>99</v>
      </c>
      <c r="F196" s="614" t="s">
        <v>3092</v>
      </c>
      <c r="G196" s="614" t="s">
        <v>3010</v>
      </c>
      <c r="H196" s="614" t="s">
        <v>3011</v>
      </c>
      <c r="I196" s="614" t="s">
        <v>3012</v>
      </c>
      <c r="J196" s="614" t="s">
        <v>3013</v>
      </c>
      <c r="K196" s="672" t="s">
        <v>3014</v>
      </c>
      <c r="L196" s="2042"/>
      <c r="M196" s="840">
        <v>83</v>
      </c>
      <c r="N196" s="2294" t="s">
        <v>3093</v>
      </c>
      <c r="O196" s="2294"/>
      <c r="P196" s="2294"/>
      <c r="Q196" s="2294"/>
      <c r="R196" s="2295"/>
      <c r="S196" s="842">
        <v>83</v>
      </c>
      <c r="T196" s="2294" t="s">
        <v>3094</v>
      </c>
      <c r="U196" s="2294"/>
      <c r="V196" s="2294"/>
      <c r="W196" s="2294"/>
      <c r="X196" s="2295"/>
      <c r="AI196" s="785" t="s">
        <v>3095</v>
      </c>
      <c r="AK196" s="867" t="s">
        <v>3096</v>
      </c>
      <c r="AL196" s="428"/>
      <c r="AM196" s="428" t="s">
        <v>1989</v>
      </c>
    </row>
    <row r="197" spans="2:39" ht="15.6" customHeight="1">
      <c r="B197" s="622" t="s">
        <v>2200</v>
      </c>
      <c r="C197" s="834" t="s">
        <v>225</v>
      </c>
      <c r="D197" s="614" t="s">
        <v>225</v>
      </c>
      <c r="E197" s="614" t="s">
        <v>225</v>
      </c>
      <c r="F197" s="614" t="s">
        <v>225</v>
      </c>
      <c r="G197" s="614" t="s">
        <v>225</v>
      </c>
      <c r="H197" s="614" t="s">
        <v>225</v>
      </c>
      <c r="I197" s="614" t="s">
        <v>225</v>
      </c>
      <c r="J197" s="614" t="s">
        <v>225</v>
      </c>
      <c r="K197" s="672" t="s">
        <v>225</v>
      </c>
      <c r="L197" s="2042"/>
      <c r="M197" s="840">
        <v>84</v>
      </c>
      <c r="N197" s="2294" t="s">
        <v>3097</v>
      </c>
      <c r="O197" s="2294"/>
      <c r="P197" s="2294"/>
      <c r="Q197" s="2294"/>
      <c r="R197" s="2295"/>
      <c r="S197" s="842">
        <v>84</v>
      </c>
      <c r="T197" s="2294" t="s">
        <v>3098</v>
      </c>
      <c r="U197" s="2294"/>
      <c r="V197" s="2294"/>
      <c r="W197" s="2294"/>
      <c r="X197" s="2295"/>
      <c r="AI197" s="785" t="s">
        <v>3099</v>
      </c>
      <c r="AK197" s="867" t="s">
        <v>3100</v>
      </c>
      <c r="AL197" s="428"/>
      <c r="AM197" s="428" t="s">
        <v>1997</v>
      </c>
    </row>
    <row r="198" spans="2:39" ht="15.6" customHeight="1">
      <c r="B198" s="736" t="s">
        <v>80</v>
      </c>
      <c r="C198" s="834" t="s">
        <v>2582</v>
      </c>
      <c r="D198" s="614" t="s">
        <v>99</v>
      </c>
      <c r="E198" s="614" t="s">
        <v>3101</v>
      </c>
      <c r="F198" s="614" t="s">
        <v>3102</v>
      </c>
      <c r="G198" s="614" t="s">
        <v>3103</v>
      </c>
      <c r="H198" s="614" t="s">
        <v>3104</v>
      </c>
      <c r="I198" s="614" t="s">
        <v>3105</v>
      </c>
      <c r="J198" s="614" t="s">
        <v>3106</v>
      </c>
      <c r="K198" s="672" t="s">
        <v>3107</v>
      </c>
      <c r="L198" s="2042"/>
      <c r="M198" s="840">
        <v>85</v>
      </c>
      <c r="N198" s="2294" t="s">
        <v>3108</v>
      </c>
      <c r="O198" s="2294"/>
      <c r="P198" s="2294"/>
      <c r="Q198" s="2294"/>
      <c r="R198" s="2295"/>
      <c r="S198" s="842">
        <v>85</v>
      </c>
      <c r="T198" s="2294" t="s">
        <v>3109</v>
      </c>
      <c r="U198" s="2294"/>
      <c r="V198" s="2294"/>
      <c r="W198" s="2294"/>
      <c r="X198" s="2295"/>
      <c r="AI198" s="785" t="s">
        <v>3110</v>
      </c>
      <c r="AK198" s="867" t="s">
        <v>3111</v>
      </c>
      <c r="AL198" s="428"/>
      <c r="AM198" s="428" t="s">
        <v>2006</v>
      </c>
    </row>
    <row r="199" spans="2:39" ht="15.6" customHeight="1">
      <c r="B199" s="736" t="s">
        <v>128</v>
      </c>
      <c r="C199" s="834" t="s">
        <v>2652</v>
      </c>
      <c r="D199" s="614" t="s">
        <v>99</v>
      </c>
      <c r="E199" s="614" t="s">
        <v>3112</v>
      </c>
      <c r="F199" s="614" t="s">
        <v>3113</v>
      </c>
      <c r="G199" s="614" t="s">
        <v>3114</v>
      </c>
      <c r="H199" s="614" t="s">
        <v>3115</v>
      </c>
      <c r="I199" s="614" t="s">
        <v>3116</v>
      </c>
      <c r="J199" s="614" t="s">
        <v>3117</v>
      </c>
      <c r="K199" s="672" t="s">
        <v>3118</v>
      </c>
      <c r="L199" s="2042"/>
      <c r="M199" s="840">
        <v>86</v>
      </c>
      <c r="N199" s="2294" t="s">
        <v>3119</v>
      </c>
      <c r="O199" s="2294"/>
      <c r="P199" s="2294"/>
      <c r="Q199" s="2294"/>
      <c r="R199" s="2295"/>
      <c r="S199" s="842">
        <v>86</v>
      </c>
      <c r="T199" s="2294" t="s">
        <v>3120</v>
      </c>
      <c r="U199" s="2294"/>
      <c r="V199" s="2294"/>
      <c r="W199" s="2294"/>
      <c r="X199" s="2295"/>
      <c r="AI199" s="785" t="s">
        <v>3121</v>
      </c>
      <c r="AK199" s="867" t="s">
        <v>3122</v>
      </c>
      <c r="AM199" s="428" t="s">
        <v>2015</v>
      </c>
    </row>
    <row r="200" spans="2:39" ht="15.6" customHeight="1">
      <c r="B200" s="736" t="s">
        <v>132</v>
      </c>
      <c r="C200" s="834" t="s">
        <v>2489</v>
      </c>
      <c r="D200" s="614" t="s">
        <v>99</v>
      </c>
      <c r="E200" s="614" t="s">
        <v>3123</v>
      </c>
      <c r="F200" s="614" t="s">
        <v>3124</v>
      </c>
      <c r="G200" s="614" t="s">
        <v>3125</v>
      </c>
      <c r="H200" s="614" t="s">
        <v>3126</v>
      </c>
      <c r="I200" s="614" t="s">
        <v>3127</v>
      </c>
      <c r="J200" s="614" t="s">
        <v>3128</v>
      </c>
      <c r="K200" s="672" t="s">
        <v>3129</v>
      </c>
      <c r="L200" s="2042"/>
      <c r="M200" s="840">
        <v>87</v>
      </c>
      <c r="N200" s="2294" t="s">
        <v>3130</v>
      </c>
      <c r="O200" s="2294"/>
      <c r="P200" s="2294"/>
      <c r="Q200" s="2294"/>
      <c r="R200" s="2295"/>
      <c r="S200" s="842">
        <v>87</v>
      </c>
      <c r="T200" s="2294" t="s">
        <v>3131</v>
      </c>
      <c r="U200" s="2294"/>
      <c r="V200" s="2294"/>
      <c r="W200" s="2294"/>
      <c r="X200" s="2295"/>
      <c r="AI200" s="785" t="s">
        <v>3132</v>
      </c>
      <c r="AK200" s="867" t="s">
        <v>225</v>
      </c>
      <c r="AL200" s="428"/>
      <c r="AM200" s="428" t="s">
        <v>2024</v>
      </c>
    </row>
    <row r="201" spans="2:39" ht="15.6" customHeight="1">
      <c r="B201" s="736" t="s">
        <v>137</v>
      </c>
      <c r="C201" s="834" t="s">
        <v>2582</v>
      </c>
      <c r="D201" s="614" t="s">
        <v>2209</v>
      </c>
      <c r="E201" s="614" t="s">
        <v>3133</v>
      </c>
      <c r="F201" s="614" t="s">
        <v>3134</v>
      </c>
      <c r="G201" s="614" t="s">
        <v>3135</v>
      </c>
      <c r="H201" s="614" t="s">
        <v>3136</v>
      </c>
      <c r="I201" s="614" t="s">
        <v>3137</v>
      </c>
      <c r="J201" s="614" t="s">
        <v>3138</v>
      </c>
      <c r="K201" s="879" t="s">
        <v>3139</v>
      </c>
      <c r="L201" s="2042"/>
      <c r="M201" s="840">
        <v>88</v>
      </c>
      <c r="N201" s="2294" t="s">
        <v>3140</v>
      </c>
      <c r="O201" s="2294"/>
      <c r="P201" s="2294"/>
      <c r="Q201" s="2294"/>
      <c r="R201" s="2295"/>
      <c r="S201" s="842">
        <v>88</v>
      </c>
      <c r="T201" s="2294" t="s">
        <v>3141</v>
      </c>
      <c r="U201" s="2294"/>
      <c r="V201" s="2294"/>
      <c r="W201" s="2294"/>
      <c r="X201" s="2295"/>
      <c r="AI201" s="785" t="s">
        <v>3142</v>
      </c>
      <c r="AK201" s="867" t="s">
        <v>3143</v>
      </c>
      <c r="AL201" s="428"/>
      <c r="AM201" s="428" t="s">
        <v>2032</v>
      </c>
    </row>
    <row r="202" spans="2:39" ht="15.6" customHeight="1">
      <c r="B202" s="736" t="s">
        <v>140</v>
      </c>
      <c r="C202" s="834" t="s">
        <v>2489</v>
      </c>
      <c r="D202" s="614" t="s">
        <v>99</v>
      </c>
      <c r="E202" s="614" t="s">
        <v>3144</v>
      </c>
      <c r="F202" s="614" t="s">
        <v>3145</v>
      </c>
      <c r="G202" s="614" t="s">
        <v>3146</v>
      </c>
      <c r="H202" s="614" t="s">
        <v>3147</v>
      </c>
      <c r="I202" s="614" t="s">
        <v>3148</v>
      </c>
      <c r="J202" s="614" t="s">
        <v>3149</v>
      </c>
      <c r="K202" s="672" t="s">
        <v>3150</v>
      </c>
      <c r="L202" s="2042"/>
      <c r="M202" s="840">
        <v>89</v>
      </c>
      <c r="N202" s="2294" t="s">
        <v>3151</v>
      </c>
      <c r="O202" s="2294"/>
      <c r="P202" s="2294"/>
      <c r="Q202" s="2294"/>
      <c r="R202" s="2295"/>
      <c r="S202" s="842">
        <v>89</v>
      </c>
      <c r="T202" s="2294" t="s">
        <v>3152</v>
      </c>
      <c r="U202" s="2294"/>
      <c r="V202" s="2294"/>
      <c r="W202" s="2294"/>
      <c r="X202" s="2295"/>
      <c r="AI202" s="785" t="s">
        <v>3153</v>
      </c>
      <c r="AK202" s="867" t="s">
        <v>3154</v>
      </c>
      <c r="AL202" s="428"/>
      <c r="AM202" s="428" t="s">
        <v>2039</v>
      </c>
    </row>
    <row r="203" spans="2:39" ht="15.6" customHeight="1">
      <c r="B203" s="736" t="s">
        <v>143</v>
      </c>
      <c r="C203" s="834" t="s">
        <v>2489</v>
      </c>
      <c r="D203" s="614" t="s">
        <v>99</v>
      </c>
      <c r="E203" s="614" t="s">
        <v>3155</v>
      </c>
      <c r="F203" s="614" t="s">
        <v>3156</v>
      </c>
      <c r="G203" s="856" t="s">
        <v>3157</v>
      </c>
      <c r="H203" s="614" t="s">
        <v>3158</v>
      </c>
      <c r="I203" s="614" t="s">
        <v>3159</v>
      </c>
      <c r="J203" s="614" t="s">
        <v>3160</v>
      </c>
      <c r="K203" s="672" t="s">
        <v>3161</v>
      </c>
      <c r="L203" s="2042"/>
      <c r="M203" s="840">
        <v>90</v>
      </c>
      <c r="N203" s="2294" t="s">
        <v>3162</v>
      </c>
      <c r="O203" s="2294"/>
      <c r="P203" s="2294"/>
      <c r="Q203" s="2294"/>
      <c r="R203" s="2295"/>
      <c r="S203" s="842">
        <v>90</v>
      </c>
      <c r="T203" s="2294" t="s">
        <v>3163</v>
      </c>
      <c r="U203" s="2294"/>
      <c r="V203" s="2294"/>
      <c r="W203" s="2294"/>
      <c r="X203" s="2295"/>
      <c r="AI203" s="785" t="s">
        <v>3164</v>
      </c>
      <c r="AK203" s="867" t="s">
        <v>3165</v>
      </c>
      <c r="AL203" s="428"/>
      <c r="AM203" s="428" t="s">
        <v>2047</v>
      </c>
    </row>
    <row r="204" spans="2:39" ht="15.6" customHeight="1">
      <c r="B204" s="736" t="s">
        <v>145</v>
      </c>
      <c r="C204" s="876" t="s">
        <v>2582</v>
      </c>
      <c r="D204" s="650" t="s">
        <v>99</v>
      </c>
      <c r="E204" s="650" t="s">
        <v>3166</v>
      </c>
      <c r="F204" s="650" t="s">
        <v>3167</v>
      </c>
      <c r="G204" s="650" t="s">
        <v>3168</v>
      </c>
      <c r="H204" s="877" t="s">
        <v>3169</v>
      </c>
      <c r="I204" s="650" t="s">
        <v>3170</v>
      </c>
      <c r="J204" s="614" t="s">
        <v>3171</v>
      </c>
      <c r="K204" s="672" t="s">
        <v>3172</v>
      </c>
      <c r="L204" s="2042"/>
      <c r="M204" s="840">
        <v>91</v>
      </c>
      <c r="N204" s="2294" t="s">
        <v>3173</v>
      </c>
      <c r="O204" s="2294"/>
      <c r="P204" s="2294"/>
      <c r="Q204" s="2294"/>
      <c r="R204" s="2295"/>
      <c r="S204" s="842">
        <v>91</v>
      </c>
      <c r="T204" s="2294" t="s">
        <v>3174</v>
      </c>
      <c r="U204" s="2294"/>
      <c r="V204" s="2294"/>
      <c r="W204" s="2294"/>
      <c r="X204" s="2295"/>
      <c r="AI204" s="785" t="s">
        <v>3175</v>
      </c>
      <c r="AK204" s="867" t="s">
        <v>3176</v>
      </c>
      <c r="AM204" s="864" t="s">
        <v>2055</v>
      </c>
    </row>
    <row r="205" spans="2:39" ht="15.6" customHeight="1">
      <c r="B205" s="738" t="s">
        <v>3177</v>
      </c>
      <c r="C205" s="834" t="s">
        <v>2146</v>
      </c>
      <c r="D205" s="614" t="s">
        <v>3178</v>
      </c>
      <c r="E205" s="614" t="s">
        <v>99</v>
      </c>
      <c r="F205" s="614" t="s">
        <v>3179</v>
      </c>
      <c r="G205" s="614" t="s">
        <v>3180</v>
      </c>
      <c r="H205" s="614" t="s">
        <v>3181</v>
      </c>
      <c r="I205" s="614" t="s">
        <v>3182</v>
      </c>
      <c r="J205" s="819" t="s">
        <v>3183</v>
      </c>
      <c r="K205" s="672" t="s">
        <v>3184</v>
      </c>
      <c r="L205" s="2042"/>
      <c r="M205" s="840">
        <v>92</v>
      </c>
      <c r="N205" s="2294" t="s">
        <v>3185</v>
      </c>
      <c r="O205" s="2294"/>
      <c r="P205" s="2294"/>
      <c r="Q205" s="2294"/>
      <c r="R205" s="2295"/>
      <c r="S205" s="842">
        <v>92</v>
      </c>
      <c r="T205" s="2294" t="s">
        <v>3186</v>
      </c>
      <c r="U205" s="2294"/>
      <c r="V205" s="2294"/>
      <c r="W205" s="2294"/>
      <c r="X205" s="2295"/>
      <c r="AI205" s="785" t="s">
        <v>3187</v>
      </c>
      <c r="AK205" s="867" t="s">
        <v>3188</v>
      </c>
      <c r="AL205" s="428"/>
      <c r="AM205" s="864" t="s">
        <v>2061</v>
      </c>
    </row>
    <row r="206" spans="2:39" ht="15.6" customHeight="1">
      <c r="B206" s="738" t="s">
        <v>149</v>
      </c>
      <c r="C206" s="834" t="s">
        <v>2161</v>
      </c>
      <c r="D206" s="614" t="s">
        <v>3178</v>
      </c>
      <c r="E206" s="614" t="s">
        <v>99</v>
      </c>
      <c r="F206" s="614" t="s">
        <v>3189</v>
      </c>
      <c r="G206" s="614" t="s">
        <v>3190</v>
      </c>
      <c r="H206" s="614" t="s">
        <v>3191</v>
      </c>
      <c r="I206" s="614" t="s">
        <v>3192</v>
      </c>
      <c r="J206" s="614" t="s">
        <v>3193</v>
      </c>
      <c r="K206" s="672" t="s">
        <v>3194</v>
      </c>
      <c r="L206" s="2042"/>
      <c r="M206" s="840">
        <v>93</v>
      </c>
      <c r="N206" s="2294" t="s">
        <v>3195</v>
      </c>
      <c r="O206" s="2294"/>
      <c r="P206" s="2294"/>
      <c r="Q206" s="2294"/>
      <c r="R206" s="2295"/>
      <c r="S206" s="842">
        <v>93</v>
      </c>
      <c r="T206" s="2294" t="s">
        <v>3196</v>
      </c>
      <c r="U206" s="2294"/>
      <c r="V206" s="2294"/>
      <c r="W206" s="2294"/>
      <c r="X206" s="2295"/>
      <c r="AI206" s="785" t="s">
        <v>3197</v>
      </c>
      <c r="AK206" s="867" t="s">
        <v>3198</v>
      </c>
      <c r="AL206" s="428"/>
      <c r="AM206" s="428" t="s">
        <v>2067</v>
      </c>
    </row>
    <row r="207" spans="2:39" ht="15.6" customHeight="1">
      <c r="B207" s="738" t="s">
        <v>151</v>
      </c>
      <c r="C207" s="834" t="s">
        <v>2161</v>
      </c>
      <c r="D207" s="614" t="s">
        <v>3178</v>
      </c>
      <c r="E207" s="614" t="s">
        <v>99</v>
      </c>
      <c r="F207" s="614" t="s">
        <v>3199</v>
      </c>
      <c r="G207" s="614" t="s">
        <v>3200</v>
      </c>
      <c r="H207" s="856" t="s">
        <v>3201</v>
      </c>
      <c r="I207" s="614" t="s">
        <v>3202</v>
      </c>
      <c r="J207" s="614" t="s">
        <v>3203</v>
      </c>
      <c r="K207" s="672" t="s">
        <v>3204</v>
      </c>
      <c r="L207" s="2042"/>
      <c r="M207" s="840">
        <v>94</v>
      </c>
      <c r="N207" s="2294" t="s">
        <v>3205</v>
      </c>
      <c r="O207" s="2294"/>
      <c r="P207" s="2294"/>
      <c r="Q207" s="2294"/>
      <c r="R207" s="2295"/>
      <c r="S207" s="842">
        <v>94</v>
      </c>
      <c r="T207" s="2294" t="s">
        <v>3206</v>
      </c>
      <c r="U207" s="2294"/>
      <c r="V207" s="2294"/>
      <c r="W207" s="2294"/>
      <c r="X207" s="2295"/>
      <c r="AI207" s="785"/>
      <c r="AK207" s="867" t="s">
        <v>3207</v>
      </c>
      <c r="AL207" s="428"/>
      <c r="AM207" s="428" t="s">
        <v>2075</v>
      </c>
    </row>
    <row r="208" spans="2:39" ht="15.6" customHeight="1">
      <c r="B208" s="738" t="s">
        <v>154</v>
      </c>
      <c r="C208" s="834" t="s">
        <v>2161</v>
      </c>
      <c r="D208" s="614" t="s">
        <v>3178</v>
      </c>
      <c r="E208" s="614" t="s">
        <v>3208</v>
      </c>
      <c r="F208" s="614" t="s">
        <v>3209</v>
      </c>
      <c r="G208" s="614" t="s">
        <v>3210</v>
      </c>
      <c r="H208" s="614" t="s">
        <v>3211</v>
      </c>
      <c r="I208" s="614" t="s">
        <v>3212</v>
      </c>
      <c r="J208" s="614" t="s">
        <v>3213</v>
      </c>
      <c r="K208" s="672" t="s">
        <v>3214</v>
      </c>
      <c r="L208" s="2042"/>
      <c r="M208" s="840">
        <v>95</v>
      </c>
      <c r="N208" s="2294" t="s">
        <v>3215</v>
      </c>
      <c r="O208" s="2294"/>
      <c r="P208" s="2294"/>
      <c r="Q208" s="2294"/>
      <c r="R208" s="2295"/>
      <c r="S208" s="842">
        <v>95</v>
      </c>
      <c r="T208" s="2294" t="s">
        <v>3216</v>
      </c>
      <c r="U208" s="2294"/>
      <c r="V208" s="2294"/>
      <c r="W208" s="2294"/>
      <c r="X208" s="2295"/>
      <c r="AI208" s="785" t="s">
        <v>3217</v>
      </c>
      <c r="AK208" s="867" t="s">
        <v>3218</v>
      </c>
      <c r="AL208" s="428"/>
      <c r="AM208" s="428" t="s">
        <v>2084</v>
      </c>
    </row>
    <row r="209" spans="2:39" ht="15.6" customHeight="1">
      <c r="B209" s="738" t="s">
        <v>74</v>
      </c>
      <c r="C209" s="834" t="s">
        <v>2161</v>
      </c>
      <c r="D209" s="614" t="s">
        <v>3178</v>
      </c>
      <c r="E209" s="614" t="s">
        <v>3219</v>
      </c>
      <c r="F209" s="614" t="s">
        <v>3220</v>
      </c>
      <c r="G209" s="614" t="s">
        <v>99</v>
      </c>
      <c r="H209" s="614" t="s">
        <v>99</v>
      </c>
      <c r="I209" s="614" t="s">
        <v>3221</v>
      </c>
      <c r="J209" s="614" t="s">
        <v>3222</v>
      </c>
      <c r="K209" s="672" t="s">
        <v>3223</v>
      </c>
      <c r="L209" s="2042"/>
      <c r="M209" s="840">
        <v>96</v>
      </c>
      <c r="N209" s="2294" t="s">
        <v>3224</v>
      </c>
      <c r="O209" s="2294"/>
      <c r="P209" s="2294"/>
      <c r="Q209" s="2294"/>
      <c r="R209" s="2295"/>
      <c r="S209" s="842">
        <v>96</v>
      </c>
      <c r="T209" s="2294" t="s">
        <v>3225</v>
      </c>
      <c r="U209" s="2294"/>
      <c r="V209" s="2294"/>
      <c r="W209" s="2294"/>
      <c r="X209" s="2295"/>
      <c r="AI209" s="785" t="s">
        <v>3226</v>
      </c>
      <c r="AK209" s="867" t="s">
        <v>3227</v>
      </c>
      <c r="AL209" s="428"/>
      <c r="AM209" s="428" t="s">
        <v>2092</v>
      </c>
    </row>
    <row r="210" spans="2:39" ht="15.6" customHeight="1">
      <c r="B210" s="738" t="s">
        <v>157</v>
      </c>
      <c r="C210" s="834" t="s">
        <v>2161</v>
      </c>
      <c r="D210" s="614" t="s">
        <v>3228</v>
      </c>
      <c r="E210" s="614" t="s">
        <v>99</v>
      </c>
      <c r="F210" s="614" t="s">
        <v>3229</v>
      </c>
      <c r="G210" s="614" t="s">
        <v>3230</v>
      </c>
      <c r="H210" s="614" t="s">
        <v>3231</v>
      </c>
      <c r="I210" s="614" t="s">
        <v>2621</v>
      </c>
      <c r="J210" s="614" t="s">
        <v>99</v>
      </c>
      <c r="K210" s="672" t="s">
        <v>99</v>
      </c>
      <c r="L210" s="2042"/>
      <c r="M210" s="840">
        <v>97</v>
      </c>
      <c r="N210" s="2294" t="s">
        <v>3232</v>
      </c>
      <c r="O210" s="2294"/>
      <c r="P210" s="2294"/>
      <c r="Q210" s="2294"/>
      <c r="R210" s="2295"/>
      <c r="S210" s="842">
        <v>97</v>
      </c>
      <c r="T210" s="2294" t="s">
        <v>3233</v>
      </c>
      <c r="U210" s="2294"/>
      <c r="V210" s="2294"/>
      <c r="W210" s="2294"/>
      <c r="X210" s="2295"/>
      <c r="AI210" s="785" t="s">
        <v>3234</v>
      </c>
      <c r="AK210" s="867" t="s">
        <v>225</v>
      </c>
      <c r="AL210" s="428"/>
      <c r="AM210" s="428" t="s">
        <v>2100</v>
      </c>
    </row>
    <row r="211" spans="2:39" ht="15.6" customHeight="1">
      <c r="B211" s="738" t="s">
        <v>159</v>
      </c>
      <c r="C211" s="834" t="s">
        <v>2161</v>
      </c>
      <c r="D211" s="614" t="s">
        <v>3235</v>
      </c>
      <c r="E211" s="614" t="s">
        <v>99</v>
      </c>
      <c r="F211" s="779" t="s">
        <v>3236</v>
      </c>
      <c r="G211" s="614" t="s">
        <v>99</v>
      </c>
      <c r="H211" s="614" t="s">
        <v>99</v>
      </c>
      <c r="I211" s="614" t="s">
        <v>99</v>
      </c>
      <c r="J211" s="614" t="s">
        <v>99</v>
      </c>
      <c r="K211" s="672" t="s">
        <v>99</v>
      </c>
      <c r="L211" s="2042"/>
      <c r="M211" s="840">
        <v>98</v>
      </c>
      <c r="N211" s="2294" t="s">
        <v>3237</v>
      </c>
      <c r="O211" s="2294"/>
      <c r="P211" s="2294"/>
      <c r="Q211" s="2294"/>
      <c r="R211" s="2295"/>
      <c r="S211" s="842">
        <v>98</v>
      </c>
      <c r="T211" s="2294" t="s">
        <v>3238</v>
      </c>
      <c r="U211" s="2294"/>
      <c r="V211" s="2294"/>
      <c r="W211" s="2294"/>
      <c r="X211" s="2295"/>
      <c r="AI211" s="785" t="s">
        <v>3239</v>
      </c>
      <c r="AK211" s="867" t="s">
        <v>3240</v>
      </c>
      <c r="AL211" s="428"/>
      <c r="AM211" s="428" t="s">
        <v>2108</v>
      </c>
    </row>
    <row r="212" spans="2:39" ht="15.6" customHeight="1">
      <c r="B212" s="633">
        <f>人物卡!AU26</f>
        <v>0</v>
      </c>
      <c r="C212" s="878">
        <f>人物卡!BA26</f>
        <v>0</v>
      </c>
      <c r="D212" s="634" t="s">
        <v>161</v>
      </c>
      <c r="E212" s="634" t="s">
        <v>225</v>
      </c>
      <c r="F212" s="634" t="str">
        <f>IF(ISBLANK(人物卡!BA29),"",人物卡!BA29)</f>
        <v>基础值</v>
      </c>
      <c r="G212" s="634" t="s">
        <v>225</v>
      </c>
      <c r="H212" s="634" t="s">
        <v>225</v>
      </c>
      <c r="I212" s="634" t="s">
        <v>225</v>
      </c>
      <c r="J212" s="634" t="s">
        <v>225</v>
      </c>
      <c r="K212" s="677" t="s">
        <v>225</v>
      </c>
      <c r="L212" s="2042"/>
      <c r="M212" s="840">
        <v>99</v>
      </c>
      <c r="N212" s="2294" t="s">
        <v>3241</v>
      </c>
      <c r="O212" s="2294"/>
      <c r="P212" s="2294"/>
      <c r="Q212" s="2294"/>
      <c r="R212" s="2295"/>
      <c r="S212" s="842">
        <v>99</v>
      </c>
      <c r="T212" s="2294" t="s">
        <v>3242</v>
      </c>
      <c r="U212" s="2294"/>
      <c r="V212" s="2294"/>
      <c r="W212" s="2294"/>
      <c r="X212" s="2295"/>
      <c r="AI212" s="785" t="s">
        <v>322</v>
      </c>
      <c r="AK212" s="867" t="s">
        <v>3243</v>
      </c>
      <c r="AL212" s="428"/>
      <c r="AM212" s="428" t="s">
        <v>2116</v>
      </c>
    </row>
    <row r="213" spans="2:39" ht="15.6" customHeight="1">
      <c r="B213" s="779" t="s">
        <v>3244</v>
      </c>
      <c r="C213" s="614">
        <v>0</v>
      </c>
      <c r="D213" s="614">
        <v>0</v>
      </c>
      <c r="E213" s="614">
        <v>0</v>
      </c>
      <c r="F213" s="614">
        <v>0</v>
      </c>
      <c r="G213" s="614">
        <v>0</v>
      </c>
      <c r="H213" s="614">
        <v>0</v>
      </c>
      <c r="I213" s="614">
        <v>0</v>
      </c>
      <c r="J213" s="614">
        <v>0</v>
      </c>
      <c r="K213" s="614">
        <v>0</v>
      </c>
      <c r="L213" s="2042"/>
      <c r="M213" s="840">
        <v>100</v>
      </c>
      <c r="N213" s="2294" t="s">
        <v>3245</v>
      </c>
      <c r="O213" s="2294"/>
      <c r="P213" s="2294"/>
      <c r="Q213" s="2294"/>
      <c r="R213" s="2295"/>
      <c r="S213" s="842">
        <v>100</v>
      </c>
      <c r="T213" s="2294" t="s">
        <v>3246</v>
      </c>
      <c r="U213" s="2294"/>
      <c r="V213" s="2294"/>
      <c r="W213" s="2294"/>
      <c r="X213" s="2295"/>
      <c r="AI213" s="785"/>
      <c r="AK213" s="867" t="s">
        <v>3247</v>
      </c>
      <c r="AL213" s="428"/>
    </row>
    <row r="214" spans="2:39" ht="15.6" customHeight="1">
      <c r="L214" s="2042"/>
      <c r="M214" s="840"/>
      <c r="N214" s="2294" t="s">
        <v>3248</v>
      </c>
      <c r="O214" s="2294"/>
      <c r="P214" s="2294"/>
      <c r="Q214" s="2294"/>
      <c r="R214" s="2295"/>
      <c r="S214" s="516"/>
      <c r="T214" s="2328"/>
      <c r="U214" s="2328"/>
      <c r="V214" s="2328"/>
      <c r="W214" s="2328"/>
      <c r="X214" s="2329"/>
      <c r="AK214" s="867" t="s">
        <v>3249</v>
      </c>
      <c r="AL214" s="428"/>
    </row>
    <row r="215" spans="2:39" ht="15.6" customHeight="1">
      <c r="M215" s="880"/>
      <c r="N215" s="2324" t="s">
        <v>3250</v>
      </c>
      <c r="O215" s="2324"/>
      <c r="P215" s="2324"/>
      <c r="Q215" s="2324"/>
      <c r="R215" s="2325"/>
      <c r="S215" s="896"/>
      <c r="T215" s="2326"/>
      <c r="U215" s="2326"/>
      <c r="V215" s="2326"/>
      <c r="W215" s="2326"/>
      <c r="X215" s="2327"/>
      <c r="AK215" s="867" t="s">
        <v>3251</v>
      </c>
      <c r="AL215" s="428"/>
    </row>
    <row r="216" spans="2:39" ht="24">
      <c r="AK216" s="867" t="s">
        <v>3252</v>
      </c>
    </row>
    <row r="217" spans="2:39" ht="15.6">
      <c r="M217" s="2281" t="s">
        <v>2208</v>
      </c>
      <c r="N217" s="2282"/>
      <c r="O217" s="2281" t="s">
        <v>3008</v>
      </c>
      <c r="P217" s="2282"/>
      <c r="Q217" s="2283" t="s">
        <v>2698</v>
      </c>
      <c r="R217" s="2284"/>
      <c r="S217" s="2285" t="s">
        <v>384</v>
      </c>
      <c r="T217" s="2284"/>
      <c r="U217" s="2286" t="s">
        <v>164</v>
      </c>
      <c r="V217" s="2287"/>
      <c r="AK217" s="867" t="s">
        <v>3253</v>
      </c>
      <c r="AL217" s="428"/>
    </row>
    <row r="218" spans="2:39" ht="24">
      <c r="M218" s="881" t="s">
        <v>330</v>
      </c>
      <c r="N218" s="882" t="s">
        <v>96</v>
      </c>
      <c r="O218" s="881" t="s">
        <v>330</v>
      </c>
      <c r="P218" s="882" t="s">
        <v>96</v>
      </c>
      <c r="Q218" s="881" t="s">
        <v>330</v>
      </c>
      <c r="R218" s="897" t="s">
        <v>96</v>
      </c>
      <c r="S218" s="898" t="s">
        <v>330</v>
      </c>
      <c r="T218" s="899" t="s">
        <v>96</v>
      </c>
      <c r="U218" s="900" t="s">
        <v>330</v>
      </c>
      <c r="V218" s="897" t="s">
        <v>96</v>
      </c>
      <c r="AK218" s="867" t="s">
        <v>3254</v>
      </c>
      <c r="AL218" s="428"/>
    </row>
    <row r="219" spans="2:39" ht="19.05" customHeight="1">
      <c r="M219" s="883" t="s">
        <v>1377</v>
      </c>
      <c r="N219" s="884">
        <v>5</v>
      </c>
      <c r="O219" s="883" t="s">
        <v>3020</v>
      </c>
      <c r="P219" s="884">
        <v>1</v>
      </c>
      <c r="Q219" s="885" t="s">
        <v>139</v>
      </c>
      <c r="R219" s="888">
        <v>20</v>
      </c>
      <c r="S219" s="901" t="s">
        <v>3255</v>
      </c>
      <c r="T219" s="902">
        <v>1</v>
      </c>
      <c r="U219" s="903" t="s">
        <v>126</v>
      </c>
      <c r="V219" s="887">
        <v>25</v>
      </c>
      <c r="Z219" s="2288" t="s">
        <v>3256</v>
      </c>
      <c r="AA219" s="2288"/>
      <c r="AB219" s="2288"/>
      <c r="AC219" s="2288"/>
      <c r="AD219" s="2288"/>
      <c r="AE219" s="2288"/>
      <c r="AF219" s="2288"/>
      <c r="AG219" s="2288"/>
      <c r="AH219" s="2288"/>
      <c r="AK219" s="867" t="s">
        <v>3257</v>
      </c>
      <c r="AL219" s="428"/>
    </row>
    <row r="220" spans="2:39" ht="18" customHeight="1">
      <c r="M220" s="885" t="s">
        <v>2231</v>
      </c>
      <c r="N220" s="886">
        <v>5</v>
      </c>
      <c r="O220" s="885" t="s">
        <v>1425</v>
      </c>
      <c r="P220" s="886">
        <v>1</v>
      </c>
      <c r="Q220" s="883" t="s">
        <v>393</v>
      </c>
      <c r="R220" s="887">
        <v>25</v>
      </c>
      <c r="S220" s="904" t="s">
        <v>1418</v>
      </c>
      <c r="T220" s="905">
        <v>1</v>
      </c>
      <c r="U220" s="903" t="s">
        <v>2629</v>
      </c>
      <c r="V220" s="887">
        <v>5</v>
      </c>
      <c r="Z220" s="916"/>
      <c r="AA220" s="917"/>
      <c r="AB220" s="918"/>
      <c r="AC220" s="918"/>
      <c r="AD220" s="918"/>
      <c r="AE220" s="918"/>
      <c r="AF220" s="918"/>
      <c r="AG220" s="918"/>
      <c r="AH220" s="918"/>
      <c r="AJ220" s="871"/>
      <c r="AK220" s="867" t="s">
        <v>225</v>
      </c>
      <c r="AL220" s="428"/>
    </row>
    <row r="221" spans="2:39" ht="18" customHeight="1">
      <c r="M221" s="883" t="s">
        <v>1382</v>
      </c>
      <c r="N221" s="884">
        <v>5</v>
      </c>
      <c r="O221" s="883" t="s">
        <v>3034</v>
      </c>
      <c r="P221" s="884">
        <v>1</v>
      </c>
      <c r="Q221" s="885" t="s">
        <v>2718</v>
      </c>
      <c r="R221" s="888">
        <v>15</v>
      </c>
      <c r="S221" s="906" t="str">
        <f>IF(ISBLANK(人物卡!AU26),"",人物卡!AU26)</f>
        <v/>
      </c>
      <c r="T221" s="905" t="str">
        <f>IF(ISBLANK(人物卡!BA26),"",人物卡!BA26)</f>
        <v/>
      </c>
      <c r="U221" s="907" t="s">
        <v>2640</v>
      </c>
      <c r="V221" s="888">
        <v>10</v>
      </c>
      <c r="Z221" s="2289" t="s">
        <v>3258</v>
      </c>
      <c r="AA221" s="2290"/>
      <c r="AB221" s="2254" t="str">
        <f>IF(AD222&lt;=0,"连贫穷都够不上的人才能够叫做身无分文。住所：大概只有睡大街。旅行：步行，扒车或逃票上火车轮船。",IF(AD222&lt;=9,"刚好买得起最廉价的屋顶，每天能够吃到一餐廉价食物住所：最最最廉价的出租屋或睡袋旅馆。旅行：最便宜的公众运输方式。反正只要赶便宜就对了，与之相伴的是不可靠。",IF(AD222&lt;=49,"舒适的生活水平，一日三餐，偶尔下馆子。住所：普通的家或公寓，并关租赁还是自购。外出住普通的旅馆。旅行：会使用普通的旅行方式，不会用最高级。在现代来看，大概会有一辆自己的小车。",IF(AD222&lt;=89,"小康级别已经可以享受奢侈品的舒适了。住所：真材实料的住地，也许会有一些仆人（管家，主妇，清洁工，园丁，等等）。乡下估计还有小别墅。会住昂贵的宾馆。旅行：头等舱。会买高档车或同等的交通工具。",IF(AD222&lt;=98,"富裕级别就是享受超级奢侈品的时候了。住所：豪华住所和有着大量仆人的庭院。乡下和别处有着别墅是定番。住总统套房。旅行：头等舱。现代社会估摸还会有很多豪车。",IF(AD222=99,"与富裕差不多，但钱已经只是一个代号了。你将是世界上最富有的人。","请正确分配您的技能点！"))))))</f>
        <v>舒适的生活水平，一日三餐，偶尔下馆子。住所：普通的家或公寓，并关租赁还是自购。外出住普通的旅馆。旅行：会使用普通的旅行方式，不会用最高级。在现代来看，大概会有一辆自己的小车。</v>
      </c>
      <c r="AC221" s="2255"/>
      <c r="AD221" s="919" t="s">
        <v>3259</v>
      </c>
      <c r="AE221" s="2291" t="s">
        <v>3260</v>
      </c>
      <c r="AF221" s="2292"/>
      <c r="AG221" s="2293"/>
      <c r="AH221" s="918"/>
      <c r="AK221" s="867" t="s">
        <v>3261</v>
      </c>
      <c r="AL221" s="428"/>
    </row>
    <row r="222" spans="2:39" ht="18" customHeight="1">
      <c r="M222" s="885" t="s">
        <v>1381</v>
      </c>
      <c r="N222" s="886">
        <v>5</v>
      </c>
      <c r="O222" s="885" t="s">
        <v>1423</v>
      </c>
      <c r="P222" s="886">
        <v>1</v>
      </c>
      <c r="Q222" s="883" t="s">
        <v>1409</v>
      </c>
      <c r="R222" s="887">
        <v>15</v>
      </c>
      <c r="T222" s="908"/>
      <c r="U222" s="903" t="s">
        <v>2674</v>
      </c>
      <c r="V222" s="887">
        <v>10</v>
      </c>
      <c r="Z222" s="2277" t="s">
        <v>101</v>
      </c>
      <c r="AA222" s="2310"/>
      <c r="AB222" s="2256"/>
      <c r="AC222" s="2257"/>
      <c r="AD222" s="731">
        <f>人物卡!R26</f>
        <v>15</v>
      </c>
      <c r="AE222" s="920"/>
      <c r="AF222" s="920" t="s">
        <v>14</v>
      </c>
      <c r="AG222" s="952">
        <v>1920</v>
      </c>
      <c r="AH222" s="918"/>
      <c r="AK222" s="867" t="s">
        <v>3262</v>
      </c>
      <c r="AL222" s="428"/>
    </row>
    <row r="223" spans="2:39" ht="18" customHeight="1">
      <c r="M223" s="883" t="s">
        <v>1393</v>
      </c>
      <c r="N223" s="884">
        <v>5</v>
      </c>
      <c r="O223" s="883" t="s">
        <v>1428</v>
      </c>
      <c r="P223" s="884">
        <v>1</v>
      </c>
      <c r="Q223" s="885" t="s">
        <v>2737</v>
      </c>
      <c r="R223" s="888">
        <v>10</v>
      </c>
      <c r="T223" s="908"/>
      <c r="U223" s="907" t="s">
        <v>2668</v>
      </c>
      <c r="V223" s="888">
        <v>15</v>
      </c>
      <c r="Z223" s="2311" t="str">
        <f>AD222&amp;"%/"&amp;AD223&amp;"%/"&amp;AD224&amp;"%"</f>
        <v>15%/7%/3%</v>
      </c>
      <c r="AA223" s="2312"/>
      <c r="AB223" s="2256"/>
      <c r="AC223" s="2257"/>
      <c r="AD223" s="731">
        <f>人物卡!T26</f>
        <v>7</v>
      </c>
      <c r="AE223" s="921" t="s">
        <v>185</v>
      </c>
      <c r="AF223" s="922" t="str">
        <f>VLOOKUP(AF226,Z243:AC263,2,FALSE)</f>
        <v>10</v>
      </c>
      <c r="AG223" s="953" t="str">
        <f>VLOOKUP(AF226,AE243:AH263,2,FALSE)</f>
        <v>10</v>
      </c>
      <c r="AH223" s="918"/>
      <c r="AK223" s="867" t="s">
        <v>3263</v>
      </c>
      <c r="AL223" s="428"/>
    </row>
    <row r="224" spans="2:39" ht="18" customHeight="1">
      <c r="M224" s="885" t="s">
        <v>1388</v>
      </c>
      <c r="N224" s="886">
        <v>5</v>
      </c>
      <c r="O224" s="885" t="s">
        <v>3051</v>
      </c>
      <c r="P224" s="886">
        <v>1</v>
      </c>
      <c r="Q224" s="883" t="s">
        <v>2749</v>
      </c>
      <c r="R224" s="887">
        <v>10</v>
      </c>
      <c r="T224" s="908"/>
      <c r="U224" s="907" t="s">
        <v>2651</v>
      </c>
      <c r="V224" s="888">
        <v>15</v>
      </c>
      <c r="Z224" s="2313" t="s">
        <v>184</v>
      </c>
      <c r="AA224" s="2314"/>
      <c r="AB224" s="2256"/>
      <c r="AC224" s="2257"/>
      <c r="AD224" s="923">
        <f>人物卡!V26</f>
        <v>3</v>
      </c>
      <c r="AE224" s="921" t="s">
        <v>3264</v>
      </c>
      <c r="AF224" s="924">
        <f>VLOOKUP(AF226,Z243:AC263,3,FALSE)</f>
        <v>30</v>
      </c>
      <c r="AG224" s="731">
        <f>VLOOKUP(AF226,AE243:AH263,3,FALSE)</f>
        <v>30</v>
      </c>
      <c r="AH224" s="918"/>
      <c r="AK224" s="867" t="s">
        <v>3265</v>
      </c>
    </row>
    <row r="225" spans="13:37" ht="18" customHeight="1">
      <c r="M225" s="883" t="s">
        <v>2268</v>
      </c>
      <c r="N225" s="884">
        <v>5</v>
      </c>
      <c r="O225" s="883" t="s">
        <v>1430</v>
      </c>
      <c r="P225" s="884">
        <v>1</v>
      </c>
      <c r="Q225" s="889" t="s">
        <v>2762</v>
      </c>
      <c r="R225" s="890">
        <v>10</v>
      </c>
      <c r="T225" s="908"/>
      <c r="U225" s="903" t="s">
        <v>1407</v>
      </c>
      <c r="V225" s="887">
        <v>20</v>
      </c>
      <c r="Z225" s="2315" t="str">
        <f>LOOKUP(AD222,{0,1,10,50,90,99},{"身无分文","贫穷","标准","小康","富裕","富豪"})</f>
        <v>标准</v>
      </c>
      <c r="AA225" s="2316"/>
      <c r="AB225" s="2256"/>
      <c r="AC225" s="2257"/>
      <c r="AD225" s="918"/>
      <c r="AE225" s="925" t="s">
        <v>186</v>
      </c>
      <c r="AF225" s="926">
        <f>VLOOKUP(AF226,Z243:AC263,4,FALSE)</f>
        <v>750</v>
      </c>
      <c r="AG225" s="923">
        <f>VLOOKUP(AF226,AE243:AH263,4,FALSE)</f>
        <v>750</v>
      </c>
      <c r="AH225" s="918"/>
      <c r="AK225" s="867" t="s">
        <v>3266</v>
      </c>
    </row>
    <row r="226" spans="13:37" ht="18" customHeight="1">
      <c r="M226" s="885" t="s">
        <v>1391</v>
      </c>
      <c r="N226" s="886">
        <v>5</v>
      </c>
      <c r="O226" s="885" t="s">
        <v>3062</v>
      </c>
      <c r="P226" s="886">
        <v>1</v>
      </c>
      <c r="Q226" s="889" t="str">
        <f>IF(ISBLANK(人物卡!AU26),"",人物卡!AU26)</f>
        <v/>
      </c>
      <c r="R226" s="891" t="str">
        <f>IF(ISBLANK(人物卡!BA26),"",人物卡!BA26)</f>
        <v/>
      </c>
      <c r="T226" s="908"/>
      <c r="U226" s="909" t="s">
        <v>1406</v>
      </c>
      <c r="V226" s="910">
        <v>20</v>
      </c>
      <c r="Z226" s="2317" t="s">
        <v>185</v>
      </c>
      <c r="AA226" s="2318"/>
      <c r="AB226" s="2256"/>
      <c r="AC226" s="2257"/>
      <c r="AD226" s="918"/>
      <c r="AE226" s="927" t="s">
        <v>3267</v>
      </c>
      <c r="AF226" s="928" t="str">
        <f>人物卡!S62</f>
        <v>美元</v>
      </c>
      <c r="AG226" s="918"/>
      <c r="AH226" s="918"/>
      <c r="AK226" s="867" t="s">
        <v>3268</v>
      </c>
    </row>
    <row r="227" spans="13:37" ht="18" customHeight="1">
      <c r="M227" s="883" t="s">
        <v>2285</v>
      </c>
      <c r="N227" s="884">
        <v>5</v>
      </c>
      <c r="O227" s="883" t="s">
        <v>3068</v>
      </c>
      <c r="P227" s="887">
        <v>1</v>
      </c>
      <c r="Q227" s="908"/>
      <c r="T227" s="908"/>
      <c r="U227" s="911" t="str">
        <f>IF(ISBLANK(人物卡!AU26),"",人物卡!AU26)</f>
        <v/>
      </c>
      <c r="V227" s="891" t="str">
        <f>IF(ISBLANK(人物卡!BA26),"",人物卡!BA26)</f>
        <v/>
      </c>
      <c r="Z227" s="2319" t="str">
        <f>IF(AF227="1920s",IF(AD222=0,"0.5",IF(AND(AD222&gt;0,AD222&lt;10),"2",IF(AND(AD222&gt;9,AD222&lt;50),"10",IF(AND(AD222&gt;49,AD222&lt;90),"50",IF(AND(AD222&gt;89,AD222&lt;99),"250",IF(AD222&gt;=99,"5000","信誉异常")))))),IF(AF227="现代",IF(AD222=0,"10",IF(AND(AD222&gt;0,AD222&lt;10),"40",IF(AND(AD222&gt;9,AD222&lt;50),"200",IF(AND(AD222&gt;49,AD222&lt;90),"1000",IF(AND(AD222&gt;89,AD222&lt;99),"5000",IF(AD222&gt;=99,"100000","信誉异常")))))),IF(AF227="其他","——","信誉异常")))</f>
        <v>10</v>
      </c>
      <c r="AA227" s="2320"/>
      <c r="AB227" s="2256"/>
      <c r="AC227" s="2257"/>
      <c r="AD227" s="918"/>
      <c r="AE227" s="929" t="s">
        <v>3269</v>
      </c>
      <c r="AF227" s="730" t="str">
        <f>人物卡!M4</f>
        <v>1920s</v>
      </c>
      <c r="AG227" s="918"/>
      <c r="AH227" s="918"/>
      <c r="AK227" s="867" t="s">
        <v>225</v>
      </c>
    </row>
    <row r="228" spans="13:37" ht="18" customHeight="1">
      <c r="M228" s="885" t="s">
        <v>2294</v>
      </c>
      <c r="N228" s="886">
        <v>5</v>
      </c>
      <c r="O228" s="885" t="s">
        <v>3074</v>
      </c>
      <c r="P228" s="888">
        <v>1</v>
      </c>
      <c r="Q228" s="908"/>
      <c r="T228" s="908"/>
      <c r="U228" s="912"/>
      <c r="V228" s="912"/>
      <c r="Z228" s="2321" t="s">
        <v>186</v>
      </c>
      <c r="AA228" s="2278"/>
      <c r="AB228" s="2256"/>
      <c r="AC228" s="2257"/>
      <c r="AD228" s="918"/>
      <c r="AE228" s="2296" t="s">
        <v>3270</v>
      </c>
      <c r="AF228" s="2297"/>
      <c r="AG228" s="2298"/>
      <c r="AH228" s="918"/>
      <c r="AK228" s="867" t="s">
        <v>3271</v>
      </c>
    </row>
    <row r="229" spans="13:37" ht="18" customHeight="1">
      <c r="M229" s="883" t="s">
        <v>2301</v>
      </c>
      <c r="N229" s="884">
        <v>5</v>
      </c>
      <c r="O229" s="883" t="s">
        <v>3080</v>
      </c>
      <c r="P229" s="887">
        <v>1</v>
      </c>
      <c r="Q229" s="908"/>
      <c r="T229" s="908"/>
      <c r="U229" s="912"/>
      <c r="V229" s="912"/>
      <c r="Z229" s="2322">
        <f>IF(AF227="1920s",IF(AD222=0,"没有",IF(AND(AD222&gt;0,AD222&lt;10),AD222*10,IF(AND(AD222&gt;9,AD222&lt;50),AD222*50,IF(AND(AD222&gt;49,AD222&lt;90),AD222*500,IF(AND(AD222&gt;89,AD222&lt;99),AD222*2000,IF(AD222&gt;=99,"5000000","信誉异常")))))),IF(AF227="现代",IF(AD222=0,"没有",IF(AND(AD222&gt;0,AD222&lt;10),AD222*200,IF(AND(AD222&gt;9,AD222&lt;50),AD222*1000,IF(AND(AD222&gt;49,AD222&lt;90),AD222*10000,IF(AND(AD222&gt;89,AD222&lt;99),AD222*40000,IF(AD222&gt;=99,"100000000","信誉异常")))))),IF(AF227="其他","——","信誉异常")))</f>
        <v>750</v>
      </c>
      <c r="AA229" s="2323"/>
      <c r="AB229" s="2256"/>
      <c r="AC229" s="2257"/>
      <c r="AD229" s="918"/>
      <c r="AE229" s="930" t="s">
        <v>185</v>
      </c>
      <c r="AF229" s="931" t="s">
        <v>3264</v>
      </c>
      <c r="AG229" s="936" t="s">
        <v>186</v>
      </c>
      <c r="AH229" s="918"/>
      <c r="AK229" s="867" t="s">
        <v>3272</v>
      </c>
    </row>
    <row r="230" spans="13:37" ht="18" customHeight="1">
      <c r="M230" s="885" t="s">
        <v>1397</v>
      </c>
      <c r="N230" s="886">
        <v>5</v>
      </c>
      <c r="O230" s="885" t="s">
        <v>3085</v>
      </c>
      <c r="P230" s="888">
        <v>1</v>
      </c>
      <c r="Q230" s="908"/>
      <c r="T230" s="908"/>
      <c r="U230" s="912"/>
      <c r="V230" s="912"/>
      <c r="Z230" s="2277" t="s">
        <v>187</v>
      </c>
      <c r="AA230" s="2278"/>
      <c r="AB230" s="2256"/>
      <c r="AC230" s="2257"/>
      <c r="AD230" s="918"/>
      <c r="AE230" s="932" t="str">
        <f>IF(AF227="1920s",AG223,IF(AF227="现代",AF223,IF(AF227="其他","——")))</f>
        <v>10</v>
      </c>
      <c r="AF230" s="933">
        <f>IF(AF227="1920s",AG224,IF(AF227="现代",AF224,IF(AF227="其他","——")))</f>
        <v>30</v>
      </c>
      <c r="AG230" s="954">
        <f>IF(AF227="1920s",AG225,IF(AF227="现代",AF225,IF(AF227="其他","——")))</f>
        <v>750</v>
      </c>
      <c r="AH230" s="918"/>
      <c r="AK230" s="867" t="s">
        <v>3273</v>
      </c>
    </row>
    <row r="231" spans="13:37" ht="18" customHeight="1">
      <c r="M231" s="883" t="s">
        <v>2320</v>
      </c>
      <c r="N231" s="884">
        <v>5</v>
      </c>
      <c r="O231" s="889" t="s">
        <v>3091</v>
      </c>
      <c r="P231" s="890">
        <v>1</v>
      </c>
      <c r="Q231" s="908"/>
      <c r="T231" s="908"/>
      <c r="U231" s="912"/>
      <c r="V231" s="912"/>
      <c r="Z231" s="2279">
        <f>IF(AF227="1920s",IF(AD222=0,"0.5",IF(AND(AD222&gt;0,AD222&lt;10),AD222,IF(AND(AD222&gt;9,AD222&lt;50),AD222*2,IF(AND(AD222&gt;49,AD222&lt;90),AD222*5,IF(AND(AD222&gt;89,AD222&lt;99),AD222*20,IF(AD222&gt;=99,"50000","信誉异常")))))),IF(AF227="现代",IF(AD222=0,"10",IF(AND(AD222&gt;0,AD222&lt;10),AD222*20,IF(AND(AD222&gt;9,AD222&lt;50),AD222*40,IF(AND(AD222&gt;49,AD222&lt;90),AD222*100,IF(AND(AD222&gt;89,AD222&lt;99),AD222*400,IF(AD222&gt;=99,"1000000","信誉异常")))))),IF(AF227="其他","——","信誉异常")))</f>
        <v>30</v>
      </c>
      <c r="AA231" s="2280"/>
      <c r="AB231" s="2258"/>
      <c r="AC231" s="2259"/>
      <c r="AD231" s="918"/>
      <c r="AE231" s="934">
        <f>ABS(AE230)</f>
        <v>10</v>
      </c>
      <c r="AF231" s="934">
        <f>ABS(AF230)</f>
        <v>30</v>
      </c>
      <c r="AG231" s="934">
        <f>IF(AG230="没有",0,ABS(AG230))</f>
        <v>750</v>
      </c>
      <c r="AH231" s="918"/>
      <c r="AK231" s="867" t="s">
        <v>3274</v>
      </c>
    </row>
    <row r="232" spans="13:37" ht="18" customHeight="1">
      <c r="M232" s="885" t="s">
        <v>2332</v>
      </c>
      <c r="N232" s="886">
        <v>5</v>
      </c>
      <c r="O232" s="889" t="str">
        <f>IF(ISBLANK(人物卡!AU26),"",人物卡!AU26)</f>
        <v/>
      </c>
      <c r="P232" s="891" t="str">
        <f>IF(ISBLANK(人物卡!BA26),"",人物卡!BA26)</f>
        <v/>
      </c>
      <c r="Q232" s="908"/>
      <c r="T232" s="908"/>
      <c r="U232" s="912"/>
      <c r="V232" s="912"/>
      <c r="Z232" s="918"/>
      <c r="AA232" s="918"/>
      <c r="AB232" s="918"/>
      <c r="AC232" s="918"/>
      <c r="AD232" s="918"/>
      <c r="AE232" s="2296" t="s">
        <v>3275</v>
      </c>
      <c r="AF232" s="2297"/>
      <c r="AG232" s="2298"/>
      <c r="AH232" s="918"/>
      <c r="AK232" s="867" t="s">
        <v>3276</v>
      </c>
    </row>
    <row r="233" spans="13:37" ht="18" customHeight="1">
      <c r="M233" s="883" t="s">
        <v>1390</v>
      </c>
      <c r="N233" s="887">
        <v>5</v>
      </c>
      <c r="Q233" s="908"/>
      <c r="T233" s="908"/>
      <c r="Z233" s="2296" t="s">
        <v>3277</v>
      </c>
      <c r="AA233" s="2297"/>
      <c r="AB233" s="2297"/>
      <c r="AC233" s="2298"/>
      <c r="AD233" s="918"/>
      <c r="AE233" s="930" t="s">
        <v>185</v>
      </c>
      <c r="AF233" s="931" t="s">
        <v>3264</v>
      </c>
      <c r="AG233" s="936" t="s">
        <v>186</v>
      </c>
      <c r="AH233" s="918"/>
      <c r="AK233" s="867" t="s">
        <v>3278</v>
      </c>
    </row>
    <row r="234" spans="13:37" ht="18" customHeight="1">
      <c r="M234" s="885" t="s">
        <v>2352</v>
      </c>
      <c r="N234" s="888">
        <v>5</v>
      </c>
      <c r="Q234" s="908"/>
      <c r="R234" s="913"/>
      <c r="Z234" s="935"/>
      <c r="AA234" s="931" t="s">
        <v>185</v>
      </c>
      <c r="AB234" s="931" t="s">
        <v>3264</v>
      </c>
      <c r="AC234" s="936" t="s">
        <v>186</v>
      </c>
      <c r="AD234" s="785"/>
      <c r="AE234" s="937" t="str">
        <f>AE230/10000&amp;"万"</f>
        <v>0.001万</v>
      </c>
      <c r="AF234" s="938" t="str">
        <f>AF230/10000&amp;"万"</f>
        <v>0.003万</v>
      </c>
      <c r="AG234" s="955" t="str">
        <f>IF(AG230="没有","没有",AG230/10000&amp;"万")</f>
        <v>0.075万</v>
      </c>
      <c r="AH234" s="918"/>
      <c r="AK234" s="867" t="s">
        <v>3279</v>
      </c>
    </row>
    <row r="235" spans="13:37" ht="18" customHeight="1">
      <c r="M235" s="883" t="s">
        <v>2362</v>
      </c>
      <c r="N235" s="887">
        <v>5</v>
      </c>
      <c r="Q235" s="908"/>
      <c r="R235" s="913"/>
      <c r="S235" s="914"/>
      <c r="T235" s="908"/>
      <c r="Z235" s="935" t="s">
        <v>3275</v>
      </c>
      <c r="AA235" s="924">
        <f>IF((AE231&gt;=AA237),1,0)</f>
        <v>0</v>
      </c>
      <c r="AB235" s="924">
        <f>IF(AF231&gt;=AA237,1,0)</f>
        <v>0</v>
      </c>
      <c r="AC235" s="731">
        <f>IF(AG231&gt;=AA237,1,0)</f>
        <v>0</v>
      </c>
      <c r="AD235" s="918"/>
      <c r="AE235" s="2296" t="s">
        <v>3280</v>
      </c>
      <c r="AF235" s="2297"/>
      <c r="AG235" s="2298"/>
      <c r="AH235" s="918"/>
      <c r="AK235" s="867" t="s">
        <v>3281</v>
      </c>
    </row>
    <row r="236" spans="13:37" ht="18" customHeight="1">
      <c r="M236" s="885" t="s">
        <v>1402</v>
      </c>
      <c r="N236" s="888">
        <v>5</v>
      </c>
      <c r="Q236" s="908"/>
      <c r="R236" s="913"/>
      <c r="S236" s="914"/>
      <c r="X236" s="915"/>
      <c r="Z236" s="939" t="s">
        <v>3280</v>
      </c>
      <c r="AA236" s="926">
        <f>IF(AE231&gt;=AC237,1,0)</f>
        <v>0</v>
      </c>
      <c r="AB236" s="926">
        <f>IF(AF231&gt;=AC237,1,0)</f>
        <v>0</v>
      </c>
      <c r="AC236" s="923">
        <f>IF(AG231&gt;=AC237,1,0)</f>
        <v>0</v>
      </c>
      <c r="AD236" s="918"/>
      <c r="AE236" s="930" t="s">
        <v>185</v>
      </c>
      <c r="AF236" s="931" t="s">
        <v>3264</v>
      </c>
      <c r="AG236" s="936" t="s">
        <v>186</v>
      </c>
      <c r="AH236" s="918"/>
      <c r="AK236" s="867" t="s">
        <v>225</v>
      </c>
    </row>
    <row r="237" spans="13:37" ht="18" customHeight="1">
      <c r="M237" s="883" t="s">
        <v>2380</v>
      </c>
      <c r="N237" s="887">
        <v>5</v>
      </c>
      <c r="Q237" s="908"/>
      <c r="R237" s="913"/>
      <c r="S237" s="914"/>
      <c r="Z237" s="918"/>
      <c r="AA237" s="934">
        <v>10000</v>
      </c>
      <c r="AB237" s="918"/>
      <c r="AC237" s="940">
        <v>100000000</v>
      </c>
      <c r="AD237" s="918"/>
      <c r="AE237" s="937" t="str">
        <f>AE230/100000000&amp;"亿"</f>
        <v>0.0000001亿</v>
      </c>
      <c r="AF237" s="938" t="str">
        <f>AF230/100000000&amp;"亿"</f>
        <v>0.0000003亿</v>
      </c>
      <c r="AG237" s="955" t="str">
        <f>IF(AG230="没有","没有",AG230/100000000&amp;"亿")</f>
        <v>0.0000075亿</v>
      </c>
      <c r="AH237" s="918"/>
      <c r="AK237" s="867" t="s">
        <v>3282</v>
      </c>
    </row>
    <row r="238" spans="13:37" ht="18" customHeight="1">
      <c r="M238" s="885" t="s">
        <v>2393</v>
      </c>
      <c r="N238" s="888">
        <v>5</v>
      </c>
      <c r="Q238" s="908"/>
      <c r="R238" s="913"/>
      <c r="S238" s="914"/>
      <c r="Z238" s="918"/>
      <c r="AA238" s="918"/>
      <c r="AB238" s="918"/>
      <c r="AC238" s="918"/>
      <c r="AD238" s="918"/>
      <c r="AE238" s="2296" t="s">
        <v>1493</v>
      </c>
      <c r="AF238" s="2297"/>
      <c r="AG238" s="2298"/>
      <c r="AH238" s="918"/>
      <c r="AK238" s="867" t="s">
        <v>3283</v>
      </c>
    </row>
    <row r="239" spans="13:37" ht="18" customHeight="1">
      <c r="M239" s="883" t="s">
        <v>1384</v>
      </c>
      <c r="N239" s="887">
        <v>5</v>
      </c>
      <c r="Q239" s="908"/>
      <c r="R239" s="913"/>
      <c r="S239" s="914"/>
      <c r="Z239" s="918"/>
      <c r="AA239" s="918"/>
      <c r="AB239" s="918"/>
      <c r="AC239" s="918"/>
      <c r="AD239" s="918"/>
      <c r="AE239" s="930" t="s">
        <v>185</v>
      </c>
      <c r="AF239" s="931" t="s">
        <v>3264</v>
      </c>
      <c r="AG239" s="936" t="s">
        <v>186</v>
      </c>
      <c r="AH239" s="918"/>
      <c r="AK239" s="867" t="s">
        <v>3284</v>
      </c>
    </row>
    <row r="240" spans="13:37" ht="18" customHeight="1">
      <c r="M240" s="885" t="s">
        <v>2412</v>
      </c>
      <c r="N240" s="888">
        <v>5</v>
      </c>
      <c r="Q240" s="908"/>
      <c r="R240" s="913"/>
      <c r="S240" s="914"/>
      <c r="AE240" s="937" t="str">
        <f>IF(AF227="其他",AE230,IF(AA236=1,AE237,IF(AA235=1,AE234,AE230)))</f>
        <v>10</v>
      </c>
      <c r="AF240" s="938">
        <f>IF(AF227="其他",AE230,IF(AB236=1,AF237,IF(AB235=1,AF234,AF230)))</f>
        <v>30</v>
      </c>
      <c r="AG240" s="955">
        <f>IF(AF227="其他",AE230,IF(AC236=1,AG237,IF(AC235=1,AG234,AG230)))</f>
        <v>750</v>
      </c>
      <c r="AK240" s="867" t="s">
        <v>3285</v>
      </c>
    </row>
    <row r="241" spans="13:37" ht="18" customHeight="1">
      <c r="M241" s="883" t="s">
        <v>2421</v>
      </c>
      <c r="N241" s="887">
        <v>5</v>
      </c>
      <c r="Q241" s="908"/>
      <c r="R241" s="913"/>
      <c r="S241" s="914"/>
      <c r="Z241" s="2299" t="s">
        <v>3286</v>
      </c>
      <c r="AA241" s="2300"/>
      <c r="AB241" s="2300"/>
      <c r="AC241" s="2300"/>
      <c r="AD241" s="2300"/>
      <c r="AE241" s="2300"/>
      <c r="AF241" s="2300"/>
      <c r="AG241" s="2301"/>
      <c r="AK241" s="867" t="s">
        <v>225</v>
      </c>
    </row>
    <row r="242" spans="13:37" ht="18" customHeight="1">
      <c r="M242" s="892" t="s">
        <v>1389</v>
      </c>
      <c r="N242" s="632">
        <v>5</v>
      </c>
      <c r="Q242" s="908"/>
      <c r="R242" s="913"/>
      <c r="Z242" s="941"/>
      <c r="AA242" s="942" t="s">
        <v>185</v>
      </c>
      <c r="AB242" s="942" t="s">
        <v>3264</v>
      </c>
      <c r="AC242" s="942" t="s">
        <v>186</v>
      </c>
      <c r="AD242" s="943"/>
      <c r="AE242" s="944"/>
      <c r="AF242" s="942" t="s">
        <v>185</v>
      </c>
      <c r="AG242" s="942" t="s">
        <v>3264</v>
      </c>
      <c r="AH242" s="956" t="s">
        <v>186</v>
      </c>
      <c r="AK242" s="867" t="s">
        <v>3287</v>
      </c>
    </row>
    <row r="243" spans="13:37" ht="18" customHeight="1">
      <c r="M243" s="883" t="s">
        <v>2439</v>
      </c>
      <c r="N243" s="621">
        <v>5</v>
      </c>
      <c r="Q243" s="908"/>
      <c r="R243" s="913"/>
      <c r="S243" s="914"/>
      <c r="Z243" s="764" t="s">
        <v>191</v>
      </c>
      <c r="AA243" s="745" t="str">
        <f>Z227</f>
        <v>10</v>
      </c>
      <c r="AB243" s="745">
        <f>Z231</f>
        <v>30</v>
      </c>
      <c r="AC243" s="745">
        <f>Z229</f>
        <v>750</v>
      </c>
      <c r="AD243" s="745"/>
      <c r="AE243" s="764" t="s">
        <v>191</v>
      </c>
      <c r="AF243" s="745" t="str">
        <f>Z227</f>
        <v>10</v>
      </c>
      <c r="AG243" s="745">
        <f>Z231</f>
        <v>30</v>
      </c>
      <c r="AH243" s="772">
        <f>Z229</f>
        <v>750</v>
      </c>
      <c r="AK243" s="867" t="s">
        <v>3288</v>
      </c>
    </row>
    <row r="244" spans="13:37" ht="18" customHeight="1">
      <c r="M244" s="892" t="s">
        <v>2446</v>
      </c>
      <c r="N244" s="632">
        <v>5</v>
      </c>
      <c r="Q244" s="908"/>
      <c r="R244" s="913"/>
      <c r="S244" s="914"/>
      <c r="Z244" s="622" t="s">
        <v>3289</v>
      </c>
      <c r="AE244" s="622" t="s">
        <v>3290</v>
      </c>
      <c r="AH244" s="672"/>
      <c r="AK244" s="867" t="s">
        <v>3291</v>
      </c>
    </row>
    <row r="245" spans="13:37" ht="18" customHeight="1">
      <c r="M245" s="883" t="s">
        <v>2453</v>
      </c>
      <c r="N245" s="621">
        <v>5</v>
      </c>
      <c r="Q245" s="908"/>
      <c r="R245" s="913"/>
      <c r="S245" s="914"/>
      <c r="Y245" s="671"/>
      <c r="Z245" s="945" t="s">
        <v>3292</v>
      </c>
      <c r="AA245" s="946">
        <f>Z227*AD245</f>
        <v>70.3</v>
      </c>
      <c r="AB245" s="946">
        <f>Z231*AD245</f>
        <v>210.9</v>
      </c>
      <c r="AC245" s="946">
        <f>IF(Z229="没有","没有",Z229*AD245)</f>
        <v>5272.5</v>
      </c>
      <c r="AD245" s="671">
        <v>7.03</v>
      </c>
      <c r="AE245" s="945" t="s">
        <v>3292</v>
      </c>
      <c r="AF245" s="947">
        <f t="shared" ref="AF245:AH247" si="4">AA245</f>
        <v>70.3</v>
      </c>
      <c r="AG245" s="947">
        <f t="shared" si="4"/>
        <v>210.9</v>
      </c>
      <c r="AH245" s="957">
        <f t="shared" si="4"/>
        <v>5272.5</v>
      </c>
      <c r="AI245" s="671"/>
      <c r="AK245" s="867" t="s">
        <v>225</v>
      </c>
    </row>
    <row r="246" spans="13:37" ht="18" customHeight="1">
      <c r="M246" s="893" t="s">
        <v>2462</v>
      </c>
      <c r="N246" s="894">
        <v>5</v>
      </c>
      <c r="Y246" s="671"/>
      <c r="Z246" s="948" t="s">
        <v>3293</v>
      </c>
      <c r="AA246" s="949">
        <f>附表!Z227*AD246</f>
        <v>78.3</v>
      </c>
      <c r="AB246" s="949">
        <f>附表!Z231*AD246</f>
        <v>234.9</v>
      </c>
      <c r="AC246" s="947">
        <f>IF(Z229="没有","没有",Z229*AD246)</f>
        <v>5872.5</v>
      </c>
      <c r="AD246" s="671">
        <v>7.83</v>
      </c>
      <c r="AE246" s="948" t="s">
        <v>3293</v>
      </c>
      <c r="AF246" s="947">
        <f t="shared" si="4"/>
        <v>78.3</v>
      </c>
      <c r="AG246" s="947">
        <f t="shared" si="4"/>
        <v>234.9</v>
      </c>
      <c r="AH246" s="957">
        <f t="shared" si="4"/>
        <v>5872.5</v>
      </c>
      <c r="AI246" s="671"/>
      <c r="AK246" s="867" t="s">
        <v>3294</v>
      </c>
    </row>
    <row r="247" spans="13:37" ht="18" customHeight="1">
      <c r="M247" s="895" t="str">
        <f>IF(ISBLANK(人物卡!AU26),"",人物卡!AU26)</f>
        <v/>
      </c>
      <c r="N247" s="696" t="str">
        <f>IF(ISBLANK(人物卡!BA26),"",人物卡!BA26)</f>
        <v/>
      </c>
      <c r="Y247" s="671"/>
      <c r="Z247" s="950" t="s">
        <v>3295</v>
      </c>
      <c r="AA247" s="949">
        <f>Z227*AD247</f>
        <v>313.39999999999998</v>
      </c>
      <c r="AB247" s="949">
        <f>Z231*AD247</f>
        <v>940.2</v>
      </c>
      <c r="AC247" s="947">
        <f>IF(Z229="没有","没有",Z229*AD247)</f>
        <v>23505</v>
      </c>
      <c r="AD247" s="671">
        <v>31.34</v>
      </c>
      <c r="AE247" s="950" t="s">
        <v>3295</v>
      </c>
      <c r="AF247" s="947">
        <f t="shared" si="4"/>
        <v>313.39999999999998</v>
      </c>
      <c r="AG247" s="947">
        <f t="shared" si="4"/>
        <v>940.2</v>
      </c>
      <c r="AH247" s="957">
        <f t="shared" si="4"/>
        <v>23505</v>
      </c>
      <c r="AK247" s="867" t="s">
        <v>3296</v>
      </c>
    </row>
    <row r="248" spans="13:37" ht="18" customHeight="1">
      <c r="Y248" s="671"/>
      <c r="Z248" s="950" t="s">
        <v>3297</v>
      </c>
      <c r="AA248" s="946">
        <f>Z227*AD248</f>
        <v>1088.8</v>
      </c>
      <c r="AB248" s="946">
        <f>Z231*AD248</f>
        <v>3266.3999999999996</v>
      </c>
      <c r="AC248" s="946">
        <f>IF(Z229="没有","没有",Z229*AD248)</f>
        <v>81660</v>
      </c>
      <c r="AD248" s="671">
        <v>108.88</v>
      </c>
      <c r="AE248" s="950" t="s">
        <v>3297</v>
      </c>
      <c r="AF248" s="947">
        <f t="shared" ref="AF248:AH248" si="5">AA248</f>
        <v>1088.8</v>
      </c>
      <c r="AG248" s="947">
        <f t="shared" si="5"/>
        <v>3266.3999999999996</v>
      </c>
      <c r="AH248" s="957">
        <f t="shared" si="5"/>
        <v>81660</v>
      </c>
      <c r="AI248" s="671"/>
      <c r="AK248" s="867" t="s">
        <v>3298</v>
      </c>
    </row>
    <row r="249" spans="13:37" ht="18" customHeight="1">
      <c r="Y249" s="671"/>
      <c r="Z249" s="950" t="s">
        <v>3299</v>
      </c>
      <c r="AA249" s="949">
        <f>Z227*AD249</f>
        <v>11734.1</v>
      </c>
      <c r="AB249" s="949">
        <f>Z231*AD249</f>
        <v>35202.300000000003</v>
      </c>
      <c r="AC249" s="947">
        <f>IF(Z229="没有","没有",Z229*AD249)</f>
        <v>880057.50000000012</v>
      </c>
      <c r="AD249" s="463">
        <v>1173.4100000000001</v>
      </c>
      <c r="AE249" s="950" t="s">
        <v>3299</v>
      </c>
      <c r="AF249" s="947">
        <f t="shared" ref="AF249:AH251" si="6">AA249</f>
        <v>11734.1</v>
      </c>
      <c r="AG249" s="947">
        <f t="shared" si="6"/>
        <v>35202.300000000003</v>
      </c>
      <c r="AH249" s="957">
        <f t="shared" si="6"/>
        <v>880057.50000000012</v>
      </c>
      <c r="AI249" s="671"/>
      <c r="AK249" s="867" t="s">
        <v>225</v>
      </c>
    </row>
    <row r="250" spans="13:37" ht="18" customHeight="1">
      <c r="Y250" s="671"/>
      <c r="Z250" s="950" t="s">
        <v>3300</v>
      </c>
      <c r="AA250" s="946">
        <f>Z227*AD250</f>
        <v>302.3</v>
      </c>
      <c r="AB250" s="946">
        <f>Z231*AD250</f>
        <v>906.9</v>
      </c>
      <c r="AC250" s="946">
        <f>IF(Z229="没有","没有",Z229*AD250)</f>
        <v>22672.5</v>
      </c>
      <c r="AD250" s="671">
        <v>30.23</v>
      </c>
      <c r="AE250" s="950" t="s">
        <v>3300</v>
      </c>
      <c r="AF250" s="947">
        <f t="shared" si="6"/>
        <v>302.3</v>
      </c>
      <c r="AG250" s="947">
        <f t="shared" si="6"/>
        <v>906.9</v>
      </c>
      <c r="AH250" s="957">
        <f t="shared" si="6"/>
        <v>22672.5</v>
      </c>
      <c r="AI250" s="671"/>
      <c r="AK250" s="867" t="s">
        <v>3301</v>
      </c>
    </row>
    <row r="251" spans="13:37" ht="18" customHeight="1">
      <c r="Y251" s="671"/>
      <c r="Z251" s="948" t="s">
        <v>3302</v>
      </c>
      <c r="AA251" s="946">
        <f>Z227*AD251</f>
        <v>13.700000000000001</v>
      </c>
      <c r="AB251" s="946">
        <f>Z231*AD251</f>
        <v>41.1</v>
      </c>
      <c r="AC251" s="946">
        <f>IF(Z229="没有","没有",Z229*AD251)</f>
        <v>1027.5</v>
      </c>
      <c r="AD251" s="463">
        <v>1.37</v>
      </c>
      <c r="AE251" s="948" t="s">
        <v>3302</v>
      </c>
      <c r="AF251" s="947">
        <f t="shared" si="6"/>
        <v>13.700000000000001</v>
      </c>
      <c r="AG251" s="947">
        <f t="shared" si="6"/>
        <v>41.1</v>
      </c>
      <c r="AH251" s="957">
        <f t="shared" si="6"/>
        <v>1027.5</v>
      </c>
      <c r="AI251" s="671"/>
      <c r="AK251" s="867" t="s">
        <v>3303</v>
      </c>
    </row>
    <row r="252" spans="13:37" ht="18" customHeight="1">
      <c r="Y252" s="671"/>
      <c r="Z252" s="622" t="s">
        <v>3304</v>
      </c>
      <c r="AA252" s="676"/>
      <c r="AB252" s="676"/>
      <c r="AC252" s="676"/>
      <c r="AD252" s="671"/>
      <c r="AE252" s="622" t="s">
        <v>3305</v>
      </c>
      <c r="AF252" s="671"/>
      <c r="AG252" s="671"/>
      <c r="AH252" s="672"/>
      <c r="AI252" s="671"/>
      <c r="AK252" s="867" t="s">
        <v>3306</v>
      </c>
    </row>
    <row r="253" spans="13:37" ht="18" customHeight="1">
      <c r="Y253" s="671"/>
      <c r="Z253" s="948" t="s">
        <v>3307</v>
      </c>
      <c r="AA253" s="949">
        <f>附表!Z227*AD253</f>
        <v>9.1</v>
      </c>
      <c r="AB253" s="949">
        <f>附表!Z231*AD253</f>
        <v>27.3</v>
      </c>
      <c r="AC253" s="947">
        <f>IF(Z229="没有","没有",Z229*AD253)</f>
        <v>682.5</v>
      </c>
      <c r="AD253" s="671">
        <v>0.91</v>
      </c>
      <c r="AE253" s="948" t="s">
        <v>3307</v>
      </c>
      <c r="AF253" s="947">
        <f t="shared" ref="AF253:AH255" si="7">AA253</f>
        <v>9.1</v>
      </c>
      <c r="AG253" s="947">
        <f t="shared" si="7"/>
        <v>27.3</v>
      </c>
      <c r="AH253" s="957">
        <f t="shared" si="7"/>
        <v>682.5</v>
      </c>
      <c r="AI253" s="958"/>
      <c r="AK253" s="867" t="s">
        <v>225</v>
      </c>
    </row>
    <row r="254" spans="13:37" ht="18" customHeight="1">
      <c r="Z254" s="950" t="s">
        <v>3308</v>
      </c>
      <c r="AA254" s="949">
        <f>附表!Z227*AD254</f>
        <v>7.8000000000000007</v>
      </c>
      <c r="AB254" s="949">
        <f>附表!Z231*AD254</f>
        <v>23.400000000000002</v>
      </c>
      <c r="AC254" s="947">
        <f>IF(Z229="没有","没有",Z229*AD254)</f>
        <v>585</v>
      </c>
      <c r="AD254" s="671">
        <v>0.78</v>
      </c>
      <c r="AE254" s="950" t="s">
        <v>3308</v>
      </c>
      <c r="AF254" s="947">
        <f t="shared" si="7"/>
        <v>7.8000000000000007</v>
      </c>
      <c r="AG254" s="947">
        <f t="shared" si="7"/>
        <v>23.400000000000002</v>
      </c>
      <c r="AH254" s="957">
        <f t="shared" si="7"/>
        <v>585</v>
      </c>
      <c r="AK254" s="867" t="s">
        <v>3309</v>
      </c>
    </row>
    <row r="255" spans="13:37" ht="18" customHeight="1">
      <c r="Z255" s="950" t="s">
        <v>3310</v>
      </c>
      <c r="AA255" s="949">
        <f>附表!Z227*AD255</f>
        <v>639</v>
      </c>
      <c r="AB255" s="949">
        <f>附表!Z231*AD255</f>
        <v>1917</v>
      </c>
      <c r="AC255" s="947">
        <f>IF(Z229="没有","没有",Z229*AD255)</f>
        <v>47925</v>
      </c>
      <c r="AD255" s="951">
        <v>63.9</v>
      </c>
      <c r="AE255" s="950" t="s">
        <v>3310</v>
      </c>
      <c r="AF255" s="947">
        <f t="shared" si="7"/>
        <v>639</v>
      </c>
      <c r="AG255" s="947">
        <f t="shared" si="7"/>
        <v>1917</v>
      </c>
      <c r="AH255" s="957">
        <f t="shared" si="7"/>
        <v>47925</v>
      </c>
      <c r="AK255" s="867" t="s">
        <v>3311</v>
      </c>
    </row>
    <row r="256" spans="13:37" ht="18" customHeight="1">
      <c r="Z256" s="622" t="s">
        <v>3312</v>
      </c>
      <c r="AA256" s="676"/>
      <c r="AB256" s="676"/>
      <c r="AC256" s="676"/>
      <c r="AD256" s="671"/>
      <c r="AE256" s="622" t="s">
        <v>3313</v>
      </c>
      <c r="AF256" s="671"/>
      <c r="AG256" s="671"/>
      <c r="AH256" s="672"/>
      <c r="AK256" s="867" t="s">
        <v>3314</v>
      </c>
    </row>
    <row r="257" spans="25:39" ht="18" customHeight="1">
      <c r="Z257" s="948" t="s">
        <v>3315</v>
      </c>
      <c r="AA257" s="949">
        <f>Z227*AD257</f>
        <v>13.3</v>
      </c>
      <c r="AB257" s="949">
        <f>Z231*AD257</f>
        <v>39.900000000000006</v>
      </c>
      <c r="AC257" s="947">
        <f>IF(Z229="没有","没有",Z229*AD257)</f>
        <v>997.5</v>
      </c>
      <c r="AD257" s="959">
        <v>1.33</v>
      </c>
      <c r="AE257" s="948" t="s">
        <v>3315</v>
      </c>
      <c r="AF257" s="947">
        <f t="shared" ref="AF257:AH259" si="8">AA257</f>
        <v>13.3</v>
      </c>
      <c r="AG257" s="947">
        <f t="shared" si="8"/>
        <v>39.900000000000006</v>
      </c>
      <c r="AH257" s="957">
        <f t="shared" si="8"/>
        <v>997.5</v>
      </c>
      <c r="AK257" s="867" t="s">
        <v>3316</v>
      </c>
    </row>
    <row r="258" spans="25:39" ht="18" customHeight="1">
      <c r="Z258" s="948" t="s">
        <v>3317</v>
      </c>
      <c r="AA258" s="946">
        <f>Z227*AD258</f>
        <v>194</v>
      </c>
      <c r="AB258" s="946">
        <f>Z231*AD258</f>
        <v>582</v>
      </c>
      <c r="AC258" s="946">
        <f>IF(Z229="没有","没有",Z229*AD258)</f>
        <v>14549.999999999998</v>
      </c>
      <c r="AD258" s="960">
        <v>19.399999999999999</v>
      </c>
      <c r="AE258" s="948" t="s">
        <v>3317</v>
      </c>
      <c r="AF258" s="947">
        <f t="shared" si="8"/>
        <v>194</v>
      </c>
      <c r="AG258" s="947">
        <f t="shared" si="8"/>
        <v>582</v>
      </c>
      <c r="AH258" s="957">
        <f t="shared" si="8"/>
        <v>14549.999999999998</v>
      </c>
      <c r="AK258" s="867" t="s">
        <v>3318</v>
      </c>
    </row>
    <row r="259" spans="25:39" ht="18" customHeight="1">
      <c r="Z259" s="950" t="s">
        <v>3319</v>
      </c>
      <c r="AA259" s="946">
        <f>Z227*AD259</f>
        <v>40.300000000000004</v>
      </c>
      <c r="AB259" s="946">
        <f>Z231*AD259</f>
        <v>120.9</v>
      </c>
      <c r="AC259" s="946">
        <f>IF(Z229="没有","没有",Z229*AD259)</f>
        <v>3022.5</v>
      </c>
      <c r="AD259" s="671">
        <v>4.03</v>
      </c>
      <c r="AE259" s="950" t="s">
        <v>3319</v>
      </c>
      <c r="AF259" s="947">
        <f t="shared" si="8"/>
        <v>40.300000000000004</v>
      </c>
      <c r="AG259" s="947">
        <f t="shared" si="8"/>
        <v>120.9</v>
      </c>
      <c r="AH259" s="957">
        <f t="shared" si="8"/>
        <v>3022.5</v>
      </c>
      <c r="AK259" s="867" t="s">
        <v>225</v>
      </c>
    </row>
    <row r="260" spans="25:39" ht="18" customHeight="1">
      <c r="Z260" s="622" t="s">
        <v>3320</v>
      </c>
      <c r="AA260" s="676"/>
      <c r="AB260" s="676"/>
      <c r="AC260" s="676"/>
      <c r="AD260" s="671"/>
      <c r="AE260" s="622" t="s">
        <v>1824</v>
      </c>
      <c r="AF260" s="671"/>
      <c r="AG260" s="671"/>
      <c r="AH260" s="672"/>
      <c r="AK260" s="867" t="s">
        <v>3321</v>
      </c>
    </row>
    <row r="261" spans="25:39" ht="18" customHeight="1">
      <c r="Y261" s="673"/>
      <c r="Z261" s="948" t="s">
        <v>3322</v>
      </c>
      <c r="AA261" s="946">
        <f>Z227*AD261</f>
        <v>14.8</v>
      </c>
      <c r="AB261" s="946">
        <f>Z231*AD261</f>
        <v>44.4</v>
      </c>
      <c r="AC261" s="946">
        <f>IF(Z229="没有","没有",Z229*AD261)</f>
        <v>1110</v>
      </c>
      <c r="AD261" s="671">
        <v>1.48</v>
      </c>
      <c r="AE261" s="948" t="s">
        <v>3322</v>
      </c>
      <c r="AF261" s="947">
        <f t="shared" ref="AF261:AH262" si="9">AA261</f>
        <v>14.8</v>
      </c>
      <c r="AG261" s="947">
        <f t="shared" si="9"/>
        <v>44.4</v>
      </c>
      <c r="AH261" s="957">
        <f t="shared" si="9"/>
        <v>1110</v>
      </c>
      <c r="AI261" s="673"/>
      <c r="AK261" s="867" t="s">
        <v>3323</v>
      </c>
    </row>
    <row r="262" spans="25:39" ht="18" customHeight="1">
      <c r="Z262" s="948" t="s">
        <v>3324</v>
      </c>
      <c r="AA262" s="946">
        <f>Z227*AD262</f>
        <v>147.69999999999999</v>
      </c>
      <c r="AB262" s="946">
        <f>Z231*AD262</f>
        <v>443.09999999999997</v>
      </c>
      <c r="AC262" s="946">
        <f>IF(Z229="没有","没有",Z229*AD262)</f>
        <v>11077.5</v>
      </c>
      <c r="AD262" s="463">
        <v>14.77</v>
      </c>
      <c r="AE262" s="948" t="s">
        <v>3324</v>
      </c>
      <c r="AF262" s="947">
        <f t="shared" si="9"/>
        <v>147.69999999999999</v>
      </c>
      <c r="AG262" s="947">
        <f t="shared" si="9"/>
        <v>443.09999999999997</v>
      </c>
      <c r="AH262" s="957">
        <f t="shared" si="9"/>
        <v>11077.5</v>
      </c>
      <c r="AK262" s="867" t="s">
        <v>3325</v>
      </c>
    </row>
    <row r="263" spans="25:39" ht="18" customHeight="1">
      <c r="Z263" s="961" t="str">
        <f>IF(ISBLANK(人物卡!BK37),"",人物卡!BK37)</f>
        <v/>
      </c>
      <c r="AA263" s="962">
        <f>Z227*AD263</f>
        <v>0</v>
      </c>
      <c r="AB263" s="962">
        <f>Z231*AD263</f>
        <v>0</v>
      </c>
      <c r="AC263" s="962">
        <f>IF(Z229="没有","没有",Z229*AD263)</f>
        <v>0</v>
      </c>
      <c r="AD263" s="667">
        <f>人物卡!BO37</f>
        <v>0</v>
      </c>
      <c r="AE263" s="961" t="str">
        <f>IF(ISBLANK(人物卡!BK37),"",人物卡!BK37)</f>
        <v/>
      </c>
      <c r="AF263" s="963">
        <f>AA263/20</f>
        <v>0</v>
      </c>
      <c r="AG263" s="963">
        <f>AB263/20</f>
        <v>0</v>
      </c>
      <c r="AH263" s="967">
        <f>AC263</f>
        <v>0</v>
      </c>
      <c r="AK263" s="867" t="s">
        <v>225</v>
      </c>
    </row>
    <row r="264" spans="25:39" ht="18" customHeight="1">
      <c r="AK264" s="867" t="s">
        <v>3326</v>
      </c>
    </row>
    <row r="265" spans="25:39" ht="18" customHeight="1">
      <c r="AK265" s="867" t="s">
        <v>3327</v>
      </c>
    </row>
    <row r="266" spans="25:39" ht="18" customHeight="1">
      <c r="AK266" s="867" t="s">
        <v>3328</v>
      </c>
    </row>
    <row r="267" spans="25:39" ht="18" customHeight="1">
      <c r="Z267" s="673"/>
      <c r="AA267" s="964"/>
      <c r="AB267" s="964"/>
      <c r="AC267" s="964"/>
      <c r="AD267" s="965"/>
      <c r="AE267" s="673"/>
      <c r="AF267" s="964"/>
      <c r="AG267" s="964"/>
      <c r="AH267" s="964"/>
      <c r="AI267" s="965"/>
      <c r="AJ267" s="673"/>
      <c r="AK267" s="867" t="s">
        <v>3329</v>
      </c>
      <c r="AL267" s="428"/>
    </row>
    <row r="268" spans="25:39" ht="18" customHeight="1">
      <c r="Z268" s="673"/>
      <c r="AJ268" s="673"/>
      <c r="AK268" s="867" t="s">
        <v>225</v>
      </c>
      <c r="AL268" s="428"/>
    </row>
    <row r="269" spans="25:39" ht="18" customHeight="1">
      <c r="Z269" s="673"/>
      <c r="AA269" s="463"/>
      <c r="AB269" s="463"/>
      <c r="AC269" s="463"/>
      <c r="AD269" s="463"/>
      <c r="AE269" s="463"/>
      <c r="AF269" s="463"/>
      <c r="AG269" s="463"/>
      <c r="AH269" s="463"/>
      <c r="AI269" s="463"/>
      <c r="AJ269" s="673"/>
      <c r="AK269" s="867" t="s">
        <v>3330</v>
      </c>
      <c r="AL269" s="428"/>
      <c r="AM269" s="428"/>
    </row>
    <row r="270" spans="25:39" ht="18" customHeight="1">
      <c r="AA270" s="463"/>
      <c r="AB270" s="463"/>
      <c r="AC270" s="463"/>
      <c r="AD270" s="463"/>
      <c r="AE270" s="463"/>
      <c r="AF270" s="463"/>
      <c r="AG270" s="463"/>
      <c r="AH270" s="463"/>
      <c r="AI270" s="463"/>
      <c r="AK270" s="867" t="s">
        <v>3331</v>
      </c>
      <c r="AL270" s="428"/>
    </row>
    <row r="271" spans="25:39" ht="18" customHeight="1">
      <c r="AA271" s="964"/>
      <c r="AB271" s="964"/>
      <c r="AC271" s="964"/>
      <c r="AD271" s="965"/>
      <c r="AE271" s="673"/>
      <c r="AF271" s="964"/>
      <c r="AG271" s="964"/>
      <c r="AH271" s="964"/>
      <c r="AI271" s="965"/>
      <c r="AK271" s="867" t="s">
        <v>3332</v>
      </c>
      <c r="AL271" s="428"/>
    </row>
    <row r="272" spans="25:39" ht="18" customHeight="1">
      <c r="AA272" s="966"/>
      <c r="AB272" s="964"/>
      <c r="AC272" s="964"/>
      <c r="AD272" s="965"/>
      <c r="AE272" s="673"/>
      <c r="AF272" s="966"/>
      <c r="AG272" s="964"/>
      <c r="AH272" s="964"/>
      <c r="AI272" s="965"/>
      <c r="AK272" s="867" t="s">
        <v>3333</v>
      </c>
      <c r="AL272" s="428"/>
    </row>
    <row r="273" spans="27:38" ht="18" customHeight="1">
      <c r="AA273" s="964"/>
      <c r="AB273" s="964"/>
      <c r="AC273" s="964"/>
      <c r="AD273" s="965"/>
      <c r="AE273" s="673"/>
      <c r="AF273" s="964"/>
      <c r="AG273" s="964"/>
      <c r="AH273" s="964"/>
      <c r="AI273" s="965"/>
      <c r="AK273" s="867" t="s">
        <v>225</v>
      </c>
      <c r="AL273" s="428"/>
    </row>
    <row r="274" spans="27:38" ht="18" customHeight="1">
      <c r="AA274" s="966"/>
      <c r="AB274" s="964"/>
      <c r="AC274" s="964"/>
      <c r="AD274" s="965"/>
      <c r="AE274" s="673"/>
      <c r="AF274" s="966"/>
      <c r="AG274" s="964"/>
      <c r="AH274" s="964"/>
      <c r="AI274" s="965"/>
      <c r="AK274" s="867" t="s">
        <v>3334</v>
      </c>
    </row>
    <row r="275" spans="27:38" ht="18" customHeight="1">
      <c r="AK275" s="867" t="s">
        <v>3335</v>
      </c>
    </row>
    <row r="276" spans="27:38" ht="18" customHeight="1">
      <c r="AK276" s="867" t="s">
        <v>3336</v>
      </c>
    </row>
    <row r="277" spans="27:38" ht="18" customHeight="1">
      <c r="AK277" s="867" t="s">
        <v>225</v>
      </c>
    </row>
    <row r="278" spans="27:38" ht="18" customHeight="1">
      <c r="AK278" s="867" t="s">
        <v>3337</v>
      </c>
    </row>
    <row r="279" spans="27:38" ht="18" customHeight="1">
      <c r="AK279" s="867" t="s">
        <v>3338</v>
      </c>
    </row>
    <row r="280" spans="27:38" ht="18" customHeight="1">
      <c r="AK280" s="867" t="s">
        <v>3339</v>
      </c>
    </row>
    <row r="281" spans="27:38" ht="18" customHeight="1">
      <c r="AK281" s="867" t="s">
        <v>225</v>
      </c>
    </row>
    <row r="282" spans="27:38" ht="18" customHeight="1">
      <c r="AK282" s="867" t="s">
        <v>3340</v>
      </c>
    </row>
    <row r="283" spans="27:38" ht="18" customHeight="1">
      <c r="AK283" s="867" t="s">
        <v>3341</v>
      </c>
    </row>
    <row r="284" spans="27:38" ht="18" customHeight="1">
      <c r="AK284" s="867" t="s">
        <v>225</v>
      </c>
    </row>
    <row r="285" spans="27:38" ht="18" customHeight="1">
      <c r="AK285" s="867" t="s">
        <v>3342</v>
      </c>
    </row>
    <row r="286" spans="27:38" ht="18" customHeight="1">
      <c r="AK286" s="867" t="s">
        <v>3343</v>
      </c>
    </row>
    <row r="287" spans="27:38" ht="18" customHeight="1">
      <c r="AK287" s="867" t="s">
        <v>225</v>
      </c>
    </row>
    <row r="288" spans="27:38" ht="18" customHeight="1">
      <c r="AK288" s="867" t="s">
        <v>3344</v>
      </c>
    </row>
    <row r="289" spans="37:37" ht="18" customHeight="1">
      <c r="AK289" s="867" t="s">
        <v>3345</v>
      </c>
    </row>
    <row r="290" spans="37:37" ht="18" customHeight="1">
      <c r="AK290" s="867" t="s">
        <v>225</v>
      </c>
    </row>
    <row r="291" spans="37:37" ht="18" customHeight="1">
      <c r="AK291" s="867" t="s">
        <v>3346</v>
      </c>
    </row>
    <row r="292" spans="37:37" ht="18" customHeight="1">
      <c r="AK292" s="867" t="s">
        <v>3347</v>
      </c>
    </row>
    <row r="293" spans="37:37" ht="18" customHeight="1">
      <c r="AK293" s="867" t="s">
        <v>225</v>
      </c>
    </row>
    <row r="294" spans="37:37" ht="18" customHeight="1">
      <c r="AK294" s="867" t="s">
        <v>3348</v>
      </c>
    </row>
    <row r="295" spans="37:37" ht="18" customHeight="1">
      <c r="AK295" s="867" t="s">
        <v>3349</v>
      </c>
    </row>
    <row r="296" spans="37:37" ht="18" customHeight="1">
      <c r="AK296" s="867" t="s">
        <v>225</v>
      </c>
    </row>
    <row r="297" spans="37:37" ht="18" customHeight="1">
      <c r="AK297" s="867" t="s">
        <v>3350</v>
      </c>
    </row>
    <row r="298" spans="37:37" ht="18" customHeight="1">
      <c r="AK298" s="867" t="s">
        <v>3351</v>
      </c>
    </row>
    <row r="299" spans="37:37" ht="18" customHeight="1">
      <c r="AK299" s="867" t="s">
        <v>225</v>
      </c>
    </row>
    <row r="300" spans="37:37" ht="18" customHeight="1">
      <c r="AK300" s="867" t="s">
        <v>3352</v>
      </c>
    </row>
    <row r="301" spans="37:37" ht="18" customHeight="1">
      <c r="AK301" s="867" t="s">
        <v>3353</v>
      </c>
    </row>
    <row r="302" spans="37:37" ht="18" customHeight="1">
      <c r="AK302" s="867" t="s">
        <v>225</v>
      </c>
    </row>
    <row r="303" spans="37:37" ht="18" customHeight="1">
      <c r="AK303" s="867" t="s">
        <v>3354</v>
      </c>
    </row>
    <row r="304" spans="37:37" ht="18" customHeight="1">
      <c r="AK304" s="867" t="s">
        <v>3355</v>
      </c>
    </row>
    <row r="305" spans="37:37" ht="18" customHeight="1">
      <c r="AK305" s="867" t="s">
        <v>225</v>
      </c>
    </row>
    <row r="306" spans="37:37" ht="18" customHeight="1">
      <c r="AK306" s="867" t="s">
        <v>3356</v>
      </c>
    </row>
    <row r="307" spans="37:37" ht="18" customHeight="1">
      <c r="AK307" s="867" t="s">
        <v>3357</v>
      </c>
    </row>
    <row r="308" spans="37:37" ht="18" customHeight="1">
      <c r="AK308" s="867" t="s">
        <v>225</v>
      </c>
    </row>
    <row r="309" spans="37:37" ht="18" customHeight="1">
      <c r="AK309" s="867" t="s">
        <v>225</v>
      </c>
    </row>
    <row r="310" spans="37:37" ht="18" customHeight="1">
      <c r="AK310" s="867" t="s">
        <v>3358</v>
      </c>
    </row>
    <row r="311" spans="37:37" ht="18" customHeight="1">
      <c r="AK311" s="867" t="s">
        <v>3359</v>
      </c>
    </row>
    <row r="312" spans="37:37" ht="18" customHeight="1">
      <c r="AK312" s="867" t="s">
        <v>3360</v>
      </c>
    </row>
    <row r="313" spans="37:37" ht="18" customHeight="1">
      <c r="AK313" s="867" t="s">
        <v>3361</v>
      </c>
    </row>
    <row r="314" spans="37:37" ht="18" customHeight="1">
      <c r="AK314" s="867" t="s">
        <v>3362</v>
      </c>
    </row>
    <row r="315" spans="37:37" ht="18" customHeight="1">
      <c r="AK315" s="867" t="s">
        <v>3363</v>
      </c>
    </row>
    <row r="316" spans="37:37" ht="18" customHeight="1">
      <c r="AK316" s="867" t="s">
        <v>3364</v>
      </c>
    </row>
    <row r="317" spans="37:37" ht="18" customHeight="1">
      <c r="AK317" s="867" t="s">
        <v>3365</v>
      </c>
    </row>
    <row r="318" spans="37:37" ht="18" customHeight="1">
      <c r="AK318" s="867" t="s">
        <v>3366</v>
      </c>
    </row>
    <row r="319" spans="37:37" ht="18" customHeight="1">
      <c r="AK319" s="867" t="s">
        <v>3367</v>
      </c>
    </row>
    <row r="320" spans="37:37" ht="18" customHeight="1">
      <c r="AK320" s="867" t="s">
        <v>3368</v>
      </c>
    </row>
    <row r="321" spans="37:37" ht="18" customHeight="1">
      <c r="AK321" s="867" t="s">
        <v>3369</v>
      </c>
    </row>
    <row r="322" spans="37:37" ht="18" customHeight="1">
      <c r="AK322" s="867" t="s">
        <v>3370</v>
      </c>
    </row>
    <row r="323" spans="37:37" ht="18" customHeight="1">
      <c r="AK323" s="867" t="s">
        <v>3371</v>
      </c>
    </row>
    <row r="324" spans="37:37">
      <c r="AK324" s="867" t="s">
        <v>3372</v>
      </c>
    </row>
    <row r="325" spans="37:37" ht="24">
      <c r="AK325" s="867" t="s">
        <v>3373</v>
      </c>
    </row>
    <row r="326" spans="37:37">
      <c r="AK326" s="867" t="s">
        <v>3374</v>
      </c>
    </row>
    <row r="327" spans="37:37">
      <c r="AK327" s="867" t="s">
        <v>225</v>
      </c>
    </row>
    <row r="328" spans="37:37">
      <c r="AK328" s="867" t="s">
        <v>3375</v>
      </c>
    </row>
    <row r="329" spans="37:37" ht="24">
      <c r="AK329" s="867" t="s">
        <v>3376</v>
      </c>
    </row>
    <row r="330" spans="37:37">
      <c r="AK330" s="867" t="s">
        <v>3377</v>
      </c>
    </row>
    <row r="331" spans="37:37" ht="24">
      <c r="AK331" s="867" t="s">
        <v>3378</v>
      </c>
    </row>
    <row r="332" spans="37:37" ht="24">
      <c r="AK332" s="867" t="s">
        <v>3379</v>
      </c>
    </row>
    <row r="333" spans="37:37" ht="24">
      <c r="AK333" s="867" t="s">
        <v>3380</v>
      </c>
    </row>
    <row r="334" spans="37:37" ht="24">
      <c r="AK334" s="867" t="s">
        <v>3381</v>
      </c>
    </row>
    <row r="335" spans="37:37" ht="24">
      <c r="AK335" s="867" t="s">
        <v>3382</v>
      </c>
    </row>
    <row r="336" spans="37:37" ht="24">
      <c r="AK336" s="867" t="s">
        <v>3383</v>
      </c>
    </row>
    <row r="337" spans="37:37">
      <c r="AK337" s="867" t="s">
        <v>225</v>
      </c>
    </row>
    <row r="338" spans="37:37">
      <c r="AK338" s="867" t="s">
        <v>3384</v>
      </c>
    </row>
    <row r="339" spans="37:37">
      <c r="AK339" s="867" t="s">
        <v>3385</v>
      </c>
    </row>
    <row r="340" spans="37:37">
      <c r="AK340" s="867" t="s">
        <v>3386</v>
      </c>
    </row>
    <row r="341" spans="37:37">
      <c r="AK341" s="867" t="s">
        <v>3387</v>
      </c>
    </row>
    <row r="342" spans="37:37">
      <c r="AK342" s="867" t="s">
        <v>225</v>
      </c>
    </row>
    <row r="343" spans="37:37">
      <c r="AK343" s="867" t="s">
        <v>3388</v>
      </c>
    </row>
    <row r="344" spans="37:37">
      <c r="AK344" s="867" t="s">
        <v>3389</v>
      </c>
    </row>
    <row r="345" spans="37:37" ht="24">
      <c r="AK345" s="867" t="s">
        <v>3390</v>
      </c>
    </row>
    <row r="346" spans="37:37" ht="24">
      <c r="AK346" s="867" t="s">
        <v>3391</v>
      </c>
    </row>
    <row r="347" spans="37:37">
      <c r="AK347" s="867" t="s">
        <v>3392</v>
      </c>
    </row>
    <row r="348" spans="37:37">
      <c r="AK348" s="867" t="s">
        <v>3393</v>
      </c>
    </row>
    <row r="349" spans="37:37" ht="24">
      <c r="AK349" s="867" t="s">
        <v>3394</v>
      </c>
    </row>
    <row r="350" spans="37:37">
      <c r="AK350" s="867" t="s">
        <v>225</v>
      </c>
    </row>
    <row r="351" spans="37:37" ht="24">
      <c r="AK351" s="867" t="s">
        <v>3395</v>
      </c>
    </row>
    <row r="352" spans="37:37">
      <c r="AK352" s="867" t="s">
        <v>3396</v>
      </c>
    </row>
    <row r="353" spans="37:37" ht="24">
      <c r="AK353" s="867" t="s">
        <v>3397</v>
      </c>
    </row>
    <row r="354" spans="37:37" ht="24">
      <c r="AK354" s="867" t="s">
        <v>3398</v>
      </c>
    </row>
    <row r="355" spans="37:37" ht="24">
      <c r="AK355" s="867" t="s">
        <v>3399</v>
      </c>
    </row>
    <row r="356" spans="37:37" ht="24">
      <c r="AK356" s="867" t="s">
        <v>3400</v>
      </c>
    </row>
    <row r="357" spans="37:37" ht="24">
      <c r="AK357" s="867" t="s">
        <v>3401</v>
      </c>
    </row>
    <row r="358" spans="37:37">
      <c r="AK358" s="867" t="s">
        <v>225</v>
      </c>
    </row>
    <row r="359" spans="37:37">
      <c r="AK359" s="867" t="s">
        <v>3402</v>
      </c>
    </row>
    <row r="360" spans="37:37">
      <c r="AK360" s="867" t="s">
        <v>3403</v>
      </c>
    </row>
    <row r="361" spans="37:37">
      <c r="AK361" s="867" t="s">
        <v>3404</v>
      </c>
    </row>
    <row r="362" spans="37:37">
      <c r="AK362" s="867" t="s">
        <v>225</v>
      </c>
    </row>
    <row r="363" spans="37:37" ht="24">
      <c r="AK363" s="867" t="s">
        <v>3405</v>
      </c>
    </row>
    <row r="364" spans="37:37">
      <c r="AK364" s="867" t="s">
        <v>3406</v>
      </c>
    </row>
    <row r="365" spans="37:37">
      <c r="AK365" s="867" t="s">
        <v>3407</v>
      </c>
    </row>
    <row r="366" spans="37:37" ht="24">
      <c r="AK366" s="867" t="s">
        <v>3408</v>
      </c>
    </row>
    <row r="367" spans="37:37">
      <c r="AK367" s="867" t="s">
        <v>225</v>
      </c>
    </row>
    <row r="368" spans="37:37">
      <c r="AK368" s="867" t="s">
        <v>3409</v>
      </c>
    </row>
    <row r="369" spans="37:37">
      <c r="AK369" s="867" t="s">
        <v>3410</v>
      </c>
    </row>
    <row r="370" spans="37:37">
      <c r="AK370" s="867" t="s">
        <v>225</v>
      </c>
    </row>
    <row r="371" spans="37:37">
      <c r="AK371" s="867" t="s">
        <v>3411</v>
      </c>
    </row>
    <row r="372" spans="37:37">
      <c r="AK372" s="867" t="s">
        <v>3412</v>
      </c>
    </row>
    <row r="373" spans="37:37">
      <c r="AK373" s="867" t="s">
        <v>3413</v>
      </c>
    </row>
    <row r="374" spans="37:37">
      <c r="AK374" s="867" t="s">
        <v>3414</v>
      </c>
    </row>
    <row r="375" spans="37:37">
      <c r="AK375" s="867" t="s">
        <v>225</v>
      </c>
    </row>
    <row r="376" spans="37:37">
      <c r="AK376" s="867" t="s">
        <v>3415</v>
      </c>
    </row>
    <row r="377" spans="37:37">
      <c r="AK377" s="867" t="s">
        <v>3416</v>
      </c>
    </row>
    <row r="378" spans="37:37">
      <c r="AK378" s="867" t="s">
        <v>225</v>
      </c>
    </row>
    <row r="379" spans="37:37" ht="24">
      <c r="AK379" s="867" t="s">
        <v>3417</v>
      </c>
    </row>
    <row r="380" spans="37:37">
      <c r="AK380" s="867" t="s">
        <v>3418</v>
      </c>
    </row>
    <row r="381" spans="37:37" ht="24">
      <c r="AK381" s="867" t="s">
        <v>3419</v>
      </c>
    </row>
    <row r="382" spans="37:37">
      <c r="AK382" s="867" t="s">
        <v>3420</v>
      </c>
    </row>
    <row r="383" spans="37:37">
      <c r="AK383" s="867" t="s">
        <v>3421</v>
      </c>
    </row>
    <row r="384" spans="37:37">
      <c r="AK384" s="867" t="s">
        <v>3422</v>
      </c>
    </row>
    <row r="385" spans="37:37" ht="36">
      <c r="AK385" s="867" t="s">
        <v>3423</v>
      </c>
    </row>
    <row r="386" spans="37:37" ht="24">
      <c r="AK386" s="867" t="s">
        <v>3424</v>
      </c>
    </row>
    <row r="387" spans="37:37">
      <c r="AK387" s="867" t="s">
        <v>225</v>
      </c>
    </row>
    <row r="388" spans="37:37" ht="24">
      <c r="AK388" s="867" t="s">
        <v>3425</v>
      </c>
    </row>
    <row r="389" spans="37:37">
      <c r="AK389" s="867" t="s">
        <v>3426</v>
      </c>
    </row>
    <row r="390" spans="37:37">
      <c r="AK390" s="867" t="s">
        <v>3427</v>
      </c>
    </row>
    <row r="391" spans="37:37">
      <c r="AK391" s="867" t="s">
        <v>3428</v>
      </c>
    </row>
    <row r="392" spans="37:37">
      <c r="AK392" s="867" t="s">
        <v>3429</v>
      </c>
    </row>
    <row r="393" spans="37:37">
      <c r="AK393" s="867" t="s">
        <v>3430</v>
      </c>
    </row>
    <row r="394" spans="37:37">
      <c r="AK394" s="867" t="s">
        <v>3431</v>
      </c>
    </row>
    <row r="395" spans="37:37">
      <c r="AK395" s="867" t="s">
        <v>225</v>
      </c>
    </row>
    <row r="396" spans="37:37">
      <c r="AK396" s="867" t="s">
        <v>3432</v>
      </c>
    </row>
    <row r="397" spans="37:37" ht="24">
      <c r="AK397" s="867" t="s">
        <v>3433</v>
      </c>
    </row>
    <row r="398" spans="37:37">
      <c r="AK398" s="867" t="s">
        <v>225</v>
      </c>
    </row>
    <row r="399" spans="37:37">
      <c r="AK399" s="867" t="s">
        <v>3434</v>
      </c>
    </row>
    <row r="400" spans="37:37" ht="24">
      <c r="AK400" s="867" t="s">
        <v>3435</v>
      </c>
    </row>
    <row r="401" spans="37:37">
      <c r="AK401" s="867" t="s">
        <v>3436</v>
      </c>
    </row>
    <row r="402" spans="37:37">
      <c r="AK402" s="867" t="s">
        <v>225</v>
      </c>
    </row>
    <row r="403" spans="37:37" ht="24">
      <c r="AK403" s="867" t="s">
        <v>3437</v>
      </c>
    </row>
    <row r="404" spans="37:37">
      <c r="AK404" s="867" t="s">
        <v>3438</v>
      </c>
    </row>
    <row r="405" spans="37:37">
      <c r="AK405" s="867" t="s">
        <v>3439</v>
      </c>
    </row>
    <row r="406" spans="37:37">
      <c r="AK406" s="867" t="s">
        <v>3420</v>
      </c>
    </row>
    <row r="407" spans="37:37">
      <c r="AK407" s="867" t="s">
        <v>225</v>
      </c>
    </row>
    <row r="408" spans="37:37" ht="36">
      <c r="AK408" s="867" t="s">
        <v>3440</v>
      </c>
    </row>
    <row r="409" spans="37:37">
      <c r="AK409" s="867" t="s">
        <v>3441</v>
      </c>
    </row>
    <row r="410" spans="37:37">
      <c r="AK410" s="867" t="s">
        <v>225</v>
      </c>
    </row>
    <row r="411" spans="37:37" ht="24">
      <c r="AK411" s="867" t="s">
        <v>3442</v>
      </c>
    </row>
    <row r="412" spans="37:37">
      <c r="AK412" s="867" t="s">
        <v>3443</v>
      </c>
    </row>
    <row r="413" spans="37:37">
      <c r="AK413" s="867" t="s">
        <v>225</v>
      </c>
    </row>
    <row r="414" spans="37:37" ht="24">
      <c r="AK414" s="867" t="s">
        <v>3444</v>
      </c>
    </row>
    <row r="415" spans="37:37">
      <c r="AK415" s="867" t="s">
        <v>3445</v>
      </c>
    </row>
    <row r="416" spans="37:37">
      <c r="AK416" s="867" t="s">
        <v>3430</v>
      </c>
    </row>
    <row r="417" spans="37:37">
      <c r="AK417" s="867" t="s">
        <v>3446</v>
      </c>
    </row>
    <row r="418" spans="37:37">
      <c r="AK418" s="867" t="s">
        <v>3447</v>
      </c>
    </row>
    <row r="419" spans="37:37">
      <c r="AK419" s="867" t="s">
        <v>225</v>
      </c>
    </row>
    <row r="420" spans="37:37" ht="24">
      <c r="AK420" s="867" t="s">
        <v>3448</v>
      </c>
    </row>
    <row r="421" spans="37:37">
      <c r="AK421" s="867" t="s">
        <v>3449</v>
      </c>
    </row>
    <row r="422" spans="37:37">
      <c r="AK422" s="867" t="s">
        <v>3450</v>
      </c>
    </row>
    <row r="423" spans="37:37">
      <c r="AK423" s="867" t="s">
        <v>225</v>
      </c>
    </row>
    <row r="424" spans="37:37">
      <c r="AK424" s="867" t="s">
        <v>3451</v>
      </c>
    </row>
    <row r="425" spans="37:37" ht="24">
      <c r="AK425" s="867" t="s">
        <v>3452</v>
      </c>
    </row>
    <row r="426" spans="37:37" ht="24">
      <c r="AK426" s="867" t="s">
        <v>3453</v>
      </c>
    </row>
    <row r="427" spans="37:37" ht="24">
      <c r="AK427" s="867" t="s">
        <v>3454</v>
      </c>
    </row>
    <row r="428" spans="37:37">
      <c r="AK428" s="867" t="s">
        <v>225</v>
      </c>
    </row>
    <row r="429" spans="37:37">
      <c r="AK429" s="867" t="s">
        <v>3455</v>
      </c>
    </row>
    <row r="430" spans="37:37">
      <c r="AK430" s="867" t="s">
        <v>3456</v>
      </c>
    </row>
    <row r="431" spans="37:37" ht="24">
      <c r="AK431" s="867" t="s">
        <v>3457</v>
      </c>
    </row>
    <row r="432" spans="37:37" ht="24">
      <c r="AK432" s="867" t="s">
        <v>3458</v>
      </c>
    </row>
    <row r="433" spans="37:37" ht="24">
      <c r="AK433" s="867" t="s">
        <v>3459</v>
      </c>
    </row>
    <row r="434" spans="37:37" ht="24">
      <c r="AK434" s="867" t="s">
        <v>3460</v>
      </c>
    </row>
    <row r="435" spans="37:37" ht="24">
      <c r="AK435" s="867" t="s">
        <v>3461</v>
      </c>
    </row>
    <row r="436" spans="37:37" ht="24">
      <c r="AK436" s="867" t="s">
        <v>3462</v>
      </c>
    </row>
    <row r="437" spans="37:37">
      <c r="AK437" s="867" t="s">
        <v>225</v>
      </c>
    </row>
    <row r="438" spans="37:37">
      <c r="AK438" s="867" t="s">
        <v>3463</v>
      </c>
    </row>
    <row r="439" spans="37:37" ht="24">
      <c r="AK439" s="867" t="s">
        <v>3464</v>
      </c>
    </row>
    <row r="440" spans="37:37" ht="24">
      <c r="AK440" s="867" t="s">
        <v>3465</v>
      </c>
    </row>
    <row r="441" spans="37:37" ht="24">
      <c r="AK441" s="867" t="s">
        <v>3466</v>
      </c>
    </row>
    <row r="442" spans="37:37" ht="24">
      <c r="AK442" s="867" t="s">
        <v>3467</v>
      </c>
    </row>
    <row r="443" spans="37:37" ht="24">
      <c r="AK443" s="867" t="s">
        <v>3468</v>
      </c>
    </row>
    <row r="444" spans="37:37">
      <c r="AK444" s="867" t="s">
        <v>225</v>
      </c>
    </row>
    <row r="445" spans="37:37" ht="24">
      <c r="AK445" s="867" t="s">
        <v>3469</v>
      </c>
    </row>
    <row r="446" spans="37:37" ht="24">
      <c r="AK446" s="867" t="s">
        <v>3470</v>
      </c>
    </row>
    <row r="447" spans="37:37" ht="24">
      <c r="AK447" s="867" t="s">
        <v>3471</v>
      </c>
    </row>
    <row r="448" spans="37:37" ht="24">
      <c r="AK448" s="867" t="s">
        <v>3472</v>
      </c>
    </row>
    <row r="449" spans="37:37" ht="24">
      <c r="AK449" s="867" t="s">
        <v>3473</v>
      </c>
    </row>
    <row r="450" spans="37:37">
      <c r="AK450" s="867" t="s">
        <v>225</v>
      </c>
    </row>
    <row r="451" spans="37:37">
      <c r="AK451" s="867" t="s">
        <v>3474</v>
      </c>
    </row>
    <row r="452" spans="37:37" ht="24">
      <c r="AK452" s="867" t="s">
        <v>3475</v>
      </c>
    </row>
    <row r="453" spans="37:37">
      <c r="AK453" s="867" t="s">
        <v>225</v>
      </c>
    </row>
    <row r="454" spans="37:37">
      <c r="AK454" s="867" t="s">
        <v>3476</v>
      </c>
    </row>
    <row r="455" spans="37:37" ht="24">
      <c r="AK455" s="867" t="s">
        <v>3477</v>
      </c>
    </row>
    <row r="456" spans="37:37">
      <c r="AK456" s="867" t="s">
        <v>225</v>
      </c>
    </row>
    <row r="457" spans="37:37" ht="24">
      <c r="AK457" s="867" t="s">
        <v>3478</v>
      </c>
    </row>
    <row r="458" spans="37:37" ht="24">
      <c r="AK458" s="867" t="s">
        <v>3479</v>
      </c>
    </row>
    <row r="459" spans="37:37" ht="24">
      <c r="AK459" s="867" t="s">
        <v>3480</v>
      </c>
    </row>
    <row r="460" spans="37:37" ht="24">
      <c r="AK460" s="867" t="s">
        <v>3481</v>
      </c>
    </row>
    <row r="461" spans="37:37" ht="24">
      <c r="AK461" s="867" t="s">
        <v>3482</v>
      </c>
    </row>
    <row r="462" spans="37:37" ht="24">
      <c r="AK462" s="867" t="s">
        <v>3483</v>
      </c>
    </row>
    <row r="463" spans="37:37" ht="24">
      <c r="AK463" s="867" t="s">
        <v>3484</v>
      </c>
    </row>
    <row r="464" spans="37:37" ht="24">
      <c r="AK464" s="867" t="s">
        <v>3485</v>
      </c>
    </row>
    <row r="465" spans="37:37">
      <c r="AK465" s="867" t="s">
        <v>225</v>
      </c>
    </row>
    <row r="466" spans="37:37" ht="24">
      <c r="AK466" s="867" t="s">
        <v>3486</v>
      </c>
    </row>
    <row r="467" spans="37:37">
      <c r="AK467" s="867" t="s">
        <v>3487</v>
      </c>
    </row>
    <row r="468" spans="37:37">
      <c r="AK468" s="867" t="s">
        <v>3447</v>
      </c>
    </row>
    <row r="469" spans="37:37">
      <c r="AK469" s="867" t="s">
        <v>225</v>
      </c>
    </row>
    <row r="470" spans="37:37">
      <c r="AK470" s="867" t="s">
        <v>3488</v>
      </c>
    </row>
    <row r="471" spans="37:37">
      <c r="AK471" s="867" t="s">
        <v>3489</v>
      </c>
    </row>
    <row r="472" spans="37:37">
      <c r="AK472" s="867" t="s">
        <v>3422</v>
      </c>
    </row>
    <row r="473" spans="37:37">
      <c r="AK473" s="867" t="s">
        <v>225</v>
      </c>
    </row>
    <row r="474" spans="37:37" ht="24">
      <c r="AK474" s="867" t="s">
        <v>3490</v>
      </c>
    </row>
    <row r="475" spans="37:37">
      <c r="AK475" s="867" t="s">
        <v>3491</v>
      </c>
    </row>
    <row r="476" spans="37:37" ht="24">
      <c r="AK476" s="867" t="s">
        <v>3492</v>
      </c>
    </row>
    <row r="477" spans="37:37" ht="24">
      <c r="AK477" s="867" t="s">
        <v>3493</v>
      </c>
    </row>
    <row r="478" spans="37:37" ht="24">
      <c r="AK478" s="867" t="s">
        <v>3494</v>
      </c>
    </row>
    <row r="479" spans="37:37">
      <c r="AK479" s="867" t="s">
        <v>3495</v>
      </c>
    </row>
    <row r="480" spans="37:37">
      <c r="AK480" s="867" t="s">
        <v>225</v>
      </c>
    </row>
    <row r="481" spans="37:37">
      <c r="AK481" s="867" t="s">
        <v>3496</v>
      </c>
    </row>
    <row r="482" spans="37:37">
      <c r="AK482" s="867" t="s">
        <v>3497</v>
      </c>
    </row>
    <row r="483" spans="37:37">
      <c r="AK483" s="867" t="s">
        <v>225</v>
      </c>
    </row>
    <row r="484" spans="37:37">
      <c r="AK484" s="867" t="s">
        <v>3498</v>
      </c>
    </row>
    <row r="485" spans="37:37" ht="24">
      <c r="AK485" s="867" t="s">
        <v>3499</v>
      </c>
    </row>
    <row r="486" spans="37:37">
      <c r="AK486" s="867" t="s">
        <v>225</v>
      </c>
    </row>
    <row r="487" spans="37:37" ht="24">
      <c r="AK487" s="867" t="s">
        <v>3500</v>
      </c>
    </row>
    <row r="488" spans="37:37" ht="24">
      <c r="AK488" s="867" t="s">
        <v>3501</v>
      </c>
    </row>
    <row r="489" spans="37:37" ht="24">
      <c r="AK489" s="867" t="s">
        <v>3502</v>
      </c>
    </row>
    <row r="490" spans="37:37" ht="24">
      <c r="AK490" s="867" t="s">
        <v>3503</v>
      </c>
    </row>
    <row r="491" spans="37:37" ht="24">
      <c r="AK491" s="968" t="s">
        <v>3504</v>
      </c>
    </row>
    <row r="492" spans="37:37">
      <c r="AK492" s="785" t="s">
        <v>322</v>
      </c>
    </row>
  </sheetData>
  <sheetProtection password="D857" sheet="1" objects="1" scenarios="1"/>
  <protectedRanges>
    <protectedRange sqref="M5:M7 H8 I8 J8 K8 L8 G3:G6 G8 G7" name="技能表以上"/>
  </protectedRanges>
  <mergeCells count="291">
    <mergeCell ref="AJ1:AL1"/>
    <mergeCell ref="B2:E2"/>
    <mergeCell ref="S2:AI2"/>
    <mergeCell ref="N3:P3"/>
    <mergeCell ref="C9:E9"/>
    <mergeCell ref="B10:E10"/>
    <mergeCell ref="O15:Q15"/>
    <mergeCell ref="B18:G18"/>
    <mergeCell ref="E19:G19"/>
    <mergeCell ref="AA20:AD20"/>
    <mergeCell ref="AZ24:BB24"/>
    <mergeCell ref="E27:K27"/>
    <mergeCell ref="E28:K28"/>
    <mergeCell ref="E29:K29"/>
    <mergeCell ref="AD29:AE29"/>
    <mergeCell ref="E30:K30"/>
    <mergeCell ref="E31:K31"/>
    <mergeCell ref="E32:K32"/>
    <mergeCell ref="AH22:AH31"/>
    <mergeCell ref="AI22:AI31"/>
    <mergeCell ref="AJ22:AJ31"/>
    <mergeCell ref="AK22:AK31"/>
    <mergeCell ref="AL22:AL31"/>
    <mergeCell ref="AM22:AM31"/>
    <mergeCell ref="AN22:AN31"/>
    <mergeCell ref="AO22:AO31"/>
    <mergeCell ref="AP22:AP31"/>
    <mergeCell ref="AQ22:AQ31"/>
    <mergeCell ref="AR22:AR31"/>
    <mergeCell ref="AS22:AS31"/>
    <mergeCell ref="E34:K34"/>
    <mergeCell ref="I36:M36"/>
    <mergeCell ref="C38:E38"/>
    <mergeCell ref="S39:V39"/>
    <mergeCell ref="S40:V40"/>
    <mergeCell ref="S41:V41"/>
    <mergeCell ref="S42:V42"/>
    <mergeCell ref="S43:V43"/>
    <mergeCell ref="S44:V44"/>
    <mergeCell ref="E52:G52"/>
    <mergeCell ref="H52:I52"/>
    <mergeCell ref="J52:K52"/>
    <mergeCell ref="N112:R112"/>
    <mergeCell ref="T112:X112"/>
    <mergeCell ref="N113:R113"/>
    <mergeCell ref="T113:X113"/>
    <mergeCell ref="N114:R114"/>
    <mergeCell ref="T114:X114"/>
    <mergeCell ref="N115:R115"/>
    <mergeCell ref="T115:X115"/>
    <mergeCell ref="N116:R116"/>
    <mergeCell ref="T116:X116"/>
    <mergeCell ref="N117:R117"/>
    <mergeCell ref="T117:X117"/>
    <mergeCell ref="N118:R118"/>
    <mergeCell ref="T118:X118"/>
    <mergeCell ref="N119:R119"/>
    <mergeCell ref="T119:X119"/>
    <mergeCell ref="N120:R120"/>
    <mergeCell ref="T120:X120"/>
    <mergeCell ref="N121:R121"/>
    <mergeCell ref="T121:X121"/>
    <mergeCell ref="N122:R122"/>
    <mergeCell ref="T122:X122"/>
    <mergeCell ref="N123:R123"/>
    <mergeCell ref="T123:X123"/>
    <mergeCell ref="N124:R124"/>
    <mergeCell ref="T124:X124"/>
    <mergeCell ref="N125:R125"/>
    <mergeCell ref="T125:X125"/>
    <mergeCell ref="N126:R126"/>
    <mergeCell ref="T126:X126"/>
    <mergeCell ref="N127:R127"/>
    <mergeCell ref="T127:X127"/>
    <mergeCell ref="N128:R128"/>
    <mergeCell ref="T128:X128"/>
    <mergeCell ref="N129:R129"/>
    <mergeCell ref="T129:X129"/>
    <mergeCell ref="N130:R130"/>
    <mergeCell ref="T130:X130"/>
    <mergeCell ref="N131:R131"/>
    <mergeCell ref="T131:X131"/>
    <mergeCell ref="N132:R132"/>
    <mergeCell ref="T132:X132"/>
    <mergeCell ref="N133:R133"/>
    <mergeCell ref="T133:X133"/>
    <mergeCell ref="N134:R134"/>
    <mergeCell ref="T134:X134"/>
    <mergeCell ref="N135:R135"/>
    <mergeCell ref="T135:X135"/>
    <mergeCell ref="N136:R136"/>
    <mergeCell ref="T136:X136"/>
    <mergeCell ref="N137:R137"/>
    <mergeCell ref="T137:X137"/>
    <mergeCell ref="N138:R138"/>
    <mergeCell ref="T138:X138"/>
    <mergeCell ref="N139:R139"/>
    <mergeCell ref="T139:X139"/>
    <mergeCell ref="N140:R140"/>
    <mergeCell ref="T140:X140"/>
    <mergeCell ref="N141:R141"/>
    <mergeCell ref="T141:X141"/>
    <mergeCell ref="N142:R142"/>
    <mergeCell ref="T142:X142"/>
    <mergeCell ref="N143:R143"/>
    <mergeCell ref="T143:X143"/>
    <mergeCell ref="N144:R144"/>
    <mergeCell ref="T144:X144"/>
    <mergeCell ref="N145:R145"/>
    <mergeCell ref="T145:X145"/>
    <mergeCell ref="N146:R146"/>
    <mergeCell ref="T146:X146"/>
    <mergeCell ref="N147:R147"/>
    <mergeCell ref="T147:X147"/>
    <mergeCell ref="N148:R148"/>
    <mergeCell ref="T148:X148"/>
    <mergeCell ref="N149:R149"/>
    <mergeCell ref="T149:X149"/>
    <mergeCell ref="N150:R150"/>
    <mergeCell ref="T150:X150"/>
    <mergeCell ref="N151:R151"/>
    <mergeCell ref="T151:X151"/>
    <mergeCell ref="N152:R152"/>
    <mergeCell ref="T152:X152"/>
    <mergeCell ref="N153:R153"/>
    <mergeCell ref="T153:X153"/>
    <mergeCell ref="N154:R154"/>
    <mergeCell ref="T154:X154"/>
    <mergeCell ref="N155:R155"/>
    <mergeCell ref="T155:X155"/>
    <mergeCell ref="N156:R156"/>
    <mergeCell ref="T156:X156"/>
    <mergeCell ref="N157:R157"/>
    <mergeCell ref="T157:X157"/>
    <mergeCell ref="N158:R158"/>
    <mergeCell ref="T158:X158"/>
    <mergeCell ref="N159:R159"/>
    <mergeCell ref="T159:X159"/>
    <mergeCell ref="N160:R160"/>
    <mergeCell ref="T160:X160"/>
    <mergeCell ref="N161:R161"/>
    <mergeCell ref="T161:X161"/>
    <mergeCell ref="N162:R162"/>
    <mergeCell ref="T162:X162"/>
    <mergeCell ref="N163:R163"/>
    <mergeCell ref="T163:X163"/>
    <mergeCell ref="N164:R164"/>
    <mergeCell ref="T164:X164"/>
    <mergeCell ref="N165:R165"/>
    <mergeCell ref="T165:X165"/>
    <mergeCell ref="N166:R166"/>
    <mergeCell ref="T166:X166"/>
    <mergeCell ref="N167:R167"/>
    <mergeCell ref="T167:X167"/>
    <mergeCell ref="N168:R168"/>
    <mergeCell ref="T168:X168"/>
    <mergeCell ref="N169:R169"/>
    <mergeCell ref="T169:X169"/>
    <mergeCell ref="N170:R170"/>
    <mergeCell ref="T170:X170"/>
    <mergeCell ref="N171:R171"/>
    <mergeCell ref="T171:X171"/>
    <mergeCell ref="N172:R172"/>
    <mergeCell ref="T172:X172"/>
    <mergeCell ref="N173:R173"/>
    <mergeCell ref="T173:X173"/>
    <mergeCell ref="N174:R174"/>
    <mergeCell ref="T174:X174"/>
    <mergeCell ref="N175:R175"/>
    <mergeCell ref="T175:X175"/>
    <mergeCell ref="N176:R176"/>
    <mergeCell ref="T176:X176"/>
    <mergeCell ref="N177:R177"/>
    <mergeCell ref="T177:X177"/>
    <mergeCell ref="N178:R178"/>
    <mergeCell ref="T178:X178"/>
    <mergeCell ref="N179:R179"/>
    <mergeCell ref="T179:X179"/>
    <mergeCell ref="N180:R180"/>
    <mergeCell ref="T180:X180"/>
    <mergeCell ref="N181:R181"/>
    <mergeCell ref="T181:X181"/>
    <mergeCell ref="N182:R182"/>
    <mergeCell ref="T182:X182"/>
    <mergeCell ref="N183:R183"/>
    <mergeCell ref="T183:X183"/>
    <mergeCell ref="N184:R184"/>
    <mergeCell ref="T184:X184"/>
    <mergeCell ref="N185:R185"/>
    <mergeCell ref="T185:X185"/>
    <mergeCell ref="N186:R186"/>
    <mergeCell ref="T186:X186"/>
    <mergeCell ref="N187:R187"/>
    <mergeCell ref="T187:X187"/>
    <mergeCell ref="N188:R188"/>
    <mergeCell ref="T188:X188"/>
    <mergeCell ref="N189:R189"/>
    <mergeCell ref="T189:X189"/>
    <mergeCell ref="N190:R190"/>
    <mergeCell ref="T190:X190"/>
    <mergeCell ref="N191:R191"/>
    <mergeCell ref="T191:X191"/>
    <mergeCell ref="N192:R192"/>
    <mergeCell ref="T192:X192"/>
    <mergeCell ref="N193:R193"/>
    <mergeCell ref="T193:X193"/>
    <mergeCell ref="N194:R194"/>
    <mergeCell ref="T194:X194"/>
    <mergeCell ref="N195:R195"/>
    <mergeCell ref="T195:X195"/>
    <mergeCell ref="N196:R196"/>
    <mergeCell ref="T196:X196"/>
    <mergeCell ref="N197:R197"/>
    <mergeCell ref="T197:X197"/>
    <mergeCell ref="N198:R198"/>
    <mergeCell ref="T198:X198"/>
    <mergeCell ref="N199:R199"/>
    <mergeCell ref="T199:X199"/>
    <mergeCell ref="N200:R200"/>
    <mergeCell ref="T200:X200"/>
    <mergeCell ref="N201:R201"/>
    <mergeCell ref="T201:X201"/>
    <mergeCell ref="N202:R202"/>
    <mergeCell ref="T202:X202"/>
    <mergeCell ref="N203:R203"/>
    <mergeCell ref="T203:X203"/>
    <mergeCell ref="N204:R204"/>
    <mergeCell ref="T204:X204"/>
    <mergeCell ref="T212:X212"/>
    <mergeCell ref="N213:R213"/>
    <mergeCell ref="T213:X213"/>
    <mergeCell ref="N214:R214"/>
    <mergeCell ref="T214:X214"/>
    <mergeCell ref="N205:R205"/>
    <mergeCell ref="T205:X205"/>
    <mergeCell ref="N206:R206"/>
    <mergeCell ref="T206:X206"/>
    <mergeCell ref="N207:R207"/>
    <mergeCell ref="T207:X207"/>
    <mergeCell ref="N208:R208"/>
    <mergeCell ref="T208:X208"/>
    <mergeCell ref="N209:R209"/>
    <mergeCell ref="T209:X209"/>
    <mergeCell ref="AE232:AG232"/>
    <mergeCell ref="Z233:AC233"/>
    <mergeCell ref="AE235:AG235"/>
    <mergeCell ref="AE238:AG238"/>
    <mergeCell ref="Z241:AG241"/>
    <mergeCell ref="A3:A4"/>
    <mergeCell ref="B3:B4"/>
    <mergeCell ref="C3:C4"/>
    <mergeCell ref="L94:L214"/>
    <mergeCell ref="Z14:Z18"/>
    <mergeCell ref="AF22:AF31"/>
    <mergeCell ref="AG22:AG31"/>
    <mergeCell ref="Z222:AA222"/>
    <mergeCell ref="Z223:AA223"/>
    <mergeCell ref="Z224:AA224"/>
    <mergeCell ref="Z225:AA225"/>
    <mergeCell ref="Z226:AA226"/>
    <mergeCell ref="Z227:AA227"/>
    <mergeCell ref="Z228:AA228"/>
    <mergeCell ref="AE228:AG228"/>
    <mergeCell ref="Z229:AA229"/>
    <mergeCell ref="N215:R215"/>
    <mergeCell ref="T215:X215"/>
    <mergeCell ref="M217:N217"/>
    <mergeCell ref="AV38:AV47"/>
    <mergeCell ref="BA14:BA23"/>
    <mergeCell ref="AB221:AC231"/>
    <mergeCell ref="S76:V87"/>
    <mergeCell ref="E53:I58"/>
    <mergeCell ref="S37:V38"/>
    <mergeCell ref="S46:V61"/>
    <mergeCell ref="S24:V35"/>
    <mergeCell ref="J53:K58"/>
    <mergeCell ref="S63:V74"/>
    <mergeCell ref="Z230:AA230"/>
    <mergeCell ref="Z231:AA231"/>
    <mergeCell ref="O217:P217"/>
    <mergeCell ref="Q217:R217"/>
    <mergeCell ref="S217:T217"/>
    <mergeCell ref="U217:V217"/>
    <mergeCell ref="Z219:AH219"/>
    <mergeCell ref="Z221:AA221"/>
    <mergeCell ref="AE221:AG221"/>
    <mergeCell ref="N210:R210"/>
    <mergeCell ref="T210:X210"/>
    <mergeCell ref="N211:R211"/>
    <mergeCell ref="T211:X211"/>
    <mergeCell ref="N212:R212"/>
  </mergeCells>
  <phoneticPr fontId="188" type="noConversion"/>
  <conditionalFormatting sqref="AK4">
    <cfRule type="expression" dxfId="4" priority="2">
      <formula>"人物卡!$F$5=1"</formula>
    </cfRule>
  </conditionalFormatting>
  <conditionalFormatting sqref="S10">
    <cfRule type="expression" dxfId="3" priority="5">
      <formula>"人物卡!$F$5=1"</formula>
    </cfRule>
  </conditionalFormatting>
  <conditionalFormatting sqref="S12">
    <cfRule type="expression" dxfId="2" priority="1">
      <formula>"人物卡!$F$5=1"</formula>
    </cfRule>
  </conditionalFormatting>
  <conditionalFormatting sqref="AK5:AK11">
    <cfRule type="expression" dxfId="1" priority="3">
      <formula>"人物卡!$F$5=1"</formula>
    </cfRule>
  </conditionalFormatting>
  <conditionalFormatting sqref="AJ1 S11 S4:S9">
    <cfRule type="expression" dxfId="0" priority="6">
      <formula>"人物卡!$F$5=1"</formula>
    </cfRule>
  </conditionalFormatting>
  <dataValidations count="120">
    <dataValidation allowBlank="1" showInputMessage="1" showErrorMessage="1" promptTitle="Survival (10%)" prompt="- 提供专业的如何在极端环境下生存的知识和技巧，例如在沙漠中或者极地环境，也包括海洋上或者荒野。_x000a_- 内容包括狩猎的知识，搭建住所，可能遇到的危险的知识（例如如何避开有毒性的植物）等等，取决于所处的环境。_x000a_- 你可以花费技能点来获得任何的专业化技能。_x000a_- 作为属类的“生存”技能本身不能被获得。_x000a_- 专业环境的生存技巧应当在技能选择时就决定下来，例如：生存（沙漠），（海洋），（极地），等等。" sqref="X80" xr:uid="{00000000-0002-0000-0500-000000000000}"/>
    <dataValidation allowBlank="1" showInputMessage="1" showErrorMessage="1" promptTitle="Navigate (10%) 也译作“导航”" prompt="- 允许使用者在早上或者晚上，在暴风雨或者晴朗天气中认清自己的路。_x000a_- 有着更高技能的人将对天文表图和工具，以及卫星定位装置十分熟悉，如果他们是在有着那些东西的时代的话。_x000a_- 一名角色也可以用这项技能来测量以及对一块区域进行绘图（制图学），判断是有着几平方米的小岛或者是一块内陆区域—使用现代工具可以降低甚至取消难度等级。_x000a_- KP 可以将这个技能的检定作为隐藏骰进行处理—调查员需要尝试去解决的一件事情，并且最后承受结果。_x000a_- 如果角色对该区域十分熟悉，那么在这个检定上可以得到一个奖励骰。" sqref="X66" xr:uid="{00000000-0002-0000-0500-000001000000}"/>
    <dataValidation allowBlank="1" showInputMessage="1" showErrorMessage="1" promptTitle="Firearms (不定) [无法孤注一骰]" prompt="- 包括了各种形式的火器，也包括了弓箭和弩。_x000a_- 你可以花费技能点数来获得任何专业化技能。_x000a_- 作为属类的“射击”技能不能被获得。选择与你调查员的职业与时代历史相契合的专业化技能。" sqref="X47:X50" xr:uid="{00000000-0002-0000-0500-000002000000}"/>
    <dataValidation errorStyle="warning" allowBlank="1" sqref="G14 H14 I14 J14 K14 L14 M14 N14 O14" xr:uid="{00000000-0002-0000-0500-000003000000}"/>
    <dataValidation allowBlank="1" showInputMessage="1" showErrorMessage="1" promptTitle="Art and Craft (05%)" prompt="- 许多这些例子都是与专业直接相联系的技能，但是这些技能可能只是休闲嗜好。你可以花费技能在任意专业化技能上。_x000a_- 不可以加点在作为类属的“艺术与手艺”上。_x000a_- 这项技能可能能使你制作或者修理一样东西—通常需要工具和时间，由 KP 来决定，如果必要的话。_x000a_- 在适用成功程度分度的情况下，一个更高等级的成功表示这件物品有着高品质以及/或精致度高。_x000a_（请点击下一个技艺）" sqref="X29" xr:uid="{00000000-0002-0000-0500-000004000000}"/>
    <dataValidation allowBlank="1" showInputMessage="1" showErrorMessage="1" sqref="S10 S11 S12 S4:S9" xr:uid="{00000000-0002-0000-0500-000005000000}"/>
    <dataValidation allowBlank="1" showInputMessage="1" showErrorMessage="1" promptTitle="Geology (01%)" prompt="用来决定大致的岩层年龄，辨认出化石的类型，区分矿物和水晶，确定合理的采矿和挖掘地址，评估土地，预测火山活动、地震、雪崩以及其他类似的现象。" sqref="O219" xr:uid="{00000000-0002-0000-0500-000006000000}"/>
    <dataValidation allowBlank="1" showInputMessage="1" showErrorMessage="1" promptTitle="Mechanical Repair (10%)" prompt="- 这项技能允许调查员修理一个破损的机器或者制_x000a_造一个新的。_x000a_- 基础的木工手艺和管道项目也可以执行，制作物品也同样可以（例如一组滑轮系统）以及维修物品（例如蒸汽泵）。_x000a_- 在使用技能中可能会需要特殊的工具或者部件。_x000a_- 这项技能可以用来打开普通的家庭锁，但是更加专业的就不能了——见锁匠技能来打开更加复杂的锁。_x000a_- 机械维修是一个与电气维修相伴随的技能，并且两者都可能需要来为了修理一个复杂的设备，例如汽车或者飞行器。" sqref="X63" xr:uid="{00000000-0002-0000-0500-000007000000}"/>
    <dataValidation allowBlank="1" showInputMessage="1" showErrorMessage="1" promptTitle="Zoology (01%)" prompt="对专门联系到动物王国的生物学的研究，包括仍存在以及灭绝动物的生态结构，进化，分类，行为习性，以及分布。使用这项技能来从动物与环境的互动（脚印，兽粪，痕迹等等），行为举止，以及区域特点上辨认出其物种。" sqref="O227" xr:uid="{00000000-0002-0000-0500-000008000000}"/>
    <dataValidation allowBlank="1" showInputMessage="1" showErrorMessage="1" promptTitle="Anthropology (01%)" prompt="- 使使用者能够通过观察来辨认和理解一个人的生活方式。_x000a_- 如果技能使用者持续观察一个其他的文化一段时间，或者在有着关于某种已消失文化的正确资料环境下工作，那么他可以对文化方式以及道德习惯进行简单的预测，即使证据可能并不完整。_x000a_- 通过学习文化一个月或者更久，人类学家开始理解这种文化是如何运作的以及，如果结合心理学，可以预测那些研究文化的行为和信仰。" sqref="X26" xr:uid="{00000000-0002-0000-0500-000009000000}"/>
    <dataValidation allowBlank="1" showInputMessage="1" showErrorMessage="1" promptTitle="Law (05%)" prompt="- 代表你对相关法律、早期事件、法庭辩术或者法院程序了解的可能性。_x000a_- 一个在法律实务上的专家可能会获得巨大的奖励以及政治事务所，但是这可能需要长达几年的认真申请——一个较高的信用评级在这关系_x000a_上也十分重要。_x000a_- 在美国，一个州的州法庭（State Bar）必须批准某人的法律实务。_x000a_当到一个外国国家时，使用这项技能的难度等级可能会上升，除非这名角色花费数月的时间来学习这个国家的法律系统。" sqref="X59" xr:uid="{00000000-0002-0000-0500-00000A000000}"/>
    <dataValidation allowBlank="1" showInputMessage="1" showErrorMessage="1" promptTitle="Read Lips (01%)[非常规]" prompt="- 这项技能允许好奇的调查员听懂一段交谈对话，而不需要听见对方说了什么。_x000a_- 能看到对方的视线是必须的，并且如果只能看到其中一名说话者的唇（另一名可能只能看到背），那么只能辨认出一半的对话。_x000a_- 读唇也可以用于与另一个人进行无声的交流（如果双方都是专家），允许相对更加复杂的短语以及含义。" sqref="X87" xr:uid="{00000000-0002-0000-0500-00000B000000}"/>
    <dataValidation allowBlank="1" showInputMessage="1" showErrorMessage="1" promptTitle="Pilot (01%)" prompt="- 相当于水上或者空中的汽车驾驶，这时使用空中飞行或者水上航行交通供给的技巧。你可以花费技能点来获得任何专业化技能。_x000a_- 作为属类的驾驶技能不能被获得。一名调查员可以在调查员表格的空档下写上许多不同种的这一技巧（例如驾驶飞行器，驾驶飞艇等等）。_x000a_- 每个的初始都是 01%。 _x000a_- 不良的天气，极差的可见度，以及器材的损伤都可能会提高驾驶飞行器或水上航具的技能检定的难度等级。" sqref="X70" xr:uid="{00000000-0002-0000-0500-00000C000000}"/>
    <dataValidation allowBlank="1" showInputMessage="1" showErrorMessage="1" promptTitle="Accounting (05%)" prompt="- 使你理解会计工作的流程以及一个企业或者个人的金融职务。_x000a_- 通过检查账簿，你可以发现做假账的员工，对资金的偷偷挪用，对行贿或者敲诈的款项支付，以及经济状况是否比表面陈述的更好或者更差。_x000a_- 通过仔细检查旧账户，你可以了解过去的资金的得与失（谷物，奴隶贸易，威士忌酒的运营等）以及这些资金是付给了谁以及为了什么款项而支付。" sqref="X25" xr:uid="{00000000-0002-0000-0500-00000D000000}"/>
    <dataValidation allowBlank="1" showInputMessage="1" showErrorMessage="1" promptTitle="Appraise (05%)" prompt="- 用来估计某种物品的价值，包括质量，使用的材料以及工艺。_x000a_- 相关的，技能使用者可以准确地辨认出物品的年龄，评估它的历史关联性以及发现赝品。" sqref="X27" xr:uid="{00000000-0002-0000-0500-00000E000000}"/>
    <dataValidation allowBlank="1" showInputMessage="1" showErrorMessage="1" promptTitle="Drive Auto (20%)" prompt="- 任何有着这项技能的人都可以驾驶一辆汽车或者_x000a_轻型卡车，进行常规的移动，并且处理机动车的一般毛病。_x000a_- 如果调查员想要甩掉一名追踪者或者追踪某人，则需要一个汽车驾驶检定。_x000a_- 一些其他的文化可能用相似的事物来取代这个技_x000a_能；因纽特人可能使用狗撬驾驶，或者维多利亚人可能使用四轮马车驾驶。" sqref="X39" xr:uid="{00000000-0002-0000-0500-00000F000000}"/>
    <dataValidation allowBlank="1" showInputMessage="1" showErrorMessage="1" promptTitle="Art and Craft (05%)" prompt="- 一个艺术或者手艺技能可能可以用于制作一个复_x000a_制品或者赝品。在这情况下，难度等级将取决于需要复制的原品的复杂程度以及独特性。_x000a_- 在伪造文件的场合下，将使用一个专门的专业化技能（伪造）。_x000a_- 一个成功的检定可能可以提供一个物品的相关信_x000a_息，例如这个物品在何时以及哪里被制造，与之相关的一些历史或者技艺，或者谁可能制作了它。拥有这个技能的专家将会在某个专门的领域里有着广泛的知识—对于物品本身，它的历史以及当代从事相关行业的人的知识，以及去实践知识的能力。" sqref="X30" xr:uid="{00000000-0002-0000-0500-000010000000}"/>
    <dataValidation allowBlank="1" showInputMessage="1" showErrorMessage="1" promptTitle="Archaeology (01%)" prompt="- 允许从过去的文化中鉴定一件古董的年代以及辨别它，以及可以用来发现赝品。_x000a_- 使获得建立以及开掘一个挖掘遗址的专业知识。_x000a_通过对遗址的勘察，使用者可以推断留下这遗址的生物的目的和生活方式。_x000a_- 人类学可能对此会有所帮助。_x000a_- 考古学还有助于辨认已消失的人类语言的书面形式。" sqref="X28" xr:uid="{00000000-0002-0000-0500-000011000000}"/>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X36" xr:uid="{00000000-0002-0000-0500-000012000000}"/>
    <dataValidation allowBlank="1" showInputMessage="1" showErrorMessage="1" promptTitle="Charm (15%)" prompt="- 魅惑允许通过许多形式来使用，包括肉体魅力、诱惑、奉承或是单纯令人感到温暖的人格魅力。_x000a_- 魅惑可能可以被用于迫使某人进行特定的行动，但是不会是与个人日常举止完全相反的行为。_x000a_- 魅惑或是心理学技能可以用于对抗魅惑技能。_x000a_- 魅惑技能可以被用于讨价还价来使一件物品或者服务的价格降低。_x000a_- 如果成功，使用者得到了卖家的赞同，并且他们可能乐意降低一点价格。" sqref="X32" xr:uid="{00000000-0002-0000-0500-000013000000}"/>
    <dataValidation allowBlank="1" showInputMessage="1" showErrorMessage="1" promptTitle="Climb (20%)" prompt="- 这项技能允许一名角色借助或者不借助绳索或者登山工具进行爬树、墙以及其他垂直表面。_x000a_- 这项技能也同样包括用绳索下降。攀爬表面是否坚固，是否有可以用手握住的地方，风力，可见度，雨等等坏境状况都可能会影响难度等级。_x000a_- 第一次在这个技能上失败可能意味着这攀爬超出了调查员的能力范围。在孤注一掷上失败则可能意味着摔落了下来，同时因此受到伤害。_x000a_- 一个成功的攀爬检定应当允许调查员在任何场合下完成攀爬（而不是进行反复检定）。_x000a_- 一次富有挑战性或者长距离的攀爬则应当增加难度等级。" sqref="X33" xr:uid="{00000000-0002-0000-0500-000014000000}"/>
    <dataValidation allowBlank="1" showInputMessage="1" showErrorMessage="1" promptTitle="Artillery (01%) [无法孤注一骰][非常规]" prompt="- 这项技能呈现出对一些形式的军事训练和经历。使用者具有在战争中操作战地武器的经验：可以在一个工作队或“派遣队”中工作，进行对超过个人武器射击距离的武器的操作。_x000a_- 这些武器通常过于巨大以至于无法单人进行操作,并且个人无法再没有工作队支援的情况下使用这武器，或者应当提高难度等级（取决于KP 的判断，也取决于使用的武器类型）。_x000a_- 存在着许多不同的专业化武器，取决于游戏设定的时期，包括加农炮、榴弹炮、迫击炮以及火箭发射_x000a_器。_x000a_-作为一个战斗技能，炮术不能孤注一掷。" sqref="X89" xr:uid="{00000000-0002-0000-0500-000015000000}"/>
    <dataValidation allowBlank="1" showInputMessage="1" showErrorMessage="1" promptTitle="Computer Use (05%)" prompt="- 这项技能允许调查员用各种不同的电脑语言进行编程；恢复或者分析隐藏的数据；解除被加了保护的系统；探索一个复杂的网络；或者发现别人的骇入、后门程序、病毒。对电脑系统的特殊操作可能会需要这个检定。_x000a_- 互联网将大量的信息放置在了调查员的指尖上。_x000a_- 使用互联网来找到高度详细以及/或模糊不清的咨询可能会需要一个计算机使用和图书馆使用的组合检定。_x000a_- 这项技能在用电脑上网，检查电子邮件，或者运行一般的商品化软件时不需要使用。_x000a_- 仅在现代可用。" sqref="X34" xr:uid="{00000000-0002-0000-0500-000016000000}"/>
    <dataValidation allowBlank="1" showInputMessage="1" showErrorMessage="1" promptTitle="Credit Rating (00%)" prompt="- 衡量了调查员表现出来的富裕程度以及经济上的_x000a_自信度。_x000a_- 钱是敲门砖；如果调查员尝试用他的经济地位来达成某个目标，那么也许使用信用评级技能会比较合适。_x000a_- 信用评级可以被用来取代 APP 来评估第一印_x000a_象。_x000a_- 信用评级并不是一个被用于评估经济富裕度的技能，也不应该与其他技能挂钩。一个高信用评级在游戏中将会是一个有用的资源，并且应当在创造调查员时加上一定的点数。" sqref="X35" xr:uid="{00000000-0002-0000-0500-000017000000}"/>
    <dataValidation allowBlank="1" showInputMessage="1" showErrorMessage="1" promptTitle="History (05%)" prompt="- 让一名调查员能够记住一个国家，城市，区域或_x000a_者个人及其相关的重要情报。_x000a_- 一个成功的检定可以用来帮助辨认先祖所熟悉的工具，科技，或者想法，但是对当下的所知甚少。" sqref="X52" xr:uid="{00000000-0002-0000-0500-000018000000}"/>
    <dataValidation allowBlank="1" showInputMessage="1" showErrorMessage="1" promptTitle="Disguise (05%)" prompt="- 使用在当你想要演出除你自己外的别人时。_x000a_- 使用者改变了态度，习惯，以及/或声音来进行一个乔装，以另一个人或者另一类人的形象出现。_x000a_- 戏剧化妆品可能会有所帮助，还有伪造的身份证。" sqref="X37" xr:uid="{00000000-0002-0000-0500-000019000000}"/>
    <dataValidation allowBlank="1" showInputMessage="1" showErrorMessage="1" promptTitle="Spot Hidden (25%)" prompt="- 这项技能允许使用者发现密门或者秘密隔间，注意到隐藏的闯入者，发现并不明显的线索，发现重新涂过漆的汽车，意识到埋伏，注意到鼓出的口袋，或者任何类似的事情。_x000a_- 对于调查员来说，这是一个重要的技能。" sqref="X78" xr:uid="{00000000-0002-0000-0500-00001A000000}"/>
    <dataValidation allowBlank="1" showInputMessage="1" showErrorMessage="1" promptTitle="Dodge (DEX/2) [无法孤注一骰]" prompt="- 允许调查员本能地闪避攻击，投掷过来的投射物以及诸如此类的。_x000a_- 一名角色可以尝试在一场战斗轮中使用任何次数的闪避（但是对抗一次特定的攻击只能一次）。_x000a_- 闪避可以通过经验来提升，就像其他的技能一样。_x000a_- 如果一次攻击可以被看见，一名角色可以尝试闪避开它。_x000a_- 想要闪避子弹是不可能的，因为运动中的它们是不可能被看见的；一名角色所能做到的最好的是做逃避的行动来造成自己更难被命中（“寻找掩体（可以在武器列表的可选规则里看见）“）。" sqref="X38" xr:uid="{00000000-0002-0000-0500-00001B000000}"/>
    <dataValidation allowBlank="1" showInputMessage="1" showErrorMessage="1" promptTitle="Stealth (20%)" prompt="- 安静地移动以及/或者躲藏的技巧，不惊扰到那些可能在听或者看的人们。_x000a_- 当尝试躲避探查，玩家应当进行一个潜行的技能检定。_x000a_- 与这项技能相关的能力意味着要么角色能够安静地移动（轻声轻足）以及/或者在伪装技巧上有所训练。_x000a_- 这项技能也同样意味着角色可以在长时间维持一定程度的谨慎心态以及冷静的头脑来使自己保持静止和隐秘。" sqref="X79" xr:uid="{00000000-0002-0000-0500-00001C000000}"/>
    <dataValidation allowBlank="1" showInputMessage="1" showErrorMessage="1" promptTitle="Electrical Repair (10%)" prompt="- 使调查员能够修理或者改装电气设备，例如自动点火装置，电动机，保险丝盒，以及防盗自动警铃。_x000a_- 在现代，这项技能对现代电子器件几乎做不到什么。_x000a_- 为了维修电气设备，可能需要特殊的部件或者工具。_x000a_- 在 1920 年代的职业可能会需要这个技能，并且需要机械维修技能作为组合。_x000a_- 电气维修也可能在现代的爆破上被使用，例如雷管，C-4 塑料炸弹，以及地雷。_x000a_- 这些武器被设计得简单易用；只有一个大失败的结果才会造成不启动（记住这检定可以使用孤注一掷）。_x000a_- 拆除爆炸物是远远更为复杂的，因为它们可能被安装了反" sqref="X40" xr:uid="{00000000-0002-0000-0500-00001D000000}"/>
    <dataValidation allowBlank="1" showInputMessage="1" showErrorMessage="1" promptTitle="Electronics (01%)" prompt="- 用来发现并对电子设备的故障进行维修。_x000a_- 允许制作简单的电子设备。_x000a_- 这是个现代技能——在 1920 年代则是使用物理学以及电气维修来应对电子设备。_x000a_- 不像电气维修技能，电子学工作的部件通常是不_x000a_能临时配备的：它们通过精密的工作被设计出来通_x000a_常如果没有正确的微晶片或者电路板，技能的使用者就无法进行工作，除非他们可以策划出一些形式的应急方案。" sqref="X41" xr:uid="{00000000-0002-0000-0500-00001E000000}"/>
    <dataValidation allowBlank="1" showInputMessage="1" showErrorMessage="1" promptTitle="Fine Art (05%)" prompt="- 艺术家在艺术绘画上十分熟练（油画、丙烯画、水彩画），同样在用铅笔、彩色蜡笔、粉笔的素描上十分熟练。_x000a_- 然而这各种各样的艺术工作许多天或者许多月来完成，艺术家可能能快速素描出准确的印象，物体或者人物。_x000a_- 这项技能也代表了对艺术世界的熟悉，以及技术家能确定特定艺术家的作品，他们的学校，以及了解的历史。" sqref="M220" xr:uid="{00000000-0002-0000-0500-00001F000000}"/>
    <dataValidation allowBlank="1" showInputMessage="1" showErrorMessage="1" promptTitle="Cooking (05%)" prompt="当使用者需要做饭时可以通过该鉴定决定做出的饭菜是否可口。可以通过后期训练担当五星级酒店掌勺大厨。俗话说的好，抓住男人的心先要抓住男人胃。" sqref="M226" xr:uid="{00000000-0002-0000-0500-000020000000}"/>
    <dataValidation allowBlank="1" showInputMessage="1" showErrorMessage="1" promptTitle="Hypnosis (01%)[非常规]" prompt="- 使用者可以在一名自愿并经历过高度暗示、放松的目标身上引出出神似的状态，并且可能回忆起忘却_x000a_的记忆。_x000a_- 对于催眠的限制应当由 KP 根据适应自己游戏的情况来制定；这可能是只有自愿的目标可以被催眠，或者 KP 可能会允许这项技能以一种更加富有侵略_x000a_性的方式被用在非自愿的目标身上。_x000a_- 对那些遭受了精神创伤的人，这项技能可以当_x000a_做催眠疗法来使用，减轻一名病人的恐惧或者狂躁（成功的使用这个技能意味着这名病人在该场合克服了恐惧或者狂躁），需要1D6次疗程。" sqref="X88" xr:uid="{00000000-0002-0000-0500-000021000000}"/>
    <dataValidation allowBlank="1" showInputMessage="1" showErrorMessage="1" promptTitle="Fast Talk (05%) 也译作“快速交谈”" prompt="- 话术特别限定于言语上的哄骗，欺骗以及误导，例如迷惑一名门卫来让你进入一间俱乐部，误导警察看向另一边，以及诸如此类的。_x000a_- 这项技能的对立技能为心理学或者话术。_x000a_- 经过一段时间的相信期后（通常在使用话术的人离开场景之后），对方会意识到自己被欺骗了。如果达成了更高的难度等级可能会使这个时间更加长一点。_x000a_- 可以被用来对一件物品或者服务的价格进行砍价。如果成功，卖家会暂时性地觉得这是一场不错得交易；然而，如果买家打算归还或者试图购买别的物品，卖家可能会拒绝继续降价，并且甚至可能会提高价格为了补回他们的损失" sqref="X42" xr:uid="{00000000-0002-0000-0500-000022000000}"/>
    <dataValidation allowBlank="1" showInputMessage="1" showErrorMessage="1" promptTitle="First Aid (30%)" prompt="- 使用者可以提供紧急的医疗处理。这包括：对摔断了的腿用夹板进行处理，止血，处理烧伤，溺水复苏，包扎以及清理伤口等等。急救不能用于治疗疾病（这需要医学技能）。_x000a_- 急救必须在一小时内进行，在这种情况能回复 1 生命值的损伤。_x000a_- 这项技能可以尝试一次，后续的尝试将为进行孤注一掷。_x000a_- 两个人可以合作进行急救，只要其中一人成功便可以让生命值回复。_x000a_- 成功的急救可以将一名昏迷的角色唤醒过来。_x000a_- 一名角色只能进行一次成功的急救或者医学，直到受到其他伤害。" sqref="X51" xr:uid="{00000000-0002-0000-0500-000023000000}"/>
    <dataValidation allowBlank="1" showInputMessage="1" showErrorMessage="1" promptTitle="Intimidate (15%)" prompt="- 恐吓可以以许多形式使用，包括武力威慑，心理操控，以及威胁。这通常被用来使某人害怕，并迫使其进行某种特定的行为。_x000a_- 恐吓的对抗技能为恐吓或者心理学。_x000a_- 携带武器或者其他的有力的威胁或诱因来协助恐吓可能可以降低难度等级。_x000a_- 当在恐吓上使用孤注一掷时，失败的可能结果之一是对目标进行了远远超过本身意图的恐吓。_x000a_- 恐吓可以被用于降低一件物品或者服务的价格。如果成功，卖家可能会降低价格，或者免费交出，但是根据情况，对方可能会将这事情举报给警察或者当地犯罪组织的成员。" sqref="X53" xr:uid="{00000000-0002-0000-0500-000024000000}"/>
    <dataValidation allowBlank="1" showInputMessage="1" showErrorMessage="1" promptTitle="Jump (20%)" prompt="- 如果成功，调查员可以在垂直方向上跳起或跳下，或者从一个站立点或起步点水平向外跳。_x000a_- 为了分辨哪些算在正常跳跃，困难跳跃以及极难跳跃，必须对判断进行训练。_x000a_- 作为指导，当调查员想要安全地从垂直等同于其自身高度的地方跳下来时，需要一个常规难度的成功，或者水平地从其站立点跳过长度等同于他自身高度的坑，或者助跑后跳过两倍于其自身高度的距离。_x000a_- 如果要达成两倍距离的跳跃，则需要一个极难难度的成功，牢记，最长跳跃的世界纪录为大约 8.95米。_x000a_- 如果从高处摔落下来，一个成功的跳跃检定可以使对坠落有所准备，" sqref="X54" xr:uid="{00000000-0002-0000-0500-000025000000}"/>
    <dataValidation allowBlank="1" showInputMessage="1" showErrorMessage="1" promptTitle="Chemistry (01%)" prompt="有关物质组成，温度的影响，能量，以及作用于其上的压力的研究，也包括物质如何互相影响。在化学的帮助下，某人可以创造或者提取复杂的化学复合物，包括简单的炸药，毒药，气体以及酸液，需要至少一天以上并且在合适的设备以及化学药剂的帮助。使用者也可以对一种不明的物质进行分析，如果有这合适的设备以及试剂。" sqref="O220" xr:uid="{00000000-0002-0000-0500-000026000000}"/>
    <dataValidation allowBlank="1" showInputMessage="1" showErrorMessage="1" promptTitle="Language (EDU)" prompt="- 当选择这项技能时，必须明确一门具体的语言并_x000a_且写在技能的后面。_x000a_- 在婴儿期或者童年早期，大多数人使用单一一门语言。_x000a_- 玩家所选择作为母语的语言自动地以等同于调查员教育（EDU）属性为起始；此后，调查员以那个百分比或者更高的来进行理解，说，读以及写（如果更多的技能点数在调查员创作时加了上去）。" sqref="X58" xr:uid="{00000000-0002-0000-0500-000027000000}"/>
    <dataValidation allowBlank="1" showInputMessage="1" showErrorMessage="1" promptTitle="Library Use (20%)" prompt="- 图书馆使用使一名调查员能在图书馆找到一些信息，例如特定的一本书，新闻或者参考书，搜集文件或者资料库，假设需要的东西确实在那里的话。_x000a_- 使用这个技能需要数小时的连续的调查。_x000a_- 这项技能可以定位寻找一件隐藏的案例或者一本特殊收藏的稀有书籍，但是说服，话术，魅惑，恐吓，信用评级，或者特殊的证明书可能会需要来获得阅读这书或者信息的许可。" sqref="X60" xr:uid="{00000000-0002-0000-0500-000028000000}"/>
    <dataValidation allowBlank="1" showInputMessage="1" showErrorMessage="1" promptTitle="Locksmith (01%)" prompt="- 锁匠技能可以打开车门，热线自动装置，用铁撬撬开图书馆的窗子，解决中国机关箱（比如鲁班锁），以及穿过常规的商用警报系统。_x000a_- 使用者可能会修复锁，制作钥匙，或者在万能钥匙，开锁工具或者其他工具的帮助下打开锁。_x000a_- 特别困难的锁可能会需要一个更高的难度等级。" sqref="X62" xr:uid="{00000000-0002-0000-0500-000029000000}"/>
    <dataValidation allowBlank="1" showInputMessage="1" showErrorMessage="1" promptTitle="Listen (20%)" prompt="- 衡量一名调查员理解声音的能力，包括偶然听到_x000a_的对话，一扇关着的门后的轻声嘀咕，以及咖啡厅里的私语。_x000a_- KP 可以用这来决定一场即将发生的遭遇的形式：是你的调查员因被踩碎的树枝的声音而警觉到了到来的遭遇？_x000a_- 甚至此外，一个较高的聆听技能可以指一名角色有着较高的警觉能力。" sqref="X61" xr:uid="{00000000-0002-0000-0500-00002A000000}"/>
    <dataValidation allowBlank="1" showInputMessage="1" showErrorMessage="1" promptTitle="Sleight of Hand (10%)" prompt="- 允许对物体进行视觉上的遮住，藏匿，或者掩盖，也许通过残害，衣服或者其他的干涉或促成错觉_x000a_的材料，也许通过使用一个秘密的嵌板或者隔间。_x000a_- 任何种类的巨大物件应当增加藏匿的难度。_x000a_- 妙手包括偷窃，卡牌魔术，以及秘密使用手机。" sqref="X77" xr:uid="{00000000-0002-0000-0500-00002B000000}"/>
    <dataValidation allowBlank="1" showInputMessage="1" showErrorMessage="1" promptTitle="Medicine (01%)" prompt="- 使用者可以诊断并治疗事故，创伤，疾病，毒药_x000a_等，并且可以提供公共健康建议。_x000a_- 如果一个时代还并没有好的治疗某种疾病的疗法，那么这项技能的效果是有限的，不确定的，或者无效的。_x000a_- 医学技能能给予大范围的对于药片以及药剂，是自然还是人造的知识，以及对副作用以及禁忌症状的理解。_x000a_- 用医学技能来进行治疗最少要花费 1 小时时间，并且可以在造成了伤害后的任何时间进行处理，但是如果这并没有在同一天内进行处理，难度等级将会上升（需要一个困难难度的成功）。" sqref="X64" xr:uid="{00000000-0002-0000-0500-00002C000000}"/>
    <dataValidation allowBlank="1" showInputMessage="1" showErrorMessage="1" promptTitle="Natural World (10%) 也译作“自然学”" prompt="- 起初指对于在自然环境中的植物以及动物生命的研究。_x000a_- 直到 19 世纪，这门学科被分开到一系列的学术学科（生物学，植物学，等等）。_x000a_- 作为一个技能，博物学达标了传统的（非科学的）知识以及农民，渔民，优秀的业余者，以及单纯的爱好者的个人观察。_x000a_- 它可以一般地对物种，栖息地进行辨认，并且可以辨认踪迹、足迹以及叫声，也可以允许对什么事物可能对某种特定物种来说很重要进行猜测。_x000a_- 如果要一个对自然世界的科学性的理解，那么应当去看生物学，植物学以及动物学技能。" sqref="X65" xr:uid="{00000000-0002-0000-0500-00002D000000}"/>
    <dataValidation allowBlank="1" showInputMessage="1" showErrorMessage="1" promptTitle="Engineering (01%)" prompt="尽管严格上来说这并不是科学，但是为了方便归到了这里。科学是与辨认特定的现象相关（通过观察和记录）。然而工程学将这些发现利用起来进行实际利用，例如机器，结构，以及材料。" sqref="O229" xr:uid="{00000000-0002-0000-0500-00002E000000}"/>
    <dataValidation allowBlank="1" showInputMessage="1" showErrorMessage="1" promptTitle="Occult (05%)" prompt="- 使用者可以识别出神秘学道具，用语和概念，以及民间传统，并且可以辨认魔法书以及神秘学记号。_x000a_- 神秘学家对有着代代相传的神秘知识的家庭十分熟悉，包括从埃及和苏美尔，从中世纪和文艺复兴时期的西方，以及也许从亚洲或者非洲。_x000a_- 理解特定的书籍可能可以增加神秘学技能的百分比。这项技能不能运用于与克苏鲁神话相关的咒术，书本，以及魔法，尽管旧日支配者的崇拜者对于神秘学有着很高的接受能力。" sqref="X67" xr:uid="{00000000-0002-0000-0500-00002F000000}"/>
    <dataValidation allowBlank="1" showInputMessage="1" showErrorMessage="1" promptTitle="Operate Heavy Machinery (01%)" prompt="- 当驾驶以及操纵一辆坦克，反铲挖土机，蒸汽挖土机或者其他巨型建造机械时需要这个技能。_x000a_- 对于种类非常不同的机械，KP 可以决定提高难度等级，如果遇到的问题是极大程度上不熟悉的；例如，过去常常开推土机的某人，不会立刻能够掌握对船的引擎舱中的蒸汽涡轮机的使用。" sqref="X68" xr:uid="{00000000-0002-0000-0500-000030000000}"/>
    <dataValidation allowBlank="1" showInputMessage="1" showErrorMessage="1" promptTitle="Persuade (10%)" prompt="- 使用说服来通过一场有理有据的论述、争辩以及讨论让目标相信一个确切的想法，概念，或者信仰。_x000a_说服并不一定需要涉及真实的内容。成功的说服技能的运用将花费不少的时间：至少半小时。_x000a_- 如果你想快速地说服某人，你应该使用话术技能。_x000a_取决于玩家表述的目标，如果调查员花费了足够的时间，说服造成的影响可能一直持续下去，并且无意识地影响着别人；可能会持续好几年，直到某件事件或者另一次得说服改变了目标的想法。_x000a_- 说服可以被用于讨价还价，以此来削低某样物品或者服务的价格。如果成功，卖家将会完全地相信自己做了一场好买卖。" sqref="X69" xr:uid="{00000000-0002-0000-0500-000031000000}"/>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X71" xr:uid="{00000000-0002-0000-0500-000032000000}"/>
    <dataValidation allowBlank="1" showInputMessage="1" showErrorMessage="1" promptTitle="Psychology (10%)" prompt="对所有人来说都很通用的察觉方面的技能，允许使用者研究个人并且形成对于其他某人动机和人格的了解。" sqref="X72" xr:uid="{00000000-0002-0000-0500-000033000000}"/>
    <dataValidation allowBlank="1" showInputMessage="1" showErrorMessage="1" promptTitle="Diving (01%)[非常规]" prompt="- 使用者接受过在深海游泳的使用以及维持潜水设_x000a_备的训练，水下导航，合适的下潜配重，以及应对紧急情况的方法。_x000a_- 在 1942 年的水肺[潜水氧气筒]发明前，严格的潜水套装是装备着能从水面输送空气的连接管道。_x000a_- 在现代，一名水肺潜水员将会熟悉当呼吸增压氧气时发生的潜水时的物理现象，气压，以及生理学的过程。" sqref="X85" xr:uid="{00000000-0002-0000-0500-000034000000}"/>
    <dataValidation allowBlank="1" showInputMessage="1" showErrorMessage="1" promptTitle="Ride (05%)" prompt="- 这项技能被用于给坐在鞍上驾驭马，驴子或者骡子，以及获得对这些骑乘动物、骑乘工具的基础照料知识，以及如何在疾驰中或困难地形上操纵坐骑。_x000a_- 当坐骑出乎意外地抬起身子或失足时，骑手保持自己在坐骑上不摔落的几率等同于他的骑术技能。_x000a_偏坐在马鞍上进行骑乘将会提高一个等级的难度等级。_x000a_- 对于不熟悉的坐骑（例如骆驼）也可以成功地骑乘，但是可能会需要更高的难度等级。" sqref="X73" xr:uid="{00000000-0002-0000-0500-000035000000}"/>
    <dataValidation allowBlank="1" showInputMessage="1" showErrorMessage="1" promptTitle="Swim (20%)" prompt="- 有能力在水或者其他液体中漂浮以及移动。_x000a_- 只有在遭遇危险的时候需要进行游泳技能检定，或者当 KP认为合适的时候。" sqref="X81" xr:uid="{00000000-0002-0000-0500-000036000000}"/>
    <dataValidation allowBlank="1" showInputMessage="1" showErrorMessage="1" promptTitle="Throw (20%)" prompt="- 当需要用物体击中目标或者用物件的正确部分击中目标（例如小刀或者短柄小斧的刃）时，使用投掷技能。_x000a_- 一件有着合理平衡构架的可以藏于手中大小的物品可以被投掷至多等同于 STR 码距离。" sqref="X82" xr:uid="{00000000-0002-0000-0500-000037000000}"/>
    <dataValidation allowBlank="1" showInputMessage="1" showErrorMessage="1" promptTitle="Knowledge （不定）[非常规]" prompt="这项技能代表一名觉得对一个超出人类常规知识范畴的事物的专业理解。学问的专业化应该具体并且不同寻常，例如：_x000a_·梦学问_x000a_·死灵之书学问（e.g.历史的）_x000a_·UFO 学问_x000a_·吸血鬼学问_x000a_·狼人学问_x000a_·亚狄斯星人学问" sqref="X90" xr:uid="{00000000-0002-0000-0500-000038000000}"/>
    <dataValidation allowBlank="1" showInputMessage="1" showErrorMessage="1" promptTitle="Demolitions (01%)[非常规]" prompt="- 在这项技能的帮助下，使用者将熟练于安全使用爆破，包括设置以及拆除炸药。_x000a_- 地雷以及相似的设备被设计得容易设置（不需要检定）但是相对较为困难地进行除去或拆除。_x000a_- 这项技能也包含军用等级的爆炸物（反人类地雷，塑料炸弹，等）。_x000a_- 给予足够的时间和资源，这些专家可以装设炸药来摧毁一幢建筑，清除一个被堵住的隧道，以及赋予炸药不同用处（例如构造微量炸药，诡雷，以及其他）。" sqref="X86" xr:uid="{00000000-0002-0000-0500-000039000000}"/>
    <dataValidation allowBlank="1" showInputMessage="1" showErrorMessage="1" promptTitle="Meteorology (01%)" prompt="这是门关于大气的科学研究，包括天气系统和形态，以及大气现象。使用这项技能可以判断长期的天气形态以及对其影响进行预报，例如雨、雪以及雾。" sqref="O230" xr:uid="{00000000-0002-0000-0500-00003A000000}"/>
    <dataValidation allowBlank="1" showInputMessage="1" showErrorMessage="1" promptTitle="Track (10%)" prompt="- 一名调查员可以凭借追踪技能来通过土壤上的脚_x000a_印，或是物体通过植被时留下的印记来追踪别人，或者是交通工具以及地球上的动物。_x000a_- 时间的经过，雨，以及土地的种类都可能会影响追踪的难度等级。" sqref="X83" xr:uid="{00000000-0002-0000-0500-00003B000000}"/>
    <dataValidation allowBlank="1" showErrorMessage="1" sqref="A158 B178 B182 B183 B197 A153:A157 B152:B166 B167:B177 B179:B181 B198:B211" xr:uid="{00000000-0002-0000-0500-00003C000000}"/>
    <dataValidation allowBlank="1" showInputMessage="1" showErrorMessage="1" promptTitle="Morris Dance（05%）" prompt="莫里斯舞，在英国的历史“久远”二字都不足以形容。在古代凯尔特人的传统节日庆祝活动中，往往会绕着石圈或者石阵跳舞。这种舞就是最初的莫里斯舞，而随着时间的发展，莫里斯舞后来又转移到了墓地进行。" sqref="AC83 M243" xr:uid="{00000000-0002-0000-0500-00003D000000}"/>
    <dataValidation allowBlank="1" showInputMessage="1" showErrorMessage="1" promptTitle="Beast Training(05%)[非常规]" prompt="- 命令以及训练已驯化动物去完成一些简单任务的技能。_x000a_- 这个技能最常用于狗上，但也包括鸟、猫、猴子以及其他（取决于 KP 的判断）。_x000a_- 至于对动物的骑乘，例如马或者骆驼，则要用骑术技能来进行行动以及操控这些坐骑。" sqref="X84" xr:uid="{00000000-0002-0000-0500-00003E000000}"/>
    <dataValidation allowBlank="1" showInputMessage="1" showErrorMessage="1" promptTitle="Acting (05%)" prompt="表演者受到过戏剧以及/或电影演技的训练（在现代，这可能也包括电视），使你能适应一个人物角色，记住剧本，以及使用舞台/电影化妆来改变他们的外貌。" sqref="M219" xr:uid="{00000000-0002-0000-0500-00003F000000}"/>
    <dataValidation allowBlank="1" showInputMessage="1" showErrorMessage="1" promptTitle="Handgun (20%)" prompt="- 用来使用所有的类似于手枪的火器，进行非连续的射击。_x000a_- 对于现代游戏中的全自动手枪（MAC-11，乌兹手枪，等等），当使用全自动模式时，用冲锋枪的技能进行判定。" sqref="Q219" xr:uid="{00000000-0002-0000-0500-000040000000}"/>
    <dataValidation allowBlank="1" showInputMessage="1" showErrorMessage="1" promptTitle="Rifle/Shotgun (25%)" prompt="- 这个技能可以用于射击任何类型的步枪（无论是杠杆作用，手动栓式或者半自动的）或者霰弹枪。_x000a_- 因为霰弹枪中装填的弹药会以散射的方式发射，所以使用者的命中几率不会因为距离而减少，但是造成的伤害会受到影响。_x000a_- 当突击步枪进行单次射击时（或者多次进行单次），使用这个技能。" sqref="Q220" xr:uid="{00000000-0002-0000-0500-000041000000}"/>
    <dataValidation allowBlank="1" showInputMessage="1" showErrorMessage="1" promptTitle="Beast Training(05%)" prompt="- 命令以及训练已驯化动物去完成一些简单任务的技能。_x000a_- 这个技能最常用于狗上，但也包括鸟、猫、猴子以及其他（取决于 KP 的判断）。_x000a_- 至于对动物的骑乘，例如马或者骆驼，则要用骑术技能来进行行动以及操控这些坐骑。" sqref="S219" xr:uid="{00000000-0002-0000-0500-000042000000}"/>
    <dataValidation allowBlank="1" showInputMessage="1" showErrorMessage="1" promptTitle="Brawl (25%)" prompt="- 包括空手格斗以及任何人都可以捡起并使用的基础武器，例如棍棒（例如板球棒或者棒球棍），小刀，以及许多临时武器，例如瓶子以及椅子腿。_x000a_- 为了决定这些临时武器所造成的伤害，KP 应当参考武器表并且挑选那些类似的。" sqref="U219" xr:uid="{00000000-0002-0000-0500-000043000000}"/>
    <dataValidation allowBlank="1" showInputMessage="1" showErrorMessage="1" promptTitle="boat （01%）" prompt="- 理解在风，暴风雨以及潮流下操纵小型摩托艇以及轮船的机理，并且可以读懂潮流以及风的流向，以此来得到暗礁以及将要逼近的暴风雨的情_x000a_报。_x000a_- 初学的水手将会发现到在大风中停靠一艘小船是多么困难。" sqref="S220" xr:uid="{00000000-0002-0000-0500-000044000000}"/>
    <dataValidation allowBlank="1" showInputMessage="1" showErrorMessage="1" promptTitle="Whip (05%)" prompt="套索以及鞭子。" sqref="U220" xr:uid="{00000000-0002-0000-0500-000045000000}"/>
    <dataValidation allowBlank="1" showInputMessage="1" showErrorMessage="1" promptTitle="Photography (05%)" prompt="（这里写不下了所以写进批注）" sqref="M221" xr:uid="{00000000-0002-0000-0500-000046000000}"/>
    <dataValidation allowBlank="1" showInputMessage="1" showErrorMessage="1" promptTitle="Biology (01%)" prompt="关于生命和存活的有机物的学科，包括细胞学、生态学、基因学、组织学、微观生物学、生理学等等。在这项技能的帮助下，一个人可能能够研究出能够对抗可怕的克苏鲁神话细菌的疫苗，将自己从能够令人产生幻觉的丛林植物下隔离开来，或者对鲜血以及/或者有机物质进行分析。" sqref="O221" xr:uid="{00000000-0002-0000-0500-000047000000}"/>
    <dataValidation allowBlank="1" showInputMessage="1" showErrorMessage="1" promptTitle="Submachine Gun (15%)" prompt="当用任何自动手枪或者冲锋枪开火时使用这个技能；同样也用于突击步枪的全自动模式。" sqref="Q221" xr:uid="{00000000-0002-0000-0500-000048000000}"/>
    <dataValidation allowBlank="1" showInputMessage="1" showErrorMessage="1" promptTitle="Chainsaw (10%)" prompt="第一个以汽油为能源，大量生产的电锯出现于 1927 年；然而，也存在着一些早期版本。" sqref="U221" xr:uid="{00000000-0002-0000-0500-000049000000}"/>
    <dataValidation allowBlank="1" sqref="AB221 AB226:AB227" xr:uid="{00000000-0002-0000-0500-00004A000000}"/>
    <dataValidation allowBlank="1" showInputMessage="1" showErrorMessage="1" promptTitle="Forgery (05%)" prompt="- 熟练于细节，使用者可以制作高质量的伪造文档使它以某人的笔迹写成，制作官僚作风的形式或许可，或者进行卷册的复制。_x000a_- 伪造者需要合适的材料（墨水，不同的纸张等）以及想要复制的文档的原件。_x000a_- 一个成功的检定表示伪造文档将通过一个普通而草率的检查。_x000a_- 当有人花费时间并仔细检查伪造品时需要使用估价技能（与原始的伪造者的技能进行对抗）来决定是否能辨认出是伪造品。" sqref="M222" xr:uid="{00000000-0002-0000-0500-00004B000000}"/>
    <dataValidation allowBlank="1" showInputMessage="1" showErrorMessage="1" promptTitle="Mathematics (01%)" prompt="对于数字和逻辑的研究，包括数学理论、应用以及理论上的解决方法设计和推演发展。这项技能可能允许使用者辨认非欧几里得几何，解决困难的公式，以及破译复杂的图样或者暗码（专业的对暗码的研究见密码学）。" sqref="O222" xr:uid="{00000000-0002-0000-0500-00004C000000}"/>
    <dataValidation allowBlank="1" showInputMessage="1" showErrorMessage="1" promptTitle="Bow (15%)" prompt="用来使用弓以及弩，包括从中世纪的长弓到现代，高性能的复合弓。" sqref="Q222" xr:uid="{00000000-0002-0000-0500-00004D000000}"/>
    <dataValidation allowBlank="1" showInputMessage="1" showErrorMessage="1" promptTitle="Flail (10%)" prompt="双节棍，钉锤，以及相似的中世纪兵器。" sqref="U222" xr:uid="{00000000-0002-0000-0500-00004E000000}"/>
    <dataValidation allowBlank="1" showInputMessage="1" showErrorMessage="1" promptTitle="Literature (05%)" prompt="作家可以通过文学来写出一篇脍炙人口的名章。如果想要将一个怪物将其用文字记录下来，那么建议过一个困难以上的鉴定，否则冠以不可名状即可。" sqref="M223" xr:uid="{00000000-0002-0000-0500-00004F000000}"/>
    <dataValidation allowBlank="1" showInputMessage="1" showErrorMessage="1" promptTitle="Astronomy (01%)" prompt="使用者可以知道在某个特定的日子或者一天早晚某个时间时哪颗恒星或者行星位于正上方，何时彗星和流星雨会出现，以及重要的恒星的名字。这项技能同样会提供有关其他世界的生命，银河的存在和结构，以及类似的知识的现代概念。一名学者可能能够计算轨道，判断恒星生命周期，以及（在现代）有关红外天文学或者超长基线干涉测量的相关知识。" sqref="O223" xr:uid="{00000000-0002-0000-0500-000050000000}"/>
    <dataValidation allowBlank="1" showInputMessage="1" showErrorMessage="1" promptTitle="提示" prompt="以下汇率的时间为2018年10月" sqref="X236 Z241:AC241 AI253" xr:uid="{00000000-0002-0000-0500-000051000000}"/>
    <dataValidation allowBlank="1" showInputMessage="1" showErrorMessage="1" promptTitle="Flamethrower (10%)" prompt="- 喷射出一连串点燃的可燃烧液体或者气体的武器。_x000a_- 可以被操作者携带或者架设在交通工具上。" sqref="Q223" xr:uid="{00000000-0002-0000-0500-000052000000}"/>
    <dataValidation allowBlank="1" showInputMessage="1" showErrorMessage="1" promptTitle="Garrote (15%)" prompt="任何长度的材料被用于绞死对方。需要受害者进行一个战技检定来逃脱，否则就要遭受每轮 1D6 的伤害。" sqref="U223" xr:uid="{00000000-0002-0000-0500-000053000000}"/>
    <dataValidation allowBlank="1" showInputMessage="1" showErrorMessage="1" promptTitle="Calligraphy (05%)" prompt="使用者可以使用书法挥斥方遒，力透纸背。如果了解对方的书法习惯的话，可以伪造出近乎一模一样的笔迹。也可以替人写字卖钱养家糊口。书法家的名头也是赚足了眼球的。" sqref="M224" xr:uid="{00000000-0002-0000-0500-000054000000}"/>
    <dataValidation allowBlank="1" showInputMessage="1" showErrorMessage="1" promptTitle="Physics (01%)" prompt="使使用者能够理论上了解压力、材料、运动、磁力、电力、光学、辐射和相关的现象，以及给予一定的能力来构建实验器材来验证想法。对于知识的了解程度取决于所在的年代。实际运用的装置，例如汽车，并不是物理学家的范围，然而实验设备可能会是，也许要结合电气维修或者机械维修。" sqref="O224" xr:uid="{00000000-0002-0000-0500-000055000000}"/>
    <dataValidation allowBlank="1" showInputMessage="1" showErrorMessage="1" promptTitle="Machine Gun (10%)" prompt="- 用两脚架或者三脚架架设的进行连续射击的武器。_x000a_- 如果两脚架的类型进行单次射击，那么使用步枪技能。_x000a_- 对于今日来说，突击步枪，冲锋枪以及轻机枪之间的差别已经是十分细微的了。" sqref="Q224" xr:uid="{00000000-0002-0000-0500-000056000000}"/>
    <dataValidation allowBlank="1" showInputMessage="1" showErrorMessage="1" promptTitle="Axe (15%)" prompt="- 当使用大型的木斧时使用这个技能。_x000a_- 短柄小斧则可以用基础的斗殴技能；_x000a_- 如果投掷出去，使用投掷技能。" sqref="U224" xr:uid="{00000000-0002-0000-0500-000057000000}"/>
    <dataValidation allowBlank="1" showInputMessage="1" showErrorMessage="1" promptTitle="Music theory (05%)" prompt="使用者可以通过乐理鉴定听到的乐声是来自何种乐器、何种曲子以及如果演奏。当然，在背景故事里最好固定于一种乐器。" sqref="M225" xr:uid="{00000000-0002-0000-0500-000058000000}"/>
    <dataValidation allowBlank="1" showInputMessage="1" showErrorMessage="1" promptTitle="Pharmacy (01%)" prompt="关于化学复合物以及它们的在有机生命体上的效果的研究。传统上来说，这包括药物的配方、创造以及施用（不管是一名巫医进行药草组合或者是现代的药剂师在实验室里进行操作）。这个技能的应用在与确认药物被安全以及有效地使用，包括人工合成原料，毒素的检定，以及有可能产生的副作用的相关知识。" sqref="O225" xr:uid="{00000000-0002-0000-0500-000059000000}"/>
    <dataValidation allowBlank="1" showInputMessage="1" showErrorMessage="1" promptTitle="Heavy Weapons (10%)" prompt="用于使用枪榴弹发射器，反坦克火箭炮等等。" sqref="Q225" xr:uid="{00000000-0002-0000-0500-00005A000000}"/>
    <dataValidation allowBlank="1" showInputMessage="1" showErrorMessage="1" promptTitle="Sword (20%)" prompt="所有的长度超过两英尺（半米）的剑器。" sqref="U225" xr:uid="{00000000-0002-0000-0500-00005B000000}"/>
    <dataValidation allowBlank="1" showInputMessage="1" showErrorMessage="1" promptTitle="Botany (01%)" prompt="关于植物生命的研究，包括物种分类，结构，生长，繁殖，化学特性，进化原理，疾病，以及显微研究。植物学的分支学科包括农学，森林学，园艺和古植物学。在这项技能的帮助下，某人可以辨认出某种特定植物的特性（例如是否有毒性，是否可食用，或者具有精神治疗作用）以及它的具体用处。" sqref="O226" xr:uid="{00000000-0002-0000-0500-00005C000000}"/>
    <dataValidation allowBlank="1" showInputMessage="1" showErrorMessage="1" promptTitle="Spear (20%)" prompt="长枪或者投矛。如果投掷，使用投掷技能。" sqref="U226" xr:uid="{00000000-0002-0000-0500-00005D000000}"/>
    <dataValidation allowBlank="1" showInputMessage="1" showErrorMessage="1" promptTitle="Sewing (05%)" prompt="裁缝可以使用针或者缝纫机将布匹丝绸缝纫成某件布制品，根据成品所需难度提高鉴定难度。比如双面绣，建议极难，除非是一脉单传。有缝自有裁，也可以使用剪刀等工具对物品进行裁切。当然，超出剪刀等工具的范围就不适用该技能。" sqref="M227" xr:uid="{00000000-0002-0000-0500-00005E000000}"/>
    <dataValidation allowBlank="1" showInputMessage="1" showErrorMessage="1" promptTitle="Hairdressing (05%)" prompt="理发师可以使用剪刀等工具帮他人理发，如果要给自己理发建议困难鉴定。该技能偏向于RP，请自行扮演。" sqref="M228" xr:uid="{00000000-0002-0000-0500-00005F000000}"/>
    <dataValidation allowBlank="1" showInputMessage="1" showErrorMessage="1" promptTitle="Cryptography (01%)" prompt="关于由其他人发展出来的用于隐藏对话或者信息内容用的暗码或者密语的研究。一种数学的专业分支，这项技能使使用者能够辨认，创造或破译暗码。暗码通常上来说是写下来的，但也可能通过其他的形式，例如隐藏在乐曲、画作或者电脑编码（在现代设定下）下的信息。破译一个暗码可能会是一个漫长的工作，通常需要很长时间的调查研究以及大量的演算处理。" sqref="O228" xr:uid="{00000000-0002-0000-0500-000060000000}"/>
    <dataValidation allowBlank="1" showInputMessage="1" showErrorMessage="1" prompt="这是你所有资产加起来的总和。_x000a_包括房屋汽车家具等等等等。" sqref="Z228:AA228" xr:uid="{00000000-0002-0000-0500-000061000000}"/>
    <dataValidation allowBlank="1" showInputMessage="1" showErrorMessage="1" promptTitle="Architecture (05%)" prompt="使用者可以通过建筑鉴定了解某栋建筑的基本构造。也可以通过建筑对房屋进行修缮维护，比如添瓦加砖铺地板，刷墙壁纸两不闲。" sqref="M229" xr:uid="{00000000-0002-0000-0500-000062000000}"/>
    <dataValidation allowBlank="1" showInputMessage="1" showErrorMessage="1" promptTitle="Literature (05%)" prompt="使用者可以根据所学习的程度跳出相应的舞蹈。越难的舞蹈鉴定遇难。比如冰上华尔兹，可能就得进行联合鉴定才能成功。该技能适用RP，请自行扮演。" sqref="M230" xr:uid="{00000000-0002-0000-0500-000063000000}"/>
    <dataValidation allowBlank="1" showInputMessage="1" showErrorMessage="1" promptTitle="提示" prompt="现金单位自行更换" sqref="Z230:AA230" xr:uid="{00000000-0002-0000-0500-000064000000}"/>
    <dataValidation allowBlank="1" showInputMessage="1" showErrorMessage="1" promptTitle="Vintage (05%)" prompt="技艺者可以花费一段时间来酿酒。如果失败了或许酿出来的只是酒糟吧。可以通过品酒来得出酒的度数、类别，或许也能知道这酒的出处吧。" sqref="M231" xr:uid="{00000000-0002-0000-0500-000065000000}"/>
    <dataValidation allowBlank="1" showInputMessage="1" showErrorMessage="1" promptTitle="Forensic(01%)" prompt="对于证据的分析和检定的研究。通常与犯罪现场调查（检验指纹、DNA、头发以及体液）和实验室工作相联系，以此来确定真相以及为法庭争论提供专业的证人和证据。" sqref="O231" xr:uid="{00000000-0002-0000-0500-000066000000}"/>
    <dataValidation allowBlank="1" showInputMessage="1" showErrorMessage="1" promptTitle="Fishing (05%)" prompt="技艺者可以使用鱼竿、鱼叉、渔网等工具进行捕鱼。大成功说不定能钓到美人鱼上钩喔。" sqref="M232" xr:uid="{00000000-0002-0000-0500-000067000000}"/>
    <dataValidation allowBlank="1" showInputMessage="1" showErrorMessage="1" promptTitle="Singing (05%)" prompt="唱歌有很多唱法，在选择歌唱的时候请自行选择一种唱法写入背景故事，比如：演歌、歌剧歌唱、流行歌等。如果歌唱失败，会让人恨不得撕烂他的嘴。死亡歌声或许能吓退什么呢？" sqref="M233" xr:uid="{00000000-0002-0000-0500-000068000000}"/>
    <dataValidation allowBlank="1" showInputMessage="1" showErrorMessage="1" promptTitle="Terracotta (05%)" prompt="使用者可以用来伪造陶瓷器，或者能理解某些陶瓷器的烧制过程。或许在某些时候（荒野求生）能有所帮助吧。" sqref="M234" xr:uid="{00000000-0002-0000-0500-000069000000}"/>
    <dataValidation allowBlank="1" showInputMessage="1" showErrorMessage="1" promptTitle="Sculpture (05%)" prompt="使用者可以以雕塑为生，也可以通过一个困难以上鉴定来进行速刻。通过一个普通鉴定能了解到某些雕塑的诞生过程以及他的材质。当然，有时候你也可以大开脑洞凿个中空的雕塑做点什么？" sqref="M235" xr:uid="{00000000-0002-0000-0500-00006A000000}"/>
    <dataValidation allowBlank="1" showInputMessage="1" showErrorMessage="1" promptTitle="Acrobatics (05%)" prompt="技艺者可以进行某些杂耍技巧，或者变戏法之类的技巧。可以配合跳跃进行空中动作，配合妙手变魔术等。如果进行跑酷的话也可以使用杂技进行鉴定。在跳楼的时候可以通过该技能代替跳跃来减免伤害。" sqref="M236" xr:uid="{00000000-0002-0000-0500-00006B000000}"/>
    <dataValidation allowBlank="1" showInputMessage="1" showErrorMessage="1" promptTitle="Geomantic Omen (05%)" prompt="风水是一门很神奇的技艺。风水本为相地之术，即临场校察地理的方法，也叫地相、古称堪舆术。可以使用查看罗盘等风水工具来得知住宅基地、坟地等的自然形势的方位格局，以辨凶吉。如果迷路，或许也能凭此逃出生天。（该技能KP暗骰）" sqref="M237" xr:uid="{00000000-0002-0000-0500-00006C000000}"/>
    <dataValidation allowBlank="1" showInputMessage="1" showErrorMessage="1" promptTitle="Technical Drawing (05%)" prompt="技术制图，主要是建筑师凭此设计建筑的说法（自行脑补，以下省略XX字）" sqref="M238" xr:uid="{00000000-0002-0000-0500-00006D000000}"/>
    <dataValidation allowBlank="1" showInputMessage="1" showErrorMessage="1" promptTitle="Farming (05%)" prompt="耕作，指从事农耕。泛指农事。耕作制度是指在农业生产中，为了达到持续高产所采取的全部农田技术措施。它主要包括种植制度、土壤耕作制、施肥和杂草防除制度等环节。" sqref="M239" xr:uid="{00000000-0002-0000-0500-00006E000000}"/>
    <dataValidation allowBlank="1" showInputMessage="1" showErrorMessage="1" promptTitle="Typing (05%)" prompt="打字也称文字录入，包括数字录入、中文录入、英文录入（字母）、日文录入（平假名）、德文录入等。以前，使用打字机来打字，即使用电脑来打字。" sqref="M240" xr:uid="{00000000-0002-0000-0500-00006F000000}"/>
    <dataValidation allowBlank="1" showInputMessage="1" showErrorMessage="1" promptTitle="Stenography (05%)" prompt="速记是一门用特殊符号系统记录语音的快写实用技术。大多数人印象中的速记还是传统的手写速记，记录后的稿件是一个个类似蝌蚪的符号，而且需要一段时间把速记符号转化成文字。现在兴起的电脑速记，记录的结果是普通文字信息，不需要再做文字转写工作，能够跟说话同步。电视里现场直播中能够立即出现字幕，电脑速记员就是幕后英雄。" sqref="M241" xr:uid="{00000000-0002-0000-0500-000070000000}"/>
    <dataValidation allowBlank="1" showInputMessage="1" showErrorMessage="1" promptTitle="Carpenter (05%)" prompt="木匠，亦称“木工”，指在制造家具零件、门窗框架，或其他木制品过程中用手工工具或机器工具进行操作的人。木匠从事的行业是很广泛的，他们不仅可以制作各种家具，在建筑行业、装饰行业、广告行业等都离不开木匠。" sqref="M242" xr:uid="{00000000-0002-0000-0500-000071000000}"/>
    <dataValidation allowBlank="1" showInputMessage="1" showErrorMessage="1" promptTitle="Opera（05%）" prompt="歌剧是一门西方舞台表演艺术，简单而言就是主要或完全以歌唱和音乐来交代和表达剧情的戏剧。歌手和合唱团常有一队乐器手负责伴奏，有的歌剧只需一队小乐队，有的则需要一团完整的管弦乐团。有些歌剧中都会穿插有舞蹈表演，如不少法语歌剧都有一场芭蕾舞表演。歌剧被视为西方古典音乐传统的一部分。" sqref="M244" xr:uid="{00000000-0002-0000-0500-000072000000}"/>
    <dataValidation allowBlank="1" showInputMessage="1" showErrorMessage="1" promptTitle="Painter（05%）" prompt="油漆工制定了油漆工规范及相关标准。油漆工是土建专业的专业工种之一，指使用手工工具或机具，把涂料涂刷或喷刷在建筑物表面和门窗表面，以及裱糊饰面和裁装玻璃的专业人员。" sqref="M245" xr:uid="{00000000-0002-0000-0500-000073000000}"/>
    <dataValidation allowBlank="1" showInputMessage="1" showErrorMessage="1" promptTitle="Vacuum-Tube Blower (05%)" prompt="吹真空管实为吹制玻璃管。吹制玻璃管分为人工吹制和机械吹制。人工吹制是一项古老的工艺。人工吹制时使用长约1.5m中空铁吹管，一端蘸取玻璃液，一端为吹嘴。挑料后在滚料板（碗）上滚匀、吹气，形成玻璃料泡，在模中吹成制品。机械吹制时，玻璃液由玻璃熔窑出口流出，经供料机形成设定重量和形状的料滴，剪入初型模中吹成或压成初型，再转入成型模中吹成制品。" sqref="M246" xr:uid="{00000000-0002-0000-0500-000074000000}"/>
    <dataValidation allowBlank="1" showInputMessage="1" showErrorMessage="1" promptTitle="Fighting (不定) [无法孤注一骰]" prompt="- 格斗技能指的是一名角色在近距离战斗上的技能。你可以花费一定的点数来获得任何的专业化技能。_x000a_- 作为类属的“格斗”技能不能够获得。选择对你的调查员的职业以及当时历史合适的专业格斗技能。_x000a_- 那些有着 50%或者以上的格斗（斗殴）技能的_x000a_调查员可能会希望选择一种正规的训练，并且作为背景的一部分来对他们的技能程度进行解释。_x000a_- 格斗方式存在着各种各样的。武术只是单纯的一种提升一个人战斗技巧的方式。决定角色是如何学习格斗的，是否是从正规的军队训练，武术教室，或者以自己的努力从街头格斗中学会。[例如跆拳道]" sqref="X43:X46" xr:uid="{00000000-0002-0000-0500-000075000000}"/>
    <dataValidation allowBlank="1" showInputMessage="1" showErrorMessage="1" promptTitle="Language (Other)[01%]" prompt="- 当选择这个技能，必须明确一个具体的语言并且_x000a_写在技能后面。_x000a_- 一个人可以了解任何数量的语言。这项技能代表使用者可以了解，说，读以及写一门不是他母语的语言的可能性。_x000a_- 远古或者不知名语言（例如 Aklo，Hyperborean_x000a_这两种神话语言）不能被选择（除非 KP 同意）_x000a_- 通常意义上的早期语言可以被选择。KP 可以提高难度等级，如果遇见了用那门语言的古式的演讲或者写作。_x000a_- 单次的其他语言技能检定的成功通常允许对整本书的理解。" sqref="X55:X57" xr:uid="{00000000-0002-0000-0500-000076000000}"/>
    <dataValidation allowBlank="1" showInputMessage="1" showErrorMessage="1" promptTitle="Science (01%)" prompt="- 科学专业上的理论和实践的能力，拥有这个技能的人接受过一定程度的正式的教育或者训练，尽管一名博览群书的业余科学家也是可能存在的。_x000a_- 对于知识的理解和认识受到游戏时代的限制。你可以花费点数_x000a_来获得任何你想要的专业化技能。_x000a_- 作为属类的“科学”技能不能被获得。_x000a_- 每个专业化技能包括了一门专门的学科，并且列表所给出的并不是全部。许多专业跨越了不同的知识领域，并且有所重叠，例如数学和密码学，植物学和生物学，化学和药学。" sqref="X74:X76" xr:uid="{00000000-0002-0000-0500-000077000000}"/>
  </dataValidations>
  <pageMargins left="0.75" right="0.75" top="1" bottom="1" header="0.51180555555555596" footer="0.51180555555555596"/>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BD154"/>
  <sheetViews>
    <sheetView showGridLines="0" workbookViewId="0">
      <selection activeCell="B4" sqref="B4:D9"/>
    </sheetView>
  </sheetViews>
  <sheetFormatPr defaultColWidth="8.44140625" defaultRowHeight="15.6"/>
  <cols>
    <col min="1" max="1" width="16.77734375" style="420" customWidth="1"/>
    <col min="2" max="12" width="8.44140625" style="420" customWidth="1"/>
    <col min="13" max="13" width="9" style="420" customWidth="1"/>
    <col min="14" max="14" width="8.44140625" style="420" customWidth="1"/>
    <col min="15" max="16384" width="8.44140625" style="420"/>
  </cols>
  <sheetData>
    <row r="2" spans="1:56" s="422" customFormat="1" ht="17.399999999999999">
      <c r="A2" s="2424" t="s">
        <v>3505</v>
      </c>
      <c r="B2" s="2427" t="s">
        <v>3506</v>
      </c>
      <c r="C2" s="2428"/>
      <c r="D2" s="2428"/>
      <c r="E2" s="2428"/>
      <c r="F2" s="2428"/>
      <c r="G2" s="2428"/>
      <c r="H2" s="2428"/>
      <c r="I2" s="2428"/>
      <c r="J2" s="2428"/>
      <c r="K2" s="2428"/>
      <c r="L2" s="2429"/>
      <c r="M2" s="584"/>
      <c r="N2" s="2430" t="s">
        <v>3507</v>
      </c>
      <c r="O2" s="2431"/>
      <c r="P2" s="2431"/>
      <c r="Q2" s="2431"/>
      <c r="R2" s="2431"/>
      <c r="S2" s="2431"/>
      <c r="T2" s="2431"/>
      <c r="U2" s="2431"/>
      <c r="V2" s="2431"/>
      <c r="W2" s="2431"/>
      <c r="X2" s="2431"/>
      <c r="Y2" s="2431"/>
      <c r="Z2" s="2432"/>
    </row>
    <row r="3" spans="1:56" ht="17.399999999999999">
      <c r="A3" s="2425"/>
      <c r="B3" s="2433" t="s">
        <v>59</v>
      </c>
      <c r="C3" s="2434"/>
      <c r="D3" s="2434"/>
      <c r="E3" s="2434" t="s">
        <v>3508</v>
      </c>
      <c r="F3" s="2434"/>
      <c r="G3" s="2434" t="s">
        <v>2131</v>
      </c>
      <c r="H3" s="2434"/>
      <c r="I3" s="2435" t="s">
        <v>3509</v>
      </c>
      <c r="J3" s="2435"/>
      <c r="K3" s="2435"/>
      <c r="L3" s="2436"/>
      <c r="M3" s="584"/>
      <c r="N3" s="585" t="s">
        <v>168</v>
      </c>
      <c r="O3" s="2437" t="s">
        <v>3510</v>
      </c>
      <c r="P3" s="2437"/>
      <c r="Q3" s="2437"/>
      <c r="R3" s="2437"/>
      <c r="S3" s="2437"/>
      <c r="T3" s="2437"/>
      <c r="U3" s="2437"/>
      <c r="V3" s="2437"/>
      <c r="W3" s="2437"/>
      <c r="X3" s="2437"/>
      <c r="Y3" s="2437"/>
      <c r="Z3" s="2438"/>
    </row>
    <row r="4" spans="1:56">
      <c r="A4" s="2425"/>
      <c r="B4" s="2489" t="s">
        <v>3244</v>
      </c>
      <c r="C4" s="2490"/>
      <c r="D4" s="2490"/>
      <c r="E4" s="2447" t="str">
        <f>IF($B4=附表!B213,"【←下拉框】",VLOOKUP($B4,附表!B95:K212,2,FALSE))</f>
        <v>【←下拉框】</v>
      </c>
      <c r="F4" s="2447"/>
      <c r="G4" s="2448" t="str">
        <f>IF($B4=附表!B213,"",VLOOKUP($B4,附表!B95:K212,3,FALSE))</f>
        <v/>
      </c>
      <c r="H4" s="2448"/>
      <c r="I4" s="2493" t="str">
        <f>IF($B4=附表!B213,"",VLOOKUP($B4,附表!B95:K212,4,FALSE))</f>
        <v/>
      </c>
      <c r="J4" s="2493"/>
      <c r="K4" s="2494"/>
      <c r="L4" s="2495"/>
      <c r="M4" s="584"/>
      <c r="N4" s="586" t="s">
        <v>3511</v>
      </c>
      <c r="O4" s="2487" t="s">
        <v>3512</v>
      </c>
      <c r="P4" s="2487"/>
      <c r="Q4" s="2487"/>
      <c r="R4" s="2487"/>
      <c r="S4" s="2487"/>
      <c r="T4" s="2487"/>
      <c r="U4" s="2487"/>
      <c r="V4" s="2487"/>
      <c r="W4" s="2487"/>
      <c r="X4" s="2487"/>
      <c r="Y4" s="2487"/>
      <c r="Z4" s="2488"/>
      <c r="AP4" s="421"/>
      <c r="AQ4" s="421"/>
      <c r="AR4" s="421"/>
      <c r="AS4" s="421"/>
      <c r="AT4" s="421"/>
      <c r="AU4" s="421"/>
      <c r="AV4" s="421"/>
      <c r="AW4" s="421"/>
      <c r="AX4" s="421"/>
      <c r="AY4" s="421"/>
      <c r="AZ4" s="421"/>
      <c r="BA4" s="421"/>
      <c r="BB4" s="421"/>
      <c r="BC4" s="421"/>
      <c r="BD4" s="421"/>
    </row>
    <row r="5" spans="1:56">
      <c r="A5" s="2425"/>
      <c r="B5" s="2491"/>
      <c r="C5" s="2492"/>
      <c r="D5" s="2492"/>
      <c r="E5" s="2447"/>
      <c r="F5" s="2447"/>
      <c r="G5" s="2448"/>
      <c r="H5" s="2448"/>
      <c r="I5" s="2493"/>
      <c r="J5" s="2493"/>
      <c r="K5" s="2496"/>
      <c r="L5" s="2497"/>
      <c r="M5" s="584"/>
      <c r="N5" s="587"/>
      <c r="O5" s="588"/>
      <c r="P5" s="588"/>
      <c r="Q5" s="588"/>
      <c r="R5" s="588"/>
      <c r="S5" s="588"/>
      <c r="T5" s="588"/>
      <c r="U5" s="588"/>
      <c r="V5" s="588"/>
      <c r="W5" s="588"/>
      <c r="X5" s="588"/>
      <c r="Y5" s="588"/>
      <c r="Z5" s="596"/>
      <c r="AP5" s="421"/>
      <c r="AQ5" s="421"/>
      <c r="AR5" s="421"/>
      <c r="AS5" s="421"/>
      <c r="AT5" s="421"/>
      <c r="AU5" s="421"/>
      <c r="AV5" s="421"/>
      <c r="AW5" s="421"/>
      <c r="AX5" s="421"/>
      <c r="AY5" s="421"/>
      <c r="AZ5" s="421"/>
      <c r="BA5" s="421"/>
      <c r="BB5" s="421"/>
      <c r="BC5" s="421"/>
      <c r="BD5" s="421"/>
    </row>
    <row r="6" spans="1:56">
      <c r="A6" s="2425"/>
      <c r="B6" s="2491"/>
      <c r="C6" s="2492"/>
      <c r="D6" s="2492"/>
      <c r="E6" s="2447"/>
      <c r="F6" s="2447"/>
      <c r="G6" s="2448"/>
      <c r="H6" s="2448"/>
      <c r="I6" s="2493"/>
      <c r="J6" s="2493"/>
      <c r="K6" s="2496"/>
      <c r="L6" s="2497"/>
      <c r="M6" s="584"/>
      <c r="N6" s="589" t="s">
        <v>3513</v>
      </c>
      <c r="O6" s="2445" t="s">
        <v>3514</v>
      </c>
      <c r="P6" s="2445"/>
      <c r="Q6" s="2445"/>
      <c r="R6" s="2445"/>
      <c r="S6" s="2445"/>
      <c r="T6" s="2445"/>
      <c r="U6" s="2445"/>
      <c r="V6" s="2445"/>
      <c r="W6" s="2445"/>
      <c r="X6" s="2445"/>
      <c r="Y6" s="2445"/>
      <c r="Z6" s="2446"/>
      <c r="AP6" s="421"/>
      <c r="AQ6" s="421"/>
      <c r="AR6" s="421"/>
      <c r="AS6" s="421"/>
      <c r="AT6" s="421"/>
      <c r="AU6" s="421"/>
      <c r="AV6" s="421"/>
      <c r="AW6" s="421"/>
      <c r="AX6" s="421"/>
      <c r="AY6" s="421"/>
      <c r="AZ6" s="421"/>
      <c r="BA6" s="421"/>
      <c r="BB6" s="421"/>
      <c r="BC6" s="421"/>
      <c r="BD6" s="421"/>
    </row>
    <row r="7" spans="1:56">
      <c r="A7" s="2425"/>
      <c r="B7" s="2491"/>
      <c r="C7" s="2492"/>
      <c r="D7" s="2492"/>
      <c r="E7" s="2447"/>
      <c r="F7" s="2447"/>
      <c r="G7" s="2448"/>
      <c r="H7" s="2448"/>
      <c r="I7" s="2493"/>
      <c r="J7" s="2493"/>
      <c r="K7" s="2496"/>
      <c r="L7" s="2497"/>
      <c r="M7" s="584"/>
      <c r="N7" s="591"/>
      <c r="O7" s="592"/>
      <c r="P7" s="592"/>
      <c r="Q7" s="592"/>
      <c r="R7" s="592"/>
      <c r="S7" s="592"/>
      <c r="T7" s="592"/>
      <c r="U7" s="592"/>
      <c r="V7" s="592"/>
      <c r="W7" s="592"/>
      <c r="X7" s="592"/>
      <c r="Y7" s="592"/>
      <c r="Z7" s="597"/>
      <c r="AP7" s="421"/>
      <c r="AQ7" s="421"/>
      <c r="AR7" s="421"/>
      <c r="AS7" s="421"/>
      <c r="AT7" s="421"/>
      <c r="AU7" s="421"/>
      <c r="AV7" s="421"/>
      <c r="AW7" s="421"/>
      <c r="AX7" s="421"/>
      <c r="AY7" s="421"/>
      <c r="AZ7" s="421"/>
      <c r="BA7" s="421"/>
      <c r="BB7" s="421"/>
      <c r="BC7" s="421"/>
      <c r="BD7" s="421"/>
    </row>
    <row r="8" spans="1:56">
      <c r="A8" s="2425"/>
      <c r="B8" s="2491"/>
      <c r="C8" s="2492"/>
      <c r="D8" s="2492"/>
      <c r="E8" s="2447"/>
      <c r="F8" s="2447"/>
      <c r="G8" s="2448"/>
      <c r="H8" s="2448"/>
      <c r="I8" s="2493"/>
      <c r="J8" s="2493"/>
      <c r="K8" s="2496"/>
      <c r="L8" s="2497"/>
      <c r="M8" s="584"/>
      <c r="N8" s="589" t="s">
        <v>924</v>
      </c>
      <c r="O8" s="2445" t="s">
        <v>3515</v>
      </c>
      <c r="P8" s="2445"/>
      <c r="Q8" s="2445"/>
      <c r="R8" s="2445"/>
      <c r="S8" s="2445"/>
      <c r="T8" s="2445"/>
      <c r="U8" s="2445"/>
      <c r="V8" s="2445"/>
      <c r="W8" s="2445"/>
      <c r="X8" s="2445"/>
      <c r="Y8" s="2445"/>
      <c r="Z8" s="2446"/>
      <c r="AP8" s="421"/>
      <c r="AQ8" s="421"/>
      <c r="AR8" s="421"/>
      <c r="AS8" s="421"/>
      <c r="AT8" s="421"/>
      <c r="AU8" s="421"/>
      <c r="AV8" s="421"/>
      <c r="AW8" s="421"/>
      <c r="AX8" s="421"/>
      <c r="AY8" s="421"/>
      <c r="AZ8" s="421"/>
      <c r="BA8" s="421"/>
      <c r="BB8" s="421"/>
      <c r="BC8" s="421"/>
      <c r="BD8" s="421"/>
    </row>
    <row r="9" spans="1:56">
      <c r="A9" s="2425"/>
      <c r="B9" s="2491"/>
      <c r="C9" s="2492"/>
      <c r="D9" s="2492"/>
      <c r="E9" s="2447"/>
      <c r="F9" s="2447"/>
      <c r="G9" s="2448"/>
      <c r="H9" s="2448"/>
      <c r="I9" s="2493"/>
      <c r="J9" s="2493"/>
      <c r="K9" s="2496"/>
      <c r="L9" s="2497"/>
      <c r="M9" s="584"/>
      <c r="N9" s="589"/>
      <c r="O9" s="593"/>
      <c r="P9" s="593"/>
      <c r="Q9" s="593"/>
      <c r="R9" s="593"/>
      <c r="S9" s="593"/>
      <c r="T9" s="593"/>
      <c r="U9" s="593"/>
      <c r="V9" s="593"/>
      <c r="W9" s="593"/>
      <c r="X9" s="593"/>
      <c r="Y9" s="593"/>
      <c r="Z9" s="598"/>
      <c r="AP9" s="421"/>
      <c r="AQ9" s="421"/>
      <c r="AR9" s="421"/>
      <c r="AS9" s="421"/>
      <c r="AT9" s="421"/>
      <c r="AU9" s="421"/>
      <c r="AV9" s="421"/>
      <c r="AW9" s="421"/>
      <c r="AX9" s="421"/>
      <c r="AY9" s="421"/>
      <c r="AZ9" s="421"/>
      <c r="BA9" s="421"/>
      <c r="BB9" s="421"/>
      <c r="BC9" s="421"/>
      <c r="BD9" s="421"/>
    </row>
    <row r="10" spans="1:56" ht="17.399999999999999">
      <c r="A10" s="2425"/>
      <c r="B10" s="2433" t="s">
        <v>2136</v>
      </c>
      <c r="C10" s="2434"/>
      <c r="D10" s="2449"/>
      <c r="E10" s="2434"/>
      <c r="F10" s="2434"/>
      <c r="G10" s="2434"/>
      <c r="H10" s="2434"/>
      <c r="I10" s="2434" t="s">
        <v>2134</v>
      </c>
      <c r="J10" s="2434"/>
      <c r="K10" s="2450" t="s">
        <v>2135</v>
      </c>
      <c r="L10" s="2451"/>
      <c r="M10" s="584"/>
      <c r="N10" s="587" t="s">
        <v>3516</v>
      </c>
      <c r="O10" s="2445" t="s">
        <v>3517</v>
      </c>
      <c r="P10" s="2445"/>
      <c r="Q10" s="2445"/>
      <c r="R10" s="2445"/>
      <c r="S10" s="2445"/>
      <c r="T10" s="2445"/>
      <c r="U10" s="2445"/>
      <c r="V10" s="2445"/>
      <c r="W10" s="2445"/>
      <c r="X10" s="2445"/>
      <c r="Y10" s="2445"/>
      <c r="Z10" s="2446"/>
      <c r="AP10" s="421"/>
      <c r="AQ10" s="421"/>
      <c r="AR10" s="421"/>
      <c r="AS10" s="421"/>
      <c r="AT10" s="421"/>
      <c r="AU10" s="421"/>
      <c r="AV10" s="421"/>
      <c r="AW10" s="421"/>
      <c r="AX10" s="421"/>
      <c r="AY10" s="421"/>
      <c r="AZ10" s="421"/>
      <c r="BA10" s="421"/>
      <c r="BB10" s="421"/>
      <c r="BC10" s="421"/>
      <c r="BD10" s="421"/>
    </row>
    <row r="11" spans="1:56">
      <c r="A11" s="2425"/>
      <c r="B11" s="2442" t="str">
        <f>IF($B4=附表!B213,"",VLOOKUP($B4,附表!B95:K212,8,FALSE))</f>
        <v/>
      </c>
      <c r="C11" s="2443"/>
      <c r="D11" s="2444"/>
      <c r="E11" s="2443"/>
      <c r="F11" s="2443"/>
      <c r="G11" s="2443"/>
      <c r="H11" s="2443"/>
      <c r="I11" s="2409" t="str">
        <f>IF($B4=附表!B213,"",VLOOKUP($B4,附表!B95:K212,6,FALSE))</f>
        <v/>
      </c>
      <c r="J11" s="2409"/>
      <c r="K11" s="2410" t="str">
        <f>IF($B4=附表!B213,"",VLOOKUP($B4,附表!B95:K212,7,FALSE))</f>
        <v/>
      </c>
      <c r="L11" s="2411"/>
      <c r="M11" s="584"/>
      <c r="N11" s="591"/>
      <c r="O11" s="592"/>
      <c r="P11" s="592"/>
      <c r="Q11" s="592"/>
      <c r="R11" s="592"/>
      <c r="S11" s="592"/>
      <c r="T11" s="592"/>
      <c r="U11" s="592"/>
      <c r="V11" s="592"/>
      <c r="W11" s="592"/>
      <c r="X11" s="592"/>
      <c r="Y11" s="592"/>
      <c r="Z11" s="597"/>
      <c r="AP11" s="421"/>
      <c r="AQ11" s="421"/>
      <c r="AR11" s="421"/>
      <c r="AS11" s="421"/>
      <c r="AT11" s="421"/>
      <c r="AU11" s="421"/>
      <c r="AV11" s="421"/>
      <c r="AW11" s="421"/>
      <c r="AX11" s="421"/>
      <c r="AY11" s="421"/>
      <c r="AZ11" s="421"/>
      <c r="BA11" s="421"/>
      <c r="BB11" s="421"/>
      <c r="BC11" s="421"/>
      <c r="BD11" s="421"/>
    </row>
    <row r="12" spans="1:56">
      <c r="A12" s="2425"/>
      <c r="B12" s="2442"/>
      <c r="C12" s="2443"/>
      <c r="D12" s="2444"/>
      <c r="E12" s="2443"/>
      <c r="F12" s="2443"/>
      <c r="G12" s="2443"/>
      <c r="H12" s="2443"/>
      <c r="I12" s="2409"/>
      <c r="J12" s="2409"/>
      <c r="K12" s="2410"/>
      <c r="L12" s="2411"/>
      <c r="M12" s="584"/>
      <c r="N12" s="589" t="s">
        <v>3518</v>
      </c>
      <c r="O12" s="2445" t="s">
        <v>3519</v>
      </c>
      <c r="P12" s="2445"/>
      <c r="Q12" s="2445"/>
      <c r="R12" s="2445"/>
      <c r="S12" s="2445"/>
      <c r="T12" s="2445"/>
      <c r="U12" s="2445"/>
      <c r="V12" s="2445"/>
      <c r="W12" s="2445"/>
      <c r="X12" s="2445"/>
      <c r="Y12" s="2445"/>
      <c r="Z12" s="2446"/>
      <c r="AP12" s="421"/>
      <c r="AQ12" s="421"/>
      <c r="AR12" s="421"/>
      <c r="AS12" s="421"/>
      <c r="AT12" s="421"/>
      <c r="AU12" s="421"/>
      <c r="AV12" s="421"/>
      <c r="AW12" s="421"/>
      <c r="AX12" s="421"/>
      <c r="AY12" s="421"/>
      <c r="AZ12" s="421"/>
      <c r="BA12" s="421"/>
      <c r="BB12" s="421"/>
      <c r="BC12" s="421"/>
      <c r="BD12" s="421"/>
    </row>
    <row r="13" spans="1:56">
      <c r="A13" s="2425"/>
      <c r="B13" s="2442"/>
      <c r="C13" s="2443"/>
      <c r="D13" s="2444"/>
      <c r="E13" s="2443"/>
      <c r="F13" s="2443"/>
      <c r="G13" s="2443"/>
      <c r="H13" s="2443"/>
      <c r="I13" s="2409"/>
      <c r="J13" s="2409"/>
      <c r="K13" s="2410"/>
      <c r="L13" s="2411"/>
      <c r="M13" s="584"/>
      <c r="N13" s="594"/>
      <c r="Z13" s="599"/>
      <c r="AP13" s="421"/>
      <c r="AQ13" s="421"/>
      <c r="AR13" s="421"/>
      <c r="AS13" s="421"/>
      <c r="AT13" s="421"/>
      <c r="AU13" s="421"/>
      <c r="AV13" s="421"/>
      <c r="AW13" s="421"/>
      <c r="AX13" s="421"/>
      <c r="AY13" s="421"/>
      <c r="AZ13" s="421"/>
      <c r="BA13" s="421"/>
      <c r="BB13" s="421"/>
      <c r="BC13" s="421"/>
      <c r="BD13" s="421"/>
    </row>
    <row r="14" spans="1:56">
      <c r="A14" s="2425"/>
      <c r="B14" s="2442"/>
      <c r="C14" s="2443"/>
      <c r="D14" s="2444"/>
      <c r="E14" s="2443"/>
      <c r="F14" s="2443"/>
      <c r="G14" s="2443"/>
      <c r="H14" s="2443"/>
      <c r="I14" s="2409"/>
      <c r="J14" s="2409"/>
      <c r="K14" s="2410"/>
      <c r="L14" s="2411"/>
      <c r="M14" s="584"/>
      <c r="N14" s="2426" t="s">
        <v>3520</v>
      </c>
      <c r="O14" s="2445" t="s">
        <v>3521</v>
      </c>
      <c r="P14" s="2445"/>
      <c r="Q14" s="2445"/>
      <c r="R14" s="2445"/>
      <c r="S14" s="2445"/>
      <c r="T14" s="2445"/>
      <c r="U14" s="2445"/>
      <c r="V14" s="2445"/>
      <c r="W14" s="2445"/>
      <c r="X14" s="2445"/>
      <c r="Y14" s="2445"/>
      <c r="Z14" s="2446"/>
      <c r="AP14" s="421"/>
      <c r="AQ14" s="421"/>
      <c r="AR14" s="421"/>
      <c r="AS14" s="421"/>
      <c r="AT14" s="421"/>
      <c r="AU14" s="421"/>
      <c r="AV14" s="421"/>
      <c r="AW14" s="421"/>
      <c r="AX14" s="421"/>
      <c r="AY14" s="421"/>
      <c r="AZ14" s="421"/>
      <c r="BA14" s="421"/>
      <c r="BB14" s="421"/>
      <c r="BC14" s="421"/>
      <c r="BD14" s="421"/>
    </row>
    <row r="15" spans="1:56">
      <c r="A15" s="2425"/>
      <c r="B15" s="2442"/>
      <c r="C15" s="2443"/>
      <c r="D15" s="2444"/>
      <c r="E15" s="2443"/>
      <c r="F15" s="2443"/>
      <c r="G15" s="2443"/>
      <c r="H15" s="2443"/>
      <c r="I15" s="2409"/>
      <c r="J15" s="2409"/>
      <c r="K15" s="2410"/>
      <c r="L15" s="2411"/>
      <c r="M15" s="584"/>
      <c r="N15" s="2426"/>
      <c r="O15" s="2445"/>
      <c r="P15" s="2445"/>
      <c r="Q15" s="2445"/>
      <c r="R15" s="2445"/>
      <c r="S15" s="2445"/>
      <c r="T15" s="2445"/>
      <c r="U15" s="2445"/>
      <c r="V15" s="2445"/>
      <c r="W15" s="2445"/>
      <c r="X15" s="2445"/>
      <c r="Y15" s="2445"/>
      <c r="Z15" s="2446"/>
      <c r="AP15" s="421"/>
      <c r="AQ15" s="421"/>
      <c r="AR15" s="421"/>
      <c r="AS15" s="421"/>
      <c r="AT15" s="421"/>
      <c r="AU15" s="421"/>
      <c r="AV15" s="421"/>
      <c r="AW15" s="421"/>
      <c r="AX15" s="421"/>
      <c r="AY15" s="421"/>
      <c r="AZ15" s="421"/>
      <c r="BA15" s="421"/>
      <c r="BB15" s="421"/>
      <c r="BC15" s="421"/>
      <c r="BD15" s="421"/>
    </row>
    <row r="16" spans="1:56">
      <c r="A16" s="2425"/>
      <c r="B16" s="2442"/>
      <c r="C16" s="2443"/>
      <c r="D16" s="2444"/>
      <c r="E16" s="2443"/>
      <c r="F16" s="2443"/>
      <c r="G16" s="2443"/>
      <c r="H16" s="2443"/>
      <c r="I16" s="2409"/>
      <c r="J16" s="2409"/>
      <c r="K16" s="2410"/>
      <c r="L16" s="2411"/>
      <c r="M16" s="584"/>
      <c r="N16" s="594"/>
      <c r="Z16" s="599"/>
      <c r="AP16" s="421"/>
      <c r="AQ16" s="421"/>
      <c r="AR16" s="421"/>
      <c r="AS16" s="421"/>
      <c r="AT16" s="421"/>
      <c r="AU16" s="421"/>
      <c r="AV16" s="421"/>
      <c r="AW16" s="421"/>
      <c r="AX16" s="421"/>
      <c r="AY16" s="421"/>
      <c r="AZ16" s="421"/>
      <c r="BA16" s="421"/>
      <c r="BB16" s="421"/>
      <c r="BC16" s="421"/>
      <c r="BD16" s="421"/>
    </row>
    <row r="17" spans="1:56">
      <c r="A17" s="2425"/>
      <c r="B17" s="2442"/>
      <c r="C17" s="2443"/>
      <c r="D17" s="2444"/>
      <c r="E17" s="2443"/>
      <c r="F17" s="2443"/>
      <c r="G17" s="2443"/>
      <c r="H17" s="2443"/>
      <c r="I17" s="2409"/>
      <c r="J17" s="2409"/>
      <c r="K17" s="2410"/>
      <c r="L17" s="2411"/>
      <c r="M17" s="584"/>
      <c r="N17" s="2426" t="s">
        <v>3522</v>
      </c>
      <c r="O17" s="2445" t="s">
        <v>3523</v>
      </c>
      <c r="P17" s="2445"/>
      <c r="Q17" s="2445"/>
      <c r="R17" s="2445"/>
      <c r="S17" s="2445"/>
      <c r="T17" s="2445"/>
      <c r="U17" s="2445"/>
      <c r="V17" s="2445"/>
      <c r="W17" s="2445"/>
      <c r="X17" s="2445"/>
      <c r="Y17" s="2445"/>
      <c r="Z17" s="2446"/>
      <c r="AP17" s="421"/>
      <c r="AQ17" s="421"/>
      <c r="AR17" s="421"/>
      <c r="AS17" s="421"/>
      <c r="AT17" s="421"/>
      <c r="AU17" s="421"/>
      <c r="AV17" s="421"/>
      <c r="AW17" s="421"/>
      <c r="AX17" s="421"/>
      <c r="AY17" s="421"/>
      <c r="AZ17" s="421"/>
      <c r="BA17" s="421"/>
      <c r="BB17" s="421"/>
      <c r="BC17" s="421"/>
      <c r="BD17" s="421"/>
    </row>
    <row r="18" spans="1:56">
      <c r="A18" s="2425"/>
      <c r="B18" s="2442"/>
      <c r="C18" s="2443"/>
      <c r="D18" s="2444"/>
      <c r="E18" s="2443"/>
      <c r="F18" s="2443"/>
      <c r="G18" s="2443"/>
      <c r="H18" s="2443"/>
      <c r="I18" s="2409"/>
      <c r="J18" s="2409"/>
      <c r="K18" s="2410"/>
      <c r="L18" s="2411"/>
      <c r="M18" s="584"/>
      <c r="N18" s="2426"/>
      <c r="O18" s="2445"/>
      <c r="P18" s="2445"/>
      <c r="Q18" s="2445"/>
      <c r="R18" s="2445"/>
      <c r="S18" s="2445"/>
      <c r="T18" s="2445"/>
      <c r="U18" s="2445"/>
      <c r="V18" s="2445"/>
      <c r="W18" s="2445"/>
      <c r="X18" s="2445"/>
      <c r="Y18" s="2445"/>
      <c r="Z18" s="2446"/>
      <c r="AP18" s="421"/>
      <c r="AQ18" s="421"/>
      <c r="AR18" s="421"/>
      <c r="AS18" s="421"/>
      <c r="AT18" s="421"/>
      <c r="AU18" s="421"/>
      <c r="AV18" s="421"/>
      <c r="AW18" s="421"/>
      <c r="AX18" s="421"/>
      <c r="AY18" s="421"/>
      <c r="AZ18" s="421"/>
      <c r="BA18" s="421"/>
      <c r="BB18" s="421"/>
      <c r="BC18" s="421"/>
      <c r="BD18" s="421"/>
    </row>
    <row r="19" spans="1:56">
      <c r="A19" s="2425"/>
      <c r="B19" s="2442"/>
      <c r="C19" s="2443"/>
      <c r="D19" s="2444"/>
      <c r="E19" s="2443"/>
      <c r="F19" s="2443"/>
      <c r="G19" s="2443"/>
      <c r="H19" s="2443"/>
      <c r="I19" s="2409"/>
      <c r="J19" s="2409"/>
      <c r="K19" s="2410"/>
      <c r="L19" s="2411"/>
      <c r="M19" s="584"/>
      <c r="N19" s="589"/>
      <c r="O19" s="593"/>
      <c r="P19" s="593"/>
      <c r="Q19" s="593"/>
      <c r="R19" s="593"/>
      <c r="S19" s="593"/>
      <c r="T19" s="593"/>
      <c r="U19" s="593"/>
      <c r="V19" s="593"/>
      <c r="W19" s="593"/>
      <c r="X19" s="593"/>
      <c r="Y19" s="593"/>
      <c r="Z19" s="598"/>
      <c r="AP19" s="421"/>
      <c r="AQ19" s="421"/>
      <c r="AR19" s="421"/>
      <c r="AS19" s="421"/>
      <c r="AT19" s="421"/>
      <c r="AU19" s="421"/>
      <c r="AV19" s="421"/>
      <c r="AW19" s="421"/>
      <c r="AX19" s="421"/>
      <c r="AY19" s="421"/>
      <c r="AZ19" s="421"/>
      <c r="BA19" s="421"/>
      <c r="BB19" s="421"/>
      <c r="BC19" s="421"/>
      <c r="BD19" s="421"/>
    </row>
    <row r="20" spans="1:56">
      <c r="A20" s="2425"/>
      <c r="B20" s="2442"/>
      <c r="C20" s="2443"/>
      <c r="D20" s="2444"/>
      <c r="E20" s="2443"/>
      <c r="F20" s="2443"/>
      <c r="G20" s="2443"/>
      <c r="H20" s="2443"/>
      <c r="I20" s="2409"/>
      <c r="J20" s="2409"/>
      <c r="K20" s="2410"/>
      <c r="L20" s="2411"/>
      <c r="M20" s="584"/>
      <c r="N20" s="2426" t="s">
        <v>3524</v>
      </c>
      <c r="O20" s="2439" t="s">
        <v>3525</v>
      </c>
      <c r="P20" s="2440"/>
      <c r="Q20" s="2440"/>
      <c r="R20" s="2440"/>
      <c r="S20" s="2440"/>
      <c r="T20" s="2440"/>
      <c r="U20" s="2440"/>
      <c r="V20" s="2440"/>
      <c r="W20" s="2440"/>
      <c r="X20" s="2440"/>
      <c r="Y20" s="2440"/>
      <c r="Z20" s="2441"/>
      <c r="AP20" s="421"/>
      <c r="AQ20" s="421"/>
      <c r="AR20" s="421"/>
      <c r="AS20" s="421"/>
      <c r="AT20" s="421"/>
      <c r="AU20" s="421"/>
      <c r="AV20" s="421"/>
      <c r="AW20" s="421"/>
      <c r="AX20" s="421"/>
      <c r="AY20" s="421"/>
      <c r="AZ20" s="421"/>
      <c r="BA20" s="421"/>
      <c r="BB20" s="421"/>
      <c r="BC20" s="421"/>
      <c r="BD20" s="421"/>
    </row>
    <row r="21" spans="1:56">
      <c r="A21" s="2425"/>
      <c r="B21" s="2442"/>
      <c r="C21" s="2443"/>
      <c r="D21" s="2444"/>
      <c r="E21" s="2443"/>
      <c r="F21" s="2443"/>
      <c r="G21" s="2443"/>
      <c r="H21" s="2443"/>
      <c r="I21" s="2409"/>
      <c r="J21" s="2409"/>
      <c r="K21" s="2410"/>
      <c r="L21" s="2411"/>
      <c r="M21" s="584"/>
      <c r="N21" s="2426"/>
      <c r="O21" s="2440"/>
      <c r="P21" s="2440"/>
      <c r="Q21" s="2440"/>
      <c r="R21" s="2440"/>
      <c r="S21" s="2440"/>
      <c r="T21" s="2440"/>
      <c r="U21" s="2440"/>
      <c r="V21" s="2440"/>
      <c r="W21" s="2440"/>
      <c r="X21" s="2440"/>
      <c r="Y21" s="2440"/>
      <c r="Z21" s="2441"/>
      <c r="AP21" s="421"/>
      <c r="AQ21" s="421"/>
      <c r="AR21" s="421"/>
      <c r="AS21" s="421"/>
      <c r="AT21" s="421"/>
      <c r="AU21" s="421"/>
      <c r="AV21" s="421"/>
      <c r="AW21" s="421"/>
      <c r="AX21" s="421"/>
      <c r="AY21" s="421"/>
      <c r="AZ21" s="421"/>
      <c r="BA21" s="421"/>
      <c r="BB21" s="421"/>
      <c r="BC21" s="421"/>
      <c r="BD21" s="421"/>
    </row>
    <row r="22" spans="1:56">
      <c r="A22" s="2425"/>
      <c r="B22" s="2442"/>
      <c r="C22" s="2443"/>
      <c r="D22" s="2444"/>
      <c r="E22" s="2443"/>
      <c r="F22" s="2443"/>
      <c r="G22" s="2443"/>
      <c r="H22" s="2443"/>
      <c r="I22" s="2409"/>
      <c r="J22" s="2409"/>
      <c r="K22" s="2410"/>
      <c r="L22" s="2411"/>
      <c r="M22" s="584"/>
      <c r="N22" s="591"/>
      <c r="O22" s="592"/>
      <c r="P22" s="592"/>
      <c r="Q22" s="592"/>
      <c r="R22" s="592"/>
      <c r="S22" s="592"/>
      <c r="T22" s="592"/>
      <c r="U22" s="592"/>
      <c r="V22" s="592"/>
      <c r="W22" s="592"/>
      <c r="X22" s="592"/>
      <c r="Y22" s="592"/>
      <c r="Z22" s="597"/>
      <c r="AP22" s="421"/>
      <c r="AQ22" s="421"/>
      <c r="AR22" s="421"/>
      <c r="AS22" s="421"/>
      <c r="AT22" s="421"/>
      <c r="AU22" s="421"/>
      <c r="AV22" s="421"/>
      <c r="AW22" s="421"/>
      <c r="AX22" s="421"/>
      <c r="AY22" s="421"/>
      <c r="AZ22" s="421"/>
      <c r="BA22" s="421"/>
      <c r="BB22" s="421"/>
      <c r="BC22" s="421"/>
      <c r="BD22" s="421"/>
    </row>
    <row r="23" spans="1:56">
      <c r="A23" s="2425"/>
      <c r="B23" s="2442"/>
      <c r="C23" s="2443"/>
      <c r="D23" s="2444"/>
      <c r="E23" s="2443"/>
      <c r="F23" s="2443"/>
      <c r="G23" s="2443"/>
      <c r="H23" s="2443"/>
      <c r="I23" s="2409"/>
      <c r="J23" s="2409"/>
      <c r="K23" s="2410"/>
      <c r="L23" s="2411"/>
      <c r="M23" s="584"/>
      <c r="N23" s="589" t="s">
        <v>3526</v>
      </c>
      <c r="O23" s="2445" t="s">
        <v>3527</v>
      </c>
      <c r="P23" s="2445"/>
      <c r="Q23" s="2445"/>
      <c r="R23" s="2445"/>
      <c r="S23" s="2445"/>
      <c r="T23" s="2445"/>
      <c r="U23" s="2445"/>
      <c r="V23" s="2445"/>
      <c r="W23" s="2445"/>
      <c r="X23" s="2445"/>
      <c r="Y23" s="2445"/>
      <c r="Z23" s="2446"/>
      <c r="AP23" s="421"/>
      <c r="AQ23" s="421"/>
      <c r="AR23" s="421"/>
      <c r="AS23" s="421"/>
      <c r="AT23" s="421"/>
      <c r="AU23" s="421"/>
      <c r="AV23" s="421"/>
      <c r="AW23" s="421"/>
      <c r="AX23" s="421"/>
      <c r="AY23" s="421"/>
      <c r="AZ23" s="421"/>
      <c r="BA23" s="421"/>
      <c r="BB23" s="421"/>
      <c r="BC23" s="421"/>
      <c r="BD23" s="421"/>
    </row>
    <row r="24" spans="1:56" ht="17.399999999999999">
      <c r="A24" s="421"/>
      <c r="B24" s="2433" t="s">
        <v>2137</v>
      </c>
      <c r="C24" s="2434"/>
      <c r="D24" s="2449"/>
      <c r="E24" s="2434"/>
      <c r="F24" s="2434"/>
      <c r="G24" s="2434"/>
      <c r="H24" s="2434" t="s">
        <v>2138</v>
      </c>
      <c r="I24" s="2434"/>
      <c r="J24" s="2434"/>
      <c r="K24" s="2450"/>
      <c r="L24" s="2451"/>
      <c r="M24" s="584"/>
      <c r="N24" s="591"/>
      <c r="O24" s="590"/>
      <c r="P24" s="590"/>
      <c r="Q24" s="590"/>
      <c r="R24" s="590"/>
      <c r="S24" s="590"/>
      <c r="T24" s="590"/>
      <c r="U24" s="590"/>
      <c r="V24" s="590"/>
      <c r="W24" s="590"/>
      <c r="X24" s="590"/>
      <c r="Y24" s="590"/>
      <c r="Z24" s="597"/>
      <c r="AP24" s="421"/>
      <c r="AQ24" s="421"/>
      <c r="AR24" s="421"/>
      <c r="AS24" s="421"/>
      <c r="AT24" s="421"/>
      <c r="AU24" s="421"/>
      <c r="AV24" s="421"/>
      <c r="AW24" s="421"/>
      <c r="AX24" s="421"/>
      <c r="AY24" s="421"/>
      <c r="AZ24" s="421"/>
      <c r="BA24" s="421"/>
      <c r="BB24" s="421"/>
      <c r="BC24" s="421"/>
      <c r="BD24" s="421"/>
    </row>
    <row r="25" spans="1:56">
      <c r="A25" s="421"/>
      <c r="B25" s="2442" t="str">
        <f>IF($B4=附表!B213,"",VLOOKUP($B4,附表!B95:K212,9,FALSE))</f>
        <v/>
      </c>
      <c r="C25" s="2443"/>
      <c r="D25" s="2444"/>
      <c r="E25" s="2443"/>
      <c r="F25" s="2443"/>
      <c r="G25" s="2443"/>
      <c r="H25" s="2416" t="str">
        <f>IF($B4=附表!B213,"",VLOOKUP($B4,附表!B95:K212,10,FALSE))</f>
        <v/>
      </c>
      <c r="I25" s="2416"/>
      <c r="J25" s="2416"/>
      <c r="K25" s="2417"/>
      <c r="L25" s="2418"/>
      <c r="M25" s="584"/>
      <c r="N25" s="2426" t="s">
        <v>3528</v>
      </c>
      <c r="O25" s="2445" t="s">
        <v>3529</v>
      </c>
      <c r="P25" s="2445"/>
      <c r="Q25" s="2445"/>
      <c r="R25" s="2445"/>
      <c r="S25" s="2445"/>
      <c r="T25" s="2445"/>
      <c r="U25" s="2445"/>
      <c r="V25" s="2445"/>
      <c r="W25" s="2445"/>
      <c r="X25" s="2445"/>
      <c r="Y25" s="2445"/>
      <c r="Z25" s="2446"/>
      <c r="AP25" s="421"/>
      <c r="AQ25" s="421"/>
      <c r="AR25" s="421"/>
      <c r="AS25" s="421"/>
      <c r="AT25" s="421"/>
      <c r="AU25" s="421"/>
      <c r="AV25" s="421"/>
      <c r="AW25" s="421"/>
      <c r="AX25" s="421"/>
      <c r="AY25" s="421"/>
      <c r="AZ25" s="421"/>
      <c r="BA25" s="421"/>
      <c r="BB25" s="421"/>
      <c r="BC25" s="421"/>
      <c r="BD25" s="421"/>
    </row>
    <row r="26" spans="1:56">
      <c r="A26" s="421"/>
      <c r="B26" s="2442"/>
      <c r="C26" s="2443"/>
      <c r="D26" s="2443"/>
      <c r="E26" s="2443"/>
      <c r="F26" s="2443"/>
      <c r="G26" s="2443"/>
      <c r="H26" s="2416"/>
      <c r="I26" s="2416"/>
      <c r="J26" s="2416"/>
      <c r="K26" s="2416"/>
      <c r="L26" s="2418"/>
      <c r="M26" s="584"/>
      <c r="N26" s="2426"/>
      <c r="O26" s="2445"/>
      <c r="P26" s="2445"/>
      <c r="Q26" s="2445"/>
      <c r="R26" s="2445"/>
      <c r="S26" s="2445"/>
      <c r="T26" s="2445"/>
      <c r="U26" s="2445"/>
      <c r="V26" s="2445"/>
      <c r="W26" s="2445"/>
      <c r="X26" s="2445"/>
      <c r="Y26" s="2445"/>
      <c r="Z26" s="2446"/>
      <c r="AP26" s="421"/>
      <c r="AQ26" s="421"/>
      <c r="AR26" s="421"/>
      <c r="AS26" s="421"/>
      <c r="AT26" s="421"/>
      <c r="AU26" s="421"/>
      <c r="AV26" s="421"/>
      <c r="AW26" s="421"/>
      <c r="AX26" s="421"/>
      <c r="AY26" s="421"/>
      <c r="AZ26" s="421"/>
      <c r="BA26" s="421"/>
      <c r="BB26" s="421"/>
      <c r="BC26" s="421"/>
      <c r="BD26" s="421"/>
    </row>
    <row r="27" spans="1:56">
      <c r="A27" s="421"/>
      <c r="B27" s="2442"/>
      <c r="C27" s="2443"/>
      <c r="D27" s="2443"/>
      <c r="E27" s="2443"/>
      <c r="F27" s="2443"/>
      <c r="G27" s="2443"/>
      <c r="H27" s="2416"/>
      <c r="I27" s="2416"/>
      <c r="J27" s="2416"/>
      <c r="K27" s="2416"/>
      <c r="L27" s="2418"/>
      <c r="M27" s="584"/>
      <c r="N27" s="591"/>
      <c r="O27" s="592"/>
      <c r="P27" s="592"/>
      <c r="Q27" s="592"/>
      <c r="R27" s="592"/>
      <c r="S27" s="592"/>
      <c r="T27" s="592"/>
      <c r="U27" s="592"/>
      <c r="V27" s="592"/>
      <c r="W27" s="592"/>
      <c r="X27" s="592"/>
      <c r="Y27" s="592"/>
      <c r="Z27" s="597"/>
      <c r="AP27" s="421"/>
      <c r="AQ27" s="421"/>
      <c r="AR27" s="421"/>
      <c r="AS27" s="421"/>
      <c r="AT27" s="421"/>
      <c r="AU27" s="421"/>
      <c r="AV27" s="421"/>
      <c r="AW27" s="421"/>
      <c r="AX27" s="421"/>
      <c r="AY27" s="421"/>
      <c r="AZ27" s="421"/>
      <c r="BA27" s="421"/>
      <c r="BB27" s="421"/>
      <c r="BC27" s="421"/>
      <c r="BD27" s="421"/>
    </row>
    <row r="28" spans="1:56">
      <c r="A28" s="421"/>
      <c r="B28" s="2442"/>
      <c r="C28" s="2443"/>
      <c r="D28" s="2443"/>
      <c r="E28" s="2443"/>
      <c r="F28" s="2443"/>
      <c r="G28" s="2443"/>
      <c r="H28" s="2416"/>
      <c r="I28" s="2416"/>
      <c r="J28" s="2416"/>
      <c r="K28" s="2416"/>
      <c r="L28" s="2418"/>
      <c r="M28" s="584"/>
      <c r="N28" s="589" t="s">
        <v>3530</v>
      </c>
      <c r="O28" s="2445" t="s">
        <v>3531</v>
      </c>
      <c r="P28" s="2445"/>
      <c r="Q28" s="2445"/>
      <c r="R28" s="2445"/>
      <c r="S28" s="2445"/>
      <c r="T28" s="2445"/>
      <c r="U28" s="2445"/>
      <c r="V28" s="2445"/>
      <c r="W28" s="2445"/>
      <c r="X28" s="2445"/>
      <c r="Y28" s="2445"/>
      <c r="Z28" s="2446"/>
      <c r="AP28" s="421"/>
      <c r="AQ28" s="421"/>
      <c r="AR28" s="421"/>
      <c r="AS28" s="421"/>
      <c r="AT28" s="421"/>
      <c r="AU28" s="421"/>
      <c r="AV28" s="421"/>
      <c r="AW28" s="421"/>
      <c r="AX28" s="421"/>
      <c r="AY28" s="421"/>
      <c r="AZ28" s="421"/>
      <c r="BA28" s="421"/>
      <c r="BB28" s="421"/>
      <c r="BC28" s="421"/>
      <c r="BD28" s="421"/>
    </row>
    <row r="29" spans="1:56">
      <c r="A29" s="421"/>
      <c r="B29" s="2442"/>
      <c r="C29" s="2443"/>
      <c r="D29" s="2443"/>
      <c r="E29" s="2443"/>
      <c r="F29" s="2443"/>
      <c r="G29" s="2443"/>
      <c r="H29" s="2416"/>
      <c r="I29" s="2416"/>
      <c r="J29" s="2416"/>
      <c r="K29" s="2416"/>
      <c r="L29" s="2418"/>
      <c r="M29" s="584"/>
      <c r="N29" s="591"/>
      <c r="O29" s="590"/>
      <c r="P29" s="590"/>
      <c r="Q29" s="590"/>
      <c r="R29" s="590"/>
      <c r="S29" s="590"/>
      <c r="T29" s="590"/>
      <c r="U29" s="590"/>
      <c r="V29" s="590"/>
      <c r="W29" s="590"/>
      <c r="X29" s="590"/>
      <c r="Y29" s="590"/>
      <c r="Z29" s="597"/>
      <c r="AP29" s="421"/>
      <c r="AQ29" s="421"/>
      <c r="AR29" s="421"/>
      <c r="AS29" s="421"/>
      <c r="AT29" s="421"/>
      <c r="AU29" s="421"/>
      <c r="AV29" s="421"/>
      <c r="AW29" s="421"/>
      <c r="AX29" s="421"/>
      <c r="AY29" s="421"/>
      <c r="AZ29" s="421"/>
      <c r="BA29" s="421"/>
      <c r="BB29" s="421"/>
      <c r="BC29" s="421"/>
      <c r="BD29" s="421"/>
    </row>
    <row r="30" spans="1:56">
      <c r="A30" s="421"/>
      <c r="B30" s="2442"/>
      <c r="C30" s="2443"/>
      <c r="D30" s="2443"/>
      <c r="E30" s="2443"/>
      <c r="F30" s="2443"/>
      <c r="G30" s="2443"/>
      <c r="H30" s="2416"/>
      <c r="I30" s="2416"/>
      <c r="J30" s="2416"/>
      <c r="K30" s="2416"/>
      <c r="L30" s="2418"/>
      <c r="M30" s="584"/>
      <c r="N30" s="589" t="s">
        <v>3532</v>
      </c>
      <c r="O30" s="2445" t="s">
        <v>3533</v>
      </c>
      <c r="P30" s="2445"/>
      <c r="Q30" s="2445"/>
      <c r="R30" s="2445"/>
      <c r="S30" s="2445"/>
      <c r="T30" s="2445"/>
      <c r="U30" s="2445"/>
      <c r="V30" s="2445"/>
      <c r="W30" s="2445"/>
      <c r="X30" s="2445"/>
      <c r="Y30" s="2445"/>
      <c r="Z30" s="2446"/>
      <c r="AP30" s="421"/>
      <c r="AQ30" s="421"/>
      <c r="AR30" s="421"/>
      <c r="AS30" s="421"/>
      <c r="AT30" s="421"/>
      <c r="AU30" s="421"/>
      <c r="AV30" s="421"/>
      <c r="AW30" s="421"/>
      <c r="AX30" s="421"/>
      <c r="AY30" s="421"/>
      <c r="AZ30" s="421"/>
      <c r="BA30" s="421"/>
      <c r="BB30" s="421"/>
      <c r="BC30" s="421"/>
      <c r="BD30" s="421"/>
    </row>
    <row r="31" spans="1:56">
      <c r="A31" s="421"/>
      <c r="B31" s="2442"/>
      <c r="C31" s="2443"/>
      <c r="D31" s="2443"/>
      <c r="E31" s="2443"/>
      <c r="F31" s="2443"/>
      <c r="G31" s="2443"/>
      <c r="H31" s="2416"/>
      <c r="I31" s="2416"/>
      <c r="J31" s="2416"/>
      <c r="K31" s="2416"/>
      <c r="L31" s="2418"/>
      <c r="M31" s="584"/>
      <c r="N31" s="589"/>
      <c r="O31" s="590"/>
      <c r="P31" s="590"/>
      <c r="Q31" s="590"/>
      <c r="R31" s="590"/>
      <c r="S31" s="590"/>
      <c r="T31" s="590"/>
      <c r="U31" s="590"/>
      <c r="V31" s="590"/>
      <c r="W31" s="590"/>
      <c r="X31" s="590"/>
      <c r="Y31" s="590"/>
      <c r="Z31" s="597"/>
      <c r="AP31" s="421"/>
      <c r="AQ31" s="421"/>
      <c r="AR31" s="421"/>
      <c r="AS31" s="421"/>
      <c r="AT31" s="421"/>
      <c r="AU31" s="421"/>
      <c r="AV31" s="421"/>
      <c r="AW31" s="421"/>
      <c r="AX31" s="421"/>
      <c r="AY31" s="421"/>
      <c r="AZ31" s="421"/>
      <c r="BA31" s="421"/>
      <c r="BB31" s="421"/>
      <c r="BC31" s="421"/>
      <c r="BD31" s="421"/>
    </row>
    <row r="32" spans="1:56">
      <c r="A32" s="421"/>
      <c r="B32" s="2442"/>
      <c r="C32" s="2443"/>
      <c r="D32" s="2443"/>
      <c r="E32" s="2443"/>
      <c r="F32" s="2443"/>
      <c r="G32" s="2443"/>
      <c r="H32" s="2416"/>
      <c r="I32" s="2416"/>
      <c r="J32" s="2416"/>
      <c r="K32" s="2416"/>
      <c r="L32" s="2418"/>
      <c r="M32" s="584"/>
      <c r="N32" s="589" t="s">
        <v>3534</v>
      </c>
      <c r="O32" s="2445" t="s">
        <v>3535</v>
      </c>
      <c r="P32" s="2445"/>
      <c r="Q32" s="2445"/>
      <c r="R32" s="2445"/>
      <c r="S32" s="2445"/>
      <c r="T32" s="2445"/>
      <c r="U32" s="2445"/>
      <c r="V32" s="2445"/>
      <c r="W32" s="2445"/>
      <c r="X32" s="2445"/>
      <c r="Y32" s="2445"/>
      <c r="Z32" s="2446"/>
      <c r="AP32" s="421"/>
      <c r="AQ32" s="421"/>
      <c r="AR32" s="421"/>
      <c r="AS32" s="421"/>
      <c r="AT32" s="421"/>
      <c r="AU32" s="421"/>
      <c r="AV32" s="421"/>
      <c r="AW32" s="421"/>
      <c r="AX32" s="421"/>
      <c r="AY32" s="421"/>
      <c r="AZ32" s="421"/>
      <c r="BA32" s="421"/>
      <c r="BB32" s="421"/>
      <c r="BC32" s="421"/>
      <c r="BD32" s="421"/>
    </row>
    <row r="33" spans="1:56">
      <c r="A33" s="421"/>
      <c r="B33" s="2442"/>
      <c r="C33" s="2443"/>
      <c r="D33" s="2443"/>
      <c r="E33" s="2443"/>
      <c r="F33" s="2443"/>
      <c r="G33" s="2443"/>
      <c r="H33" s="2416"/>
      <c r="I33" s="2416"/>
      <c r="J33" s="2416"/>
      <c r="K33" s="2416"/>
      <c r="L33" s="2418"/>
      <c r="M33" s="584"/>
      <c r="N33" s="589"/>
      <c r="O33" s="593"/>
      <c r="P33" s="593"/>
      <c r="Q33" s="593"/>
      <c r="R33" s="593"/>
      <c r="S33" s="593"/>
      <c r="T33" s="593"/>
      <c r="U33" s="593"/>
      <c r="V33" s="593"/>
      <c r="W33" s="593"/>
      <c r="X33" s="593"/>
      <c r="Y33" s="593"/>
      <c r="Z33" s="598"/>
      <c r="AP33" s="421"/>
      <c r="AQ33" s="421"/>
      <c r="AR33" s="421"/>
      <c r="AS33" s="421"/>
      <c r="AT33" s="421"/>
      <c r="AU33" s="421"/>
      <c r="AV33" s="421"/>
      <c r="AW33" s="421"/>
      <c r="AX33" s="421"/>
      <c r="AY33" s="421"/>
      <c r="AZ33" s="421"/>
      <c r="BA33" s="421"/>
      <c r="BB33" s="421"/>
      <c r="BC33" s="421"/>
      <c r="BD33" s="421"/>
    </row>
    <row r="34" spans="1:56" ht="31.2">
      <c r="A34" s="421"/>
      <c r="B34" s="2442"/>
      <c r="C34" s="2443"/>
      <c r="D34" s="2443"/>
      <c r="E34" s="2443"/>
      <c r="F34" s="2443"/>
      <c r="G34" s="2443"/>
      <c r="H34" s="2416"/>
      <c r="I34" s="2416"/>
      <c r="J34" s="2416"/>
      <c r="K34" s="2416"/>
      <c r="L34" s="2418"/>
      <c r="M34" s="584"/>
      <c r="N34" s="589" t="s">
        <v>3536</v>
      </c>
      <c r="O34" s="2445" t="s">
        <v>3537</v>
      </c>
      <c r="P34" s="2445"/>
      <c r="Q34" s="2445"/>
      <c r="R34" s="2445"/>
      <c r="S34" s="2445"/>
      <c r="T34" s="2445"/>
      <c r="U34" s="2445"/>
      <c r="V34" s="2445"/>
      <c r="W34" s="2445"/>
      <c r="X34" s="2445"/>
      <c r="Y34" s="2445"/>
      <c r="Z34" s="2446"/>
      <c r="AP34" s="421"/>
      <c r="AQ34" s="421"/>
      <c r="AR34" s="421"/>
      <c r="AS34" s="421"/>
      <c r="AT34" s="421"/>
      <c r="AU34" s="421"/>
      <c r="AV34" s="421"/>
      <c r="AW34" s="421"/>
      <c r="AX34" s="421"/>
      <c r="AY34" s="421"/>
      <c r="AZ34" s="421"/>
      <c r="BA34" s="421"/>
      <c r="BB34" s="421"/>
      <c r="BC34" s="421"/>
      <c r="BD34" s="421"/>
    </row>
    <row r="35" spans="1:56">
      <c r="A35" s="421"/>
      <c r="B35" s="2442"/>
      <c r="C35" s="2443"/>
      <c r="D35" s="2443"/>
      <c r="E35" s="2443"/>
      <c r="F35" s="2443"/>
      <c r="G35" s="2443"/>
      <c r="H35" s="2416"/>
      <c r="I35" s="2416"/>
      <c r="J35" s="2416"/>
      <c r="K35" s="2416"/>
      <c r="L35" s="2418"/>
      <c r="M35" s="584"/>
      <c r="N35" s="2426"/>
      <c r="O35" s="2445"/>
      <c r="P35" s="2445"/>
      <c r="Q35" s="2445"/>
      <c r="R35" s="2445"/>
      <c r="S35" s="2445"/>
      <c r="T35" s="2445"/>
      <c r="U35" s="2445"/>
      <c r="V35" s="2445"/>
      <c r="W35" s="2445"/>
      <c r="X35" s="2445"/>
      <c r="Y35" s="2445"/>
      <c r="Z35" s="2446"/>
      <c r="AP35" s="421"/>
      <c r="AQ35" s="421"/>
      <c r="AR35" s="421"/>
      <c r="AS35" s="421"/>
      <c r="AT35" s="421"/>
      <c r="AU35" s="421"/>
      <c r="AV35" s="421"/>
      <c r="AW35" s="421"/>
      <c r="AX35" s="421"/>
      <c r="AY35" s="421"/>
      <c r="AZ35" s="421"/>
      <c r="BA35" s="421"/>
      <c r="BB35" s="421"/>
      <c r="BC35" s="421"/>
      <c r="BD35" s="421"/>
    </row>
    <row r="36" spans="1:56">
      <c r="A36" s="421"/>
      <c r="B36" s="2442"/>
      <c r="C36" s="2443"/>
      <c r="D36" s="2443"/>
      <c r="E36" s="2443"/>
      <c r="F36" s="2443"/>
      <c r="G36" s="2443"/>
      <c r="H36" s="2416"/>
      <c r="I36" s="2416"/>
      <c r="J36" s="2416"/>
      <c r="K36" s="2416"/>
      <c r="L36" s="2418"/>
      <c r="M36" s="584"/>
      <c r="N36" s="2426" t="s">
        <v>3538</v>
      </c>
      <c r="O36" s="2445" t="s">
        <v>3539</v>
      </c>
      <c r="P36" s="2445"/>
      <c r="Q36" s="2445"/>
      <c r="R36" s="2445"/>
      <c r="S36" s="2445"/>
      <c r="T36" s="2445"/>
      <c r="U36" s="2445"/>
      <c r="V36" s="2445"/>
      <c r="W36" s="2445"/>
      <c r="X36" s="2445"/>
      <c r="Y36" s="2445"/>
      <c r="Z36" s="2446"/>
      <c r="AP36" s="421"/>
      <c r="AQ36" s="421"/>
      <c r="AR36" s="421"/>
      <c r="AS36" s="421"/>
      <c r="AT36" s="421"/>
      <c r="AU36" s="421"/>
      <c r="AV36" s="421"/>
      <c r="AW36" s="421"/>
      <c r="AX36" s="421"/>
      <c r="AY36" s="421"/>
      <c r="AZ36" s="421"/>
      <c r="BA36" s="421"/>
      <c r="BB36" s="421"/>
      <c r="BC36" s="421"/>
      <c r="BD36" s="421"/>
    </row>
    <row r="37" spans="1:56">
      <c r="A37" s="421"/>
      <c r="B37" s="2442"/>
      <c r="C37" s="2443"/>
      <c r="D37" s="2443"/>
      <c r="E37" s="2443"/>
      <c r="F37" s="2443"/>
      <c r="G37" s="2443"/>
      <c r="H37" s="2416"/>
      <c r="I37" s="2416"/>
      <c r="J37" s="2416"/>
      <c r="K37" s="2416"/>
      <c r="L37" s="2418"/>
      <c r="M37" s="584"/>
      <c r="N37" s="2426"/>
      <c r="O37" s="2445"/>
      <c r="P37" s="2445"/>
      <c r="Q37" s="2445"/>
      <c r="R37" s="2445"/>
      <c r="S37" s="2445"/>
      <c r="T37" s="2445"/>
      <c r="U37" s="2445"/>
      <c r="V37" s="2445"/>
      <c r="W37" s="2445"/>
      <c r="X37" s="2445"/>
      <c r="Y37" s="2445"/>
      <c r="Z37" s="2446"/>
      <c r="AP37" s="421"/>
      <c r="AQ37" s="421"/>
      <c r="AR37" s="421"/>
      <c r="AS37" s="421"/>
      <c r="AT37" s="421"/>
      <c r="AU37" s="421"/>
      <c r="AV37" s="421"/>
      <c r="AW37" s="421"/>
      <c r="AX37" s="421"/>
      <c r="AY37" s="421"/>
      <c r="AZ37" s="421"/>
      <c r="BA37" s="421"/>
      <c r="BB37" s="421"/>
      <c r="BC37" s="421"/>
      <c r="BD37" s="421"/>
    </row>
    <row r="38" spans="1:56">
      <c r="A38" s="421"/>
      <c r="B38" s="2442"/>
      <c r="C38" s="2443"/>
      <c r="D38" s="2443"/>
      <c r="E38" s="2443"/>
      <c r="F38" s="2443"/>
      <c r="G38" s="2443"/>
      <c r="H38" s="2416"/>
      <c r="I38" s="2416"/>
      <c r="J38" s="2416"/>
      <c r="K38" s="2416"/>
      <c r="L38" s="2418"/>
      <c r="M38" s="584"/>
      <c r="N38" s="2426"/>
      <c r="O38" s="2445"/>
      <c r="P38" s="2445"/>
      <c r="Q38" s="2445"/>
      <c r="R38" s="2445"/>
      <c r="S38" s="2445"/>
      <c r="T38" s="2445"/>
      <c r="U38" s="2445"/>
      <c r="V38" s="2445"/>
      <c r="W38" s="2445"/>
      <c r="X38" s="2445"/>
      <c r="Y38" s="2445"/>
      <c r="Z38" s="2446"/>
      <c r="AP38" s="421"/>
      <c r="AQ38" s="421"/>
      <c r="AR38" s="421"/>
      <c r="AS38" s="421"/>
      <c r="AT38" s="421"/>
      <c r="AU38" s="421"/>
      <c r="AV38" s="421"/>
      <c r="AW38" s="421"/>
      <c r="AX38" s="421"/>
      <c r="AY38" s="421"/>
      <c r="AZ38" s="421"/>
      <c r="BA38" s="421"/>
      <c r="BB38" s="421"/>
      <c r="BC38" s="421"/>
      <c r="BD38" s="421"/>
    </row>
    <row r="39" spans="1:56" ht="17.399999999999999">
      <c r="A39" s="421"/>
      <c r="B39" s="2433" t="s">
        <v>3540</v>
      </c>
      <c r="C39" s="2434"/>
      <c r="D39" s="2434"/>
      <c r="E39" s="2434"/>
      <c r="F39" s="2434"/>
      <c r="G39" s="2434"/>
      <c r="H39" s="2434"/>
      <c r="I39" s="2434"/>
      <c r="J39" s="2434"/>
      <c r="K39" s="2434"/>
      <c r="L39" s="2451"/>
      <c r="M39" s="584"/>
      <c r="N39" s="2426" t="s">
        <v>3541</v>
      </c>
      <c r="O39" s="2445" t="s">
        <v>3542</v>
      </c>
      <c r="P39" s="2466"/>
      <c r="Q39" s="2466"/>
      <c r="R39" s="2466"/>
      <c r="S39" s="2466"/>
      <c r="T39" s="2466"/>
      <c r="U39" s="2466"/>
      <c r="V39" s="2466"/>
      <c r="W39" s="2466"/>
      <c r="X39" s="2466"/>
      <c r="Y39" s="2466"/>
      <c r="Z39" s="2467"/>
      <c r="AP39" s="421"/>
      <c r="AQ39" s="421"/>
      <c r="AR39" s="421"/>
      <c r="AS39" s="421"/>
      <c r="AT39" s="421"/>
      <c r="AU39" s="421"/>
      <c r="AV39" s="421"/>
      <c r="AW39" s="421"/>
      <c r="AX39" s="421"/>
      <c r="AY39" s="421"/>
      <c r="AZ39" s="421"/>
      <c r="BA39" s="421"/>
      <c r="BB39" s="421"/>
      <c r="BC39" s="421"/>
      <c r="BD39" s="421"/>
    </row>
    <row r="40" spans="1:56">
      <c r="A40" s="421"/>
      <c r="B40" s="2468" t="str">
        <f>IF($B4=附表!B213,"",VLOOKUP($B4,附表!B95:K212,5,FALSE))</f>
        <v/>
      </c>
      <c r="C40" s="2469"/>
      <c r="D40" s="2469"/>
      <c r="E40" s="2469"/>
      <c r="F40" s="2469"/>
      <c r="G40" s="2469"/>
      <c r="H40" s="2469"/>
      <c r="I40" s="2469"/>
      <c r="J40" s="2469"/>
      <c r="K40" s="2469"/>
      <c r="L40" s="2470"/>
      <c r="M40" s="584"/>
      <c r="N40" s="2426"/>
      <c r="O40" s="2466"/>
      <c r="P40" s="2466"/>
      <c r="Q40" s="2466"/>
      <c r="R40" s="2466"/>
      <c r="S40" s="2466"/>
      <c r="T40" s="2466"/>
      <c r="U40" s="2466"/>
      <c r="V40" s="2466"/>
      <c r="W40" s="2466"/>
      <c r="X40" s="2466"/>
      <c r="Y40" s="2466"/>
      <c r="Z40" s="2467"/>
      <c r="AP40" s="421"/>
      <c r="AQ40" s="421"/>
      <c r="AR40" s="421"/>
      <c r="AS40" s="421"/>
      <c r="AT40" s="421"/>
      <c r="AU40" s="421"/>
      <c r="AV40" s="421"/>
      <c r="AW40" s="421"/>
      <c r="AX40" s="421"/>
      <c r="AY40" s="421"/>
      <c r="AZ40" s="421"/>
      <c r="BA40" s="421"/>
      <c r="BB40" s="421"/>
      <c r="BC40" s="421"/>
      <c r="BD40" s="421"/>
    </row>
    <row r="41" spans="1:56">
      <c r="A41" s="421"/>
      <c r="B41" s="2471"/>
      <c r="C41" s="2472"/>
      <c r="D41" s="2472"/>
      <c r="E41" s="2472"/>
      <c r="F41" s="2472"/>
      <c r="G41" s="2472"/>
      <c r="H41" s="2472"/>
      <c r="I41" s="2472"/>
      <c r="J41" s="2472"/>
      <c r="K41" s="2472"/>
      <c r="L41" s="2473"/>
      <c r="M41" s="584"/>
      <c r="N41" s="2426"/>
      <c r="O41" s="2445"/>
      <c r="P41" s="2445"/>
      <c r="Q41" s="2445"/>
      <c r="R41" s="2445"/>
      <c r="S41" s="2445"/>
      <c r="T41" s="2445"/>
      <c r="U41" s="2445"/>
      <c r="V41" s="2445"/>
      <c r="W41" s="2445"/>
      <c r="X41" s="2445"/>
      <c r="Y41" s="2445"/>
      <c r="Z41" s="2446"/>
      <c r="AP41" s="421"/>
      <c r="AQ41" s="421"/>
      <c r="AR41" s="421"/>
      <c r="AS41" s="421"/>
      <c r="AT41" s="421"/>
      <c r="AU41" s="421"/>
      <c r="AV41" s="421"/>
      <c r="AW41" s="421"/>
      <c r="AX41" s="421"/>
      <c r="AY41" s="421"/>
      <c r="AZ41" s="421"/>
      <c r="BA41" s="421"/>
      <c r="BB41" s="421"/>
      <c r="BC41" s="421"/>
      <c r="BD41" s="421"/>
    </row>
    <row r="42" spans="1:56">
      <c r="A42" s="421"/>
      <c r="B42" s="2471"/>
      <c r="C42" s="2472"/>
      <c r="D42" s="2472"/>
      <c r="E42" s="2472"/>
      <c r="F42" s="2472"/>
      <c r="G42" s="2472"/>
      <c r="H42" s="2472"/>
      <c r="I42" s="2472"/>
      <c r="J42" s="2472"/>
      <c r="K42" s="2472"/>
      <c r="L42" s="2473"/>
      <c r="M42" s="584"/>
      <c r="N42" s="591"/>
      <c r="O42" s="590"/>
      <c r="P42" s="590"/>
      <c r="Q42" s="590"/>
      <c r="R42" s="590"/>
      <c r="S42" s="590"/>
      <c r="T42" s="590"/>
      <c r="U42" s="590"/>
      <c r="V42" s="590"/>
      <c r="W42" s="590"/>
      <c r="X42" s="590"/>
      <c r="Y42" s="590"/>
      <c r="Z42" s="597"/>
      <c r="AP42" s="421"/>
      <c r="AQ42" s="421"/>
      <c r="AR42" s="421"/>
      <c r="AS42" s="421"/>
      <c r="AT42" s="421"/>
      <c r="AU42" s="421"/>
      <c r="AV42" s="421"/>
      <c r="AW42" s="421"/>
      <c r="AX42" s="421"/>
      <c r="AY42" s="421"/>
      <c r="AZ42" s="421"/>
      <c r="BA42" s="421"/>
      <c r="BB42" s="421"/>
      <c r="BC42" s="421"/>
      <c r="BD42" s="421"/>
    </row>
    <row r="43" spans="1:56" ht="16.95" customHeight="1">
      <c r="A43" s="421"/>
      <c r="B43" s="2471"/>
      <c r="C43" s="2472"/>
      <c r="D43" s="2472"/>
      <c r="E43" s="2472"/>
      <c r="F43" s="2472"/>
      <c r="G43" s="2472"/>
      <c r="H43" s="2472"/>
      <c r="I43" s="2472"/>
      <c r="J43" s="2472"/>
      <c r="K43" s="2472"/>
      <c r="L43" s="2473"/>
      <c r="M43" s="584"/>
      <c r="N43" s="595" t="s">
        <v>3543</v>
      </c>
      <c r="O43" s="2481" t="s">
        <v>3544</v>
      </c>
      <c r="P43" s="2481"/>
      <c r="Q43" s="2481"/>
      <c r="R43" s="2481"/>
      <c r="S43" s="2481"/>
      <c r="T43" s="2481"/>
      <c r="U43" s="2481"/>
      <c r="V43" s="2481"/>
      <c r="W43" s="2481"/>
      <c r="X43" s="2481"/>
      <c r="Y43" s="2481"/>
      <c r="Z43" s="2482"/>
      <c r="AP43" s="421"/>
      <c r="AQ43" s="421"/>
      <c r="AR43" s="421"/>
      <c r="AS43" s="421"/>
      <c r="AT43" s="421"/>
      <c r="AU43" s="421"/>
      <c r="AV43" s="421"/>
      <c r="AW43" s="421"/>
      <c r="AX43" s="421"/>
      <c r="AY43" s="421"/>
      <c r="AZ43" s="421"/>
      <c r="BA43" s="421"/>
      <c r="BB43" s="421"/>
      <c r="BC43" s="421"/>
      <c r="BD43" s="421"/>
    </row>
    <row r="44" spans="1:56" ht="16.95" customHeight="1">
      <c r="A44" s="421"/>
      <c r="B44" s="2471"/>
      <c r="C44" s="2472"/>
      <c r="D44" s="2472"/>
      <c r="E44" s="2472"/>
      <c r="F44" s="2472"/>
      <c r="G44" s="2472"/>
      <c r="H44" s="2472"/>
      <c r="I44" s="2472"/>
      <c r="J44" s="2472"/>
      <c r="K44" s="2472"/>
      <c r="L44" s="2473"/>
      <c r="M44" s="421"/>
      <c r="AP44" s="421"/>
      <c r="AQ44" s="421"/>
      <c r="AR44" s="421"/>
      <c r="AS44" s="421"/>
      <c r="AT44" s="421"/>
      <c r="AU44" s="421"/>
      <c r="AV44" s="421"/>
      <c r="AW44" s="421"/>
      <c r="AX44" s="421"/>
      <c r="AY44" s="421"/>
      <c r="AZ44" s="421"/>
      <c r="BA44" s="421"/>
      <c r="BB44" s="421"/>
      <c r="BC44" s="421"/>
      <c r="BD44" s="421"/>
    </row>
    <row r="45" spans="1:56">
      <c r="B45" s="2471"/>
      <c r="C45" s="2472"/>
      <c r="D45" s="2472"/>
      <c r="E45" s="2472"/>
      <c r="F45" s="2472"/>
      <c r="G45" s="2472"/>
      <c r="H45" s="2472"/>
      <c r="I45" s="2472"/>
      <c r="J45" s="2472"/>
      <c r="K45" s="2472"/>
      <c r="L45" s="2473"/>
      <c r="O45" s="2483" t="s">
        <v>325</v>
      </c>
      <c r="P45" s="2483"/>
      <c r="Q45" s="2483"/>
      <c r="R45" s="2483"/>
      <c r="S45" s="2483"/>
      <c r="T45" s="2483"/>
      <c r="U45" s="2483"/>
      <c r="V45" s="2483"/>
      <c r="W45" s="2483"/>
      <c r="X45" s="2483"/>
      <c r="Y45" s="2483"/>
      <c r="AP45" s="421"/>
      <c r="AQ45" s="421"/>
      <c r="AR45" s="421"/>
      <c r="AS45" s="421"/>
      <c r="AT45" s="421"/>
      <c r="AU45" s="421"/>
      <c r="AV45" s="421"/>
      <c r="AW45" s="421"/>
      <c r="AX45" s="421"/>
      <c r="AY45" s="421"/>
      <c r="AZ45" s="421"/>
      <c r="BA45" s="421"/>
      <c r="BB45" s="421"/>
      <c r="BC45" s="421"/>
      <c r="BD45" s="421"/>
    </row>
    <row r="46" spans="1:56">
      <c r="B46" s="2471"/>
      <c r="C46" s="2472"/>
      <c r="D46" s="2472"/>
      <c r="E46" s="2472"/>
      <c r="F46" s="2472"/>
      <c r="G46" s="2472"/>
      <c r="H46" s="2472"/>
      <c r="I46" s="2472"/>
      <c r="J46" s="2472"/>
      <c r="K46" s="2472"/>
      <c r="L46" s="2473"/>
      <c r="AP46" s="421"/>
      <c r="AQ46" s="421"/>
      <c r="AR46" s="421"/>
      <c r="AS46" s="421"/>
      <c r="AT46" s="421"/>
      <c r="AU46" s="421"/>
      <c r="AV46" s="421"/>
      <c r="AW46" s="421"/>
      <c r="AX46" s="421"/>
      <c r="AY46" s="421"/>
      <c r="AZ46" s="421"/>
      <c r="BA46" s="421"/>
      <c r="BB46" s="421"/>
      <c r="BC46" s="421"/>
      <c r="BD46" s="421"/>
    </row>
    <row r="47" spans="1:56">
      <c r="B47" s="2471"/>
      <c r="C47" s="2472"/>
      <c r="D47" s="2472"/>
      <c r="E47" s="2472"/>
      <c r="F47" s="2472"/>
      <c r="G47" s="2472"/>
      <c r="H47" s="2472"/>
      <c r="I47" s="2472"/>
      <c r="J47" s="2472"/>
      <c r="K47" s="2472"/>
      <c r="L47" s="2473"/>
      <c r="AP47" s="421"/>
      <c r="AQ47" s="421"/>
      <c r="AR47" s="421"/>
      <c r="AS47" s="421"/>
      <c r="AT47" s="421"/>
      <c r="AU47" s="421"/>
      <c r="AV47" s="421"/>
      <c r="AW47" s="421"/>
      <c r="AX47" s="421"/>
      <c r="AY47" s="421"/>
      <c r="AZ47" s="421"/>
      <c r="BA47" s="421"/>
      <c r="BB47" s="421"/>
      <c r="BC47" s="421"/>
      <c r="BD47" s="421"/>
    </row>
    <row r="48" spans="1:56">
      <c r="B48" s="2471"/>
      <c r="C48" s="2472"/>
      <c r="D48" s="2472"/>
      <c r="E48" s="2472"/>
      <c r="F48" s="2472"/>
      <c r="G48" s="2472"/>
      <c r="H48" s="2472"/>
      <c r="I48" s="2472"/>
      <c r="J48" s="2472"/>
      <c r="K48" s="2472"/>
      <c r="L48" s="2473"/>
    </row>
    <row r="49" spans="2:26">
      <c r="B49" s="2471"/>
      <c r="C49" s="2472"/>
      <c r="D49" s="2472"/>
      <c r="E49" s="2472"/>
      <c r="F49" s="2472"/>
      <c r="G49" s="2472"/>
      <c r="H49" s="2472"/>
      <c r="I49" s="2472"/>
      <c r="J49" s="2472"/>
      <c r="K49" s="2472"/>
      <c r="L49" s="2473"/>
    </row>
    <row r="50" spans="2:26" ht="16.5" customHeight="1">
      <c r="B50" s="2471"/>
      <c r="C50" s="2472"/>
      <c r="D50" s="2472"/>
      <c r="E50" s="2472"/>
      <c r="F50" s="2472"/>
      <c r="G50" s="2472"/>
      <c r="H50" s="2472"/>
      <c r="I50" s="2472"/>
      <c r="J50" s="2472"/>
      <c r="K50" s="2472"/>
      <c r="L50" s="2473"/>
    </row>
    <row r="51" spans="2:26" ht="16.5" customHeight="1">
      <c r="B51" s="2471"/>
      <c r="C51" s="2472"/>
      <c r="D51" s="2472"/>
      <c r="E51" s="2472"/>
      <c r="F51" s="2472"/>
      <c r="G51" s="2472"/>
      <c r="H51" s="2472"/>
      <c r="I51" s="2472"/>
      <c r="J51" s="2472"/>
      <c r="K51" s="2472"/>
      <c r="L51" s="2473"/>
    </row>
    <row r="52" spans="2:26" ht="16.5" customHeight="1">
      <c r="B52" s="2471"/>
      <c r="C52" s="2472"/>
      <c r="D52" s="2472"/>
      <c r="E52" s="2472"/>
      <c r="F52" s="2472"/>
      <c r="G52" s="2472"/>
      <c r="H52" s="2472"/>
      <c r="I52" s="2472"/>
      <c r="J52" s="2472"/>
      <c r="K52" s="2472"/>
      <c r="L52" s="2473"/>
    </row>
    <row r="53" spans="2:26" ht="16.5" customHeight="1">
      <c r="B53" s="2471"/>
      <c r="C53" s="2472"/>
      <c r="D53" s="2472"/>
      <c r="E53" s="2472"/>
      <c r="F53" s="2472"/>
      <c r="G53" s="2472"/>
      <c r="H53" s="2472"/>
      <c r="I53" s="2472"/>
      <c r="J53" s="2472"/>
      <c r="K53" s="2472"/>
      <c r="L53" s="2473"/>
    </row>
    <row r="54" spans="2:26" ht="16.5" customHeight="1">
      <c r="B54" s="2471"/>
      <c r="C54" s="2472"/>
      <c r="D54" s="2472"/>
      <c r="E54" s="2472"/>
      <c r="F54" s="2472"/>
      <c r="G54" s="2472"/>
      <c r="H54" s="2472"/>
      <c r="I54" s="2472"/>
      <c r="J54" s="2472"/>
      <c r="K54" s="2472"/>
      <c r="L54" s="2473"/>
    </row>
    <row r="55" spans="2:26" ht="16.5" customHeight="1">
      <c r="B55" s="2471"/>
      <c r="C55" s="2472"/>
      <c r="D55" s="2472"/>
      <c r="E55" s="2472"/>
      <c r="F55" s="2472"/>
      <c r="G55" s="2472"/>
      <c r="H55" s="2472"/>
      <c r="I55" s="2472"/>
      <c r="J55" s="2472"/>
      <c r="K55" s="2472"/>
      <c r="L55" s="2473"/>
    </row>
    <row r="56" spans="2:26" ht="16.5" customHeight="1">
      <c r="B56" s="2471"/>
      <c r="C56" s="2472"/>
      <c r="D56" s="2472"/>
      <c r="E56" s="2472"/>
      <c r="F56" s="2472"/>
      <c r="G56" s="2472"/>
      <c r="H56" s="2472"/>
      <c r="I56" s="2472"/>
      <c r="J56" s="2472"/>
      <c r="K56" s="2472"/>
      <c r="L56" s="2473"/>
    </row>
    <row r="57" spans="2:26" ht="16.5" customHeight="1">
      <c r="B57" s="2471"/>
      <c r="C57" s="2472"/>
      <c r="D57" s="2472"/>
      <c r="E57" s="2472"/>
      <c r="F57" s="2472"/>
      <c r="G57" s="2472"/>
      <c r="H57" s="2472"/>
      <c r="I57" s="2472"/>
      <c r="J57" s="2472"/>
      <c r="K57" s="2472"/>
      <c r="L57" s="2473"/>
    </row>
    <row r="58" spans="2:26" ht="16.5" customHeight="1">
      <c r="B58" s="2471"/>
      <c r="C58" s="2472"/>
      <c r="D58" s="2472"/>
      <c r="E58" s="2472"/>
      <c r="F58" s="2472"/>
      <c r="G58" s="2472"/>
      <c r="H58" s="2472"/>
      <c r="I58" s="2472"/>
      <c r="J58" s="2472"/>
      <c r="K58" s="2472"/>
      <c r="L58" s="2473"/>
    </row>
    <row r="59" spans="2:26" ht="16.5" customHeight="1">
      <c r="B59" s="2471"/>
      <c r="C59" s="2472"/>
      <c r="D59" s="2472"/>
      <c r="E59" s="2472"/>
      <c r="F59" s="2472"/>
      <c r="G59" s="2472"/>
      <c r="H59" s="2472"/>
      <c r="I59" s="2472"/>
      <c r="J59" s="2472"/>
      <c r="K59" s="2472"/>
      <c r="L59" s="2473"/>
    </row>
    <row r="60" spans="2:26" ht="16.5" customHeight="1">
      <c r="B60" s="2474"/>
      <c r="C60" s="2475"/>
      <c r="D60" s="2475"/>
      <c r="E60" s="2475"/>
      <c r="F60" s="2475"/>
      <c r="G60" s="2475"/>
      <c r="H60" s="2475"/>
      <c r="I60" s="2475"/>
      <c r="J60" s="2475"/>
      <c r="K60" s="2475"/>
      <c r="L60" s="2476"/>
    </row>
    <row r="61" spans="2:26" ht="16.5" customHeight="1">
      <c r="B61" s="583"/>
      <c r="C61" s="583"/>
      <c r="D61" s="583"/>
      <c r="E61" s="583"/>
      <c r="F61" s="583"/>
      <c r="G61" s="583"/>
      <c r="H61" s="583"/>
      <c r="I61" s="583"/>
      <c r="J61" s="583"/>
      <c r="K61" s="583"/>
      <c r="L61" s="583"/>
    </row>
    <row r="62" spans="2:26" ht="16.5" customHeight="1"/>
    <row r="63" spans="2:26" ht="16.5" customHeight="1"/>
    <row r="64" spans="2:26" ht="16.5" customHeight="1">
      <c r="B64" s="2358" t="s">
        <v>3545</v>
      </c>
      <c r="C64" s="2359"/>
      <c r="D64" s="2359"/>
      <c r="E64" s="2359"/>
      <c r="F64" s="2359"/>
      <c r="G64" s="2359"/>
      <c r="H64" s="2359"/>
      <c r="I64" s="2359"/>
      <c r="J64" s="2359"/>
      <c r="K64" s="2359"/>
      <c r="L64" s="2359"/>
      <c r="M64" s="2359"/>
      <c r="N64" s="2359"/>
      <c r="O64" s="2359"/>
      <c r="P64" s="2359"/>
      <c r="Q64" s="2359"/>
      <c r="R64" s="2359"/>
      <c r="S64" s="2359"/>
      <c r="T64" s="2359"/>
      <c r="U64" s="2359"/>
      <c r="V64" s="2359"/>
      <c r="W64" s="2359"/>
      <c r="X64" s="2359"/>
      <c r="Y64" s="2359"/>
      <c r="Z64" s="2360"/>
    </row>
    <row r="65" spans="2:26" ht="16.5" customHeight="1">
      <c r="B65" s="2361"/>
      <c r="C65" s="2362"/>
      <c r="D65" s="2362"/>
      <c r="E65" s="2362"/>
      <c r="F65" s="2362"/>
      <c r="G65" s="2362"/>
      <c r="H65" s="2362"/>
      <c r="I65" s="2362"/>
      <c r="J65" s="2362"/>
      <c r="K65" s="2362"/>
      <c r="L65" s="2362"/>
      <c r="M65" s="2362"/>
      <c r="N65" s="2362"/>
      <c r="O65" s="2362"/>
      <c r="P65" s="2362"/>
      <c r="Q65" s="2362"/>
      <c r="R65" s="2362"/>
      <c r="S65" s="2362"/>
      <c r="T65" s="2362"/>
      <c r="U65" s="2362"/>
      <c r="V65" s="2362"/>
      <c r="W65" s="2362"/>
      <c r="X65" s="2362"/>
      <c r="Y65" s="2362"/>
      <c r="Z65" s="2363"/>
    </row>
    <row r="66" spans="2:26" ht="16.5" customHeight="1">
      <c r="B66" s="2364"/>
      <c r="C66" s="2365"/>
      <c r="D66" s="2365"/>
      <c r="E66" s="2365"/>
      <c r="F66" s="2365"/>
      <c r="G66" s="2365"/>
      <c r="H66" s="2365"/>
      <c r="I66" s="2365"/>
      <c r="J66" s="2365"/>
      <c r="K66" s="2365"/>
      <c r="L66" s="2365"/>
      <c r="M66" s="2365"/>
      <c r="N66" s="2365"/>
      <c r="O66" s="2365"/>
      <c r="P66" s="2365"/>
      <c r="Q66" s="2365"/>
      <c r="R66" s="2365"/>
      <c r="S66" s="2365"/>
      <c r="T66" s="2365"/>
      <c r="U66" s="2365"/>
      <c r="V66" s="2365"/>
      <c r="W66" s="2365"/>
      <c r="X66" s="2365"/>
      <c r="Y66" s="2365"/>
      <c r="Z66" s="2366"/>
    </row>
    <row r="67" spans="2:26" ht="16.5" customHeight="1"/>
    <row r="68" spans="2:26" ht="16.5" customHeight="1">
      <c r="B68" s="2022" t="s">
        <v>3546</v>
      </c>
      <c r="C68" s="2023"/>
      <c r="D68" s="2023"/>
      <c r="E68" s="2023"/>
      <c r="F68" s="2023"/>
      <c r="G68" s="2023"/>
      <c r="H68" s="2023"/>
      <c r="I68" s="2023"/>
      <c r="J68" s="2023"/>
      <c r="K68" s="2023"/>
      <c r="L68" s="2023"/>
      <c r="M68" s="2023"/>
      <c r="N68" s="2023"/>
      <c r="O68" s="2023"/>
      <c r="P68" s="2023"/>
      <c r="Q68" s="2023"/>
      <c r="R68" s="2023"/>
      <c r="S68" s="2023"/>
      <c r="T68" s="2023"/>
      <c r="U68" s="2023"/>
      <c r="V68" s="2023"/>
      <c r="W68" s="2023"/>
      <c r="X68" s="2023"/>
      <c r="Y68" s="2023"/>
      <c r="Z68" s="2024"/>
    </row>
    <row r="69" spans="2:26" ht="16.5" customHeight="1">
      <c r="B69" s="2025"/>
      <c r="C69" s="2026"/>
      <c r="D69" s="2026"/>
      <c r="E69" s="2026"/>
      <c r="F69" s="2026"/>
      <c r="G69" s="2026"/>
      <c r="H69" s="2026"/>
      <c r="I69" s="2026"/>
      <c r="J69" s="2026"/>
      <c r="K69" s="2026"/>
      <c r="L69" s="2026"/>
      <c r="M69" s="2026"/>
      <c r="N69" s="2026"/>
      <c r="O69" s="2026"/>
      <c r="P69" s="2026"/>
      <c r="Q69" s="2026"/>
      <c r="R69" s="2026"/>
      <c r="S69" s="2026"/>
      <c r="T69" s="2026"/>
      <c r="U69" s="2026"/>
      <c r="V69" s="2026"/>
      <c r="W69" s="2026"/>
      <c r="X69" s="2026"/>
      <c r="Y69" s="2026"/>
      <c r="Z69" s="2027"/>
    </row>
    <row r="70" spans="2:26" ht="16.5" customHeight="1">
      <c r="B70" s="2477" t="s">
        <v>3547</v>
      </c>
      <c r="C70" s="2478"/>
      <c r="D70" s="2478"/>
      <c r="E70" s="2478"/>
      <c r="F70" s="2478"/>
      <c r="G70" s="2478"/>
      <c r="H70" s="2478"/>
      <c r="I70" s="2478"/>
      <c r="J70" s="2478"/>
      <c r="K70" s="2478"/>
      <c r="L70" s="2478"/>
      <c r="M70" s="2479"/>
      <c r="O70" s="2460" t="s">
        <v>3548</v>
      </c>
      <c r="P70" s="2461"/>
      <c r="Q70" s="2461"/>
      <c r="R70" s="2461"/>
      <c r="S70" s="2461"/>
      <c r="T70" s="2461"/>
      <c r="U70" s="2461"/>
      <c r="V70" s="2461"/>
      <c r="W70" s="2461"/>
      <c r="X70" s="2461"/>
      <c r="Y70" s="2461"/>
      <c r="Z70" s="2462"/>
    </row>
    <row r="71" spans="2:26" ht="16.5" customHeight="1">
      <c r="B71" s="2460"/>
      <c r="C71" s="2480"/>
      <c r="D71" s="2480"/>
      <c r="E71" s="2480"/>
      <c r="F71" s="2480"/>
      <c r="G71" s="2480"/>
      <c r="H71" s="2480"/>
      <c r="I71" s="2480"/>
      <c r="J71" s="2480"/>
      <c r="K71" s="2480"/>
      <c r="L71" s="2480"/>
      <c r="M71" s="2462"/>
      <c r="O71" s="2463"/>
      <c r="P71" s="2464"/>
      <c r="Q71" s="2464"/>
      <c r="R71" s="2464"/>
      <c r="S71" s="2464"/>
      <c r="T71" s="2464"/>
      <c r="U71" s="2464"/>
      <c r="V71" s="2464"/>
      <c r="W71" s="2464"/>
      <c r="X71" s="2464"/>
      <c r="Y71" s="2464"/>
      <c r="Z71" s="2465"/>
    </row>
    <row r="72" spans="2:26" ht="16.5" customHeight="1">
      <c r="B72" s="2452" t="s">
        <v>3549</v>
      </c>
      <c r="C72" s="2453"/>
      <c r="D72" s="2453"/>
      <c r="E72" s="2453"/>
      <c r="F72" s="2453"/>
      <c r="G72" s="2453"/>
      <c r="H72" s="2454" t="s">
        <v>3550</v>
      </c>
      <c r="I72" s="2453"/>
      <c r="J72" s="2453"/>
      <c r="K72" s="2453"/>
      <c r="L72" s="2453"/>
      <c r="M72" s="2455"/>
      <c r="O72" s="2382" t="s">
        <v>3551</v>
      </c>
      <c r="P72" s="2383"/>
      <c r="Q72" s="2383"/>
      <c r="R72" s="2383"/>
      <c r="S72" s="2383"/>
      <c r="T72" s="2412"/>
      <c r="U72" s="2413" t="s">
        <v>3552</v>
      </c>
      <c r="V72" s="2383"/>
      <c r="W72" s="2383"/>
      <c r="X72" s="2383"/>
      <c r="Y72" s="2383"/>
      <c r="Z72" s="2384"/>
    </row>
    <row r="73" spans="2:26" ht="16.5" customHeight="1">
      <c r="B73" s="2382"/>
      <c r="C73" s="2383"/>
      <c r="D73" s="2383"/>
      <c r="E73" s="2383"/>
      <c r="F73" s="2383"/>
      <c r="G73" s="2383"/>
      <c r="H73" s="2456"/>
      <c r="I73" s="2383"/>
      <c r="J73" s="2383"/>
      <c r="K73" s="2383"/>
      <c r="L73" s="2383"/>
      <c r="M73" s="2384"/>
      <c r="O73" s="2382"/>
      <c r="P73" s="2383"/>
      <c r="Q73" s="2383"/>
      <c r="R73" s="2383"/>
      <c r="S73" s="2383"/>
      <c r="T73" s="2412"/>
      <c r="U73" s="2413"/>
      <c r="V73" s="2383"/>
      <c r="W73" s="2383"/>
      <c r="X73" s="2383"/>
      <c r="Y73" s="2383"/>
      <c r="Z73" s="2384"/>
    </row>
    <row r="74" spans="2:26" ht="16.5" customHeight="1">
      <c r="B74" s="2382"/>
      <c r="C74" s="2383"/>
      <c r="D74" s="2383"/>
      <c r="E74" s="2383"/>
      <c r="F74" s="2383"/>
      <c r="G74" s="2383"/>
      <c r="H74" s="2456"/>
      <c r="I74" s="2383"/>
      <c r="J74" s="2383"/>
      <c r="K74" s="2383"/>
      <c r="L74" s="2383"/>
      <c r="M74" s="2384"/>
      <c r="O74" s="2382"/>
      <c r="P74" s="2383"/>
      <c r="Q74" s="2383"/>
      <c r="R74" s="2383"/>
      <c r="S74" s="2383"/>
      <c r="T74" s="2412"/>
      <c r="U74" s="2413"/>
      <c r="V74" s="2383"/>
      <c r="W74" s="2383"/>
      <c r="X74" s="2383"/>
      <c r="Y74" s="2383"/>
      <c r="Z74" s="2384"/>
    </row>
    <row r="75" spans="2:26" ht="16.5" customHeight="1">
      <c r="B75" s="2385" t="s">
        <v>3553</v>
      </c>
      <c r="C75" s="2386"/>
      <c r="D75" s="2386"/>
      <c r="E75" s="2386"/>
      <c r="F75" s="2386"/>
      <c r="G75" s="2484"/>
      <c r="H75" s="2485" t="s">
        <v>3554</v>
      </c>
      <c r="I75" s="2386"/>
      <c r="J75" s="2386"/>
      <c r="K75" s="2386"/>
      <c r="L75" s="2386"/>
      <c r="M75" s="2458"/>
      <c r="O75" s="2385" t="s">
        <v>3555</v>
      </c>
      <c r="P75" s="2386"/>
      <c r="Q75" s="2386"/>
      <c r="R75" s="2386"/>
      <c r="S75" s="2386"/>
      <c r="T75" s="2387"/>
      <c r="U75" s="2457" t="s">
        <v>3556</v>
      </c>
      <c r="V75" s="2386"/>
      <c r="W75" s="2386"/>
      <c r="X75" s="2386"/>
      <c r="Y75" s="2386"/>
      <c r="Z75" s="2458"/>
    </row>
    <row r="76" spans="2:26" ht="16.5" customHeight="1">
      <c r="B76" s="2388"/>
      <c r="C76" s="2389"/>
      <c r="D76" s="2389"/>
      <c r="E76" s="2389"/>
      <c r="F76" s="2389"/>
      <c r="G76" s="2389"/>
      <c r="H76" s="2486"/>
      <c r="I76" s="2389"/>
      <c r="J76" s="2389"/>
      <c r="K76" s="2389"/>
      <c r="L76" s="2389"/>
      <c r="M76" s="2459"/>
      <c r="O76" s="2388"/>
      <c r="P76" s="2389"/>
      <c r="Q76" s="2389"/>
      <c r="R76" s="2389"/>
      <c r="S76" s="2389"/>
      <c r="T76" s="2390"/>
      <c r="U76" s="2389"/>
      <c r="V76" s="2389"/>
      <c r="W76" s="2389"/>
      <c r="X76" s="2389"/>
      <c r="Y76" s="2389"/>
      <c r="Z76" s="2459"/>
    </row>
    <row r="77" spans="2:26" ht="16.5" customHeight="1">
      <c r="B77" s="2382" t="s">
        <v>3557</v>
      </c>
      <c r="C77" s="2383"/>
      <c r="D77" s="2383"/>
      <c r="E77" s="2383"/>
      <c r="F77" s="2383"/>
      <c r="G77" s="2383"/>
      <c r="H77" s="2383"/>
      <c r="I77" s="2383"/>
      <c r="J77" s="2383"/>
      <c r="K77" s="2383"/>
      <c r="L77" s="2383"/>
      <c r="M77" s="2384"/>
      <c r="O77" s="2382" t="s">
        <v>3558</v>
      </c>
      <c r="P77" s="2383"/>
      <c r="Q77" s="2383"/>
      <c r="R77" s="2383"/>
      <c r="S77" s="2383"/>
      <c r="T77" s="2383"/>
      <c r="U77" s="2383"/>
      <c r="V77" s="2383"/>
      <c r="W77" s="2383"/>
      <c r="X77" s="2383"/>
      <c r="Y77" s="2383"/>
      <c r="Z77" s="2384"/>
    </row>
    <row r="78" spans="2:26" ht="16.5" customHeight="1">
      <c r="B78" s="2382"/>
      <c r="C78" s="2383"/>
      <c r="D78" s="2383"/>
      <c r="E78" s="2383"/>
      <c r="F78" s="2383"/>
      <c r="G78" s="2383"/>
      <c r="H78" s="2383"/>
      <c r="I78" s="2383"/>
      <c r="J78" s="2383"/>
      <c r="K78" s="2383"/>
      <c r="L78" s="2383"/>
      <c r="M78" s="2384"/>
      <c r="O78" s="2382"/>
      <c r="P78" s="2383"/>
      <c r="Q78" s="2383"/>
      <c r="R78" s="2383"/>
      <c r="S78" s="2383"/>
      <c r="T78" s="2383"/>
      <c r="U78" s="2383"/>
      <c r="V78" s="2383"/>
      <c r="W78" s="2383"/>
      <c r="X78" s="2383"/>
      <c r="Y78" s="2383"/>
      <c r="Z78" s="2384"/>
    </row>
    <row r="79" spans="2:26" ht="16.5" customHeight="1">
      <c r="B79" s="2382"/>
      <c r="C79" s="2383"/>
      <c r="D79" s="2383"/>
      <c r="E79" s="2383"/>
      <c r="F79" s="2383"/>
      <c r="G79" s="2383"/>
      <c r="H79" s="2383"/>
      <c r="I79" s="2383"/>
      <c r="J79" s="2383"/>
      <c r="K79" s="2383"/>
      <c r="L79" s="2383"/>
      <c r="M79" s="2384"/>
      <c r="O79" s="2382"/>
      <c r="P79" s="2383"/>
      <c r="Q79" s="2383"/>
      <c r="R79" s="2383"/>
      <c r="S79" s="2383"/>
      <c r="T79" s="2383"/>
      <c r="U79" s="2383"/>
      <c r="V79" s="2383"/>
      <c r="W79" s="2383"/>
      <c r="X79" s="2383"/>
      <c r="Y79" s="2383"/>
      <c r="Z79" s="2384"/>
    </row>
    <row r="80" spans="2:26" ht="16.5" customHeight="1">
      <c r="B80" s="2400"/>
      <c r="C80" s="2401"/>
      <c r="D80" s="2401"/>
      <c r="E80" s="2401"/>
      <c r="F80" s="2401"/>
      <c r="G80" s="2401"/>
      <c r="H80" s="2401"/>
      <c r="I80" s="2401"/>
      <c r="J80" s="2401"/>
      <c r="K80" s="2401"/>
      <c r="L80" s="2401"/>
      <c r="M80" s="2402"/>
      <c r="O80" s="2400"/>
      <c r="P80" s="2401"/>
      <c r="Q80" s="2401"/>
      <c r="R80" s="2401"/>
      <c r="S80" s="2401"/>
      <c r="T80" s="2401"/>
      <c r="U80" s="2401"/>
      <c r="V80" s="2401"/>
      <c r="W80" s="2401"/>
      <c r="X80" s="2401"/>
      <c r="Y80" s="2401"/>
      <c r="Z80" s="2402"/>
    </row>
    <row r="81" spans="2:29" ht="16.5" customHeight="1">
      <c r="B81" s="2420" t="s">
        <v>3559</v>
      </c>
      <c r="C81" s="2421"/>
      <c r="D81" s="2421"/>
      <c r="E81" s="2421"/>
      <c r="F81" s="2421"/>
      <c r="G81" s="2421"/>
      <c r="H81" s="2421"/>
      <c r="I81" s="2421"/>
      <c r="J81" s="2422"/>
      <c r="K81" s="602"/>
      <c r="L81" s="602"/>
      <c r="M81" s="603"/>
      <c r="N81" s="603"/>
      <c r="O81" s="603"/>
      <c r="P81" s="603"/>
      <c r="Q81" s="603"/>
      <c r="R81" s="603"/>
      <c r="S81" s="603"/>
      <c r="T81" s="603"/>
      <c r="U81" s="603"/>
      <c r="V81" s="603"/>
      <c r="W81" s="603"/>
      <c r="X81" s="603"/>
      <c r="Y81" s="603"/>
      <c r="Z81" s="603"/>
      <c r="AA81" s="472"/>
    </row>
    <row r="82" spans="2:29" ht="16.5" customHeight="1">
      <c r="B82" s="2420"/>
      <c r="C82" s="2423"/>
      <c r="D82" s="2423"/>
      <c r="E82" s="2423"/>
      <c r="F82" s="2423"/>
      <c r="G82" s="2423"/>
      <c r="H82" s="2423"/>
      <c r="I82" s="2423"/>
      <c r="J82" s="2422"/>
      <c r="K82" s="602"/>
      <c r="L82" s="602"/>
      <c r="N82"/>
      <c r="O82"/>
      <c r="P82"/>
      <c r="Q82"/>
      <c r="R82"/>
      <c r="S82"/>
      <c r="T82"/>
      <c r="U82"/>
      <c r="V82"/>
      <c r="W82"/>
      <c r="X82"/>
      <c r="Y82"/>
      <c r="Z82"/>
      <c r="AA82"/>
    </row>
    <row r="83" spans="2:29" ht="16.5" customHeight="1">
      <c r="B83" s="2420"/>
      <c r="C83" s="2423"/>
      <c r="D83" s="2423"/>
      <c r="E83" s="2423"/>
      <c r="F83" s="2423"/>
      <c r="G83" s="2423"/>
      <c r="H83" s="2423"/>
      <c r="I83" s="2423"/>
      <c r="J83" s="2422"/>
      <c r="K83" s="602"/>
      <c r="L83" s="602"/>
      <c r="N83"/>
      <c r="O83"/>
      <c r="P83"/>
      <c r="Q83"/>
      <c r="R83"/>
      <c r="S83"/>
      <c r="T83"/>
      <c r="U83"/>
      <c r="V83"/>
      <c r="W83"/>
      <c r="X83"/>
      <c r="Y83"/>
      <c r="Z83"/>
      <c r="AA83"/>
    </row>
    <row r="84" spans="2:29" ht="16.5" customHeight="1">
      <c r="B84" s="2406" t="s">
        <v>3560</v>
      </c>
      <c r="C84" s="2407"/>
      <c r="D84" s="2407"/>
      <c r="E84" s="2407"/>
      <c r="F84" s="2407"/>
      <c r="G84" s="2407"/>
      <c r="H84" s="2407"/>
      <c r="I84" s="2407"/>
      <c r="J84" s="2408"/>
      <c r="K84" s="604"/>
      <c r="L84" s="604"/>
      <c r="M84" s="577"/>
      <c r="N84" s="577"/>
      <c r="O84" s="577"/>
      <c r="P84" s="577"/>
      <c r="Q84" s="577"/>
      <c r="R84" s="577"/>
      <c r="S84" s="577"/>
    </row>
    <row r="85" spans="2:29" ht="16.5" customHeight="1">
      <c r="B85" s="2073" t="s">
        <v>3561</v>
      </c>
      <c r="C85" s="2053"/>
      <c r="D85" s="2053"/>
      <c r="E85" s="2053"/>
      <c r="F85" s="2053"/>
      <c r="G85" s="2053"/>
      <c r="H85" s="2053"/>
      <c r="I85" s="2053"/>
      <c r="J85" s="2419"/>
      <c r="K85" s="576"/>
      <c r="L85" s="576"/>
      <c r="M85" s="579"/>
      <c r="N85" s="579"/>
      <c r="O85" s="579"/>
      <c r="P85" s="579"/>
      <c r="Q85" s="579"/>
      <c r="R85" s="579"/>
      <c r="S85" s="579"/>
    </row>
    <row r="86" spans="2:29" ht="16.5" customHeight="1">
      <c r="K86" s="472"/>
      <c r="L86" s="472"/>
      <c r="M86" s="579"/>
      <c r="N86" s="579"/>
      <c r="O86" s="579"/>
      <c r="P86" s="579"/>
      <c r="Q86" s="579"/>
      <c r="R86" s="579"/>
      <c r="S86" s="579"/>
    </row>
    <row r="87" spans="2:29" ht="16.5" customHeight="1">
      <c r="K87" s="472"/>
      <c r="L87" s="472"/>
      <c r="M87" s="579"/>
      <c r="N87" s="579"/>
      <c r="O87" s="579"/>
      <c r="P87" s="579"/>
      <c r="Q87" s="579"/>
      <c r="R87" s="579"/>
      <c r="S87" s="579"/>
    </row>
    <row r="88" spans="2:29" ht="16.5" customHeight="1">
      <c r="K88" s="472"/>
      <c r="L88" s="472"/>
      <c r="M88" s="579"/>
      <c r="N88" s="579"/>
      <c r="O88" s="579"/>
      <c r="P88" s="579"/>
      <c r="Q88" s="579"/>
      <c r="R88" s="579"/>
      <c r="S88" s="579"/>
    </row>
    <row r="89" spans="2:29" ht="16.5" customHeight="1">
      <c r="K89" s="472"/>
      <c r="L89" s="472"/>
      <c r="M89" s="579"/>
      <c r="N89" s="579"/>
      <c r="O89" s="579"/>
      <c r="P89" s="579"/>
      <c r="Q89" s="579"/>
      <c r="R89" s="579"/>
      <c r="S89" s="579"/>
    </row>
    <row r="90" spans="2:29" ht="16.5" customHeight="1">
      <c r="K90" s="472"/>
      <c r="L90" s="472"/>
      <c r="M90" s="579"/>
      <c r="N90" s="579"/>
      <c r="O90" s="579"/>
      <c r="P90" s="579"/>
      <c r="Q90" s="579"/>
      <c r="R90" s="579"/>
      <c r="S90" s="579"/>
    </row>
    <row r="91" spans="2:29" ht="16.5" customHeight="1">
      <c r="K91" s="472"/>
      <c r="L91" s="472"/>
      <c r="M91" s="579"/>
      <c r="N91" s="579"/>
      <c r="O91" s="579"/>
      <c r="P91" s="579"/>
      <c r="Q91" s="579"/>
      <c r="R91" s="579"/>
      <c r="S91" s="579"/>
    </row>
    <row r="92" spans="2:29" ht="16.5" customHeight="1">
      <c r="K92" s="472"/>
      <c r="L92" s="472"/>
      <c r="M92" s="579"/>
      <c r="N92" s="579"/>
      <c r="O92" s="579"/>
      <c r="P92" s="579"/>
      <c r="Q92" s="579"/>
      <c r="R92" s="579"/>
      <c r="S92" s="579"/>
      <c r="AB92" s="607"/>
      <c r="AC92" s="607"/>
    </row>
    <row r="93" spans="2:29" ht="16.5" customHeight="1">
      <c r="K93" s="472"/>
      <c r="L93" s="472"/>
      <c r="M93" s="579"/>
      <c r="N93" s="579"/>
      <c r="O93" s="579"/>
      <c r="P93" s="579"/>
      <c r="Q93" s="579"/>
      <c r="R93" s="579"/>
      <c r="S93" s="579"/>
      <c r="AB93" s="607"/>
      <c r="AC93" s="607"/>
    </row>
    <row r="94" spans="2:29" ht="16.5" customHeight="1">
      <c r="B94" s="2022" t="s">
        <v>3562</v>
      </c>
      <c r="C94" s="2023"/>
      <c r="D94" s="2023"/>
      <c r="E94" s="2023"/>
      <c r="F94" s="2023"/>
      <c r="G94" s="2023"/>
      <c r="H94" s="2023"/>
      <c r="I94" s="2023"/>
      <c r="J94" s="2024"/>
      <c r="K94" s="605"/>
      <c r="L94" s="605"/>
      <c r="O94" s="579"/>
      <c r="P94" s="579"/>
      <c r="Q94" s="579"/>
      <c r="R94" s="579"/>
      <c r="S94" s="579"/>
      <c r="T94" s="579"/>
      <c r="U94" s="579"/>
      <c r="V94" s="579"/>
      <c r="W94" s="579"/>
      <c r="X94" s="579"/>
      <c r="Y94" s="579"/>
      <c r="Z94" s="579"/>
    </row>
    <row r="95" spans="2:29" ht="16.5" customHeight="1">
      <c r="B95" s="2374"/>
      <c r="C95" s="2375"/>
      <c r="D95" s="2375"/>
      <c r="E95" s="2375"/>
      <c r="F95" s="2375"/>
      <c r="G95" s="2375"/>
      <c r="H95" s="2375"/>
      <c r="I95" s="2375"/>
      <c r="J95" s="2376"/>
      <c r="K95" s="605"/>
      <c r="L95" s="605"/>
    </row>
    <row r="96" spans="2:29" ht="16.5" customHeight="1">
      <c r="B96" s="2382" t="s">
        <v>3563</v>
      </c>
      <c r="C96" s="2383"/>
      <c r="D96" s="2383"/>
      <c r="E96" s="2383"/>
      <c r="F96" s="2383"/>
      <c r="G96" s="2383"/>
      <c r="H96" s="2383"/>
      <c r="I96" s="2383"/>
      <c r="J96" s="2384"/>
      <c r="K96" s="606"/>
      <c r="L96" s="606"/>
    </row>
    <row r="97" spans="1:28" ht="16.5" customHeight="1">
      <c r="B97" s="2382"/>
      <c r="C97" s="2383"/>
      <c r="D97" s="2383"/>
      <c r="E97" s="2383"/>
      <c r="F97" s="2383"/>
      <c r="G97" s="2383"/>
      <c r="H97" s="2383"/>
      <c r="I97" s="2383"/>
      <c r="J97" s="2384"/>
      <c r="K97" s="606"/>
      <c r="L97" s="606"/>
    </row>
    <row r="98" spans="1:28" ht="16.5" customHeight="1">
      <c r="B98" s="2382"/>
      <c r="C98" s="2383"/>
      <c r="D98" s="2383"/>
      <c r="E98" s="2383"/>
      <c r="F98" s="2383"/>
      <c r="G98" s="2383"/>
      <c r="H98" s="2383"/>
      <c r="I98" s="2383"/>
      <c r="J98" s="2384"/>
      <c r="K98" s="606"/>
      <c r="L98" s="606"/>
    </row>
    <row r="99" spans="1:28" ht="16.5" customHeight="1">
      <c r="B99" s="2382"/>
      <c r="C99" s="2383"/>
      <c r="D99" s="2383"/>
      <c r="E99" s="2383"/>
      <c r="F99" s="2383"/>
      <c r="G99" s="2383"/>
      <c r="H99" s="2383"/>
      <c r="I99" s="2383"/>
      <c r="J99" s="2384"/>
      <c r="K99" s="606"/>
      <c r="L99" s="606"/>
    </row>
    <row r="100" spans="1:28" ht="16.5" customHeight="1">
      <c r="B100" s="2382"/>
      <c r="C100" s="2383"/>
      <c r="D100" s="2383"/>
      <c r="E100" s="2383"/>
      <c r="F100" s="2383"/>
      <c r="G100" s="2383"/>
      <c r="H100" s="2383"/>
      <c r="I100" s="2383"/>
      <c r="J100" s="2384"/>
      <c r="K100" s="229"/>
      <c r="L100" s="229"/>
    </row>
    <row r="101" spans="1:28" ht="16.5" customHeight="1">
      <c r="B101" s="2382"/>
      <c r="C101" s="2383"/>
      <c r="D101" s="2383"/>
      <c r="E101" s="2383"/>
      <c r="F101" s="2383"/>
      <c r="G101" s="2383"/>
      <c r="H101" s="2383"/>
      <c r="I101" s="2383"/>
      <c r="J101" s="2384"/>
      <c r="K101" s="229"/>
      <c r="L101" s="229"/>
    </row>
    <row r="102" spans="1:28" ht="16.5" customHeight="1">
      <c r="B102" s="2391" t="s">
        <v>3564</v>
      </c>
      <c r="C102" s="2392"/>
      <c r="D102" s="2392"/>
      <c r="E102" s="2392"/>
      <c r="F102" s="2392"/>
      <c r="G102" s="2392"/>
      <c r="H102" s="2392"/>
      <c r="I102" s="2392"/>
      <c r="J102" s="2393"/>
      <c r="K102" s="229"/>
      <c r="L102" s="229"/>
    </row>
    <row r="103" spans="1:28" s="422" customFormat="1" ht="16.5" customHeight="1">
      <c r="A103" s="420"/>
      <c r="B103" s="2394"/>
      <c r="C103" s="2395"/>
      <c r="D103" s="2395"/>
      <c r="E103" s="2395"/>
      <c r="F103" s="2395"/>
      <c r="G103" s="2395"/>
      <c r="H103" s="2395"/>
      <c r="I103" s="2395"/>
      <c r="J103" s="2396"/>
      <c r="K103" s="229"/>
      <c r="L103" s="229"/>
      <c r="M103" s="420"/>
      <c r="N103" s="420"/>
      <c r="O103" s="420"/>
      <c r="P103" s="420"/>
      <c r="Q103" s="420"/>
      <c r="R103" s="420"/>
      <c r="S103" s="420"/>
      <c r="T103" s="420"/>
      <c r="U103" s="420"/>
      <c r="V103" s="420"/>
      <c r="W103" s="420"/>
      <c r="X103" s="420"/>
      <c r="Y103" s="420"/>
      <c r="Z103" s="420"/>
      <c r="AA103" s="420"/>
      <c r="AB103" s="420"/>
    </row>
    <row r="104" spans="1:28" ht="16.5" customHeight="1">
      <c r="B104" s="2394"/>
      <c r="C104" s="2395"/>
      <c r="D104" s="2395"/>
      <c r="E104" s="2395"/>
      <c r="F104" s="2395"/>
      <c r="G104" s="2395"/>
      <c r="H104" s="2395"/>
      <c r="I104" s="2395"/>
      <c r="J104" s="2396"/>
    </row>
    <row r="105" spans="1:28" ht="16.5" customHeight="1">
      <c r="B105" s="2397"/>
      <c r="C105" s="2398"/>
      <c r="D105" s="2398"/>
      <c r="E105" s="2398"/>
      <c r="F105" s="2398"/>
      <c r="G105" s="2398"/>
      <c r="H105" s="2398"/>
      <c r="I105" s="2398"/>
      <c r="J105" s="2399"/>
    </row>
    <row r="106" spans="1:28" ht="16.5" customHeight="1"/>
    <row r="107" spans="1:28" ht="16.5" customHeight="1"/>
    <row r="108" spans="1:28" ht="16.5" customHeight="1"/>
    <row r="109" spans="1:28" ht="16.5" customHeight="1"/>
    <row r="110" spans="1:28" ht="16.5" customHeight="1">
      <c r="M110" s="607"/>
      <c r="N110" s="607"/>
      <c r="O110" s="607"/>
      <c r="P110" s="607"/>
      <c r="Q110" s="607"/>
      <c r="R110" s="607"/>
      <c r="S110" s="607"/>
      <c r="T110" s="607"/>
      <c r="U110" s="607"/>
      <c r="V110" s="607"/>
      <c r="W110" s="607"/>
      <c r="X110" s="607"/>
      <c r="Y110" s="607"/>
      <c r="Z110" s="607"/>
      <c r="AA110" s="607"/>
    </row>
    <row r="111" spans="1:28" ht="16.5" customHeight="1">
      <c r="M111" s="607"/>
      <c r="N111" s="607"/>
      <c r="O111" s="607"/>
      <c r="P111" s="607"/>
      <c r="Q111" s="607"/>
      <c r="R111" s="607"/>
      <c r="S111" s="607"/>
      <c r="T111" s="607"/>
      <c r="U111" s="607"/>
      <c r="V111" s="607"/>
      <c r="W111" s="607"/>
      <c r="X111" s="607"/>
      <c r="Y111" s="607"/>
      <c r="Z111" s="607"/>
      <c r="AA111" s="607"/>
    </row>
    <row r="112" spans="1:28" ht="16.5" customHeight="1"/>
    <row r="113" spans="2:26" ht="16.5" customHeight="1">
      <c r="B113" s="2358" t="s">
        <v>3565</v>
      </c>
      <c r="C113" s="2359"/>
      <c r="D113" s="2359"/>
      <c r="E113" s="2359"/>
      <c r="F113" s="2359"/>
      <c r="G113" s="2359"/>
      <c r="H113" s="2359"/>
      <c r="I113" s="2359"/>
      <c r="J113" s="2359"/>
      <c r="K113" s="2359"/>
      <c r="L113" s="2359"/>
      <c r="M113" s="2359"/>
      <c r="N113" s="2359"/>
      <c r="O113" s="2359"/>
      <c r="P113" s="2359"/>
      <c r="Q113" s="2359"/>
      <c r="R113" s="2359"/>
      <c r="S113" s="2359"/>
      <c r="T113" s="2359"/>
      <c r="U113" s="2359"/>
      <c r="V113" s="2359"/>
      <c r="W113" s="2359"/>
      <c r="X113" s="2359"/>
      <c r="Y113" s="2359"/>
      <c r="Z113" s="2360"/>
    </row>
    <row r="114" spans="2:26" ht="16.5" customHeight="1">
      <c r="B114" s="2361"/>
      <c r="C114" s="2362"/>
      <c r="D114" s="2362"/>
      <c r="E114" s="2362"/>
      <c r="F114" s="2362"/>
      <c r="G114" s="2362"/>
      <c r="H114" s="2362"/>
      <c r="I114" s="2362"/>
      <c r="J114" s="2362"/>
      <c r="K114" s="2362"/>
      <c r="L114" s="2362"/>
      <c r="M114" s="2362"/>
      <c r="N114" s="2362"/>
      <c r="O114" s="2362"/>
      <c r="P114" s="2362"/>
      <c r="Q114" s="2362"/>
      <c r="R114" s="2362"/>
      <c r="S114" s="2362"/>
      <c r="T114" s="2362"/>
      <c r="U114" s="2362"/>
      <c r="V114" s="2362"/>
      <c r="W114" s="2362"/>
      <c r="X114" s="2362"/>
      <c r="Y114" s="2362"/>
      <c r="Z114" s="2363"/>
    </row>
    <row r="115" spans="2:26" ht="16.5" customHeight="1">
      <c r="B115" s="2364"/>
      <c r="C115" s="2365"/>
      <c r="D115" s="2365"/>
      <c r="E115" s="2365"/>
      <c r="F115" s="2365"/>
      <c r="G115" s="2365"/>
      <c r="H115" s="2365"/>
      <c r="I115" s="2365"/>
      <c r="J115" s="2365"/>
      <c r="K115" s="2365"/>
      <c r="L115" s="2365"/>
      <c r="M115" s="2365"/>
      <c r="N115" s="2365"/>
      <c r="O115" s="2365"/>
      <c r="P115" s="2365"/>
      <c r="Q115" s="2365"/>
      <c r="R115" s="2365"/>
      <c r="S115" s="2365"/>
      <c r="T115" s="2365"/>
      <c r="U115" s="2365"/>
      <c r="V115" s="2365"/>
      <c r="W115" s="2365"/>
      <c r="X115" s="2365"/>
      <c r="Y115" s="2365"/>
      <c r="Z115" s="2366"/>
    </row>
    <row r="116" spans="2:26" ht="27" customHeight="1">
      <c r="B116" s="600"/>
      <c r="C116" s="600"/>
      <c r="D116" s="600"/>
      <c r="E116" s="600"/>
      <c r="F116" s="600"/>
      <c r="G116" s="600"/>
      <c r="H116" s="600"/>
      <c r="I116" s="600"/>
      <c r="J116" s="600"/>
      <c r="K116" s="600"/>
      <c r="L116" s="600"/>
      <c r="M116" s="600"/>
      <c r="N116" s="600"/>
      <c r="O116" s="600"/>
      <c r="P116" s="600"/>
      <c r="Q116" s="600"/>
      <c r="R116" s="600"/>
      <c r="S116" s="600"/>
      <c r="T116" s="600"/>
      <c r="U116" s="600"/>
      <c r="V116" s="600"/>
      <c r="W116" s="600"/>
      <c r="X116" s="600"/>
      <c r="Y116" s="600"/>
      <c r="Z116" s="600"/>
    </row>
    <row r="117" spans="2:26" ht="16.5" customHeight="1">
      <c r="B117" s="2022" t="s">
        <v>3566</v>
      </c>
      <c r="C117" s="2023"/>
      <c r="D117" s="2023"/>
      <c r="E117" s="2024"/>
      <c r="F117" s="601"/>
      <c r="G117" s="2022" t="s">
        <v>3567</v>
      </c>
      <c r="H117" s="2023"/>
      <c r="I117" s="2023"/>
      <c r="J117" s="2024"/>
      <c r="K117" s="608"/>
      <c r="L117" s="2022" t="s">
        <v>3568</v>
      </c>
      <c r="M117" s="2023"/>
      <c r="N117" s="2023"/>
      <c r="O117" s="2023"/>
      <c r="P117" s="2023"/>
      <c r="Q117" s="2023"/>
      <c r="R117" s="2023"/>
      <c r="S117" s="2024"/>
      <c r="T117" s="600"/>
      <c r="U117" s="2022" t="s">
        <v>3569</v>
      </c>
      <c r="V117" s="2023"/>
      <c r="W117" s="2023"/>
      <c r="X117" s="2023"/>
      <c r="Y117" s="2023"/>
      <c r="Z117" s="2024"/>
    </row>
    <row r="118" spans="2:26" ht="16.5" customHeight="1">
      <c r="B118" s="2374"/>
      <c r="C118" s="2375"/>
      <c r="D118" s="2375"/>
      <c r="E118" s="2376"/>
      <c r="F118" s="601"/>
      <c r="G118" s="2374"/>
      <c r="H118" s="2375"/>
      <c r="I118" s="2375"/>
      <c r="J118" s="2376"/>
      <c r="K118" s="608"/>
      <c r="L118" s="2374"/>
      <c r="M118" s="2375"/>
      <c r="N118" s="2375"/>
      <c r="O118" s="2375"/>
      <c r="P118" s="2375"/>
      <c r="Q118" s="2375"/>
      <c r="R118" s="2375"/>
      <c r="S118" s="2376"/>
      <c r="T118" s="600"/>
      <c r="U118" s="2374"/>
      <c r="V118" s="2375"/>
      <c r="W118" s="2375"/>
      <c r="X118" s="2375"/>
      <c r="Y118" s="2375"/>
      <c r="Z118" s="2376"/>
    </row>
    <row r="119" spans="2:26" ht="16.5" customHeight="1">
      <c r="B119" s="2367" t="s">
        <v>3570</v>
      </c>
      <c r="C119" s="2354"/>
      <c r="D119" s="2354"/>
      <c r="E119" s="2355"/>
      <c r="F119" s="245"/>
      <c r="G119" s="2367" t="s">
        <v>3571</v>
      </c>
      <c r="H119" s="2354"/>
      <c r="I119" s="2354"/>
      <c r="J119" s="2355"/>
      <c r="K119" s="600"/>
      <c r="L119" s="2367" t="s">
        <v>3572</v>
      </c>
      <c r="M119" s="2354"/>
      <c r="N119" s="2354"/>
      <c r="O119" s="2354"/>
      <c r="P119" s="2354"/>
      <c r="Q119" s="2354"/>
      <c r="R119" s="2354"/>
      <c r="S119" s="2355"/>
      <c r="T119" s="600"/>
      <c r="U119" s="2367" t="s">
        <v>3573</v>
      </c>
      <c r="V119" s="2354"/>
      <c r="W119" s="2354"/>
      <c r="X119" s="2354"/>
      <c r="Y119" s="2354"/>
      <c r="Z119" s="2355"/>
    </row>
    <row r="120" spans="2:26" ht="16.5" customHeight="1">
      <c r="B120" s="2367"/>
      <c r="C120" s="2354"/>
      <c r="D120" s="2354"/>
      <c r="E120" s="2355"/>
      <c r="F120" s="245"/>
      <c r="G120" s="2367"/>
      <c r="H120" s="2354"/>
      <c r="I120" s="2354"/>
      <c r="J120" s="2355"/>
      <c r="K120" s="600"/>
      <c r="L120" s="2367"/>
      <c r="M120" s="2354"/>
      <c r="N120" s="2354"/>
      <c r="O120" s="2354"/>
      <c r="P120" s="2354"/>
      <c r="Q120" s="2354"/>
      <c r="R120" s="2354"/>
      <c r="S120" s="2355"/>
      <c r="T120" s="600"/>
      <c r="U120" s="2367"/>
      <c r="V120" s="2354"/>
      <c r="W120" s="2354"/>
      <c r="X120" s="2354"/>
      <c r="Y120" s="2354"/>
      <c r="Z120" s="2355"/>
    </row>
    <row r="121" spans="2:26" ht="16.5" customHeight="1">
      <c r="B121" s="2367"/>
      <c r="C121" s="2354"/>
      <c r="D121" s="2354"/>
      <c r="E121" s="2355"/>
      <c r="F121" s="245"/>
      <c r="G121" s="2367"/>
      <c r="H121" s="2354"/>
      <c r="I121" s="2354"/>
      <c r="J121" s="2355"/>
      <c r="K121" s="600"/>
      <c r="L121" s="2367"/>
      <c r="M121" s="2354"/>
      <c r="N121" s="2354"/>
      <c r="O121" s="2354"/>
      <c r="P121" s="2354"/>
      <c r="Q121" s="2354"/>
      <c r="R121" s="2354"/>
      <c r="S121" s="2355"/>
      <c r="T121" s="600"/>
      <c r="U121" s="2367"/>
      <c r="V121" s="2354"/>
      <c r="W121" s="2354"/>
      <c r="X121" s="2354"/>
      <c r="Y121" s="2354"/>
      <c r="Z121" s="2355"/>
    </row>
    <row r="122" spans="2:26" ht="16.5" customHeight="1">
      <c r="B122" s="2367"/>
      <c r="C122" s="2354"/>
      <c r="D122" s="2354"/>
      <c r="E122" s="2355"/>
      <c r="F122" s="245"/>
      <c r="G122" s="2367"/>
      <c r="H122" s="2354"/>
      <c r="I122" s="2354"/>
      <c r="J122" s="2355"/>
      <c r="K122" s="600"/>
      <c r="L122" s="2367"/>
      <c r="M122" s="2354"/>
      <c r="N122" s="2354"/>
      <c r="O122" s="2354"/>
      <c r="P122" s="2354"/>
      <c r="Q122" s="2354"/>
      <c r="R122" s="2354"/>
      <c r="S122" s="2355"/>
      <c r="T122" s="600"/>
      <c r="U122" s="2367"/>
      <c r="V122" s="2354"/>
      <c r="W122" s="2354"/>
      <c r="X122" s="2354"/>
      <c r="Y122" s="2354"/>
      <c r="Z122" s="2355"/>
    </row>
    <row r="123" spans="2:26" ht="24" customHeight="1">
      <c r="B123" s="2367"/>
      <c r="C123" s="2354"/>
      <c r="D123" s="2354"/>
      <c r="E123" s="2355"/>
      <c r="F123" s="245"/>
      <c r="G123" s="2367"/>
      <c r="H123" s="2354"/>
      <c r="I123" s="2354"/>
      <c r="J123" s="2355"/>
      <c r="K123" s="600"/>
      <c r="L123" s="2367"/>
      <c r="M123" s="2354"/>
      <c r="N123" s="2354"/>
      <c r="O123" s="2354"/>
      <c r="P123" s="2354"/>
      <c r="Q123" s="2354"/>
      <c r="R123" s="2354"/>
      <c r="S123" s="2355"/>
      <c r="T123" s="600"/>
      <c r="U123" s="2367"/>
      <c r="V123" s="2354"/>
      <c r="W123" s="2354"/>
      <c r="X123" s="2354"/>
      <c r="Y123" s="2354"/>
      <c r="Z123" s="2355"/>
    </row>
    <row r="124" spans="2:26" ht="16.5" customHeight="1">
      <c r="B124" s="2367"/>
      <c r="C124" s="2354"/>
      <c r="D124" s="2354"/>
      <c r="E124" s="2355"/>
      <c r="F124" s="245"/>
      <c r="G124" s="2367"/>
      <c r="H124" s="2354"/>
      <c r="I124" s="2354"/>
      <c r="J124" s="2355"/>
      <c r="K124" s="600"/>
      <c r="L124" s="2403" t="s">
        <v>3574</v>
      </c>
      <c r="M124" s="2404"/>
      <c r="N124" s="2404"/>
      <c r="O124" s="2404"/>
      <c r="P124" s="2404"/>
      <c r="Q124" s="2404"/>
      <c r="R124" s="2404"/>
      <c r="S124" s="2405"/>
      <c r="T124" s="600"/>
      <c r="U124" s="2367"/>
      <c r="V124" s="2354"/>
      <c r="W124" s="2354"/>
      <c r="X124" s="2354"/>
      <c r="Y124" s="2354"/>
      <c r="Z124" s="2355"/>
    </row>
    <row r="125" spans="2:26" ht="16.5" customHeight="1">
      <c r="B125" s="2371"/>
      <c r="C125" s="2372"/>
      <c r="D125" s="2372"/>
      <c r="E125" s="2373"/>
      <c r="F125" s="245"/>
      <c r="G125" s="2371"/>
      <c r="H125" s="2372"/>
      <c r="I125" s="2372"/>
      <c r="J125" s="2373"/>
      <c r="K125" s="600"/>
      <c r="L125" s="2367" t="s">
        <v>3575</v>
      </c>
      <c r="M125" s="2354"/>
      <c r="N125" s="2354"/>
      <c r="O125" s="2354"/>
      <c r="P125" s="2354"/>
      <c r="Q125" s="2354"/>
      <c r="R125" s="2354"/>
      <c r="S125" s="2355"/>
      <c r="T125" s="600"/>
      <c r="U125" s="2367"/>
      <c r="V125" s="2354"/>
      <c r="W125" s="2354"/>
      <c r="X125" s="2354"/>
      <c r="Y125" s="2354"/>
      <c r="Z125" s="2355"/>
    </row>
    <row r="126" spans="2:26" ht="16.5" customHeight="1">
      <c r="B126" s="600"/>
      <c r="C126" s="600"/>
      <c r="D126" s="600"/>
      <c r="E126" s="600"/>
      <c r="F126" s="600"/>
      <c r="G126" s="600"/>
      <c r="H126" s="600"/>
      <c r="I126" s="600"/>
      <c r="J126" s="600"/>
      <c r="K126" s="600"/>
      <c r="L126" s="2367"/>
      <c r="M126" s="2354"/>
      <c r="N126" s="2354"/>
      <c r="O126" s="2354"/>
      <c r="P126" s="2354"/>
      <c r="Q126" s="2354"/>
      <c r="R126" s="2354"/>
      <c r="S126" s="2355"/>
      <c r="T126" s="600"/>
      <c r="U126" s="2367"/>
      <c r="V126" s="2354"/>
      <c r="W126" s="2354"/>
      <c r="X126" s="2354"/>
      <c r="Y126" s="2354"/>
      <c r="Z126" s="2355"/>
    </row>
    <row r="127" spans="2:26" ht="16.5" customHeight="1">
      <c r="B127" s="600"/>
      <c r="C127" s="600"/>
      <c r="D127" s="600"/>
      <c r="E127" s="600"/>
      <c r="F127" s="600"/>
      <c r="G127" s="600"/>
      <c r="H127" s="600"/>
      <c r="I127" s="600"/>
      <c r="J127" s="600"/>
      <c r="K127" s="600"/>
      <c r="L127" s="2368" t="s">
        <v>3576</v>
      </c>
      <c r="M127" s="2369"/>
      <c r="N127" s="2369"/>
      <c r="O127" s="2369"/>
      <c r="P127" s="2414" t="s">
        <v>3577</v>
      </c>
      <c r="Q127" s="2369"/>
      <c r="R127" s="2414" t="s">
        <v>3578</v>
      </c>
      <c r="S127" s="2415"/>
      <c r="T127" s="600"/>
      <c r="U127" s="2371"/>
      <c r="V127" s="2372"/>
      <c r="W127" s="2372"/>
      <c r="X127" s="2372"/>
      <c r="Y127" s="2372"/>
      <c r="Z127" s="2373"/>
    </row>
    <row r="128" spans="2:26" ht="16.5" customHeight="1">
      <c r="B128" s="600"/>
      <c r="C128" s="600"/>
      <c r="D128" s="600"/>
      <c r="E128" s="600"/>
      <c r="F128" s="600"/>
      <c r="G128" s="600"/>
      <c r="H128" s="600"/>
      <c r="I128" s="600"/>
      <c r="J128" s="600"/>
      <c r="K128" s="600"/>
      <c r="L128" s="2370"/>
      <c r="M128" s="2369"/>
      <c r="N128" s="2369"/>
      <c r="O128" s="2369"/>
      <c r="P128" s="2369"/>
      <c r="Q128" s="2369"/>
      <c r="R128" s="2369"/>
      <c r="S128" s="2415"/>
      <c r="T128" s="600"/>
      <c r="U128" s="600"/>
      <c r="V128" s="600"/>
      <c r="W128" s="600"/>
      <c r="X128" s="600"/>
      <c r="Y128" s="600"/>
      <c r="Z128" s="600"/>
    </row>
    <row r="129" spans="2:26" ht="16.5" customHeight="1">
      <c r="B129" s="600"/>
      <c r="C129" s="600"/>
      <c r="D129" s="600"/>
      <c r="E129" s="600"/>
      <c r="F129" s="600"/>
      <c r="G129" s="600"/>
      <c r="H129" s="600"/>
      <c r="I129" s="600"/>
      <c r="J129" s="600"/>
      <c r="K129" s="600"/>
      <c r="L129" s="2370"/>
      <c r="M129" s="2369"/>
      <c r="N129" s="2369"/>
      <c r="O129" s="2369"/>
      <c r="P129" s="2414" t="s">
        <v>3579</v>
      </c>
      <c r="Q129" s="2369"/>
      <c r="R129" s="2414" t="s">
        <v>3580</v>
      </c>
      <c r="S129" s="2415"/>
      <c r="T129" s="600"/>
      <c r="U129" s="600"/>
      <c r="V129" s="600"/>
      <c r="W129" s="600"/>
      <c r="X129" s="600"/>
      <c r="Y129" s="600"/>
      <c r="Z129" s="600"/>
    </row>
    <row r="130" spans="2:26" ht="16.5" customHeight="1">
      <c r="B130" s="600"/>
      <c r="C130" s="600"/>
      <c r="D130" s="600"/>
      <c r="E130" s="600"/>
      <c r="F130" s="600"/>
      <c r="G130" s="600"/>
      <c r="H130" s="600"/>
      <c r="I130" s="600"/>
      <c r="J130" s="600"/>
      <c r="K130" s="600"/>
      <c r="L130" s="2370"/>
      <c r="M130" s="2369"/>
      <c r="N130" s="2369"/>
      <c r="O130" s="2369"/>
      <c r="P130" s="2369"/>
      <c r="Q130" s="2369"/>
      <c r="R130" s="2369"/>
      <c r="S130" s="2415"/>
      <c r="T130" s="600"/>
      <c r="U130" s="600"/>
      <c r="V130" s="600"/>
      <c r="W130" s="600"/>
      <c r="X130" s="600"/>
      <c r="Y130" s="600"/>
      <c r="Z130" s="600"/>
    </row>
    <row r="131" spans="2:26" ht="16.5" customHeight="1">
      <c r="B131" s="600"/>
      <c r="C131" s="600"/>
      <c r="D131" s="600"/>
      <c r="E131" s="600"/>
      <c r="F131" s="600"/>
      <c r="G131" s="600"/>
      <c r="H131" s="600"/>
      <c r="I131" s="600"/>
      <c r="J131" s="600"/>
      <c r="K131" s="600"/>
      <c r="L131" s="2379" t="s">
        <v>3581</v>
      </c>
      <c r="M131" s="2380"/>
      <c r="N131" s="2380"/>
      <c r="O131" s="2380"/>
      <c r="P131" s="2380"/>
      <c r="Q131" s="2380"/>
      <c r="R131" s="2380"/>
      <c r="S131" s="2381"/>
      <c r="T131" s="600"/>
      <c r="U131" s="600"/>
      <c r="V131" s="600"/>
      <c r="W131" s="600"/>
      <c r="X131" s="600"/>
      <c r="Y131" s="600"/>
      <c r="Z131" s="600"/>
    </row>
    <row r="132" spans="2:26" ht="25.05" customHeight="1">
      <c r="B132" s="600"/>
      <c r="C132" s="600"/>
      <c r="D132" s="600"/>
      <c r="E132" s="600"/>
      <c r="F132" s="600"/>
      <c r="G132" s="600"/>
      <c r="H132" s="600"/>
      <c r="I132" s="600"/>
      <c r="J132" s="600"/>
      <c r="K132" s="600"/>
      <c r="L132" s="609" t="s">
        <v>3582</v>
      </c>
      <c r="M132" s="2377" t="s">
        <v>3583</v>
      </c>
      <c r="N132" s="2377"/>
      <c r="O132" s="2377"/>
      <c r="P132" s="2377"/>
      <c r="Q132" s="2377"/>
      <c r="R132" s="2377"/>
      <c r="S132" s="2378"/>
      <c r="T132" s="600"/>
      <c r="U132" s="600"/>
      <c r="V132" s="600"/>
      <c r="W132" s="600"/>
      <c r="X132" s="600"/>
      <c r="Y132" s="600"/>
      <c r="Z132" s="600"/>
    </row>
    <row r="133" spans="2:26" ht="16.5" customHeight="1">
      <c r="B133" s="600"/>
      <c r="C133" s="600"/>
      <c r="D133" s="600"/>
      <c r="E133" s="600"/>
      <c r="F133" s="600"/>
      <c r="G133" s="600"/>
      <c r="H133" s="600"/>
      <c r="I133" s="600"/>
      <c r="J133" s="600"/>
      <c r="K133" s="600"/>
      <c r="L133" s="610"/>
      <c r="M133" s="2354"/>
      <c r="N133" s="2354"/>
      <c r="O133" s="2354"/>
      <c r="P133" s="2354"/>
      <c r="Q133" s="2354"/>
      <c r="R133" s="2354"/>
      <c r="S133" s="2355"/>
      <c r="T133" s="600"/>
      <c r="U133" s="600"/>
      <c r="V133" s="600"/>
      <c r="W133" s="600"/>
      <c r="X133" s="600"/>
      <c r="Y133" s="600"/>
      <c r="Z133" s="600"/>
    </row>
    <row r="134" spans="2:26" ht="16.5" customHeight="1">
      <c r="B134" s="600"/>
      <c r="C134" s="600"/>
      <c r="D134" s="600"/>
      <c r="E134" s="600"/>
      <c r="F134" s="600"/>
      <c r="G134" s="600"/>
      <c r="H134" s="600"/>
      <c r="I134" s="600"/>
      <c r="J134" s="600"/>
      <c r="K134" s="600"/>
      <c r="L134" s="610"/>
      <c r="M134" s="2354"/>
      <c r="N134" s="2354"/>
      <c r="O134" s="2354"/>
      <c r="P134" s="2354"/>
      <c r="Q134" s="2354"/>
      <c r="R134" s="2354"/>
      <c r="S134" s="2355"/>
      <c r="T134" s="600"/>
      <c r="U134" s="600"/>
      <c r="V134" s="600"/>
      <c r="W134" s="600"/>
      <c r="X134" s="600"/>
      <c r="Y134" s="600"/>
      <c r="Z134" s="600"/>
    </row>
    <row r="135" spans="2:26" ht="16.5" customHeight="1">
      <c r="B135" s="600"/>
      <c r="C135" s="600"/>
      <c r="D135" s="600"/>
      <c r="E135" s="600"/>
      <c r="F135" s="600"/>
      <c r="G135" s="600"/>
      <c r="H135" s="600"/>
      <c r="I135" s="600"/>
      <c r="J135" s="600"/>
      <c r="K135" s="600"/>
      <c r="L135" s="610"/>
      <c r="M135" s="2354"/>
      <c r="N135" s="2354"/>
      <c r="O135" s="2354"/>
      <c r="P135" s="2354"/>
      <c r="Q135" s="2354"/>
      <c r="R135" s="2354"/>
      <c r="S135" s="2355"/>
      <c r="T135" s="600"/>
      <c r="U135" s="600"/>
      <c r="V135" s="600"/>
      <c r="W135" s="600"/>
      <c r="X135" s="600"/>
      <c r="Y135" s="600"/>
      <c r="Z135" s="600"/>
    </row>
    <row r="136" spans="2:26" ht="16.5" customHeight="1">
      <c r="B136" s="600"/>
      <c r="C136" s="600"/>
      <c r="D136" s="600"/>
      <c r="E136" s="600"/>
      <c r="F136" s="600"/>
      <c r="G136" s="600"/>
      <c r="H136" s="600"/>
      <c r="I136" s="600"/>
      <c r="J136" s="600"/>
      <c r="K136" s="600"/>
      <c r="L136" s="610"/>
      <c r="M136" s="2354"/>
      <c r="N136" s="2354"/>
      <c r="O136" s="2354"/>
      <c r="P136" s="2354"/>
      <c r="Q136" s="2354"/>
      <c r="R136" s="2354"/>
      <c r="S136" s="2355"/>
      <c r="T136" s="600"/>
      <c r="U136" s="600"/>
      <c r="V136" s="600"/>
      <c r="W136" s="600"/>
      <c r="X136" s="600"/>
      <c r="Y136" s="600"/>
      <c r="Z136" s="600"/>
    </row>
    <row r="137" spans="2:26" ht="16.5" customHeight="1">
      <c r="B137" s="600"/>
      <c r="C137" s="600"/>
      <c r="D137" s="600"/>
      <c r="E137" s="600"/>
      <c r="F137" s="600"/>
      <c r="G137" s="600"/>
      <c r="H137" s="600"/>
      <c r="I137" s="600"/>
      <c r="J137" s="600"/>
      <c r="K137" s="600"/>
      <c r="L137" s="610"/>
      <c r="M137" s="2354"/>
      <c r="N137" s="2354"/>
      <c r="O137" s="2354"/>
      <c r="P137" s="2354"/>
      <c r="Q137" s="2354"/>
      <c r="R137" s="2354"/>
      <c r="S137" s="2355"/>
      <c r="T137" s="600"/>
      <c r="U137" s="600"/>
      <c r="V137" s="600"/>
      <c r="W137" s="600"/>
      <c r="X137" s="600"/>
      <c r="Y137" s="600"/>
      <c r="Z137" s="600"/>
    </row>
    <row r="138" spans="2:26" ht="16.5" customHeight="1">
      <c r="B138" s="600"/>
      <c r="C138" s="600"/>
      <c r="D138" s="600"/>
      <c r="E138" s="600"/>
      <c r="F138" s="600"/>
      <c r="G138" s="600"/>
      <c r="H138" s="600"/>
      <c r="I138" s="600"/>
      <c r="J138" s="600"/>
      <c r="K138" s="600"/>
      <c r="L138" s="610"/>
      <c r="M138" s="2354"/>
      <c r="N138" s="2354"/>
      <c r="O138" s="2354"/>
      <c r="P138" s="2354"/>
      <c r="Q138" s="2354"/>
      <c r="R138" s="2354"/>
      <c r="S138" s="2355"/>
      <c r="T138" s="600"/>
      <c r="U138" s="600"/>
      <c r="V138" s="600"/>
      <c r="W138" s="600"/>
      <c r="X138" s="600"/>
      <c r="Y138" s="600"/>
      <c r="Z138" s="600"/>
    </row>
    <row r="139" spans="2:26" ht="16.5" customHeight="1">
      <c r="B139" s="600"/>
      <c r="C139" s="600"/>
      <c r="D139" s="600"/>
      <c r="E139" s="600"/>
      <c r="F139" s="600"/>
      <c r="G139" s="600"/>
      <c r="H139" s="600"/>
      <c r="I139" s="600"/>
      <c r="J139" s="600"/>
      <c r="K139" s="600"/>
      <c r="L139" s="611"/>
      <c r="M139" s="2356"/>
      <c r="N139" s="2356"/>
      <c r="O139" s="2356"/>
      <c r="P139" s="2356"/>
      <c r="Q139" s="2356"/>
      <c r="R139" s="2356"/>
      <c r="S139" s="2357"/>
      <c r="T139" s="600"/>
      <c r="U139" s="600"/>
      <c r="V139" s="600"/>
      <c r="W139" s="600"/>
      <c r="X139" s="600"/>
      <c r="Y139" s="600"/>
      <c r="Z139" s="600"/>
    </row>
    <row r="140" spans="2:26" ht="16.5" customHeight="1">
      <c r="B140" s="600"/>
      <c r="C140" s="600"/>
      <c r="D140" s="600"/>
      <c r="E140" s="600"/>
      <c r="F140" s="600"/>
      <c r="G140" s="600"/>
      <c r="H140" s="600"/>
      <c r="I140" s="600"/>
      <c r="J140" s="600"/>
      <c r="K140" s="600"/>
      <c r="L140" s="610" t="s">
        <v>3584</v>
      </c>
      <c r="M140" s="2354" t="s">
        <v>3585</v>
      </c>
      <c r="N140" s="2354"/>
      <c r="O140" s="2354"/>
      <c r="P140" s="2354"/>
      <c r="Q140" s="2354"/>
      <c r="R140" s="2354"/>
      <c r="S140" s="2355"/>
      <c r="T140" s="600"/>
      <c r="U140" s="600"/>
      <c r="V140" s="600"/>
      <c r="W140" s="600"/>
      <c r="X140" s="600"/>
      <c r="Y140" s="600"/>
      <c r="Z140" s="600"/>
    </row>
    <row r="141" spans="2:26" ht="16.5" customHeight="1">
      <c r="B141" s="600"/>
      <c r="C141" s="600"/>
      <c r="D141" s="600"/>
      <c r="E141" s="600"/>
      <c r="F141" s="600"/>
      <c r="G141" s="600"/>
      <c r="H141" s="600"/>
      <c r="I141" s="600"/>
      <c r="J141" s="600"/>
      <c r="K141" s="600"/>
      <c r="L141" s="610"/>
      <c r="M141" s="2354"/>
      <c r="N141" s="2354"/>
      <c r="O141" s="2354"/>
      <c r="P141" s="2354"/>
      <c r="Q141" s="2354"/>
      <c r="R141" s="2354"/>
      <c r="S141" s="2355"/>
      <c r="T141" s="600"/>
      <c r="U141" s="600"/>
      <c r="V141" s="600"/>
      <c r="W141" s="600"/>
      <c r="X141" s="600"/>
      <c r="Y141" s="600"/>
      <c r="Z141" s="600"/>
    </row>
    <row r="142" spans="2:26" ht="16.5" customHeight="1">
      <c r="B142" s="600"/>
      <c r="C142" s="600"/>
      <c r="D142" s="600"/>
      <c r="E142" s="600"/>
      <c r="F142" s="600"/>
      <c r="G142" s="600"/>
      <c r="H142" s="600"/>
      <c r="I142" s="600"/>
      <c r="J142" s="600"/>
      <c r="K142" s="600"/>
      <c r="L142" s="610"/>
      <c r="M142" s="2354"/>
      <c r="N142" s="2354"/>
      <c r="O142" s="2354"/>
      <c r="P142" s="2354"/>
      <c r="Q142" s="2354"/>
      <c r="R142" s="2354"/>
      <c r="S142" s="2355"/>
      <c r="T142" s="600"/>
      <c r="U142" s="600"/>
      <c r="V142" s="600"/>
      <c r="W142" s="600"/>
      <c r="X142" s="600"/>
      <c r="Y142" s="600"/>
      <c r="Z142" s="600"/>
    </row>
    <row r="143" spans="2:26" ht="16.5" customHeight="1">
      <c r="B143" s="600"/>
      <c r="C143" s="600"/>
      <c r="D143" s="600"/>
      <c r="E143" s="600"/>
      <c r="F143" s="600"/>
      <c r="G143" s="600"/>
      <c r="H143" s="600"/>
      <c r="I143" s="600"/>
      <c r="J143" s="600"/>
      <c r="K143" s="600"/>
      <c r="L143" s="610"/>
      <c r="M143" s="2354"/>
      <c r="N143" s="2354"/>
      <c r="O143" s="2354"/>
      <c r="P143" s="2354"/>
      <c r="Q143" s="2354"/>
      <c r="R143" s="2354"/>
      <c r="S143" s="2355"/>
      <c r="T143" s="600"/>
      <c r="U143" s="600"/>
      <c r="V143" s="600"/>
      <c r="W143" s="600"/>
      <c r="X143" s="600"/>
      <c r="Y143" s="600"/>
      <c r="Z143" s="600"/>
    </row>
    <row r="144" spans="2:26" ht="16.5" customHeight="1">
      <c r="B144" s="600"/>
      <c r="C144" s="600"/>
      <c r="D144" s="600"/>
      <c r="E144" s="600"/>
      <c r="F144" s="600"/>
      <c r="G144" s="600"/>
      <c r="H144" s="600"/>
      <c r="I144" s="600"/>
      <c r="J144" s="600"/>
      <c r="K144" s="600"/>
      <c r="L144" s="610"/>
      <c r="M144" s="2354"/>
      <c r="N144" s="2354"/>
      <c r="O144" s="2354"/>
      <c r="P144" s="2354"/>
      <c r="Q144" s="2354"/>
      <c r="R144" s="2354"/>
      <c r="S144" s="2355"/>
      <c r="T144" s="600"/>
      <c r="U144" s="600"/>
      <c r="V144" s="600"/>
      <c r="W144" s="600"/>
      <c r="X144" s="600"/>
      <c r="Y144" s="600"/>
      <c r="Z144" s="600"/>
    </row>
    <row r="145" spans="2:26" ht="16.5" customHeight="1">
      <c r="B145" s="600"/>
      <c r="C145" s="600"/>
      <c r="D145" s="600"/>
      <c r="E145" s="600"/>
      <c r="F145" s="600"/>
      <c r="G145" s="600"/>
      <c r="H145" s="600"/>
      <c r="I145" s="600"/>
      <c r="J145" s="600"/>
      <c r="K145" s="600"/>
      <c r="L145" s="610"/>
      <c r="M145" s="2354"/>
      <c r="N145" s="2354"/>
      <c r="O145" s="2354"/>
      <c r="P145" s="2354"/>
      <c r="Q145" s="2354"/>
      <c r="R145" s="2354"/>
      <c r="S145" s="2355"/>
      <c r="T145" s="600"/>
      <c r="U145" s="600"/>
      <c r="V145" s="600"/>
      <c r="W145" s="600"/>
      <c r="X145" s="600"/>
      <c r="Y145" s="600"/>
      <c r="Z145" s="600"/>
    </row>
    <row r="146" spans="2:26" ht="16.5" customHeight="1">
      <c r="B146" s="600"/>
      <c r="C146" s="600"/>
      <c r="D146" s="600"/>
      <c r="E146" s="600"/>
      <c r="F146" s="600"/>
      <c r="G146" s="600"/>
      <c r="H146" s="600"/>
      <c r="I146" s="600"/>
      <c r="J146" s="600"/>
      <c r="K146" s="600"/>
      <c r="L146" s="610"/>
      <c r="M146" s="2354"/>
      <c r="N146" s="2354"/>
      <c r="O146" s="2354"/>
      <c r="P146" s="2354"/>
      <c r="Q146" s="2354"/>
      <c r="R146" s="2354"/>
      <c r="S146" s="2355"/>
      <c r="T146" s="600"/>
      <c r="U146" s="600"/>
      <c r="V146" s="600"/>
      <c r="W146" s="600"/>
      <c r="X146" s="600"/>
      <c r="Y146" s="600"/>
      <c r="Z146" s="600"/>
    </row>
    <row r="147" spans="2:26" ht="16.5" customHeight="1">
      <c r="B147" s="600"/>
      <c r="C147" s="600"/>
      <c r="D147" s="600"/>
      <c r="E147" s="600"/>
      <c r="F147" s="600"/>
      <c r="G147" s="600"/>
      <c r="H147" s="600"/>
      <c r="I147" s="600"/>
      <c r="J147" s="600"/>
      <c r="K147" s="600"/>
      <c r="L147" s="611"/>
      <c r="M147" s="2356"/>
      <c r="N147" s="2356"/>
      <c r="O147" s="2356"/>
      <c r="P147" s="2356"/>
      <c r="Q147" s="2356"/>
      <c r="R147" s="2356"/>
      <c r="S147" s="2357"/>
      <c r="T147" s="600"/>
      <c r="U147" s="600"/>
      <c r="V147" s="600"/>
      <c r="W147" s="600"/>
      <c r="X147" s="600"/>
      <c r="Y147" s="600"/>
      <c r="Z147" s="600"/>
    </row>
    <row r="148" spans="2:26" ht="16.5" customHeight="1">
      <c r="B148" s="600"/>
      <c r="C148" s="600"/>
      <c r="D148" s="600"/>
      <c r="E148" s="600"/>
      <c r="F148" s="600"/>
      <c r="G148" s="600"/>
      <c r="H148" s="600"/>
      <c r="I148" s="600"/>
      <c r="J148" s="600"/>
      <c r="K148" s="600"/>
      <c r="L148" s="610" t="s">
        <v>3586</v>
      </c>
      <c r="M148" s="2354" t="s">
        <v>3587</v>
      </c>
      <c r="N148" s="2354"/>
      <c r="O148" s="2354"/>
      <c r="P148" s="2354"/>
      <c r="Q148" s="2354"/>
      <c r="R148" s="2354"/>
      <c r="S148" s="2355"/>
      <c r="T148" s="600"/>
      <c r="U148" s="600"/>
      <c r="V148" s="600"/>
      <c r="W148" s="600"/>
      <c r="X148" s="600"/>
      <c r="Y148" s="600"/>
      <c r="Z148" s="600"/>
    </row>
    <row r="149" spans="2:26" ht="16.5" customHeight="1">
      <c r="B149" s="600"/>
      <c r="C149" s="600"/>
      <c r="D149" s="600"/>
      <c r="E149" s="600"/>
      <c r="F149" s="600"/>
      <c r="G149" s="600"/>
      <c r="H149" s="600"/>
      <c r="I149" s="600"/>
      <c r="J149" s="600"/>
      <c r="K149" s="600"/>
      <c r="L149" s="610"/>
      <c r="M149" s="2354"/>
      <c r="N149" s="2354"/>
      <c r="O149" s="2354"/>
      <c r="P149" s="2354"/>
      <c r="Q149" s="2354"/>
      <c r="R149" s="2354"/>
      <c r="S149" s="2355"/>
      <c r="T149" s="600"/>
      <c r="U149" s="600"/>
      <c r="V149" s="600"/>
      <c r="W149" s="600"/>
      <c r="X149" s="600"/>
      <c r="Y149" s="600"/>
      <c r="Z149" s="600"/>
    </row>
    <row r="150" spans="2:26" ht="16.5" customHeight="1">
      <c r="B150" s="600"/>
      <c r="C150" s="600"/>
      <c r="D150" s="600"/>
      <c r="E150" s="600"/>
      <c r="F150" s="600"/>
      <c r="G150" s="600"/>
      <c r="H150" s="600"/>
      <c r="I150" s="600"/>
      <c r="J150" s="600"/>
      <c r="K150" s="600"/>
      <c r="L150" s="610"/>
      <c r="M150" s="2354"/>
      <c r="N150" s="2354"/>
      <c r="O150" s="2354"/>
      <c r="P150" s="2354"/>
      <c r="Q150" s="2354"/>
      <c r="R150" s="2354"/>
      <c r="S150" s="2355"/>
      <c r="T150" s="600"/>
      <c r="U150" s="600"/>
      <c r="V150" s="600"/>
      <c r="W150" s="600"/>
      <c r="X150" s="600"/>
      <c r="Y150" s="600"/>
      <c r="Z150" s="600"/>
    </row>
    <row r="151" spans="2:26" ht="16.5" customHeight="1">
      <c r="B151" s="600"/>
      <c r="C151" s="600"/>
      <c r="D151" s="600"/>
      <c r="E151" s="600"/>
      <c r="F151" s="600"/>
      <c r="G151" s="600"/>
      <c r="H151" s="600"/>
      <c r="I151" s="600"/>
      <c r="J151" s="600"/>
      <c r="K151" s="600"/>
      <c r="L151" s="610"/>
      <c r="M151" s="2354"/>
      <c r="N151" s="2354"/>
      <c r="O151" s="2354"/>
      <c r="P151" s="2354"/>
      <c r="Q151" s="2354"/>
      <c r="R151" s="2354"/>
      <c r="S151" s="2355"/>
      <c r="T151" s="600"/>
      <c r="U151" s="600"/>
      <c r="V151" s="600"/>
      <c r="W151" s="600"/>
      <c r="X151" s="600"/>
      <c r="Y151" s="600"/>
      <c r="Z151" s="600"/>
    </row>
    <row r="152" spans="2:26" ht="17.399999999999999">
      <c r="B152" s="600"/>
      <c r="C152" s="600"/>
      <c r="D152" s="600"/>
      <c r="E152" s="600"/>
      <c r="F152" s="600"/>
      <c r="G152" s="600"/>
      <c r="H152" s="600"/>
      <c r="I152" s="600"/>
      <c r="J152" s="600"/>
      <c r="K152" s="600"/>
      <c r="L152" s="610"/>
      <c r="M152" s="2354"/>
      <c r="N152" s="2354"/>
      <c r="O152" s="2354"/>
      <c r="P152" s="2354"/>
      <c r="Q152" s="2354"/>
      <c r="R152" s="2354"/>
      <c r="S152" s="2355"/>
      <c r="T152" s="600"/>
      <c r="U152" s="600"/>
      <c r="V152" s="600"/>
      <c r="W152" s="600"/>
      <c r="X152" s="600"/>
      <c r="Y152" s="600"/>
      <c r="Z152" s="600"/>
    </row>
    <row r="153" spans="2:26" ht="17.399999999999999">
      <c r="B153" s="600"/>
      <c r="C153" s="600"/>
      <c r="D153" s="600"/>
      <c r="E153" s="600"/>
      <c r="F153" s="600"/>
      <c r="G153" s="600"/>
      <c r="H153" s="600"/>
      <c r="I153" s="600"/>
      <c r="J153" s="600"/>
      <c r="K153" s="600"/>
      <c r="L153" s="610"/>
      <c r="M153" s="2354"/>
      <c r="N153" s="2354"/>
      <c r="O153" s="2354"/>
      <c r="P153" s="2354"/>
      <c r="Q153" s="2354"/>
      <c r="R153" s="2354"/>
      <c r="S153" s="2355"/>
      <c r="T153" s="600"/>
      <c r="U153" s="600"/>
      <c r="V153" s="600"/>
      <c r="W153" s="600"/>
      <c r="X153" s="600"/>
      <c r="Y153" s="600"/>
      <c r="Z153" s="600"/>
    </row>
    <row r="154" spans="2:26" ht="17.399999999999999">
      <c r="B154" s="600"/>
      <c r="C154" s="600"/>
      <c r="D154" s="600"/>
      <c r="E154" s="600"/>
      <c r="F154" s="600"/>
      <c r="G154" s="600"/>
      <c r="H154" s="600"/>
      <c r="I154" s="600"/>
      <c r="J154" s="600"/>
      <c r="K154" s="600"/>
      <c r="L154" s="612"/>
      <c r="M154" s="2372"/>
      <c r="N154" s="2372"/>
      <c r="O154" s="2372"/>
      <c r="P154" s="2372"/>
      <c r="Q154" s="2372"/>
      <c r="R154" s="2372"/>
      <c r="S154" s="2373"/>
      <c r="T154" s="613" t="s">
        <v>3588</v>
      </c>
      <c r="U154" s="600"/>
      <c r="V154" s="600"/>
      <c r="W154" s="600"/>
      <c r="X154" s="600"/>
      <c r="Y154" s="600"/>
      <c r="Z154" s="600"/>
    </row>
  </sheetData>
  <sheetProtection password="D857" sheet="1" objects="1"/>
  <protectedRanges>
    <protectedRange sqref="AU41:AV44 AX37:AY40" name="技能表以上_1"/>
  </protectedRanges>
  <mergeCells count="91">
    <mergeCell ref="O28:Z28"/>
    <mergeCell ref="O25:Z26"/>
    <mergeCell ref="B11:H23"/>
    <mergeCell ref="O17:Z18"/>
    <mergeCell ref="O4:Z4"/>
    <mergeCell ref="O6:Z6"/>
    <mergeCell ref="O8:Z8"/>
    <mergeCell ref="B10:H10"/>
    <mergeCell ref="I10:J10"/>
    <mergeCell ref="K10:L10"/>
    <mergeCell ref="O10:Z10"/>
    <mergeCell ref="B4:D9"/>
    <mergeCell ref="I4:L9"/>
    <mergeCell ref="B72:G74"/>
    <mergeCell ref="H72:M74"/>
    <mergeCell ref="U75:Z76"/>
    <mergeCell ref="O70:Z71"/>
    <mergeCell ref="O39:Z40"/>
    <mergeCell ref="B40:L60"/>
    <mergeCell ref="B64:Z66"/>
    <mergeCell ref="B70:M71"/>
    <mergeCell ref="B39:L39"/>
    <mergeCell ref="N41:Z41"/>
    <mergeCell ref="O43:Z43"/>
    <mergeCell ref="O45:Y45"/>
    <mergeCell ref="B68:Z69"/>
    <mergeCell ref="B75:G76"/>
    <mergeCell ref="H75:M76"/>
    <mergeCell ref="N36:N37"/>
    <mergeCell ref="N39:N40"/>
    <mergeCell ref="B25:G38"/>
    <mergeCell ref="O14:Z15"/>
    <mergeCell ref="E4:F9"/>
    <mergeCell ref="G4:H9"/>
    <mergeCell ref="O30:Z30"/>
    <mergeCell ref="O32:Z32"/>
    <mergeCell ref="O34:Z34"/>
    <mergeCell ref="N35:Z35"/>
    <mergeCell ref="N38:Z38"/>
    <mergeCell ref="O36:Z37"/>
    <mergeCell ref="O12:Z12"/>
    <mergeCell ref="O23:Z23"/>
    <mergeCell ref="B24:G24"/>
    <mergeCell ref="H24:L24"/>
    <mergeCell ref="A2:A23"/>
    <mergeCell ref="N14:N15"/>
    <mergeCell ref="N17:N18"/>
    <mergeCell ref="N20:N21"/>
    <mergeCell ref="N25:N26"/>
    <mergeCell ref="B2:L2"/>
    <mergeCell ref="N2:Z2"/>
    <mergeCell ref="B3:D3"/>
    <mergeCell ref="E3:F3"/>
    <mergeCell ref="G3:H3"/>
    <mergeCell ref="I3:L3"/>
    <mergeCell ref="O3:Z3"/>
    <mergeCell ref="O20:Z21"/>
    <mergeCell ref="M148:S154"/>
    <mergeCell ref="I11:J23"/>
    <mergeCell ref="K11:L23"/>
    <mergeCell ref="O72:T74"/>
    <mergeCell ref="U72:Z74"/>
    <mergeCell ref="P127:Q128"/>
    <mergeCell ref="R127:S128"/>
    <mergeCell ref="P129:Q130"/>
    <mergeCell ref="R129:S130"/>
    <mergeCell ref="U117:Z118"/>
    <mergeCell ref="B94:J95"/>
    <mergeCell ref="G117:J118"/>
    <mergeCell ref="B77:M80"/>
    <mergeCell ref="H25:L38"/>
    <mergeCell ref="B85:J85"/>
    <mergeCell ref="B81:J83"/>
    <mergeCell ref="B96:J101"/>
    <mergeCell ref="L117:S118"/>
    <mergeCell ref="O75:T76"/>
    <mergeCell ref="B102:J105"/>
    <mergeCell ref="O77:Z80"/>
    <mergeCell ref="B84:J84"/>
    <mergeCell ref="M140:S147"/>
    <mergeCell ref="B113:Z115"/>
    <mergeCell ref="L125:S126"/>
    <mergeCell ref="L127:O130"/>
    <mergeCell ref="G119:J125"/>
    <mergeCell ref="B117:E118"/>
    <mergeCell ref="M132:S139"/>
    <mergeCell ref="L131:S131"/>
    <mergeCell ref="L119:S123"/>
    <mergeCell ref="B119:E125"/>
    <mergeCell ref="L124:S124"/>
    <mergeCell ref="U119:Z127"/>
  </mergeCells>
  <phoneticPr fontId="188" type="noConversion"/>
  <pageMargins left="0.75" right="0.75" top="1" bottom="1" header="0.50902777777777797" footer="0.50902777777777797"/>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附表!$B$95:$B$213</xm:f>
          </x14:formula1>
          <xm:sqref>B4:D9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U192"/>
  <sheetViews>
    <sheetView showGridLines="0" showRowColHeaders="0" zoomScale="101" zoomScaleNormal="101" workbookViewId="0">
      <selection activeCell="B2" sqref="B2:AW2"/>
    </sheetView>
  </sheetViews>
  <sheetFormatPr defaultColWidth="4" defaultRowHeight="17.399999999999999"/>
  <cols>
    <col min="1" max="1" width="4" style="523" customWidth="1"/>
    <col min="2" max="2" width="4.33203125" style="522" customWidth="1"/>
    <col min="3" max="7" width="4" style="522" customWidth="1"/>
    <col min="8" max="8" width="4.33203125" style="522" customWidth="1"/>
    <col min="9" max="19" width="4" style="522" customWidth="1"/>
    <col min="20" max="20" width="4.33203125" style="522" customWidth="1"/>
    <col min="21" max="21" width="4" style="522" customWidth="1"/>
    <col min="22" max="16384" width="4" style="522"/>
  </cols>
  <sheetData>
    <row r="1" spans="1:49">
      <c r="A1" s="421"/>
    </row>
    <row r="2" spans="1:49">
      <c r="A2" s="523">
        <f ca="1">RANDBETWEEN(1,6)</f>
        <v>4</v>
      </c>
      <c r="B2" s="2695" t="s">
        <v>3589</v>
      </c>
      <c r="C2" s="2696"/>
      <c r="D2" s="2696"/>
      <c r="E2" s="2696"/>
      <c r="F2" s="2696"/>
      <c r="G2" s="2696"/>
      <c r="H2" s="2696"/>
      <c r="I2" s="2696"/>
      <c r="J2" s="2696"/>
      <c r="K2" s="2696"/>
      <c r="L2" s="2696"/>
      <c r="M2" s="2696"/>
      <c r="N2" s="2696"/>
      <c r="O2" s="2696"/>
      <c r="P2" s="2696"/>
      <c r="Q2" s="2696"/>
      <c r="R2" s="2696"/>
      <c r="S2" s="2696"/>
      <c r="T2" s="2696"/>
      <c r="U2" s="2696"/>
      <c r="V2" s="2696"/>
      <c r="W2" s="2696"/>
      <c r="X2" s="2696"/>
      <c r="Y2" s="2696"/>
      <c r="Z2" s="2696"/>
      <c r="AA2" s="2696"/>
      <c r="AB2" s="2696"/>
      <c r="AC2" s="2696"/>
      <c r="AD2" s="2696"/>
      <c r="AE2" s="2696"/>
      <c r="AF2" s="2696"/>
      <c r="AG2" s="2696"/>
      <c r="AH2" s="2696"/>
      <c r="AI2" s="2696"/>
      <c r="AJ2" s="2696"/>
      <c r="AK2" s="2696"/>
      <c r="AL2" s="2696"/>
      <c r="AM2" s="2696"/>
      <c r="AN2" s="2696"/>
      <c r="AO2" s="2696"/>
      <c r="AP2" s="2696"/>
      <c r="AQ2" s="2696"/>
      <c r="AR2" s="2696"/>
      <c r="AS2" s="2696"/>
      <c r="AT2" s="2696"/>
      <c r="AU2" s="2696"/>
      <c r="AV2" s="2696"/>
      <c r="AW2" s="2697"/>
    </row>
    <row r="3" spans="1:49">
      <c r="A3" s="522"/>
      <c r="B3" s="2705" t="s">
        <v>3590</v>
      </c>
      <c r="C3" s="2706"/>
      <c r="D3" s="2706"/>
      <c r="E3" s="2706"/>
      <c r="F3" s="2706"/>
      <c r="G3" s="2706"/>
      <c r="H3" s="2707" t="s">
        <v>3591</v>
      </c>
      <c r="I3" s="2707"/>
      <c r="J3" s="2707"/>
      <c r="K3" s="2707"/>
      <c r="L3" s="2707"/>
      <c r="M3" s="2707"/>
      <c r="N3" s="2707" t="s">
        <v>3592</v>
      </c>
      <c r="O3" s="2707"/>
      <c r="P3" s="2707"/>
      <c r="Q3" s="2707"/>
      <c r="R3" s="2707"/>
      <c r="S3" s="2707"/>
      <c r="T3" s="2707" t="s">
        <v>3593</v>
      </c>
      <c r="U3" s="2707"/>
      <c r="V3" s="2707"/>
      <c r="W3" s="2707"/>
      <c r="X3" s="2707"/>
      <c r="Y3" s="2707"/>
      <c r="Z3" s="2707" t="s">
        <v>3594</v>
      </c>
      <c r="AA3" s="2707"/>
      <c r="AB3" s="2707"/>
      <c r="AC3" s="2707"/>
      <c r="AD3" s="2707"/>
      <c r="AE3" s="2707"/>
      <c r="AF3" s="2707" t="s">
        <v>3595</v>
      </c>
      <c r="AG3" s="2707"/>
      <c r="AH3" s="2707"/>
      <c r="AI3" s="2707"/>
      <c r="AJ3" s="2707"/>
      <c r="AK3" s="2707"/>
      <c r="AL3" s="2707" t="s">
        <v>3596</v>
      </c>
      <c r="AM3" s="2707"/>
      <c r="AN3" s="2707"/>
      <c r="AO3" s="2707"/>
      <c r="AP3" s="2707"/>
      <c r="AQ3" s="2707"/>
      <c r="AR3" s="2707" t="s">
        <v>3597</v>
      </c>
      <c r="AS3" s="2707"/>
      <c r="AT3" s="2707"/>
      <c r="AU3" s="2707"/>
      <c r="AV3" s="2707"/>
      <c r="AW3" s="2708"/>
    </row>
    <row r="4" spans="1:49">
      <c r="A4" s="522"/>
      <c r="B4" s="2625" t="s">
        <v>3598</v>
      </c>
      <c r="C4" s="2577"/>
      <c r="D4" s="2577"/>
      <c r="E4" s="2577"/>
      <c r="F4" s="2577"/>
      <c r="G4" s="2577"/>
      <c r="H4" s="2628" t="s">
        <v>3598</v>
      </c>
      <c r="I4" s="2577"/>
      <c r="J4" s="2577"/>
      <c r="K4" s="2577"/>
      <c r="L4" s="2577"/>
      <c r="M4" s="2577"/>
      <c r="N4" s="2630" t="s">
        <v>3599</v>
      </c>
      <c r="O4" s="2622"/>
      <c r="P4" s="2622"/>
      <c r="Q4" s="2622"/>
      <c r="R4" s="2622"/>
      <c r="S4" s="2631"/>
      <c r="T4" s="2577" t="s">
        <v>3598</v>
      </c>
      <c r="U4" s="2577"/>
      <c r="V4" s="2577"/>
      <c r="W4" s="2577"/>
      <c r="X4" s="2577"/>
      <c r="Y4" s="2577"/>
      <c r="Z4" s="2635" t="s">
        <v>3598</v>
      </c>
      <c r="AA4" s="2577"/>
      <c r="AB4" s="2577"/>
      <c r="AC4" s="2577"/>
      <c r="AD4" s="2577"/>
      <c r="AE4" s="2577"/>
      <c r="AF4" s="2630" t="s">
        <v>3599</v>
      </c>
      <c r="AG4" s="2622"/>
      <c r="AH4" s="2622"/>
      <c r="AI4" s="2622"/>
      <c r="AJ4" s="2622"/>
      <c r="AK4" s="2622"/>
      <c r="AL4" s="2637" t="s">
        <v>3598</v>
      </c>
      <c r="AM4" s="2577"/>
      <c r="AN4" s="2577"/>
      <c r="AO4" s="2577"/>
      <c r="AP4" s="2577"/>
      <c r="AQ4" s="2577"/>
      <c r="AR4" s="2630" t="s">
        <v>3599</v>
      </c>
      <c r="AS4" s="2622"/>
      <c r="AT4" s="2622"/>
      <c r="AU4" s="2622"/>
      <c r="AV4" s="2622"/>
      <c r="AW4" s="2638"/>
    </row>
    <row r="5" spans="1:49">
      <c r="A5" s="522"/>
      <c r="B5" s="2626"/>
      <c r="C5" s="2627"/>
      <c r="D5" s="2627"/>
      <c r="E5" s="2627"/>
      <c r="F5" s="2627"/>
      <c r="G5" s="2627"/>
      <c r="H5" s="2629"/>
      <c r="I5" s="2627"/>
      <c r="J5" s="2627"/>
      <c r="K5" s="2627"/>
      <c r="L5" s="2627"/>
      <c r="M5" s="2627"/>
      <c r="N5" s="2632"/>
      <c r="O5" s="2633"/>
      <c r="P5" s="2633"/>
      <c r="Q5" s="2633"/>
      <c r="R5" s="2633"/>
      <c r="S5" s="2634"/>
      <c r="T5" s="2627"/>
      <c r="U5" s="2627"/>
      <c r="V5" s="2627"/>
      <c r="W5" s="2627"/>
      <c r="X5" s="2627"/>
      <c r="Y5" s="2627"/>
      <c r="Z5" s="2636"/>
      <c r="AA5" s="2627"/>
      <c r="AB5" s="2627"/>
      <c r="AC5" s="2627"/>
      <c r="AD5" s="2627"/>
      <c r="AE5" s="2627"/>
      <c r="AF5" s="2632"/>
      <c r="AG5" s="2633"/>
      <c r="AH5" s="2633"/>
      <c r="AI5" s="2633"/>
      <c r="AJ5" s="2633"/>
      <c r="AK5" s="2633"/>
      <c r="AL5" s="2629"/>
      <c r="AM5" s="2627"/>
      <c r="AN5" s="2627"/>
      <c r="AO5" s="2627"/>
      <c r="AP5" s="2627"/>
      <c r="AQ5" s="2627"/>
      <c r="AR5" s="2632"/>
      <c r="AS5" s="2633"/>
      <c r="AT5" s="2633"/>
      <c r="AU5" s="2633"/>
      <c r="AV5" s="2633"/>
      <c r="AW5" s="2639"/>
    </row>
    <row r="6" spans="1:49">
      <c r="A6" s="522"/>
    </row>
    <row r="7" spans="1:49">
      <c r="A7" s="523">
        <f ca="1">RANDBETWEEN(1,6)</f>
        <v>2</v>
      </c>
      <c r="B7" s="2695" t="s">
        <v>3600</v>
      </c>
      <c r="C7" s="2696"/>
      <c r="D7" s="2696"/>
      <c r="E7" s="2696"/>
      <c r="F7" s="2696"/>
      <c r="G7" s="2696"/>
      <c r="H7" s="2696"/>
      <c r="I7" s="2696"/>
      <c r="J7" s="2696"/>
      <c r="K7" s="2696"/>
      <c r="L7" s="2696"/>
      <c r="M7" s="2696"/>
      <c r="N7" s="2696"/>
      <c r="O7" s="2696"/>
      <c r="P7" s="2696"/>
      <c r="Q7" s="2696"/>
      <c r="R7" s="2696"/>
      <c r="S7" s="2696"/>
      <c r="T7" s="2696"/>
      <c r="U7" s="2696"/>
      <c r="V7" s="2696"/>
      <c r="W7" s="2696"/>
      <c r="X7" s="2696"/>
      <c r="Y7" s="2696"/>
      <c r="Z7" s="2696"/>
      <c r="AA7" s="2696"/>
      <c r="AB7" s="2696"/>
      <c r="AC7" s="2696"/>
      <c r="AD7" s="2696"/>
      <c r="AE7" s="2696"/>
      <c r="AF7" s="2696"/>
      <c r="AG7" s="2696"/>
      <c r="AH7" s="2696"/>
      <c r="AI7" s="2696"/>
      <c r="AJ7" s="2696"/>
      <c r="AK7" s="2696"/>
      <c r="AL7" s="2696"/>
      <c r="AM7" s="2696"/>
      <c r="AN7" s="2696"/>
      <c r="AO7" s="2696"/>
      <c r="AP7" s="2696"/>
      <c r="AQ7" s="2696"/>
      <c r="AR7" s="2696"/>
      <c r="AS7" s="2696"/>
      <c r="AT7" s="2696"/>
      <c r="AU7" s="2696"/>
      <c r="AV7" s="2696"/>
      <c r="AW7" s="2697"/>
    </row>
    <row r="8" spans="1:49">
      <c r="A8" s="523">
        <f ca="1">RANDBETWEEN(1,6)</f>
        <v>5</v>
      </c>
      <c r="B8" s="2698" t="s">
        <v>3590</v>
      </c>
      <c r="C8" s="2699"/>
      <c r="D8" s="2699"/>
      <c r="E8" s="2699"/>
      <c r="F8" s="2699"/>
      <c r="G8" s="2699"/>
      <c r="H8" s="2700" t="s">
        <v>3591</v>
      </c>
      <c r="I8" s="2700"/>
      <c r="J8" s="2700"/>
      <c r="K8" s="2700"/>
      <c r="L8" s="2700"/>
      <c r="M8" s="2700"/>
      <c r="N8" s="2700" t="s">
        <v>3592</v>
      </c>
      <c r="O8" s="2700"/>
      <c r="P8" s="2700"/>
      <c r="Q8" s="2700"/>
      <c r="R8" s="2700"/>
      <c r="S8" s="2700"/>
      <c r="T8" s="2700" t="s">
        <v>3593</v>
      </c>
      <c r="U8" s="2700"/>
      <c r="V8" s="2700"/>
      <c r="W8" s="2700"/>
      <c r="X8" s="2700"/>
      <c r="Y8" s="2700"/>
      <c r="Z8" s="2700" t="s">
        <v>3594</v>
      </c>
      <c r="AA8" s="2700"/>
      <c r="AB8" s="2700"/>
      <c r="AC8" s="2700"/>
      <c r="AD8" s="2700"/>
      <c r="AE8" s="2700"/>
      <c r="AF8" s="2700" t="s">
        <v>3595</v>
      </c>
      <c r="AG8" s="2700"/>
      <c r="AH8" s="2700"/>
      <c r="AI8" s="2700"/>
      <c r="AJ8" s="2700"/>
      <c r="AK8" s="2700"/>
      <c r="AL8" s="2700" t="s">
        <v>3596</v>
      </c>
      <c r="AM8" s="2700"/>
      <c r="AN8" s="2700"/>
      <c r="AO8" s="2700"/>
      <c r="AP8" s="2700"/>
      <c r="AQ8" s="2700"/>
      <c r="AR8" s="2700" t="s">
        <v>3597</v>
      </c>
      <c r="AS8" s="2700"/>
      <c r="AT8" s="2700"/>
      <c r="AU8" s="2700"/>
      <c r="AV8" s="2700"/>
      <c r="AW8" s="2701"/>
    </row>
    <row r="9" spans="1:49">
      <c r="A9" s="523">
        <f ca="1">RANDBETWEEN(1,6)</f>
        <v>4</v>
      </c>
      <c r="B9" s="2654">
        <v>0</v>
      </c>
      <c r="C9" s="2507" t="s">
        <v>3601</v>
      </c>
      <c r="D9" s="2507"/>
      <c r="E9" s="2507"/>
      <c r="F9" s="2507"/>
      <c r="G9" s="2507"/>
      <c r="H9" s="2509">
        <v>0</v>
      </c>
      <c r="I9" s="2509" t="s">
        <v>3602</v>
      </c>
      <c r="J9" s="2509"/>
      <c r="K9" s="2509"/>
      <c r="L9" s="2509"/>
      <c r="M9" s="2509"/>
      <c r="N9" s="2509">
        <v>0</v>
      </c>
      <c r="O9" s="2509" t="s">
        <v>3603</v>
      </c>
      <c r="P9" s="2509"/>
      <c r="Q9" s="2509"/>
      <c r="R9" s="2509"/>
      <c r="S9" s="2509"/>
      <c r="T9" s="2509">
        <v>0</v>
      </c>
      <c r="U9" s="2509" t="s">
        <v>3604</v>
      </c>
      <c r="V9" s="2509"/>
      <c r="W9" s="2509"/>
      <c r="X9" s="2509"/>
      <c r="Y9" s="2509"/>
      <c r="Z9" s="2509">
        <v>0</v>
      </c>
      <c r="AA9" s="2507" t="s">
        <v>3605</v>
      </c>
      <c r="AB9" s="2507"/>
      <c r="AC9" s="2507"/>
      <c r="AD9" s="2507"/>
      <c r="AE9" s="2507"/>
      <c r="AF9" s="2509">
        <v>0</v>
      </c>
      <c r="AG9" s="2507" t="s">
        <v>3606</v>
      </c>
      <c r="AH9" s="2507"/>
      <c r="AI9" s="2507"/>
      <c r="AJ9" s="2507"/>
      <c r="AK9" s="2507"/>
      <c r="AL9" s="2509">
        <v>0</v>
      </c>
      <c r="AM9" s="2507" t="s">
        <v>3607</v>
      </c>
      <c r="AN9" s="2507"/>
      <c r="AO9" s="2507"/>
      <c r="AP9" s="2507"/>
      <c r="AQ9" s="2507"/>
      <c r="AR9" s="2509">
        <v>0</v>
      </c>
      <c r="AS9" s="2509" t="s">
        <v>3608</v>
      </c>
      <c r="AT9" s="2509"/>
      <c r="AU9" s="2509"/>
      <c r="AV9" s="2509"/>
      <c r="AW9" s="2641"/>
    </row>
    <row r="10" spans="1:49">
      <c r="A10" s="523">
        <f ca="1">RANDBETWEEN(1,6)</f>
        <v>1</v>
      </c>
      <c r="B10" s="2654"/>
      <c r="C10" s="2507"/>
      <c r="D10" s="2507"/>
      <c r="E10" s="2507"/>
      <c r="F10" s="2507"/>
      <c r="G10" s="2507"/>
      <c r="H10" s="2509"/>
      <c r="I10" s="2509"/>
      <c r="J10" s="2509"/>
      <c r="K10" s="2509"/>
      <c r="L10" s="2509"/>
      <c r="M10" s="2509"/>
      <c r="N10" s="2509"/>
      <c r="O10" s="2509"/>
      <c r="P10" s="2509"/>
      <c r="Q10" s="2509"/>
      <c r="R10" s="2509"/>
      <c r="S10" s="2509"/>
      <c r="T10" s="2509"/>
      <c r="U10" s="2509"/>
      <c r="V10" s="2509"/>
      <c r="W10" s="2509"/>
      <c r="X10" s="2509"/>
      <c r="Y10" s="2509"/>
      <c r="Z10" s="2509"/>
      <c r="AA10" s="2507"/>
      <c r="AB10" s="2507"/>
      <c r="AC10" s="2507"/>
      <c r="AD10" s="2507"/>
      <c r="AE10" s="2507"/>
      <c r="AF10" s="2509"/>
      <c r="AG10" s="2507"/>
      <c r="AH10" s="2507"/>
      <c r="AI10" s="2507"/>
      <c r="AJ10" s="2507"/>
      <c r="AK10" s="2507"/>
      <c r="AL10" s="2509"/>
      <c r="AM10" s="2507"/>
      <c r="AN10" s="2507"/>
      <c r="AO10" s="2507"/>
      <c r="AP10" s="2507"/>
      <c r="AQ10" s="2507"/>
      <c r="AR10" s="2509"/>
      <c r="AS10" s="2509"/>
      <c r="AT10" s="2509"/>
      <c r="AU10" s="2509"/>
      <c r="AV10" s="2509"/>
      <c r="AW10" s="2641"/>
    </row>
    <row r="11" spans="1:49">
      <c r="B11" s="2653"/>
      <c r="C11" s="2498"/>
      <c r="D11" s="2498"/>
      <c r="E11" s="2498"/>
      <c r="F11" s="2498"/>
      <c r="G11" s="2498"/>
      <c r="H11" s="2508">
        <v>1</v>
      </c>
      <c r="I11" s="2498" t="s">
        <v>3609</v>
      </c>
      <c r="J11" s="2498"/>
      <c r="K11" s="2498"/>
      <c r="L11" s="2498"/>
      <c r="M11" s="2498"/>
      <c r="N11" s="2508">
        <v>1</v>
      </c>
      <c r="O11" s="2508" t="s">
        <v>3610</v>
      </c>
      <c r="P11" s="2508"/>
      <c r="Q11" s="2508"/>
      <c r="R11" s="2508"/>
      <c r="S11" s="2508"/>
      <c r="T11" s="2508"/>
      <c r="U11" s="2508"/>
      <c r="V11" s="2508"/>
      <c r="W11" s="2508"/>
      <c r="X11" s="2508"/>
      <c r="Y11" s="2508"/>
      <c r="Z11" s="2508"/>
      <c r="AA11" s="2498"/>
      <c r="AB11" s="2498"/>
      <c r="AC11" s="2498"/>
      <c r="AD11" s="2498"/>
      <c r="AE11" s="2498"/>
      <c r="AF11" s="2508"/>
      <c r="AG11" s="2498"/>
      <c r="AH11" s="2498"/>
      <c r="AI11" s="2498"/>
      <c r="AJ11" s="2498"/>
      <c r="AK11" s="2498"/>
      <c r="AL11" s="2577"/>
      <c r="AM11" s="2577"/>
      <c r="AN11" s="2577"/>
      <c r="AO11" s="2577"/>
      <c r="AP11" s="2577"/>
      <c r="AQ11" s="2577"/>
      <c r="AR11" s="2508">
        <v>15</v>
      </c>
      <c r="AS11" s="2508" t="s">
        <v>3611</v>
      </c>
      <c r="AT11" s="2508"/>
      <c r="AU11" s="2508"/>
      <c r="AV11" s="2508"/>
      <c r="AW11" s="2576"/>
    </row>
    <row r="12" spans="1:49">
      <c r="A12" s="523">
        <f t="shared" ref="A12:A17" ca="1" si="0">RANDBETWEEN(1,6)</f>
        <v>4</v>
      </c>
      <c r="B12" s="2653"/>
      <c r="C12" s="2498"/>
      <c r="D12" s="2498"/>
      <c r="E12" s="2498"/>
      <c r="F12" s="2498"/>
      <c r="G12" s="2498"/>
      <c r="H12" s="2508"/>
      <c r="I12" s="2498"/>
      <c r="J12" s="2498"/>
      <c r="K12" s="2498"/>
      <c r="L12" s="2498"/>
      <c r="M12" s="2498"/>
      <c r="N12" s="2508"/>
      <c r="O12" s="2508"/>
      <c r="P12" s="2508"/>
      <c r="Q12" s="2508"/>
      <c r="R12" s="2508"/>
      <c r="S12" s="2508"/>
      <c r="T12" s="2508"/>
      <c r="U12" s="2508"/>
      <c r="V12" s="2508"/>
      <c r="W12" s="2508"/>
      <c r="X12" s="2508"/>
      <c r="Y12" s="2508"/>
      <c r="Z12" s="2508"/>
      <c r="AA12" s="2498"/>
      <c r="AB12" s="2498"/>
      <c r="AC12" s="2498"/>
      <c r="AD12" s="2498"/>
      <c r="AE12" s="2498"/>
      <c r="AF12" s="2508"/>
      <c r="AG12" s="2498"/>
      <c r="AH12" s="2498"/>
      <c r="AI12" s="2498"/>
      <c r="AJ12" s="2498"/>
      <c r="AK12" s="2498"/>
      <c r="AL12" s="2577"/>
      <c r="AM12" s="2577"/>
      <c r="AN12" s="2577"/>
      <c r="AO12" s="2577"/>
      <c r="AP12" s="2577"/>
      <c r="AQ12" s="2577"/>
      <c r="AR12" s="2508"/>
      <c r="AS12" s="2508"/>
      <c r="AT12" s="2508"/>
      <c r="AU12" s="2508"/>
      <c r="AV12" s="2508"/>
      <c r="AW12" s="2576"/>
    </row>
    <row r="13" spans="1:49">
      <c r="A13" s="523">
        <f t="shared" ca="1" si="0"/>
        <v>5</v>
      </c>
      <c r="B13" s="2654">
        <v>15</v>
      </c>
      <c r="C13" s="2507" t="s">
        <v>3612</v>
      </c>
      <c r="D13" s="2507"/>
      <c r="E13" s="2507"/>
      <c r="F13" s="2507"/>
      <c r="G13" s="2507"/>
      <c r="H13" s="2509">
        <v>15</v>
      </c>
      <c r="I13" s="2507" t="s">
        <v>3613</v>
      </c>
      <c r="J13" s="2507"/>
      <c r="K13" s="2507"/>
      <c r="L13" s="2507"/>
      <c r="M13" s="2507"/>
      <c r="N13" s="2509">
        <v>15</v>
      </c>
      <c r="O13" s="2507" t="s">
        <v>3614</v>
      </c>
      <c r="P13" s="2507"/>
      <c r="Q13" s="2507"/>
      <c r="R13" s="2507"/>
      <c r="S13" s="2507"/>
      <c r="T13" s="2509">
        <v>15</v>
      </c>
      <c r="U13" s="2507" t="s">
        <v>3615</v>
      </c>
      <c r="V13" s="2507"/>
      <c r="W13" s="2507"/>
      <c r="X13" s="2507"/>
      <c r="Y13" s="2507"/>
      <c r="Z13" s="2509">
        <v>15</v>
      </c>
      <c r="AA13" s="2507" t="s">
        <v>3616</v>
      </c>
      <c r="AB13" s="2507"/>
      <c r="AC13" s="2507"/>
      <c r="AD13" s="2507"/>
      <c r="AE13" s="2507"/>
      <c r="AF13" s="2509">
        <v>15</v>
      </c>
      <c r="AG13" s="2507" t="s">
        <v>3617</v>
      </c>
      <c r="AH13" s="2507"/>
      <c r="AI13" s="2507"/>
      <c r="AJ13" s="2507"/>
      <c r="AK13" s="2507"/>
      <c r="AL13" s="2509">
        <v>15</v>
      </c>
      <c r="AM13" s="2507" t="s">
        <v>3618</v>
      </c>
      <c r="AN13" s="2507"/>
      <c r="AO13" s="2507"/>
      <c r="AP13" s="2507"/>
      <c r="AQ13" s="2507"/>
      <c r="AR13" s="2509">
        <v>60</v>
      </c>
      <c r="AS13" s="2507" t="s">
        <v>3619</v>
      </c>
      <c r="AT13" s="2507"/>
      <c r="AU13" s="2507"/>
      <c r="AV13" s="2507"/>
      <c r="AW13" s="2550"/>
    </row>
    <row r="14" spans="1:49">
      <c r="A14" s="523">
        <f t="shared" ca="1" si="0"/>
        <v>4</v>
      </c>
      <c r="B14" s="2654"/>
      <c r="C14" s="2507"/>
      <c r="D14" s="2507"/>
      <c r="E14" s="2507"/>
      <c r="F14" s="2507"/>
      <c r="G14" s="2507"/>
      <c r="H14" s="2509"/>
      <c r="I14" s="2507"/>
      <c r="J14" s="2507"/>
      <c r="K14" s="2507"/>
      <c r="L14" s="2507"/>
      <c r="M14" s="2507"/>
      <c r="N14" s="2509"/>
      <c r="O14" s="2507"/>
      <c r="P14" s="2507"/>
      <c r="Q14" s="2507"/>
      <c r="R14" s="2507"/>
      <c r="S14" s="2507"/>
      <c r="T14" s="2509"/>
      <c r="U14" s="2507"/>
      <c r="V14" s="2507"/>
      <c r="W14" s="2507"/>
      <c r="X14" s="2507"/>
      <c r="Y14" s="2507"/>
      <c r="Z14" s="2509"/>
      <c r="AA14" s="2507"/>
      <c r="AB14" s="2507"/>
      <c r="AC14" s="2507"/>
      <c r="AD14" s="2507"/>
      <c r="AE14" s="2507"/>
      <c r="AF14" s="2509"/>
      <c r="AG14" s="2507"/>
      <c r="AH14" s="2507"/>
      <c r="AI14" s="2507"/>
      <c r="AJ14" s="2507"/>
      <c r="AK14" s="2507"/>
      <c r="AL14" s="2509"/>
      <c r="AM14" s="2507"/>
      <c r="AN14" s="2507"/>
      <c r="AO14" s="2507"/>
      <c r="AP14" s="2507"/>
      <c r="AQ14" s="2507"/>
      <c r="AR14" s="2509"/>
      <c r="AS14" s="2507"/>
      <c r="AT14" s="2507"/>
      <c r="AU14" s="2507"/>
      <c r="AV14" s="2507"/>
      <c r="AW14" s="2550"/>
    </row>
    <row r="15" spans="1:49">
      <c r="A15" s="523">
        <f t="shared" ca="1" si="0"/>
        <v>1</v>
      </c>
      <c r="B15" s="2653">
        <v>50</v>
      </c>
      <c r="C15" s="2498" t="s">
        <v>3620</v>
      </c>
      <c r="D15" s="2498"/>
      <c r="E15" s="2498"/>
      <c r="F15" s="2498"/>
      <c r="G15" s="2498"/>
      <c r="H15" s="2508">
        <v>50</v>
      </c>
      <c r="I15" s="2498" t="s">
        <v>3621</v>
      </c>
      <c r="J15" s="2498"/>
      <c r="K15" s="2498"/>
      <c r="L15" s="2498"/>
      <c r="M15" s="2498"/>
      <c r="N15" s="2508">
        <v>65</v>
      </c>
      <c r="O15" s="2498" t="s">
        <v>3622</v>
      </c>
      <c r="P15" s="2498"/>
      <c r="Q15" s="2498"/>
      <c r="R15" s="2498"/>
      <c r="S15" s="2498"/>
      <c r="T15" s="2508">
        <v>50</v>
      </c>
      <c r="U15" s="2498" t="s">
        <v>3621</v>
      </c>
      <c r="V15" s="2498"/>
      <c r="W15" s="2498"/>
      <c r="X15" s="2498"/>
      <c r="Y15" s="2498"/>
      <c r="Z15" s="2508">
        <v>50</v>
      </c>
      <c r="AA15" s="2498" t="s">
        <v>3620</v>
      </c>
      <c r="AB15" s="2498"/>
      <c r="AC15" s="2498"/>
      <c r="AD15" s="2498"/>
      <c r="AE15" s="2498"/>
      <c r="AF15" s="2508">
        <v>50</v>
      </c>
      <c r="AG15" s="2498" t="s">
        <v>3620</v>
      </c>
      <c r="AH15" s="2498"/>
      <c r="AI15" s="2498"/>
      <c r="AJ15" s="2498"/>
      <c r="AK15" s="2498"/>
      <c r="AL15" s="2508">
        <v>50</v>
      </c>
      <c r="AM15" s="2498" t="s">
        <v>3623</v>
      </c>
      <c r="AN15" s="2498"/>
      <c r="AO15" s="2498"/>
      <c r="AP15" s="2498"/>
      <c r="AQ15" s="2498"/>
      <c r="AR15" s="2508">
        <v>70</v>
      </c>
      <c r="AS15" s="2498" t="s">
        <v>3624</v>
      </c>
      <c r="AT15" s="2498"/>
      <c r="AU15" s="2498"/>
      <c r="AV15" s="2498"/>
      <c r="AW15" s="2499"/>
    </row>
    <row r="16" spans="1:49">
      <c r="A16" s="523">
        <f t="shared" ca="1" si="0"/>
        <v>3</v>
      </c>
      <c r="B16" s="2653"/>
      <c r="C16" s="2498"/>
      <c r="D16" s="2498"/>
      <c r="E16" s="2498"/>
      <c r="F16" s="2498"/>
      <c r="G16" s="2498"/>
      <c r="H16" s="2508"/>
      <c r="I16" s="2498"/>
      <c r="J16" s="2498"/>
      <c r="K16" s="2498"/>
      <c r="L16" s="2498"/>
      <c r="M16" s="2498"/>
      <c r="N16" s="2508"/>
      <c r="O16" s="2498"/>
      <c r="P16" s="2498"/>
      <c r="Q16" s="2498"/>
      <c r="R16" s="2498"/>
      <c r="S16" s="2498"/>
      <c r="T16" s="2508"/>
      <c r="U16" s="2498"/>
      <c r="V16" s="2498"/>
      <c r="W16" s="2498"/>
      <c r="X16" s="2498"/>
      <c r="Y16" s="2498"/>
      <c r="Z16" s="2508"/>
      <c r="AA16" s="2498"/>
      <c r="AB16" s="2498"/>
      <c r="AC16" s="2498"/>
      <c r="AD16" s="2498"/>
      <c r="AE16" s="2498"/>
      <c r="AF16" s="2508"/>
      <c r="AG16" s="2498"/>
      <c r="AH16" s="2498"/>
      <c r="AI16" s="2498"/>
      <c r="AJ16" s="2498"/>
      <c r="AK16" s="2498"/>
      <c r="AL16" s="2508"/>
      <c r="AM16" s="2498"/>
      <c r="AN16" s="2498"/>
      <c r="AO16" s="2498"/>
      <c r="AP16" s="2498"/>
      <c r="AQ16" s="2498"/>
      <c r="AR16" s="2508"/>
      <c r="AS16" s="2498"/>
      <c r="AT16" s="2498"/>
      <c r="AU16" s="2498"/>
      <c r="AV16" s="2498"/>
      <c r="AW16" s="2499"/>
    </row>
    <row r="17" spans="1:63">
      <c r="A17" s="523">
        <f t="shared" ca="1" si="0"/>
        <v>4</v>
      </c>
      <c r="B17" s="2654">
        <v>90</v>
      </c>
      <c r="C17" s="2507" t="s">
        <v>3625</v>
      </c>
      <c r="D17" s="2507"/>
      <c r="E17" s="2507"/>
      <c r="F17" s="2507"/>
      <c r="G17" s="2507"/>
      <c r="H17" s="2509">
        <v>90</v>
      </c>
      <c r="I17" s="2507" t="s">
        <v>3626</v>
      </c>
      <c r="J17" s="2507"/>
      <c r="K17" s="2507"/>
      <c r="L17" s="2507"/>
      <c r="M17" s="2507"/>
      <c r="N17" s="2509">
        <v>80</v>
      </c>
      <c r="O17" s="2507" t="s">
        <v>3627</v>
      </c>
      <c r="P17" s="2507"/>
      <c r="Q17" s="2507"/>
      <c r="R17" s="2507"/>
      <c r="S17" s="2507"/>
      <c r="T17" s="2509">
        <v>90</v>
      </c>
      <c r="U17" s="2507" t="s">
        <v>3628</v>
      </c>
      <c r="V17" s="2507"/>
      <c r="W17" s="2507"/>
      <c r="X17" s="2507"/>
      <c r="Y17" s="2507"/>
      <c r="Z17" s="2509">
        <v>90</v>
      </c>
      <c r="AA17" s="2507" t="s">
        <v>3629</v>
      </c>
      <c r="AB17" s="2507"/>
      <c r="AC17" s="2507"/>
      <c r="AD17" s="2507"/>
      <c r="AE17" s="2507"/>
      <c r="AF17" s="2509">
        <v>90</v>
      </c>
      <c r="AG17" s="2507" t="s">
        <v>3630</v>
      </c>
      <c r="AH17" s="2507"/>
      <c r="AI17" s="2507"/>
      <c r="AJ17" s="2507"/>
      <c r="AK17" s="2507"/>
      <c r="AL17" s="2509">
        <v>90</v>
      </c>
      <c r="AM17" s="2507" t="s">
        <v>3631</v>
      </c>
      <c r="AN17" s="2507"/>
      <c r="AO17" s="2507"/>
      <c r="AP17" s="2507"/>
      <c r="AQ17" s="2507"/>
      <c r="AR17" s="2509">
        <v>80</v>
      </c>
      <c r="AS17" s="2507" t="s">
        <v>3632</v>
      </c>
      <c r="AT17" s="2507"/>
      <c r="AU17" s="2507"/>
      <c r="AV17" s="2507"/>
      <c r="AW17" s="2550"/>
    </row>
    <row r="18" spans="1:63">
      <c r="B18" s="2654"/>
      <c r="C18" s="2507"/>
      <c r="D18" s="2507"/>
      <c r="E18" s="2507"/>
      <c r="F18" s="2507"/>
      <c r="G18" s="2507"/>
      <c r="H18" s="2509"/>
      <c r="I18" s="2507"/>
      <c r="J18" s="2507"/>
      <c r="K18" s="2507"/>
      <c r="L18" s="2507"/>
      <c r="M18" s="2507"/>
      <c r="N18" s="2509"/>
      <c r="O18" s="2507"/>
      <c r="P18" s="2507"/>
      <c r="Q18" s="2507"/>
      <c r="R18" s="2507"/>
      <c r="S18" s="2507"/>
      <c r="T18" s="2509"/>
      <c r="U18" s="2507"/>
      <c r="V18" s="2507"/>
      <c r="W18" s="2507"/>
      <c r="X18" s="2507"/>
      <c r="Y18" s="2507"/>
      <c r="Z18" s="2509"/>
      <c r="AA18" s="2507"/>
      <c r="AB18" s="2507"/>
      <c r="AC18" s="2507"/>
      <c r="AD18" s="2507"/>
      <c r="AE18" s="2507"/>
      <c r="AF18" s="2509"/>
      <c r="AG18" s="2507"/>
      <c r="AH18" s="2507"/>
      <c r="AI18" s="2507"/>
      <c r="AJ18" s="2507"/>
      <c r="AK18" s="2507"/>
      <c r="AL18" s="2509"/>
      <c r="AM18" s="2507"/>
      <c r="AN18" s="2507"/>
      <c r="AO18" s="2507"/>
      <c r="AP18" s="2507"/>
      <c r="AQ18" s="2507"/>
      <c r="AR18" s="2509"/>
      <c r="AS18" s="2507"/>
      <c r="AT18" s="2507"/>
      <c r="AU18" s="2507"/>
      <c r="AV18" s="2507"/>
      <c r="AW18" s="2550"/>
    </row>
    <row r="19" spans="1:63">
      <c r="B19" s="2653">
        <v>99</v>
      </c>
      <c r="C19" s="2498" t="s">
        <v>3633</v>
      </c>
      <c r="D19" s="2498"/>
      <c r="E19" s="2498"/>
      <c r="F19" s="2498"/>
      <c r="G19" s="2498"/>
      <c r="H19" s="2508">
        <v>99</v>
      </c>
      <c r="I19" s="2498" t="s">
        <v>3634</v>
      </c>
      <c r="J19" s="2498"/>
      <c r="K19" s="2498"/>
      <c r="L19" s="2498"/>
      <c r="M19" s="2498"/>
      <c r="N19" s="2508">
        <v>99</v>
      </c>
      <c r="O19" s="2498" t="s">
        <v>3635</v>
      </c>
      <c r="P19" s="2498"/>
      <c r="Q19" s="2498"/>
      <c r="R19" s="2498"/>
      <c r="S19" s="2498"/>
      <c r="T19" s="2508">
        <v>99</v>
      </c>
      <c r="U19" s="2498" t="s">
        <v>3636</v>
      </c>
      <c r="V19" s="2498"/>
      <c r="W19" s="2498"/>
      <c r="X19" s="2498"/>
      <c r="Y19" s="2498"/>
      <c r="Z19" s="2508">
        <v>99</v>
      </c>
      <c r="AA19" s="2498" t="s">
        <v>3637</v>
      </c>
      <c r="AB19" s="2498"/>
      <c r="AC19" s="2498"/>
      <c r="AD19" s="2498"/>
      <c r="AE19" s="2498"/>
      <c r="AF19" s="2508">
        <v>99</v>
      </c>
      <c r="AG19" s="2498" t="s">
        <v>3638</v>
      </c>
      <c r="AH19" s="2498"/>
      <c r="AI19" s="2498"/>
      <c r="AJ19" s="2498"/>
      <c r="AK19" s="2498"/>
      <c r="AL19" s="2508">
        <v>100</v>
      </c>
      <c r="AM19" s="2498" t="s">
        <v>3639</v>
      </c>
      <c r="AN19" s="2498"/>
      <c r="AO19" s="2498"/>
      <c r="AP19" s="2498"/>
      <c r="AQ19" s="2498"/>
      <c r="AR19" s="2508">
        <v>90</v>
      </c>
      <c r="AS19" s="2498" t="s">
        <v>3640</v>
      </c>
      <c r="AT19" s="2498"/>
      <c r="AU19" s="2498"/>
      <c r="AV19" s="2498"/>
      <c r="AW19" s="2499"/>
    </row>
    <row r="20" spans="1:63">
      <c r="B20" s="2653"/>
      <c r="C20" s="2498"/>
      <c r="D20" s="2498"/>
      <c r="E20" s="2498"/>
      <c r="F20" s="2498"/>
      <c r="G20" s="2498"/>
      <c r="H20" s="2508"/>
      <c r="I20" s="2498"/>
      <c r="J20" s="2498"/>
      <c r="K20" s="2498"/>
      <c r="L20" s="2498"/>
      <c r="M20" s="2498"/>
      <c r="N20" s="2508"/>
      <c r="O20" s="2498"/>
      <c r="P20" s="2498"/>
      <c r="Q20" s="2498"/>
      <c r="R20" s="2498"/>
      <c r="S20" s="2498"/>
      <c r="T20" s="2508"/>
      <c r="U20" s="2498"/>
      <c r="V20" s="2498"/>
      <c r="W20" s="2498"/>
      <c r="X20" s="2498"/>
      <c r="Y20" s="2498"/>
      <c r="Z20" s="2508"/>
      <c r="AA20" s="2498"/>
      <c r="AB20" s="2498"/>
      <c r="AC20" s="2498"/>
      <c r="AD20" s="2498"/>
      <c r="AE20" s="2498"/>
      <c r="AF20" s="2508"/>
      <c r="AG20" s="2498"/>
      <c r="AH20" s="2498"/>
      <c r="AI20" s="2498"/>
      <c r="AJ20" s="2498"/>
      <c r="AK20" s="2498"/>
      <c r="AL20" s="2508"/>
      <c r="AM20" s="2498"/>
      <c r="AN20" s="2498"/>
      <c r="AO20" s="2498"/>
      <c r="AP20" s="2498"/>
      <c r="AQ20" s="2498"/>
      <c r="AR20" s="2508"/>
      <c r="AS20" s="2498"/>
      <c r="AT20" s="2498"/>
      <c r="AU20" s="2498"/>
      <c r="AV20" s="2498"/>
      <c r="AW20" s="2499"/>
    </row>
    <row r="21" spans="1:63">
      <c r="B21" s="2654">
        <v>140</v>
      </c>
      <c r="C21" s="2507" t="s">
        <v>3641</v>
      </c>
      <c r="D21" s="2507"/>
      <c r="E21" s="2507"/>
      <c r="F21" s="2507"/>
      <c r="G21" s="2507"/>
      <c r="H21" s="2509">
        <v>140</v>
      </c>
      <c r="I21" s="2507" t="s">
        <v>3642</v>
      </c>
      <c r="J21" s="2507"/>
      <c r="K21" s="2507"/>
      <c r="L21" s="2507"/>
      <c r="M21" s="2507"/>
      <c r="N21" s="2509">
        <v>150</v>
      </c>
      <c r="O21" s="2507" t="s">
        <v>3643</v>
      </c>
      <c r="P21" s="2507"/>
      <c r="Q21" s="2507"/>
      <c r="R21" s="2507"/>
      <c r="S21" s="2507"/>
      <c r="T21" s="2509">
        <v>120</v>
      </c>
      <c r="U21" s="2509" t="s">
        <v>3644</v>
      </c>
      <c r="V21" s="2509"/>
      <c r="W21" s="2509"/>
      <c r="X21" s="2509"/>
      <c r="Y21" s="2509"/>
      <c r="Z21" s="2509"/>
      <c r="AA21" s="2507"/>
      <c r="AB21" s="2507"/>
      <c r="AC21" s="2507"/>
      <c r="AD21" s="2507"/>
      <c r="AE21" s="2507"/>
      <c r="AF21" s="2509">
        <v>140</v>
      </c>
      <c r="AG21" s="2509" t="s">
        <v>3645</v>
      </c>
      <c r="AH21" s="2509"/>
      <c r="AI21" s="2509"/>
      <c r="AJ21" s="2509"/>
      <c r="AK21" s="2509"/>
      <c r="AL21" s="2509">
        <v>140</v>
      </c>
      <c r="AM21" s="2507" t="s">
        <v>3646</v>
      </c>
      <c r="AN21" s="2507"/>
      <c r="AO21" s="2507"/>
      <c r="AP21" s="2507"/>
      <c r="AQ21" s="2507"/>
      <c r="AR21" s="2509">
        <v>96</v>
      </c>
      <c r="AS21" s="2507" t="s">
        <v>3647</v>
      </c>
      <c r="AT21" s="2507"/>
      <c r="AU21" s="2507"/>
      <c r="AV21" s="2507"/>
      <c r="AW21" s="2550"/>
    </row>
    <row r="22" spans="1:63">
      <c r="B22" s="2654"/>
      <c r="C22" s="2507"/>
      <c r="D22" s="2507"/>
      <c r="E22" s="2507"/>
      <c r="F22" s="2507"/>
      <c r="G22" s="2507"/>
      <c r="H22" s="2509"/>
      <c r="I22" s="2507"/>
      <c r="J22" s="2507"/>
      <c r="K22" s="2507"/>
      <c r="L22" s="2507"/>
      <c r="M22" s="2507"/>
      <c r="N22" s="2509"/>
      <c r="O22" s="2507"/>
      <c r="P22" s="2507"/>
      <c r="Q22" s="2507"/>
      <c r="R22" s="2507"/>
      <c r="S22" s="2507"/>
      <c r="T22" s="2509"/>
      <c r="U22" s="2509"/>
      <c r="V22" s="2509"/>
      <c r="W22" s="2509"/>
      <c r="X22" s="2509"/>
      <c r="Y22" s="2509"/>
      <c r="Z22" s="2509"/>
      <c r="AA22" s="2507"/>
      <c r="AB22" s="2507"/>
      <c r="AC22" s="2507"/>
      <c r="AD22" s="2507"/>
      <c r="AE22" s="2507"/>
      <c r="AF22" s="2509"/>
      <c r="AG22" s="2509"/>
      <c r="AH22" s="2509"/>
      <c r="AI22" s="2509"/>
      <c r="AJ22" s="2509"/>
      <c r="AK22" s="2509"/>
      <c r="AL22" s="2509"/>
      <c r="AM22" s="2507"/>
      <c r="AN22" s="2507"/>
      <c r="AO22" s="2507"/>
      <c r="AP22" s="2507"/>
      <c r="AQ22" s="2507"/>
      <c r="AR22" s="2509"/>
      <c r="AS22" s="2507"/>
      <c r="AT22" s="2507"/>
      <c r="AU22" s="2507"/>
      <c r="AV22" s="2507"/>
      <c r="AW22" s="2550"/>
    </row>
    <row r="23" spans="1:63">
      <c r="B23" s="524"/>
      <c r="C23" s="525"/>
      <c r="D23" s="525"/>
      <c r="E23" s="525"/>
      <c r="F23" s="525"/>
      <c r="G23" s="525"/>
      <c r="H23" s="2508"/>
      <c r="I23" s="2498"/>
      <c r="J23" s="2498"/>
      <c r="K23" s="2498"/>
      <c r="L23" s="2498"/>
      <c r="M23" s="2498"/>
      <c r="N23" s="2508">
        <v>180</v>
      </c>
      <c r="O23" s="2498" t="s">
        <v>3648</v>
      </c>
      <c r="P23" s="2498"/>
      <c r="Q23" s="2498"/>
      <c r="R23" s="2498"/>
      <c r="S23" s="2498"/>
      <c r="T23" s="2508"/>
      <c r="U23" s="2498"/>
      <c r="V23" s="2498"/>
      <c r="W23" s="2498"/>
      <c r="X23" s="2498"/>
      <c r="Y23" s="2498"/>
      <c r="Z23" s="2508"/>
      <c r="AA23" s="2498"/>
      <c r="AB23" s="2498"/>
      <c r="AC23" s="2498"/>
      <c r="AD23" s="2498"/>
      <c r="AE23" s="2498"/>
      <c r="AF23" s="2508"/>
      <c r="AG23" s="2498"/>
      <c r="AH23" s="2498"/>
      <c r="AI23" s="2498"/>
      <c r="AJ23" s="2498"/>
      <c r="AK23" s="2498"/>
      <c r="AL23" s="2508"/>
      <c r="AM23" s="2498"/>
      <c r="AN23" s="2498"/>
      <c r="AO23" s="2498"/>
      <c r="AP23" s="2498"/>
      <c r="AQ23" s="2498"/>
      <c r="AR23" s="2508">
        <v>99</v>
      </c>
      <c r="AS23" s="2498" t="s">
        <v>3649</v>
      </c>
      <c r="AT23" s="2498"/>
      <c r="AU23" s="2498"/>
      <c r="AV23" s="2498"/>
      <c r="AW23" s="2499"/>
    </row>
    <row r="24" spans="1:63">
      <c r="B24" s="524"/>
      <c r="C24" s="525"/>
      <c r="D24" s="525"/>
      <c r="E24" s="525"/>
      <c r="F24" s="525"/>
      <c r="G24" s="525"/>
      <c r="H24" s="2508"/>
      <c r="I24" s="2498"/>
      <c r="J24" s="2498"/>
      <c r="K24" s="2498"/>
      <c r="L24" s="2498"/>
      <c r="M24" s="2498"/>
      <c r="N24" s="2508"/>
      <c r="O24" s="2498"/>
      <c r="P24" s="2498"/>
      <c r="Q24" s="2498"/>
      <c r="R24" s="2498"/>
      <c r="S24" s="2498"/>
      <c r="T24" s="2508"/>
      <c r="U24" s="2498"/>
      <c r="V24" s="2498"/>
      <c r="W24" s="2498"/>
      <c r="X24" s="2498"/>
      <c r="Y24" s="2498"/>
      <c r="Z24" s="2508"/>
      <c r="AA24" s="2498"/>
      <c r="AB24" s="2498"/>
      <c r="AC24" s="2498"/>
      <c r="AD24" s="2498"/>
      <c r="AE24" s="2498"/>
      <c r="AF24" s="2508"/>
      <c r="AG24" s="2498"/>
      <c r="AH24" s="2498"/>
      <c r="AI24" s="2498"/>
      <c r="AJ24" s="2498"/>
      <c r="AK24" s="2498"/>
      <c r="AL24" s="2508"/>
      <c r="AM24" s="2498"/>
      <c r="AN24" s="2498"/>
      <c r="AO24" s="2498"/>
      <c r="AP24" s="2498"/>
      <c r="AQ24" s="2498"/>
      <c r="AR24" s="2508"/>
      <c r="AS24" s="2498"/>
      <c r="AT24" s="2498"/>
      <c r="AU24" s="2498"/>
      <c r="AV24" s="2498"/>
      <c r="AW24" s="2499"/>
    </row>
    <row r="25" spans="1:63">
      <c r="B25" s="2654" t="s">
        <v>3650</v>
      </c>
      <c r="C25" s="2509" t="s">
        <v>3651</v>
      </c>
      <c r="D25" s="2509"/>
      <c r="E25" s="2509"/>
      <c r="F25" s="2509"/>
      <c r="G25" s="2509"/>
      <c r="H25" s="2509" t="s">
        <v>3650</v>
      </c>
      <c r="I25" s="2507" t="s">
        <v>3652</v>
      </c>
      <c r="J25" s="2507"/>
      <c r="K25" s="2507"/>
      <c r="L25" s="2507"/>
      <c r="M25" s="2507"/>
      <c r="N25" s="2509" t="s">
        <v>3650</v>
      </c>
      <c r="O25" s="2507" t="s">
        <v>3653</v>
      </c>
      <c r="P25" s="2507"/>
      <c r="Q25" s="2507"/>
      <c r="R25" s="2507"/>
      <c r="S25" s="2507"/>
      <c r="T25" s="2509" t="s">
        <v>3650</v>
      </c>
      <c r="U25" s="2507" t="s">
        <v>3654</v>
      </c>
      <c r="V25" s="2507"/>
      <c r="W25" s="2507"/>
      <c r="X25" s="2507"/>
      <c r="Y25" s="2507"/>
      <c r="Z25" s="2509"/>
      <c r="AA25" s="2507"/>
      <c r="AB25" s="2507"/>
      <c r="AC25" s="2507"/>
      <c r="AD25" s="2507"/>
      <c r="AE25" s="2507"/>
      <c r="AF25" s="2509" t="s">
        <v>3655</v>
      </c>
      <c r="AG25" s="2507" t="s">
        <v>3656</v>
      </c>
      <c r="AH25" s="2507"/>
      <c r="AI25" s="2507"/>
      <c r="AJ25" s="2507"/>
      <c r="AK25" s="2507"/>
      <c r="AL25" s="2509" t="s">
        <v>3655</v>
      </c>
      <c r="AM25" s="2507" t="s">
        <v>3657</v>
      </c>
      <c r="AN25" s="2507"/>
      <c r="AO25" s="2507"/>
      <c r="AP25" s="2507"/>
      <c r="AQ25" s="2507"/>
      <c r="AR25" s="2509"/>
      <c r="AS25" s="2507"/>
      <c r="AT25" s="2507"/>
      <c r="AU25" s="2507"/>
      <c r="AV25" s="2507"/>
      <c r="AW25" s="2550"/>
    </row>
    <row r="26" spans="1:63">
      <c r="B26" s="2655"/>
      <c r="C26" s="2510"/>
      <c r="D26" s="2510"/>
      <c r="E26" s="2510"/>
      <c r="F26" s="2510"/>
      <c r="G26" s="2510"/>
      <c r="H26" s="2510"/>
      <c r="I26" s="2048"/>
      <c r="J26" s="2048"/>
      <c r="K26" s="2048"/>
      <c r="L26" s="2048"/>
      <c r="M26" s="2048"/>
      <c r="N26" s="2510"/>
      <c r="O26" s="2048"/>
      <c r="P26" s="2048"/>
      <c r="Q26" s="2048"/>
      <c r="R26" s="2048"/>
      <c r="S26" s="2048"/>
      <c r="T26" s="2510"/>
      <c r="U26" s="2048"/>
      <c r="V26" s="2048"/>
      <c r="W26" s="2048"/>
      <c r="X26" s="2048"/>
      <c r="Y26" s="2048"/>
      <c r="Z26" s="2510"/>
      <c r="AA26" s="2048"/>
      <c r="AB26" s="2048"/>
      <c r="AC26" s="2048"/>
      <c r="AD26" s="2048"/>
      <c r="AE26" s="2048"/>
      <c r="AF26" s="2510"/>
      <c r="AG26" s="2048"/>
      <c r="AH26" s="2048"/>
      <c r="AI26" s="2048"/>
      <c r="AJ26" s="2048"/>
      <c r="AK26" s="2048"/>
      <c r="AL26" s="2510"/>
      <c r="AM26" s="2048"/>
      <c r="AN26" s="2048"/>
      <c r="AO26" s="2048"/>
      <c r="AP26" s="2048"/>
      <c r="AQ26" s="2048"/>
      <c r="AR26" s="2510"/>
      <c r="AS26" s="2048"/>
      <c r="AT26" s="2048"/>
      <c r="AU26" s="2048"/>
      <c r="AV26" s="2048"/>
      <c r="AW26" s="2551"/>
    </row>
    <row r="27" spans="1:63">
      <c r="A27" s="2663" t="s">
        <v>3658</v>
      </c>
      <c r="B27" s="2500" t="s">
        <v>3659</v>
      </c>
      <c r="C27" s="2501"/>
      <c r="D27" s="2501"/>
      <c r="E27" s="2501"/>
      <c r="F27" s="2501"/>
      <c r="G27" s="2502"/>
      <c r="H27" s="2500" t="s">
        <v>3660</v>
      </c>
      <c r="I27" s="2501"/>
      <c r="J27" s="2501"/>
      <c r="K27" s="2501"/>
      <c r="L27" s="2501"/>
      <c r="M27" s="2502"/>
      <c r="N27" s="2500" t="s">
        <v>3661</v>
      </c>
      <c r="O27" s="2501"/>
      <c r="P27" s="2501"/>
      <c r="Q27" s="2501"/>
      <c r="R27" s="2501"/>
      <c r="S27" s="2502"/>
      <c r="T27" s="2500" t="s">
        <v>3662</v>
      </c>
      <c r="U27" s="2501"/>
      <c r="V27" s="2501"/>
      <c r="W27" s="2501"/>
      <c r="X27" s="2501"/>
      <c r="Y27" s="2502"/>
      <c r="Z27" s="2500" t="s">
        <v>3663</v>
      </c>
      <c r="AA27" s="2501"/>
      <c r="AB27" s="2501"/>
      <c r="AC27" s="2501"/>
      <c r="AD27" s="2501"/>
      <c r="AE27" s="2502"/>
      <c r="AF27" s="2500" t="s">
        <v>3664</v>
      </c>
      <c r="AG27" s="2501"/>
      <c r="AH27" s="2501"/>
      <c r="AI27" s="2501"/>
      <c r="AJ27" s="2501"/>
      <c r="AK27" s="2502"/>
      <c r="AL27" s="2500" t="s">
        <v>3665</v>
      </c>
      <c r="AM27" s="2501"/>
      <c r="AN27" s="2501"/>
      <c r="AO27" s="2501"/>
      <c r="AP27" s="2501"/>
      <c r="AQ27" s="2502"/>
      <c r="AR27" s="2500" t="s">
        <v>3666</v>
      </c>
      <c r="AS27" s="2501"/>
      <c r="AT27" s="2501"/>
      <c r="AU27" s="2501"/>
      <c r="AV27" s="2501"/>
      <c r="AW27" s="2502"/>
    </row>
    <row r="28" spans="1:63">
      <c r="A28" s="2663"/>
      <c r="B28" s="2500"/>
      <c r="C28" s="2503"/>
      <c r="D28" s="2503"/>
      <c r="E28" s="2503"/>
      <c r="F28" s="2503"/>
      <c r="G28" s="2502"/>
      <c r="H28" s="2500"/>
      <c r="I28" s="2503"/>
      <c r="J28" s="2503"/>
      <c r="K28" s="2503"/>
      <c r="L28" s="2503"/>
      <c r="M28" s="2502"/>
      <c r="N28" s="2500"/>
      <c r="O28" s="2503"/>
      <c r="P28" s="2503"/>
      <c r="Q28" s="2503"/>
      <c r="R28" s="2503"/>
      <c r="S28" s="2502"/>
      <c r="T28" s="2500"/>
      <c r="U28" s="2503"/>
      <c r="V28" s="2503"/>
      <c r="W28" s="2503"/>
      <c r="X28" s="2503"/>
      <c r="Y28" s="2502"/>
      <c r="Z28" s="2500"/>
      <c r="AA28" s="2503"/>
      <c r="AB28" s="2503"/>
      <c r="AC28" s="2503"/>
      <c r="AD28" s="2503"/>
      <c r="AE28" s="2502"/>
      <c r="AF28" s="2500"/>
      <c r="AG28" s="2503"/>
      <c r="AH28" s="2503"/>
      <c r="AI28" s="2503"/>
      <c r="AJ28" s="2503"/>
      <c r="AK28" s="2502"/>
      <c r="AL28" s="2500"/>
      <c r="AM28" s="2503"/>
      <c r="AN28" s="2503"/>
      <c r="AO28" s="2503"/>
      <c r="AP28" s="2503"/>
      <c r="AQ28" s="2502"/>
      <c r="AR28" s="2500"/>
      <c r="AS28" s="2503"/>
      <c r="AT28" s="2503"/>
      <c r="AU28" s="2503"/>
      <c r="AV28" s="2503"/>
      <c r="AW28" s="2502"/>
    </row>
    <row r="29" spans="1:63">
      <c r="A29" s="2663"/>
      <c r="B29" s="2500"/>
      <c r="C29" s="2503"/>
      <c r="D29" s="2503"/>
      <c r="E29" s="2503"/>
      <c r="F29" s="2503"/>
      <c r="G29" s="2502"/>
      <c r="H29" s="2500"/>
      <c r="I29" s="2503"/>
      <c r="J29" s="2503"/>
      <c r="K29" s="2503"/>
      <c r="L29" s="2503"/>
      <c r="M29" s="2502"/>
      <c r="N29" s="2500"/>
      <c r="O29" s="2503"/>
      <c r="P29" s="2503"/>
      <c r="Q29" s="2503"/>
      <c r="R29" s="2503"/>
      <c r="S29" s="2502"/>
      <c r="T29" s="2500"/>
      <c r="U29" s="2503"/>
      <c r="V29" s="2503"/>
      <c r="W29" s="2503"/>
      <c r="X29" s="2503"/>
      <c r="Y29" s="2502"/>
      <c r="Z29" s="2500"/>
      <c r="AA29" s="2503"/>
      <c r="AB29" s="2503"/>
      <c r="AC29" s="2503"/>
      <c r="AD29" s="2503"/>
      <c r="AE29" s="2502"/>
      <c r="AF29" s="2500"/>
      <c r="AG29" s="2503"/>
      <c r="AH29" s="2503"/>
      <c r="AI29" s="2503"/>
      <c r="AJ29" s="2503"/>
      <c r="AK29" s="2502"/>
      <c r="AL29" s="2500"/>
      <c r="AM29" s="2503"/>
      <c r="AN29" s="2503"/>
      <c r="AO29" s="2503"/>
      <c r="AP29" s="2503"/>
      <c r="AQ29" s="2502"/>
      <c r="AR29" s="2500"/>
      <c r="AS29" s="2503"/>
      <c r="AT29" s="2503"/>
      <c r="AU29" s="2503"/>
      <c r="AV29" s="2503"/>
      <c r="AW29" s="2502"/>
    </row>
    <row r="30" spans="1:63">
      <c r="A30" s="2663"/>
      <c r="B30" s="2500"/>
      <c r="C30" s="2503"/>
      <c r="D30" s="2503"/>
      <c r="E30" s="2503"/>
      <c r="F30" s="2503"/>
      <c r="G30" s="2502"/>
      <c r="H30" s="2500"/>
      <c r="I30" s="2503"/>
      <c r="J30" s="2503"/>
      <c r="K30" s="2503"/>
      <c r="L30" s="2503"/>
      <c r="M30" s="2502"/>
      <c r="N30" s="2500"/>
      <c r="O30" s="2503"/>
      <c r="P30" s="2503"/>
      <c r="Q30" s="2503"/>
      <c r="R30" s="2503"/>
      <c r="S30" s="2502"/>
      <c r="T30" s="2500"/>
      <c r="U30" s="2503"/>
      <c r="V30" s="2503"/>
      <c r="W30" s="2503"/>
      <c r="X30" s="2503"/>
      <c r="Y30" s="2502"/>
      <c r="Z30" s="2500"/>
      <c r="AA30" s="2503"/>
      <c r="AB30" s="2503"/>
      <c r="AC30" s="2503"/>
      <c r="AD30" s="2503"/>
      <c r="AE30" s="2502"/>
      <c r="AF30" s="2500"/>
      <c r="AG30" s="2503"/>
      <c r="AH30" s="2503"/>
      <c r="AI30" s="2503"/>
      <c r="AJ30" s="2503"/>
      <c r="AK30" s="2502"/>
      <c r="AL30" s="2500"/>
      <c r="AM30" s="2503"/>
      <c r="AN30" s="2503"/>
      <c r="AO30" s="2503"/>
      <c r="AP30" s="2503"/>
      <c r="AQ30" s="2502"/>
      <c r="AR30" s="2500"/>
      <c r="AS30" s="2503"/>
      <c r="AT30" s="2503"/>
      <c r="AU30" s="2503"/>
      <c r="AV30" s="2503"/>
      <c r="AW30" s="2502"/>
    </row>
    <row r="31" spans="1:63">
      <c r="A31" s="2663"/>
      <c r="B31" s="2504"/>
      <c r="C31" s="2505"/>
      <c r="D31" s="2505"/>
      <c r="E31" s="2505"/>
      <c r="F31" s="2505"/>
      <c r="G31" s="2506"/>
      <c r="H31" s="2504"/>
      <c r="I31" s="2505"/>
      <c r="J31" s="2505"/>
      <c r="K31" s="2505"/>
      <c r="L31" s="2505"/>
      <c r="M31" s="2506"/>
      <c r="N31" s="2504"/>
      <c r="O31" s="2505"/>
      <c r="P31" s="2505"/>
      <c r="Q31" s="2505"/>
      <c r="R31" s="2505"/>
      <c r="S31" s="2506"/>
      <c r="T31" s="2504"/>
      <c r="U31" s="2505"/>
      <c r="V31" s="2505"/>
      <c r="W31" s="2505"/>
      <c r="X31" s="2505"/>
      <c r="Y31" s="2506"/>
      <c r="Z31" s="2504"/>
      <c r="AA31" s="2505"/>
      <c r="AB31" s="2505"/>
      <c r="AC31" s="2505"/>
      <c r="AD31" s="2505"/>
      <c r="AE31" s="2506"/>
      <c r="AF31" s="2504"/>
      <c r="AG31" s="2505"/>
      <c r="AH31" s="2505"/>
      <c r="AI31" s="2505"/>
      <c r="AJ31" s="2505"/>
      <c r="AK31" s="2506"/>
      <c r="AL31" s="2504"/>
      <c r="AM31" s="2505"/>
      <c r="AN31" s="2505"/>
      <c r="AO31" s="2505"/>
      <c r="AP31" s="2505"/>
      <c r="AQ31" s="2506"/>
      <c r="AR31" s="2504"/>
      <c r="AS31" s="2505"/>
      <c r="AT31" s="2505"/>
      <c r="AU31" s="2505"/>
      <c r="AV31" s="2505"/>
      <c r="AW31" s="2506"/>
    </row>
    <row r="32" spans="1:63" ht="25.8">
      <c r="A32" s="2664" t="s">
        <v>3667</v>
      </c>
      <c r="B32" s="2529" t="s">
        <v>3668</v>
      </c>
      <c r="C32" s="2529"/>
      <c r="D32" s="2529"/>
      <c r="E32" s="2529"/>
      <c r="F32" s="2529"/>
      <c r="G32" s="2529"/>
      <c r="H32" s="2529" t="s">
        <v>3669</v>
      </c>
      <c r="I32" s="2529"/>
      <c r="J32" s="2529"/>
      <c r="K32" s="2529"/>
      <c r="L32" s="2529"/>
      <c r="M32" s="2529"/>
      <c r="N32" s="2529" t="s">
        <v>3670</v>
      </c>
      <c r="O32" s="2529"/>
      <c r="P32" s="2529"/>
      <c r="Q32" s="2529"/>
      <c r="R32" s="2529"/>
      <c r="S32" s="2529"/>
      <c r="T32" s="2529" t="s">
        <v>3671</v>
      </c>
      <c r="U32" s="2529"/>
      <c r="V32" s="2529"/>
      <c r="W32" s="2529"/>
      <c r="X32" s="2529"/>
      <c r="Y32" s="2529"/>
      <c r="Z32" s="2529" t="s">
        <v>3672</v>
      </c>
      <c r="AA32" s="2529"/>
      <c r="AB32" s="2529"/>
      <c r="AC32" s="2529"/>
      <c r="AD32" s="2529"/>
      <c r="AE32" s="2529"/>
      <c r="AF32" s="2529" t="s">
        <v>3673</v>
      </c>
      <c r="AG32" s="2529"/>
      <c r="AH32" s="2529"/>
      <c r="AI32" s="2529"/>
      <c r="AJ32" s="2529"/>
      <c r="AK32" s="2529"/>
      <c r="AL32" s="2529"/>
      <c r="AM32" s="2529"/>
      <c r="AN32" s="2529"/>
      <c r="AO32" s="2529"/>
      <c r="AP32" s="2529"/>
      <c r="AQ32" s="2529"/>
      <c r="AR32" s="2529" t="s">
        <v>3674</v>
      </c>
      <c r="AS32" s="2529"/>
      <c r="AT32" s="2529"/>
      <c r="AU32" s="2529"/>
      <c r="AV32" s="2529"/>
      <c r="AW32" s="2529"/>
      <c r="BJ32" s="569"/>
      <c r="BK32" s="569"/>
    </row>
    <row r="33" spans="1:73">
      <c r="A33" s="2664"/>
      <c r="B33" s="2529"/>
      <c r="C33" s="2529"/>
      <c r="D33" s="2529"/>
      <c r="E33" s="2529"/>
      <c r="F33" s="2529"/>
      <c r="G33" s="2529"/>
      <c r="H33" s="2529"/>
      <c r="I33" s="2529"/>
      <c r="J33" s="2529"/>
      <c r="K33" s="2529"/>
      <c r="L33" s="2529"/>
      <c r="M33" s="2529"/>
      <c r="N33" s="2529"/>
      <c r="O33" s="2529"/>
      <c r="P33" s="2529"/>
      <c r="Q33" s="2529"/>
      <c r="R33" s="2529"/>
      <c r="S33" s="2529"/>
      <c r="T33" s="2529"/>
      <c r="U33" s="2529"/>
      <c r="V33" s="2529"/>
      <c r="W33" s="2529"/>
      <c r="X33" s="2529"/>
      <c r="Y33" s="2529"/>
      <c r="Z33" s="2529"/>
      <c r="AA33" s="2529"/>
      <c r="AB33" s="2529"/>
      <c r="AC33" s="2529"/>
      <c r="AD33" s="2529"/>
      <c r="AE33" s="2529"/>
      <c r="AF33" s="2529"/>
      <c r="AG33" s="2529"/>
      <c r="AH33" s="2529"/>
      <c r="AI33" s="2529"/>
      <c r="AJ33" s="2529"/>
      <c r="AK33" s="2529"/>
      <c r="AL33" s="2529"/>
      <c r="AM33" s="2529"/>
      <c r="AN33" s="2529"/>
      <c r="AO33" s="2529"/>
      <c r="AP33" s="2529"/>
      <c r="AQ33" s="2529"/>
      <c r="AR33" s="2529"/>
      <c r="AS33" s="2529"/>
      <c r="AT33" s="2529"/>
      <c r="AU33" s="2529"/>
      <c r="AV33" s="2529"/>
      <c r="AW33" s="2529"/>
    </row>
    <row r="34" spans="1:73">
      <c r="A34" s="2664"/>
      <c r="B34" s="2529"/>
      <c r="C34" s="2529"/>
      <c r="D34" s="2529"/>
      <c r="E34" s="2529"/>
      <c r="F34" s="2529"/>
      <c r="G34" s="2529"/>
      <c r="H34" s="2529"/>
      <c r="I34" s="2529"/>
      <c r="J34" s="2529"/>
      <c r="K34" s="2529"/>
      <c r="L34" s="2529"/>
      <c r="M34" s="2529"/>
      <c r="N34" s="2529"/>
      <c r="O34" s="2529"/>
      <c r="P34" s="2529"/>
      <c r="Q34" s="2529"/>
      <c r="R34" s="2529"/>
      <c r="S34" s="2529"/>
      <c r="T34" s="2529"/>
      <c r="U34" s="2529"/>
      <c r="V34" s="2529"/>
      <c r="W34" s="2529"/>
      <c r="X34" s="2529"/>
      <c r="Y34" s="2529"/>
      <c r="Z34" s="2529"/>
      <c r="AA34" s="2529"/>
      <c r="AB34" s="2529"/>
      <c r="AC34" s="2529"/>
      <c r="AD34" s="2529"/>
      <c r="AE34" s="2529"/>
      <c r="AF34" s="2529"/>
      <c r="AG34" s="2529"/>
      <c r="AH34" s="2529"/>
      <c r="AI34" s="2529"/>
      <c r="AJ34" s="2529"/>
      <c r="AK34" s="2529"/>
      <c r="AL34" s="2529"/>
      <c r="AM34" s="2529"/>
      <c r="AN34" s="2529"/>
      <c r="AO34" s="2529"/>
      <c r="AP34" s="2529"/>
      <c r="AQ34" s="2529"/>
      <c r="AR34" s="2529"/>
      <c r="AS34" s="2529"/>
      <c r="AT34" s="2529"/>
      <c r="AU34" s="2529"/>
      <c r="AV34" s="2529"/>
      <c r="AW34" s="2529"/>
    </row>
    <row r="35" spans="1:73">
      <c r="A35" s="2664"/>
      <c r="B35" s="2529"/>
      <c r="C35" s="2529"/>
      <c r="D35" s="2529"/>
      <c r="E35" s="2529"/>
      <c r="F35" s="2529"/>
      <c r="G35" s="2529"/>
      <c r="H35" s="2529"/>
      <c r="I35" s="2529"/>
      <c r="J35" s="2529"/>
      <c r="K35" s="2529"/>
      <c r="L35" s="2529"/>
      <c r="M35" s="2529"/>
      <c r="N35" s="2529"/>
      <c r="O35" s="2529"/>
      <c r="P35" s="2529"/>
      <c r="Q35" s="2529"/>
      <c r="R35" s="2529"/>
      <c r="S35" s="2529"/>
      <c r="T35" s="2529"/>
      <c r="U35" s="2529"/>
      <c r="V35" s="2529"/>
      <c r="W35" s="2529"/>
      <c r="X35" s="2529"/>
      <c r="Y35" s="2529"/>
      <c r="Z35" s="2529"/>
      <c r="AA35" s="2529"/>
      <c r="AB35" s="2529"/>
      <c r="AC35" s="2529"/>
      <c r="AD35" s="2529"/>
      <c r="AE35" s="2529"/>
      <c r="AF35" s="2529"/>
      <c r="AG35" s="2529"/>
      <c r="AH35" s="2529"/>
      <c r="AI35" s="2529"/>
      <c r="AJ35" s="2529"/>
      <c r="AK35" s="2529"/>
      <c r="AL35" s="2529"/>
      <c r="AM35" s="2529"/>
      <c r="AN35" s="2529"/>
      <c r="AO35" s="2529"/>
      <c r="AP35" s="2529"/>
      <c r="AQ35" s="2529"/>
      <c r="AR35" s="2574"/>
      <c r="AS35" s="2574"/>
      <c r="AT35" s="2574"/>
      <c r="AU35" s="2574"/>
      <c r="AV35" s="2574"/>
      <c r="AW35" s="2574"/>
    </row>
    <row r="36" spans="1:73" ht="17.25" customHeight="1">
      <c r="A36" s="2664" t="s">
        <v>3675</v>
      </c>
      <c r="B36" s="2529" t="s">
        <v>3676</v>
      </c>
      <c r="C36" s="2529"/>
      <c r="D36" s="2529"/>
      <c r="E36" s="2529"/>
      <c r="F36" s="2529"/>
      <c r="G36" s="2529"/>
      <c r="H36" s="2529" t="s">
        <v>3677</v>
      </c>
      <c r="I36" s="2529"/>
      <c r="J36" s="2529"/>
      <c r="K36" s="2529"/>
      <c r="L36" s="2529"/>
      <c r="M36" s="2529"/>
      <c r="N36" s="2529" t="s">
        <v>3678</v>
      </c>
      <c r="O36" s="2529"/>
      <c r="P36" s="2529"/>
      <c r="Q36" s="2529"/>
      <c r="R36" s="2529"/>
      <c r="S36" s="2529"/>
      <c r="T36" s="2529" t="s">
        <v>3679</v>
      </c>
      <c r="U36" s="2529"/>
      <c r="V36" s="2529"/>
      <c r="W36" s="2529"/>
      <c r="X36" s="2529"/>
      <c r="Y36" s="2529"/>
      <c r="Z36" s="2529" t="s">
        <v>3680</v>
      </c>
      <c r="AA36" s="2529"/>
      <c r="AB36" s="2529"/>
      <c r="AC36" s="2529"/>
      <c r="AD36" s="2529"/>
      <c r="AE36" s="2529"/>
      <c r="AF36" s="2529" t="s">
        <v>3681</v>
      </c>
      <c r="AG36" s="2529"/>
      <c r="AH36" s="2529"/>
      <c r="AI36" s="2529"/>
      <c r="AJ36" s="2529"/>
      <c r="AK36" s="2529"/>
      <c r="AL36" s="2529"/>
      <c r="AM36" s="2529"/>
      <c r="AN36" s="2529"/>
      <c r="AO36" s="2529"/>
      <c r="AP36" s="2529"/>
      <c r="AQ36" s="2606"/>
      <c r="AR36" s="2607"/>
      <c r="AS36" s="2608"/>
      <c r="AT36" s="2608"/>
      <c r="AU36" s="2608"/>
      <c r="AV36" s="2608"/>
      <c r="AW36" s="2609"/>
    </row>
    <row r="37" spans="1:73" ht="17.25" customHeight="1">
      <c r="A37" s="2664"/>
      <c r="B37" s="2529"/>
      <c r="C37" s="2529"/>
      <c r="D37" s="2529"/>
      <c r="E37" s="2529"/>
      <c r="F37" s="2529"/>
      <c r="G37" s="2529"/>
      <c r="H37" s="2529"/>
      <c r="I37" s="2529"/>
      <c r="J37" s="2529"/>
      <c r="K37" s="2529"/>
      <c r="L37" s="2529"/>
      <c r="M37" s="2529"/>
      <c r="N37" s="2529"/>
      <c r="O37" s="2529"/>
      <c r="P37" s="2529"/>
      <c r="Q37" s="2529"/>
      <c r="R37" s="2529"/>
      <c r="S37" s="2529"/>
      <c r="T37" s="2529"/>
      <c r="U37" s="2529"/>
      <c r="V37" s="2529"/>
      <c r="W37" s="2529"/>
      <c r="X37" s="2529"/>
      <c r="Y37" s="2529"/>
      <c r="Z37" s="2529"/>
      <c r="AA37" s="2529"/>
      <c r="AB37" s="2529"/>
      <c r="AC37" s="2529"/>
      <c r="AD37" s="2529"/>
      <c r="AE37" s="2529"/>
      <c r="AF37" s="2529"/>
      <c r="AG37" s="2529"/>
      <c r="AH37" s="2529"/>
      <c r="AI37" s="2529"/>
      <c r="AJ37" s="2529"/>
      <c r="AK37" s="2529"/>
      <c r="AL37" s="2529"/>
      <c r="AM37" s="2529"/>
      <c r="AN37" s="2529"/>
      <c r="AO37" s="2529"/>
      <c r="AP37" s="2529"/>
      <c r="AQ37" s="2606"/>
      <c r="AR37" s="2610"/>
      <c r="AS37" s="2611"/>
      <c r="AT37" s="2611"/>
      <c r="AU37" s="2611"/>
      <c r="AV37" s="2611"/>
      <c r="AW37" s="2612"/>
    </row>
    <row r="38" spans="1:73" ht="17.25" customHeight="1">
      <c r="A38" s="2664"/>
      <c r="B38" s="2529"/>
      <c r="C38" s="2529"/>
      <c r="D38" s="2529"/>
      <c r="E38" s="2529"/>
      <c r="F38" s="2529"/>
      <c r="G38" s="2529"/>
      <c r="H38" s="2529"/>
      <c r="I38" s="2529"/>
      <c r="J38" s="2529"/>
      <c r="K38" s="2529"/>
      <c r="L38" s="2529"/>
      <c r="M38" s="2529"/>
      <c r="N38" s="2529"/>
      <c r="O38" s="2529"/>
      <c r="P38" s="2529"/>
      <c r="Q38" s="2529"/>
      <c r="R38" s="2529"/>
      <c r="S38" s="2529"/>
      <c r="T38" s="2529"/>
      <c r="U38" s="2529"/>
      <c r="V38" s="2529"/>
      <c r="W38" s="2529"/>
      <c r="X38" s="2529"/>
      <c r="Y38" s="2529"/>
      <c r="Z38" s="2529"/>
      <c r="AA38" s="2529"/>
      <c r="AB38" s="2529"/>
      <c r="AC38" s="2529"/>
      <c r="AD38" s="2529"/>
      <c r="AE38" s="2529"/>
      <c r="AF38" s="2529"/>
      <c r="AG38" s="2529"/>
      <c r="AH38" s="2529"/>
      <c r="AI38" s="2529"/>
      <c r="AJ38" s="2529"/>
      <c r="AK38" s="2529"/>
      <c r="AL38" s="2529"/>
      <c r="AM38" s="2529"/>
      <c r="AN38" s="2529"/>
      <c r="AO38" s="2529"/>
      <c r="AP38" s="2529"/>
      <c r="AQ38" s="2606"/>
      <c r="AR38" s="2610"/>
      <c r="AS38" s="2611"/>
      <c r="AT38" s="2611"/>
      <c r="AU38" s="2611"/>
      <c r="AV38" s="2611"/>
      <c r="AW38" s="2612"/>
      <c r="BD38" s="2562"/>
      <c r="BE38" s="2562"/>
      <c r="BF38" s="2562"/>
      <c r="BG38" s="2562"/>
      <c r="BH38" s="2562"/>
      <c r="BI38" s="2562"/>
      <c r="BJ38" s="2562"/>
      <c r="BK38" s="2562"/>
      <c r="BL38" s="2562"/>
      <c r="BM38" s="2562"/>
      <c r="BN38" s="2562"/>
      <c r="BO38" s="2562"/>
      <c r="BP38" s="2562"/>
      <c r="BQ38" s="2562"/>
      <c r="BR38" s="2562"/>
      <c r="BS38" s="2562"/>
      <c r="BT38" s="2562"/>
      <c r="BU38" s="2562"/>
    </row>
    <row r="39" spans="1:73" ht="17.25" customHeight="1">
      <c r="A39" s="2664"/>
      <c r="B39" s="2529"/>
      <c r="C39" s="2529"/>
      <c r="D39" s="2529"/>
      <c r="E39" s="2529"/>
      <c r="F39" s="2529"/>
      <c r="G39" s="2529"/>
      <c r="H39" s="2529"/>
      <c r="I39" s="2529"/>
      <c r="J39" s="2529"/>
      <c r="K39" s="2529"/>
      <c r="L39" s="2529"/>
      <c r="M39" s="2529"/>
      <c r="N39" s="2529"/>
      <c r="O39" s="2529"/>
      <c r="P39" s="2529"/>
      <c r="Q39" s="2529"/>
      <c r="R39" s="2529"/>
      <c r="S39" s="2529"/>
      <c r="T39" s="2529"/>
      <c r="U39" s="2529"/>
      <c r="V39" s="2529"/>
      <c r="W39" s="2529"/>
      <c r="X39" s="2529"/>
      <c r="Y39" s="2529"/>
      <c r="Z39" s="2529"/>
      <c r="AA39" s="2529"/>
      <c r="AB39" s="2529"/>
      <c r="AC39" s="2529"/>
      <c r="AD39" s="2529"/>
      <c r="AE39" s="2529"/>
      <c r="AF39" s="2529"/>
      <c r="AG39" s="2529"/>
      <c r="AH39" s="2529"/>
      <c r="AI39" s="2529"/>
      <c r="AJ39" s="2529"/>
      <c r="AK39" s="2529"/>
      <c r="AL39" s="2529"/>
      <c r="AM39" s="2529"/>
      <c r="AN39" s="2529"/>
      <c r="AO39" s="2529"/>
      <c r="AP39" s="2529"/>
      <c r="AQ39" s="2606"/>
      <c r="AR39" s="2613"/>
      <c r="AS39" s="2614"/>
      <c r="AT39" s="2614"/>
      <c r="AU39" s="2614"/>
      <c r="AV39" s="2614"/>
      <c r="AW39" s="2615"/>
      <c r="BD39" s="2562"/>
      <c r="BE39" s="2562"/>
      <c r="BF39" s="2562"/>
      <c r="BG39" s="2562"/>
      <c r="BH39" s="2562"/>
      <c r="BI39" s="2562"/>
      <c r="BJ39" s="2562"/>
      <c r="BK39" s="2562"/>
      <c r="BL39" s="2562"/>
      <c r="BM39" s="2562"/>
      <c r="BN39" s="2562"/>
      <c r="BO39" s="2562"/>
      <c r="BP39" s="2562"/>
      <c r="BQ39" s="2562"/>
      <c r="BR39" s="2562"/>
      <c r="BS39" s="2562"/>
      <c r="BT39" s="2562"/>
      <c r="BU39" s="2562"/>
    </row>
    <row r="40" spans="1:73" ht="17.25" customHeight="1">
      <c r="A40" s="2663" t="s">
        <v>114</v>
      </c>
      <c r="B40" s="2607"/>
      <c r="C40" s="2608"/>
      <c r="D40" s="2608"/>
      <c r="E40" s="2608"/>
      <c r="F40" s="2608"/>
      <c r="G40" s="2608"/>
      <c r="H40" s="2607"/>
      <c r="I40" s="2608"/>
      <c r="J40" s="2608"/>
      <c r="K40" s="2608"/>
      <c r="L40" s="2608"/>
      <c r="M40" s="2608"/>
      <c r="N40" s="2607"/>
      <c r="O40" s="2608"/>
      <c r="P40" s="2608"/>
      <c r="Q40" s="2608"/>
      <c r="R40" s="2608"/>
      <c r="S40" s="2608"/>
      <c r="T40" s="2702" t="s">
        <v>3682</v>
      </c>
      <c r="U40" s="2704"/>
      <c r="V40" s="2704"/>
      <c r="W40" s="2704"/>
      <c r="X40" s="2704"/>
      <c r="Y40" s="2704"/>
      <c r="Z40" s="2702" t="s">
        <v>3683</v>
      </c>
      <c r="AA40" s="2608"/>
      <c r="AB40" s="2608"/>
      <c r="AC40" s="2608"/>
      <c r="AD40" s="2608"/>
      <c r="AE40" s="2609"/>
      <c r="AF40" s="2608"/>
      <c r="AG40" s="2608"/>
      <c r="AH40" s="2608"/>
      <c r="AI40" s="2608"/>
      <c r="AJ40" s="2608"/>
      <c r="AK40" s="2609"/>
      <c r="AL40" s="2704" t="s">
        <v>3684</v>
      </c>
      <c r="AM40" s="2608"/>
      <c r="AN40" s="2608"/>
      <c r="AO40" s="2608"/>
      <c r="AP40" s="2608"/>
      <c r="AQ40" s="2609"/>
      <c r="AR40" s="2704" t="s">
        <v>3685</v>
      </c>
      <c r="AS40" s="2608"/>
      <c r="AT40" s="2608"/>
      <c r="AU40" s="2608"/>
      <c r="AV40" s="2608"/>
      <c r="AW40" s="2609"/>
      <c r="AX40" s="536"/>
      <c r="BD40" s="2562"/>
      <c r="BE40" s="2562"/>
      <c r="BF40" s="2562"/>
      <c r="BG40" s="2562"/>
      <c r="BH40" s="2562"/>
      <c r="BI40" s="2562"/>
      <c r="BJ40" s="2562"/>
      <c r="BK40" s="2562"/>
      <c r="BL40" s="2562"/>
      <c r="BM40" s="2562"/>
      <c r="BN40" s="2562"/>
      <c r="BO40" s="2562"/>
      <c r="BP40" s="2562"/>
      <c r="BQ40" s="2562"/>
      <c r="BR40" s="2562"/>
      <c r="BS40" s="2562"/>
      <c r="BT40" s="2562"/>
      <c r="BU40" s="2562"/>
    </row>
    <row r="41" spans="1:73" ht="17.25" customHeight="1">
      <c r="A41" s="2663"/>
      <c r="B41" s="2610"/>
      <c r="C41" s="2611"/>
      <c r="D41" s="2611"/>
      <c r="E41" s="2611"/>
      <c r="F41" s="2611"/>
      <c r="G41" s="2611"/>
      <c r="H41" s="2610"/>
      <c r="I41" s="2611"/>
      <c r="J41" s="2611"/>
      <c r="K41" s="2611"/>
      <c r="L41" s="2611"/>
      <c r="M41" s="2611"/>
      <c r="N41" s="2610"/>
      <c r="O41" s="2611"/>
      <c r="P41" s="2611"/>
      <c r="Q41" s="2611"/>
      <c r="R41" s="2611"/>
      <c r="S41" s="2611"/>
      <c r="T41" s="2500"/>
      <c r="U41" s="2503"/>
      <c r="V41" s="2503"/>
      <c r="W41" s="2503"/>
      <c r="X41" s="2503"/>
      <c r="Y41" s="2503"/>
      <c r="Z41" s="2610"/>
      <c r="AA41" s="2611"/>
      <c r="AB41" s="2611"/>
      <c r="AC41" s="2611"/>
      <c r="AD41" s="2611"/>
      <c r="AE41" s="2612"/>
      <c r="AF41" s="2611"/>
      <c r="AG41" s="2611"/>
      <c r="AH41" s="2611"/>
      <c r="AI41" s="2611"/>
      <c r="AJ41" s="2611"/>
      <c r="AK41" s="2612"/>
      <c r="AL41" s="2611"/>
      <c r="AM41" s="2611"/>
      <c r="AN41" s="2611"/>
      <c r="AO41" s="2611"/>
      <c r="AP41" s="2611"/>
      <c r="AQ41" s="2612"/>
      <c r="AR41" s="2611"/>
      <c r="AS41" s="2611"/>
      <c r="AT41" s="2611"/>
      <c r="AU41" s="2611"/>
      <c r="AV41" s="2611"/>
      <c r="AW41" s="2612"/>
      <c r="AX41" s="536"/>
      <c r="BD41" s="2562"/>
      <c r="BE41" s="2562"/>
      <c r="BF41" s="2562"/>
      <c r="BG41" s="2562"/>
      <c r="BH41" s="2562"/>
      <c r="BI41" s="2562"/>
      <c r="BJ41" s="2562"/>
      <c r="BK41" s="2562"/>
      <c r="BL41" s="2562"/>
      <c r="BM41" s="2562"/>
      <c r="BN41" s="2562"/>
      <c r="BO41" s="2562"/>
      <c r="BP41" s="2562"/>
      <c r="BQ41" s="2562"/>
      <c r="BR41" s="2562"/>
      <c r="BS41" s="2562"/>
      <c r="BT41" s="2562"/>
      <c r="BU41" s="2562"/>
    </row>
    <row r="42" spans="1:73" ht="17.25" customHeight="1">
      <c r="A42" s="2663"/>
      <c r="B42" s="2610"/>
      <c r="C42" s="2611"/>
      <c r="D42" s="2611"/>
      <c r="E42" s="2611"/>
      <c r="F42" s="2611"/>
      <c r="G42" s="2611"/>
      <c r="H42" s="2610"/>
      <c r="I42" s="2611"/>
      <c r="J42" s="2611"/>
      <c r="K42" s="2611"/>
      <c r="L42" s="2611"/>
      <c r="M42" s="2611"/>
      <c r="N42" s="2610"/>
      <c r="O42" s="2611"/>
      <c r="P42" s="2611"/>
      <c r="Q42" s="2611"/>
      <c r="R42" s="2611"/>
      <c r="S42" s="2611"/>
      <c r="T42" s="2500"/>
      <c r="U42" s="2503"/>
      <c r="V42" s="2503"/>
      <c r="W42" s="2503"/>
      <c r="X42" s="2503"/>
      <c r="Y42" s="2503"/>
      <c r="Z42" s="2610"/>
      <c r="AA42" s="2611"/>
      <c r="AB42" s="2611"/>
      <c r="AC42" s="2611"/>
      <c r="AD42" s="2611"/>
      <c r="AE42" s="2612"/>
      <c r="AF42" s="2611"/>
      <c r="AG42" s="2611"/>
      <c r="AH42" s="2611"/>
      <c r="AI42" s="2611"/>
      <c r="AJ42" s="2611"/>
      <c r="AK42" s="2612"/>
      <c r="AL42" s="2611"/>
      <c r="AM42" s="2611"/>
      <c r="AN42" s="2611"/>
      <c r="AO42" s="2611"/>
      <c r="AP42" s="2611"/>
      <c r="AQ42" s="2612"/>
      <c r="AR42" s="2611"/>
      <c r="AS42" s="2611"/>
      <c r="AT42" s="2611"/>
      <c r="AU42" s="2611"/>
      <c r="AV42" s="2611"/>
      <c r="AW42" s="2612"/>
      <c r="AX42" s="536"/>
      <c r="BD42" s="2562"/>
      <c r="BE42" s="2562"/>
      <c r="BF42" s="2562"/>
      <c r="BG42" s="2562"/>
      <c r="BH42" s="2562"/>
      <c r="BI42" s="2562"/>
      <c r="BJ42" s="2562"/>
      <c r="BK42" s="2562"/>
      <c r="BL42" s="2562"/>
      <c r="BM42" s="2562"/>
      <c r="BN42" s="2562"/>
      <c r="BO42" s="2562"/>
      <c r="BP42" s="2562"/>
      <c r="BQ42" s="2563"/>
      <c r="BR42" s="2562"/>
      <c r="BS42" s="2562"/>
      <c r="BT42" s="2562"/>
      <c r="BU42" s="2562"/>
    </row>
    <row r="43" spans="1:73" ht="17.25" customHeight="1">
      <c r="A43" s="2663"/>
      <c r="B43" s="2613"/>
      <c r="C43" s="2614"/>
      <c r="D43" s="2614"/>
      <c r="E43" s="2614"/>
      <c r="F43" s="2614"/>
      <c r="G43" s="2614"/>
      <c r="H43" s="2613"/>
      <c r="I43" s="2614"/>
      <c r="J43" s="2614"/>
      <c r="K43" s="2614"/>
      <c r="L43" s="2614"/>
      <c r="M43" s="2614"/>
      <c r="N43" s="2613"/>
      <c r="O43" s="2614"/>
      <c r="P43" s="2614"/>
      <c r="Q43" s="2614"/>
      <c r="R43" s="2614"/>
      <c r="S43" s="2614"/>
      <c r="T43" s="2504"/>
      <c r="U43" s="2505"/>
      <c r="V43" s="2505"/>
      <c r="W43" s="2505"/>
      <c r="X43" s="2505"/>
      <c r="Y43" s="2505"/>
      <c r="Z43" s="2613"/>
      <c r="AA43" s="2614"/>
      <c r="AB43" s="2614"/>
      <c r="AC43" s="2614"/>
      <c r="AD43" s="2614"/>
      <c r="AE43" s="2703"/>
      <c r="AF43" s="2614"/>
      <c r="AG43" s="2614"/>
      <c r="AH43" s="2614"/>
      <c r="AI43" s="2614"/>
      <c r="AJ43" s="2614"/>
      <c r="AK43" s="2615"/>
      <c r="AL43" s="2614"/>
      <c r="AM43" s="2614"/>
      <c r="AN43" s="2614"/>
      <c r="AO43" s="2614"/>
      <c r="AP43" s="2614"/>
      <c r="AQ43" s="2615"/>
      <c r="AR43" s="2614"/>
      <c r="AS43" s="2614"/>
      <c r="AT43" s="2614"/>
      <c r="AU43" s="2614"/>
      <c r="AV43" s="2614"/>
      <c r="AW43" s="2615"/>
      <c r="AX43" s="536"/>
      <c r="BD43" s="2562"/>
      <c r="BE43" s="2562"/>
      <c r="BF43" s="2562"/>
      <c r="BG43" s="2562"/>
      <c r="BH43" s="2562"/>
      <c r="BI43" s="2562"/>
      <c r="BJ43" s="2562"/>
      <c r="BK43" s="2562"/>
      <c r="BL43" s="2562"/>
      <c r="BM43" s="2562"/>
      <c r="BN43" s="2562"/>
      <c r="BO43" s="2562"/>
      <c r="BP43" s="2562"/>
      <c r="BQ43" s="2562"/>
      <c r="BR43" s="2562"/>
      <c r="BS43" s="2562"/>
      <c r="BT43" s="2562"/>
      <c r="BU43" s="2562"/>
    </row>
    <row r="44" spans="1:73" ht="17.25" customHeight="1">
      <c r="A44" s="2665" t="s">
        <v>3686</v>
      </c>
      <c r="B44" s="2560" t="s">
        <v>3590</v>
      </c>
      <c r="C44" s="2560"/>
      <c r="D44" s="2560"/>
      <c r="E44" s="2560"/>
      <c r="F44" s="2560"/>
      <c r="G44" s="2560"/>
      <c r="H44" s="2524" t="s">
        <v>3591</v>
      </c>
      <c r="I44" s="2524"/>
      <c r="J44" s="2524"/>
      <c r="K44" s="2524"/>
      <c r="L44" s="2524"/>
      <c r="M44" s="2524"/>
      <c r="N44" s="2525" t="s">
        <v>3592</v>
      </c>
      <c r="O44" s="2525"/>
      <c r="P44" s="2525"/>
      <c r="Q44" s="2525"/>
      <c r="R44" s="2525"/>
      <c r="S44" s="2525"/>
      <c r="T44" s="2526" t="s">
        <v>3593</v>
      </c>
      <c r="U44" s="2526"/>
      <c r="V44" s="2526"/>
      <c r="W44" s="2526"/>
      <c r="X44" s="2526"/>
      <c r="Y44" s="2526"/>
      <c r="Z44" s="2527" t="s">
        <v>3594</v>
      </c>
      <c r="AA44" s="2527"/>
      <c r="AB44" s="2527"/>
      <c r="AC44" s="2527"/>
      <c r="AD44" s="2527"/>
      <c r="AE44" s="2527"/>
      <c r="AF44" s="2528" t="s">
        <v>3595</v>
      </c>
      <c r="AG44" s="2528"/>
      <c r="AH44" s="2528"/>
      <c r="AI44" s="2528"/>
      <c r="AJ44" s="2528"/>
      <c r="AK44" s="2528"/>
      <c r="AL44" s="2623" t="s">
        <v>3596</v>
      </c>
      <c r="AM44" s="2623"/>
      <c r="AN44" s="2623"/>
      <c r="AO44" s="2623"/>
      <c r="AP44" s="2623"/>
      <c r="AQ44" s="2623"/>
      <c r="AR44" s="2624" t="s">
        <v>3597</v>
      </c>
      <c r="AS44" s="2624"/>
      <c r="AT44" s="2624"/>
      <c r="AU44" s="2624"/>
      <c r="AV44" s="2624"/>
      <c r="AW44" s="2624"/>
      <c r="AX44" s="536"/>
    </row>
    <row r="45" spans="1:73" ht="17.25" customHeight="1">
      <c r="A45" s="2666"/>
      <c r="B45" s="2560"/>
      <c r="C45" s="2560"/>
      <c r="D45" s="2560"/>
      <c r="E45" s="2560"/>
      <c r="F45" s="2560"/>
      <c r="G45" s="2560"/>
      <c r="H45" s="2524"/>
      <c r="I45" s="2524"/>
      <c r="J45" s="2524"/>
      <c r="K45" s="2524"/>
      <c r="L45" s="2524"/>
      <c r="M45" s="2524"/>
      <c r="N45" s="2525"/>
      <c r="O45" s="2525"/>
      <c r="P45" s="2525"/>
      <c r="Q45" s="2525"/>
      <c r="R45" s="2525"/>
      <c r="S45" s="2525"/>
      <c r="T45" s="2526"/>
      <c r="U45" s="2526"/>
      <c r="V45" s="2526"/>
      <c r="W45" s="2526"/>
      <c r="X45" s="2526"/>
      <c r="Y45" s="2526"/>
      <c r="Z45" s="2527"/>
      <c r="AA45" s="2527"/>
      <c r="AB45" s="2527"/>
      <c r="AC45" s="2527"/>
      <c r="AD45" s="2527"/>
      <c r="AE45" s="2527"/>
      <c r="AF45" s="2528"/>
      <c r="AG45" s="2528"/>
      <c r="AH45" s="2528"/>
      <c r="AI45" s="2528"/>
      <c r="AJ45" s="2528"/>
      <c r="AK45" s="2528"/>
      <c r="AL45" s="2623"/>
      <c r="AM45" s="2623"/>
      <c r="AN45" s="2623"/>
      <c r="AO45" s="2623"/>
      <c r="AP45" s="2623"/>
      <c r="AQ45" s="2623"/>
      <c r="AR45" s="2624"/>
      <c r="AS45" s="2624"/>
      <c r="AT45" s="2624"/>
      <c r="AU45" s="2624"/>
      <c r="AV45" s="2624"/>
      <c r="AW45" s="2624"/>
      <c r="AX45" s="536"/>
      <c r="AY45" s="536"/>
      <c r="AZ45" s="536"/>
      <c r="BA45" s="536"/>
    </row>
    <row r="46" spans="1:73" ht="17.25" customHeight="1">
      <c r="A46" s="2666"/>
      <c r="B46" s="2560"/>
      <c r="C46" s="2560"/>
      <c r="D46" s="2560"/>
      <c r="E46" s="2560"/>
      <c r="F46" s="2560"/>
      <c r="G46" s="2560"/>
      <c r="H46" s="2524"/>
      <c r="I46" s="2524"/>
      <c r="J46" s="2524"/>
      <c r="K46" s="2524"/>
      <c r="L46" s="2524"/>
      <c r="M46" s="2524"/>
      <c r="N46" s="2525"/>
      <c r="O46" s="2525"/>
      <c r="P46" s="2525"/>
      <c r="Q46" s="2525"/>
      <c r="R46" s="2525"/>
      <c r="S46" s="2525"/>
      <c r="T46" s="2526"/>
      <c r="U46" s="2526"/>
      <c r="V46" s="2526"/>
      <c r="W46" s="2526"/>
      <c r="X46" s="2526"/>
      <c r="Y46" s="2526"/>
      <c r="Z46" s="2527"/>
      <c r="AA46" s="2527"/>
      <c r="AB46" s="2527"/>
      <c r="AC46" s="2527"/>
      <c r="AD46" s="2527"/>
      <c r="AE46" s="2527"/>
      <c r="AF46" s="2528"/>
      <c r="AG46" s="2528"/>
      <c r="AH46" s="2528"/>
      <c r="AI46" s="2528"/>
      <c r="AJ46" s="2528"/>
      <c r="AK46" s="2528"/>
      <c r="AL46" s="2623"/>
      <c r="AM46" s="2623"/>
      <c r="AN46" s="2623"/>
      <c r="AO46" s="2623"/>
      <c r="AP46" s="2623"/>
      <c r="AQ46" s="2623"/>
      <c r="AR46" s="2624"/>
      <c r="AS46" s="2624"/>
      <c r="AT46" s="2624"/>
      <c r="AU46" s="2624"/>
      <c r="AV46" s="2624"/>
      <c r="AW46" s="2624"/>
      <c r="AX46" s="536"/>
      <c r="AY46" s="536"/>
      <c r="AZ46" s="536"/>
      <c r="BA46" s="536"/>
    </row>
    <row r="47" spans="1:73" ht="17.25" customHeight="1">
      <c r="A47" s="2666"/>
      <c r="E47" s="526"/>
      <c r="L47" s="537"/>
      <c r="N47" s="538"/>
      <c r="R47" s="543"/>
      <c r="W47" s="544"/>
      <c r="AG47" s="536"/>
      <c r="AH47" s="557"/>
      <c r="AL47" s="536"/>
      <c r="AN47" s="558"/>
      <c r="AU47" s="564"/>
      <c r="AX47" s="536"/>
    </row>
    <row r="48" spans="1:73" ht="17.25" customHeight="1">
      <c r="A48" s="2666"/>
      <c r="E48" s="526"/>
      <c r="L48" s="537"/>
      <c r="N48" s="538"/>
      <c r="R48" s="543"/>
      <c r="W48" s="544"/>
      <c r="AF48" s="536"/>
      <c r="AG48" s="536"/>
      <c r="AH48" s="557"/>
      <c r="AI48" s="536"/>
      <c r="AJ48" s="536"/>
      <c r="AK48" s="536"/>
      <c r="AL48" s="536"/>
      <c r="AM48" s="536"/>
      <c r="AN48" s="558"/>
      <c r="AO48" s="536"/>
      <c r="AP48" s="536"/>
      <c r="AQ48" s="536"/>
      <c r="AR48" s="536"/>
      <c r="AS48" s="536"/>
      <c r="AT48" s="536"/>
      <c r="AU48" s="564"/>
      <c r="AV48" s="536"/>
      <c r="AW48" s="536"/>
      <c r="AX48" s="536"/>
    </row>
    <row r="49" spans="1:50" ht="17.25" customHeight="1">
      <c r="A49" s="2666"/>
      <c r="E49" s="526"/>
      <c r="K49" s="2672" t="s">
        <v>3687</v>
      </c>
      <c r="L49" s="2673"/>
      <c r="M49" s="2673"/>
      <c r="N49" s="2673"/>
      <c r="O49" s="2673"/>
      <c r="P49" s="2673"/>
      <c r="R49" s="543"/>
      <c r="T49" s="2649" t="s">
        <v>3688</v>
      </c>
      <c r="U49" s="2649"/>
      <c r="V49" s="2649"/>
      <c r="W49" s="2649"/>
      <c r="X49" s="2649"/>
      <c r="Y49" s="2649"/>
      <c r="Z49" s="536"/>
      <c r="AA49" s="536"/>
      <c r="AB49" s="536"/>
      <c r="AC49" s="536"/>
      <c r="AD49" s="536"/>
      <c r="AE49" s="536"/>
      <c r="AF49" s="2651" t="s">
        <v>3689</v>
      </c>
      <c r="AG49" s="2651"/>
      <c r="AH49" s="2651"/>
      <c r="AI49" s="2651"/>
      <c r="AJ49" s="2651"/>
      <c r="AK49" s="2651"/>
      <c r="AL49" s="2640" t="s">
        <v>3690</v>
      </c>
      <c r="AM49" s="2640"/>
      <c r="AN49" s="2640"/>
      <c r="AO49" s="2640"/>
      <c r="AP49" s="2640"/>
      <c r="AQ49" s="2640"/>
      <c r="AR49" s="2652" t="s">
        <v>3691</v>
      </c>
      <c r="AS49" s="2652"/>
      <c r="AT49" s="2652"/>
      <c r="AU49" s="2652"/>
      <c r="AV49" s="2652"/>
      <c r="AW49" s="2652"/>
    </row>
    <row r="50" spans="1:50" ht="17.25" customHeight="1">
      <c r="A50" s="2666"/>
      <c r="E50" s="526"/>
      <c r="K50" s="2673"/>
      <c r="L50" s="2673"/>
      <c r="M50" s="2673"/>
      <c r="N50" s="2673"/>
      <c r="O50" s="2673"/>
      <c r="P50" s="2673"/>
      <c r="R50" s="543"/>
      <c r="T50" s="2649"/>
      <c r="U50" s="2649"/>
      <c r="V50" s="2649"/>
      <c r="W50" s="2649"/>
      <c r="X50" s="2649"/>
      <c r="Y50" s="2649"/>
      <c r="Z50" s="536"/>
      <c r="AA50" s="536"/>
      <c r="AB50" s="536"/>
      <c r="AC50" s="536"/>
      <c r="AD50" s="536"/>
      <c r="AE50" s="536"/>
      <c r="AF50" s="2651"/>
      <c r="AG50" s="2651"/>
      <c r="AH50" s="2651"/>
      <c r="AI50" s="2651"/>
      <c r="AJ50" s="2651"/>
      <c r="AK50" s="2651"/>
      <c r="AL50" s="2640"/>
      <c r="AM50" s="2640"/>
      <c r="AN50" s="2640"/>
      <c r="AO50" s="2640"/>
      <c r="AP50" s="2640"/>
      <c r="AQ50" s="2640"/>
      <c r="AR50" s="2652"/>
      <c r="AS50" s="2652"/>
      <c r="AT50" s="2652"/>
      <c r="AU50" s="2652"/>
      <c r="AV50" s="2652"/>
      <c r="AW50" s="2652"/>
    </row>
    <row r="51" spans="1:50" ht="17.25" customHeight="1">
      <c r="A51" s="2666"/>
      <c r="E51" s="526"/>
      <c r="K51" s="2673"/>
      <c r="L51" s="2673"/>
      <c r="M51" s="2673"/>
      <c r="N51" s="2673"/>
      <c r="O51" s="2673"/>
      <c r="P51" s="2673"/>
      <c r="R51" s="543"/>
      <c r="T51" s="2649"/>
      <c r="U51" s="2649"/>
      <c r="V51" s="2650"/>
      <c r="W51" s="2649"/>
      <c r="X51" s="2649"/>
      <c r="Y51" s="2649"/>
      <c r="Z51" s="536"/>
      <c r="AA51" s="536"/>
      <c r="AB51" s="536"/>
      <c r="AC51" s="536"/>
      <c r="AD51" s="536"/>
      <c r="AE51" s="536"/>
      <c r="AF51" s="2651"/>
      <c r="AG51" s="2651"/>
      <c r="AH51" s="2651"/>
      <c r="AI51" s="2651"/>
      <c r="AJ51" s="2651"/>
      <c r="AK51" s="2651"/>
      <c r="AL51" s="2640"/>
      <c r="AM51" s="2640"/>
      <c r="AN51" s="2640"/>
      <c r="AO51" s="2640"/>
      <c r="AP51" s="2640"/>
      <c r="AQ51" s="2640"/>
      <c r="AR51" s="2652"/>
      <c r="AS51" s="2652"/>
      <c r="AT51" s="2652"/>
      <c r="AU51" s="2652"/>
      <c r="AV51" s="2652"/>
      <c r="AW51" s="2652"/>
    </row>
    <row r="52" spans="1:50" ht="17.25" customHeight="1">
      <c r="A52" s="2666"/>
      <c r="E52" s="526"/>
      <c r="R52" s="543"/>
      <c r="T52" s="545"/>
      <c r="U52" s="545"/>
      <c r="V52" s="546"/>
      <c r="W52" s="545"/>
      <c r="X52" s="545"/>
      <c r="Y52" s="545"/>
      <c r="AF52" s="536"/>
      <c r="AG52" s="536"/>
      <c r="AH52" s="536"/>
      <c r="AI52" s="536"/>
      <c r="AJ52" s="536"/>
      <c r="AK52" s="536"/>
      <c r="AL52" s="559"/>
      <c r="AM52" s="559"/>
      <c r="AN52" s="560"/>
      <c r="AO52" s="559"/>
      <c r="AP52" s="559"/>
      <c r="AQ52" s="559"/>
      <c r="AX52" s="536"/>
    </row>
    <row r="53" spans="1:50" ht="17.25" customHeight="1">
      <c r="A53" s="2666"/>
      <c r="E53" s="526"/>
      <c r="N53" s="539"/>
      <c r="O53" s="540"/>
      <c r="P53" s="540"/>
      <c r="Q53" s="540"/>
      <c r="R53" s="547"/>
      <c r="V53" s="548"/>
      <c r="AF53" s="536"/>
      <c r="AG53" s="536"/>
      <c r="AN53" s="558"/>
      <c r="AO53" s="565"/>
      <c r="AP53" s="565"/>
      <c r="AQ53" s="565"/>
      <c r="AR53" s="566"/>
      <c r="AS53" s="559"/>
      <c r="AT53" s="559"/>
      <c r="AU53" s="559"/>
      <c r="AV53" s="559"/>
      <c r="AW53" s="559"/>
      <c r="AX53" s="536"/>
    </row>
    <row r="54" spans="1:50" ht="17.25" customHeight="1">
      <c r="A54" s="2666"/>
      <c r="B54" s="527"/>
      <c r="C54" s="527"/>
      <c r="D54" s="527"/>
      <c r="E54" s="528"/>
      <c r="F54" s="527"/>
      <c r="G54" s="527"/>
      <c r="H54" s="2511" t="s">
        <v>3692</v>
      </c>
      <c r="I54" s="2511"/>
      <c r="J54" s="2511"/>
      <c r="K54" s="2511"/>
      <c r="L54" s="2511"/>
      <c r="M54" s="2511"/>
      <c r="N54" s="2671" t="s">
        <v>3693</v>
      </c>
      <c r="O54" s="2671"/>
      <c r="P54" s="2671"/>
      <c r="Q54" s="549"/>
      <c r="R54" s="550"/>
      <c r="S54" s="549"/>
      <c r="T54" s="549"/>
      <c r="U54" s="549"/>
      <c r="V54" s="551"/>
      <c r="W54" s="527"/>
      <c r="Y54" s="2573" t="s">
        <v>3694</v>
      </c>
      <c r="Z54" s="2573"/>
      <c r="AA54" s="2573"/>
      <c r="AB54" s="2573"/>
      <c r="AC54" s="2573"/>
      <c r="AD54" s="2573"/>
      <c r="AE54" s="2573"/>
      <c r="AF54" s="2573"/>
      <c r="AG54" s="536"/>
      <c r="AL54" s="2640" t="s">
        <v>3695</v>
      </c>
      <c r="AM54" s="2640"/>
      <c r="AN54" s="2640"/>
      <c r="AO54" s="2640"/>
      <c r="AP54" s="2640"/>
      <c r="AQ54" s="2640"/>
      <c r="AR54" s="567"/>
      <c r="AS54" s="536"/>
      <c r="AT54" s="536"/>
      <c r="AU54" s="536"/>
      <c r="AV54" s="536"/>
      <c r="AW54" s="536"/>
      <c r="AX54" s="536"/>
    </row>
    <row r="55" spans="1:50" ht="17.25" customHeight="1">
      <c r="A55" s="2666"/>
      <c r="B55" s="527"/>
      <c r="C55" s="527"/>
      <c r="D55" s="527"/>
      <c r="E55" s="529"/>
      <c r="F55" s="529"/>
      <c r="G55" s="530"/>
      <c r="H55" s="2511"/>
      <c r="I55" s="2511"/>
      <c r="J55" s="2511"/>
      <c r="K55" s="2511"/>
      <c r="L55" s="2511"/>
      <c r="M55" s="2511"/>
      <c r="N55" s="2671"/>
      <c r="O55" s="2671"/>
      <c r="P55" s="2671"/>
      <c r="Q55" s="552"/>
      <c r="R55" s="553"/>
      <c r="S55" s="527"/>
      <c r="T55" s="527"/>
      <c r="U55" s="527"/>
      <c r="V55" s="527"/>
      <c r="W55" s="527"/>
      <c r="Y55" s="2573"/>
      <c r="Z55" s="2573"/>
      <c r="AA55" s="2573"/>
      <c r="AB55" s="2573"/>
      <c r="AC55" s="2573"/>
      <c r="AD55" s="2573"/>
      <c r="AE55" s="2573"/>
      <c r="AF55" s="2573"/>
      <c r="AG55" s="561"/>
      <c r="AH55" s="561"/>
      <c r="AI55" s="561"/>
      <c r="AJ55" s="561"/>
      <c r="AK55" s="561"/>
      <c r="AL55" s="2640"/>
      <c r="AM55" s="2640"/>
      <c r="AN55" s="2640"/>
      <c r="AO55" s="2640"/>
      <c r="AP55" s="2640"/>
      <c r="AQ55" s="2640"/>
      <c r="AR55" s="567"/>
      <c r="AS55" s="536"/>
      <c r="AT55" s="536"/>
      <c r="AU55" s="536"/>
      <c r="AV55" s="536"/>
      <c r="AW55" s="536"/>
      <c r="AX55" s="536"/>
    </row>
    <row r="56" spans="1:50" ht="17.25" customHeight="1">
      <c r="A56" s="2666"/>
      <c r="B56" s="527"/>
      <c r="C56" s="527"/>
      <c r="D56" s="527"/>
      <c r="E56" s="527"/>
      <c r="F56" s="527"/>
      <c r="G56" s="528"/>
      <c r="H56" s="2511"/>
      <c r="I56" s="2511"/>
      <c r="J56" s="2511"/>
      <c r="K56" s="2511"/>
      <c r="L56" s="2511"/>
      <c r="M56" s="2511"/>
      <c r="N56" s="2671"/>
      <c r="O56" s="2671"/>
      <c r="P56" s="2671"/>
      <c r="Q56" s="552"/>
      <c r="R56" s="553"/>
      <c r="S56" s="554"/>
      <c r="T56" s="554"/>
      <c r="U56" s="554"/>
      <c r="V56" s="554"/>
      <c r="W56" s="554"/>
      <c r="X56" s="555"/>
      <c r="Y56" s="2573"/>
      <c r="Z56" s="2573"/>
      <c r="AA56" s="2573"/>
      <c r="AB56" s="2573"/>
      <c r="AC56" s="2573"/>
      <c r="AD56" s="2573"/>
      <c r="AE56" s="2573"/>
      <c r="AF56" s="2573"/>
      <c r="AG56" s="536"/>
      <c r="AH56" s="536"/>
      <c r="AI56" s="536"/>
      <c r="AJ56" s="536"/>
      <c r="AK56" s="536"/>
      <c r="AL56" s="2640"/>
      <c r="AM56" s="2640"/>
      <c r="AN56" s="2640"/>
      <c r="AO56" s="2640"/>
      <c r="AP56" s="2640"/>
      <c r="AQ56" s="2640"/>
      <c r="AR56" s="567"/>
      <c r="AS56" s="536"/>
      <c r="AT56" s="536"/>
      <c r="AU56" s="536"/>
      <c r="AV56" s="536"/>
      <c r="AW56" s="536"/>
      <c r="AX56" s="536"/>
    </row>
    <row r="57" spans="1:50" ht="17.25" customHeight="1">
      <c r="A57" s="2666"/>
      <c r="B57" s="527"/>
      <c r="C57" s="527"/>
      <c r="D57" s="527"/>
      <c r="E57" s="527"/>
      <c r="F57" s="527"/>
      <c r="G57" s="528"/>
      <c r="H57" s="2511"/>
      <c r="I57" s="2511"/>
      <c r="J57" s="2511"/>
      <c r="K57" s="2511"/>
      <c r="L57" s="2511"/>
      <c r="M57" s="2511"/>
      <c r="N57" s="2671"/>
      <c r="O57" s="2671"/>
      <c r="P57" s="2671"/>
      <c r="Q57" s="552"/>
      <c r="R57" s="553"/>
      <c r="S57" s="527"/>
      <c r="T57" s="527"/>
      <c r="U57" s="527"/>
      <c r="V57" s="527"/>
      <c r="W57" s="527"/>
      <c r="Y57" s="2573"/>
      <c r="Z57" s="2573"/>
      <c r="AA57" s="2573"/>
      <c r="AB57" s="2573"/>
      <c r="AC57" s="2573"/>
      <c r="AD57" s="2573"/>
      <c r="AE57" s="2573"/>
      <c r="AF57" s="2573"/>
      <c r="AG57" s="536"/>
      <c r="AH57" s="536"/>
      <c r="AI57" s="536"/>
      <c r="AJ57" s="536"/>
      <c r="AK57" s="536"/>
      <c r="AL57" s="536"/>
      <c r="AM57" s="536"/>
      <c r="AN57" s="536"/>
      <c r="AO57" s="568"/>
      <c r="AP57" s="536"/>
      <c r="AQ57" s="536"/>
      <c r="AR57" s="567"/>
      <c r="AS57" s="536"/>
      <c r="AT57" s="536"/>
      <c r="AU57" s="536"/>
      <c r="AX57" s="536"/>
    </row>
    <row r="58" spans="1:50" ht="17.25" customHeight="1">
      <c r="A58" s="2666"/>
      <c r="B58" s="531"/>
      <c r="C58" s="531"/>
      <c r="D58" s="531"/>
      <c r="E58" s="531"/>
      <c r="F58" s="531"/>
      <c r="G58" s="532"/>
      <c r="H58" s="2670" t="s">
        <v>3696</v>
      </c>
      <c r="I58" s="2670"/>
      <c r="J58" s="2670"/>
      <c r="K58" s="2670"/>
      <c r="L58" s="2670"/>
      <c r="M58" s="2670"/>
      <c r="N58" s="2549" t="s">
        <v>3697</v>
      </c>
      <c r="O58" s="2549"/>
      <c r="P58" s="2549"/>
      <c r="Q58" s="552"/>
      <c r="R58" s="553"/>
      <c r="S58" s="527"/>
      <c r="T58" s="527"/>
      <c r="U58" s="527"/>
      <c r="V58" s="527"/>
      <c r="W58" s="527"/>
      <c r="AE58" s="545"/>
      <c r="AF58" s="536"/>
      <c r="AG58" s="536"/>
      <c r="AH58" s="536"/>
      <c r="AI58" s="536"/>
      <c r="AJ58" s="536"/>
      <c r="AK58" s="536"/>
      <c r="AL58" s="536"/>
      <c r="AM58" s="536"/>
      <c r="AN58" s="562"/>
      <c r="AO58" s="536"/>
      <c r="AP58" s="536"/>
      <c r="AQ58" s="536"/>
      <c r="AR58" s="567"/>
      <c r="AS58" s="536"/>
      <c r="AT58" s="536"/>
      <c r="AU58" s="536"/>
      <c r="AX58" s="536"/>
    </row>
    <row r="59" spans="1:50" ht="17.25" customHeight="1">
      <c r="A59" s="2666"/>
      <c r="B59" s="531"/>
      <c r="C59" s="531"/>
      <c r="D59" s="531"/>
      <c r="E59" s="531"/>
      <c r="F59" s="533"/>
      <c r="G59" s="534"/>
      <c r="H59" s="2670"/>
      <c r="I59" s="2670"/>
      <c r="J59" s="2670"/>
      <c r="K59" s="2670"/>
      <c r="L59" s="2670"/>
      <c r="M59" s="2670"/>
      <c r="N59" s="2549"/>
      <c r="O59" s="2549"/>
      <c r="P59" s="2549"/>
      <c r="Q59" s="551"/>
      <c r="R59" s="553"/>
      <c r="S59" s="527"/>
      <c r="T59" s="527"/>
      <c r="U59" s="527"/>
      <c r="V59" s="527"/>
      <c r="W59" s="527"/>
      <c r="AE59" s="545"/>
      <c r="AF59" s="536"/>
      <c r="AG59" s="536"/>
      <c r="AH59" s="536"/>
      <c r="AI59" s="536"/>
      <c r="AJ59" s="536"/>
      <c r="AK59" s="536"/>
      <c r="AL59" s="2559" t="s">
        <v>3698</v>
      </c>
      <c r="AM59" s="2559"/>
      <c r="AN59" s="2559"/>
      <c r="AO59" s="2559"/>
      <c r="AP59" s="2559"/>
      <c r="AQ59" s="2559"/>
      <c r="AR59" s="567"/>
      <c r="AS59" s="536"/>
      <c r="AT59" s="536"/>
      <c r="AU59" s="536"/>
      <c r="AX59" s="536"/>
    </row>
    <row r="60" spans="1:50" ht="17.25" customHeight="1">
      <c r="A60" s="2666"/>
      <c r="B60" s="531"/>
      <c r="C60" s="531"/>
      <c r="D60" s="531"/>
      <c r="E60" s="531"/>
      <c r="F60" s="533"/>
      <c r="G60" s="531"/>
      <c r="H60" s="2670"/>
      <c r="I60" s="2670"/>
      <c r="J60" s="2670"/>
      <c r="K60" s="2670"/>
      <c r="L60" s="2670"/>
      <c r="M60" s="2670"/>
      <c r="N60" s="2549"/>
      <c r="O60" s="2549"/>
      <c r="P60" s="2549"/>
      <c r="Q60" s="527"/>
      <c r="R60" s="553"/>
      <c r="S60" s="527"/>
      <c r="T60" s="527"/>
      <c r="U60" s="527"/>
      <c r="V60" s="527"/>
      <c r="W60" s="527"/>
      <c r="AF60" s="536"/>
      <c r="AG60" s="536"/>
      <c r="AH60" s="536"/>
      <c r="AI60" s="536"/>
      <c r="AJ60" s="536"/>
      <c r="AK60" s="536"/>
      <c r="AL60" s="2559"/>
      <c r="AM60" s="2559"/>
      <c r="AN60" s="2559"/>
      <c r="AO60" s="2559"/>
      <c r="AP60" s="2559"/>
      <c r="AQ60" s="2559"/>
      <c r="AR60" s="567"/>
      <c r="AS60" s="536"/>
      <c r="AT60" s="536"/>
      <c r="AU60" s="536"/>
      <c r="AV60" s="536"/>
      <c r="AW60" s="536"/>
      <c r="AX60" s="536"/>
    </row>
    <row r="61" spans="1:50" ht="17.25" customHeight="1">
      <c r="A61" s="2666"/>
      <c r="B61" s="531"/>
      <c r="C61" s="531"/>
      <c r="D61" s="531"/>
      <c r="E61" s="531"/>
      <c r="F61" s="533"/>
      <c r="G61" s="531"/>
      <c r="H61" s="2670"/>
      <c r="I61" s="2670"/>
      <c r="J61" s="2670"/>
      <c r="K61" s="2670"/>
      <c r="L61" s="2670"/>
      <c r="M61" s="2670"/>
      <c r="N61" s="2549"/>
      <c r="O61" s="2549"/>
      <c r="P61" s="2549"/>
      <c r="Q61" s="527"/>
      <c r="R61" s="553"/>
      <c r="S61" s="527"/>
      <c r="T61" s="527"/>
      <c r="U61" s="527"/>
      <c r="V61" s="527"/>
      <c r="W61" s="527"/>
      <c r="AG61" s="536"/>
      <c r="AH61" s="536"/>
      <c r="AI61" s="536"/>
      <c r="AJ61" s="536"/>
      <c r="AK61" s="536"/>
      <c r="AL61" s="2559"/>
      <c r="AM61" s="2559"/>
      <c r="AN61" s="2559"/>
      <c r="AO61" s="2559"/>
      <c r="AP61" s="2559"/>
      <c r="AQ61" s="2559"/>
      <c r="AR61" s="567"/>
      <c r="AS61" s="536"/>
      <c r="AT61" s="536"/>
      <c r="AU61" s="536"/>
      <c r="AV61" s="536"/>
      <c r="AW61" s="536"/>
      <c r="AX61" s="536"/>
    </row>
    <row r="62" spans="1:50" ht="17.25" customHeight="1">
      <c r="A62" s="2666"/>
      <c r="B62" s="531"/>
      <c r="C62" s="531"/>
      <c r="D62" s="531"/>
      <c r="E62" s="531"/>
      <c r="F62" s="533"/>
      <c r="G62" s="535"/>
      <c r="H62" s="535"/>
      <c r="I62" s="541"/>
      <c r="J62" s="541"/>
      <c r="K62" s="541"/>
      <c r="L62" s="541"/>
      <c r="M62" s="541"/>
      <c r="N62" s="541"/>
      <c r="O62" s="541"/>
      <c r="P62" s="541"/>
      <c r="Q62" s="541"/>
      <c r="R62" s="556"/>
      <c r="S62" s="527"/>
      <c r="T62" s="527"/>
      <c r="U62" s="527"/>
      <c r="V62" s="527"/>
      <c r="W62" s="527"/>
      <c r="X62" s="536"/>
      <c r="AG62" s="536"/>
      <c r="AH62" s="536"/>
      <c r="AI62" s="536"/>
      <c r="AJ62" s="536"/>
      <c r="AK62" s="536"/>
      <c r="AL62" s="563"/>
      <c r="AM62" s="563"/>
      <c r="AN62" s="563"/>
      <c r="AO62" s="563"/>
      <c r="AP62" s="563"/>
      <c r="AQ62" s="563"/>
      <c r="AR62" s="567"/>
      <c r="AS62" s="536"/>
      <c r="AT62" s="536"/>
      <c r="AU62" s="536"/>
      <c r="AV62" s="536"/>
      <c r="AW62" s="536"/>
      <c r="AX62" s="536"/>
    </row>
    <row r="63" spans="1:50" ht="17.25" customHeight="1">
      <c r="A63" s="2666"/>
      <c r="B63" s="531"/>
      <c r="C63" s="531"/>
      <c r="D63" s="531"/>
      <c r="E63" s="531"/>
      <c r="F63" s="533"/>
      <c r="G63" s="535"/>
      <c r="H63" s="535"/>
      <c r="I63" s="542"/>
      <c r="J63" s="535"/>
      <c r="K63" s="535"/>
      <c r="L63" s="535"/>
      <c r="M63" s="535"/>
      <c r="N63" s="535"/>
      <c r="O63" s="535"/>
      <c r="P63" s="535"/>
      <c r="Q63" s="535"/>
      <c r="R63" s="535"/>
      <c r="S63" s="527"/>
      <c r="T63" s="527"/>
      <c r="U63" s="527"/>
      <c r="V63" s="527"/>
      <c r="W63" s="527"/>
      <c r="X63" s="536"/>
      <c r="AG63" s="536"/>
      <c r="AH63" s="536"/>
      <c r="AI63" s="536"/>
      <c r="AJ63" s="536"/>
      <c r="AK63" s="536"/>
      <c r="AR63" s="567"/>
      <c r="AS63" s="536"/>
      <c r="AT63" s="536"/>
      <c r="AU63" s="536"/>
      <c r="AV63" s="536"/>
      <c r="AW63" s="536"/>
      <c r="AX63" s="536"/>
    </row>
    <row r="64" spans="1:50" ht="17.25" customHeight="1">
      <c r="A64" s="2666"/>
      <c r="B64" s="531"/>
      <c r="C64" s="531"/>
      <c r="D64" s="531"/>
      <c r="E64" s="531"/>
      <c r="F64" s="533"/>
      <c r="G64" s="535"/>
      <c r="H64" s="535"/>
      <c r="I64" s="542"/>
      <c r="J64" s="535"/>
      <c r="K64" s="535"/>
      <c r="L64" s="535"/>
      <c r="M64" s="535"/>
      <c r="N64" s="535"/>
      <c r="O64" s="535"/>
      <c r="P64" s="535"/>
      <c r="Q64" s="535"/>
      <c r="R64" s="535"/>
      <c r="S64" s="527"/>
      <c r="T64" s="527"/>
      <c r="U64" s="2616" t="s">
        <v>3699</v>
      </c>
      <c r="V64" s="2617"/>
      <c r="W64" s="2647" t="s">
        <v>3700</v>
      </c>
      <c r="X64" s="2617"/>
      <c r="Y64" s="2617"/>
      <c r="Z64" s="2617"/>
      <c r="AA64" s="2617"/>
      <c r="AB64" s="2617"/>
      <c r="AC64" s="2617"/>
      <c r="AD64" s="2617"/>
      <c r="AE64" s="2617"/>
      <c r="AF64" s="2617"/>
      <c r="AG64" s="2617"/>
      <c r="AH64" s="2617"/>
      <c r="AI64" s="2617"/>
      <c r="AJ64" s="2648"/>
      <c r="AK64" s="536"/>
      <c r="AN64" s="2561" t="s">
        <v>3701</v>
      </c>
      <c r="AO64" s="2561"/>
      <c r="AP64" s="2561"/>
      <c r="AQ64" s="2561"/>
      <c r="AR64" s="2561"/>
      <c r="AS64" s="2561"/>
      <c r="AT64" s="2561"/>
      <c r="AU64" s="2561"/>
      <c r="AV64" s="2561"/>
      <c r="AW64" s="2561"/>
      <c r="AX64" s="536"/>
    </row>
    <row r="65" spans="1:59" ht="17.25" customHeight="1">
      <c r="A65" s="2666"/>
      <c r="F65" s="2674" t="s">
        <v>3702</v>
      </c>
      <c r="G65" s="2675"/>
      <c r="H65" s="2668" t="s">
        <v>3703</v>
      </c>
      <c r="I65" s="2668"/>
      <c r="J65" s="2668"/>
      <c r="K65" s="2668" t="s">
        <v>3704</v>
      </c>
      <c r="L65" s="2668"/>
      <c r="M65" s="2668" t="s">
        <v>3705</v>
      </c>
      <c r="N65" s="2668"/>
      <c r="O65" s="1875" t="s">
        <v>3706</v>
      </c>
      <c r="P65" s="1876"/>
      <c r="Q65" s="1876"/>
      <c r="R65" s="1877"/>
      <c r="T65" s="527"/>
      <c r="U65" s="2543"/>
      <c r="V65" s="2522"/>
      <c r="W65" s="2522"/>
      <c r="X65" s="2522"/>
      <c r="Y65" s="2522"/>
      <c r="Z65" s="2522"/>
      <c r="AA65" s="2522"/>
      <c r="AB65" s="2522"/>
      <c r="AC65" s="2522"/>
      <c r="AD65" s="2522"/>
      <c r="AE65" s="2522"/>
      <c r="AF65" s="2522"/>
      <c r="AG65" s="2522"/>
      <c r="AH65" s="2522"/>
      <c r="AI65" s="2522"/>
      <c r="AJ65" s="2523"/>
      <c r="AK65" s="536"/>
      <c r="AN65" s="2561"/>
      <c r="AO65" s="2561"/>
      <c r="AP65" s="2561"/>
      <c r="AQ65" s="2561"/>
      <c r="AR65" s="2561"/>
      <c r="AS65" s="2561"/>
      <c r="AT65" s="2561"/>
      <c r="AU65" s="2561"/>
      <c r="AV65" s="2561"/>
      <c r="AW65" s="2561"/>
      <c r="AX65" s="581"/>
      <c r="AY65" s="581"/>
      <c r="AZ65" s="581"/>
      <c r="BA65" s="581"/>
      <c r="BB65" s="581"/>
      <c r="BC65" s="581"/>
      <c r="BD65" s="581"/>
      <c r="BE65" s="581"/>
      <c r="BF65" s="581"/>
      <c r="BG65" s="545"/>
    </row>
    <row r="66" spans="1:59" ht="17.25" customHeight="1">
      <c r="A66" s="2666"/>
      <c r="F66" s="2676"/>
      <c r="G66" s="2677"/>
      <c r="H66" s="2661" t="s">
        <v>3707</v>
      </c>
      <c r="I66" s="2661"/>
      <c r="J66" s="2661"/>
      <c r="K66" s="2661">
        <v>-2</v>
      </c>
      <c r="L66" s="2661"/>
      <c r="M66" s="2661">
        <v>-2</v>
      </c>
      <c r="N66" s="2661"/>
      <c r="O66" s="2656" t="s">
        <v>3708</v>
      </c>
      <c r="P66" s="2657"/>
      <c r="Q66" s="2657"/>
      <c r="R66" s="324">
        <v>-3</v>
      </c>
      <c r="T66" s="527"/>
      <c r="U66" s="2543"/>
      <c r="V66" s="2522"/>
      <c r="W66" s="2522"/>
      <c r="X66" s="2522"/>
      <c r="Y66" s="2522"/>
      <c r="Z66" s="2522"/>
      <c r="AA66" s="2522"/>
      <c r="AB66" s="2522"/>
      <c r="AC66" s="2522"/>
      <c r="AD66" s="2522"/>
      <c r="AE66" s="2522"/>
      <c r="AF66" s="2522"/>
      <c r="AG66" s="2522"/>
      <c r="AH66" s="2522"/>
      <c r="AI66" s="2522"/>
      <c r="AJ66" s="2523"/>
      <c r="AK66" s="536"/>
      <c r="AN66" s="2501" t="s">
        <v>3709</v>
      </c>
      <c r="AO66" s="2622"/>
      <c r="AP66" s="2622"/>
      <c r="AQ66" s="2622"/>
      <c r="AR66" s="2622"/>
      <c r="AS66" s="2622"/>
      <c r="AT66" s="2622"/>
      <c r="AU66" s="2622"/>
      <c r="AV66" s="2622"/>
      <c r="AW66" s="2622"/>
      <c r="AX66" s="581"/>
      <c r="AY66" s="581"/>
      <c r="AZ66" s="581"/>
      <c r="BA66" s="581"/>
      <c r="BB66" s="581"/>
      <c r="BC66" s="581"/>
      <c r="BD66" s="581"/>
      <c r="BE66" s="581"/>
      <c r="BF66" s="581"/>
      <c r="BG66" s="545"/>
    </row>
    <row r="67" spans="1:59" ht="17.25" customHeight="1">
      <c r="A67" s="2666"/>
      <c r="F67" s="2676"/>
      <c r="G67" s="2677"/>
      <c r="H67" s="2658" t="s">
        <v>3710</v>
      </c>
      <c r="I67" s="2658"/>
      <c r="J67" s="2658"/>
      <c r="K67" s="2658">
        <v>-1</v>
      </c>
      <c r="L67" s="2658"/>
      <c r="M67" s="2658">
        <v>-1</v>
      </c>
      <c r="N67" s="2658"/>
      <c r="O67" s="2689" t="s">
        <v>3711</v>
      </c>
      <c r="P67" s="2690"/>
      <c r="Q67" s="2690"/>
      <c r="R67" s="235">
        <v>-2</v>
      </c>
      <c r="U67" s="2542" t="s">
        <v>3712</v>
      </c>
      <c r="V67" s="2519"/>
      <c r="W67" s="2619" t="s">
        <v>3713</v>
      </c>
      <c r="X67" s="2620"/>
      <c r="Y67" s="2620"/>
      <c r="Z67" s="2620"/>
      <c r="AA67" s="2620"/>
      <c r="AB67" s="2620"/>
      <c r="AC67" s="2620"/>
      <c r="AD67" s="2620"/>
      <c r="AE67" s="2620"/>
      <c r="AF67" s="2620"/>
      <c r="AG67" s="2620"/>
      <c r="AH67" s="2620"/>
      <c r="AI67" s="2620"/>
      <c r="AJ67" s="2621"/>
      <c r="AK67" s="536"/>
      <c r="AN67" s="2622"/>
      <c r="AO67" s="2622"/>
      <c r="AP67" s="2622"/>
      <c r="AQ67" s="2622"/>
      <c r="AR67" s="2622"/>
      <c r="AS67" s="2622"/>
      <c r="AT67" s="2622"/>
      <c r="AU67" s="2622"/>
      <c r="AV67" s="2622"/>
      <c r="AW67" s="2622"/>
      <c r="AX67" s="581"/>
      <c r="AY67" s="581"/>
      <c r="AZ67" s="581"/>
      <c r="BA67" s="581"/>
      <c r="BB67" s="581"/>
      <c r="BC67" s="581"/>
      <c r="BD67" s="581"/>
      <c r="BE67" s="581"/>
      <c r="BF67" s="581"/>
      <c r="BG67" s="545"/>
    </row>
    <row r="68" spans="1:59" ht="17.25" customHeight="1">
      <c r="A68" s="2666"/>
      <c r="F68" s="2676"/>
      <c r="G68" s="2677"/>
      <c r="H68" s="2662" t="s">
        <v>3714</v>
      </c>
      <c r="I68" s="2662"/>
      <c r="J68" s="2662"/>
      <c r="K68" s="2662">
        <v>0</v>
      </c>
      <c r="L68" s="2662"/>
      <c r="M68" s="2662">
        <v>0</v>
      </c>
      <c r="N68" s="2662"/>
      <c r="O68" s="2656" t="s">
        <v>3715</v>
      </c>
      <c r="P68" s="2657"/>
      <c r="Q68" s="2657"/>
      <c r="R68" s="324">
        <v>-1</v>
      </c>
      <c r="U68" s="2542"/>
      <c r="V68" s="2519"/>
      <c r="W68" s="2620"/>
      <c r="X68" s="2620"/>
      <c r="Y68" s="2620"/>
      <c r="Z68" s="2620"/>
      <c r="AA68" s="2620"/>
      <c r="AB68" s="2620"/>
      <c r="AC68" s="2620"/>
      <c r="AD68" s="2620"/>
      <c r="AE68" s="2620"/>
      <c r="AF68" s="2620"/>
      <c r="AG68" s="2620"/>
      <c r="AH68" s="2620"/>
      <c r="AI68" s="2620"/>
      <c r="AJ68" s="2621"/>
      <c r="AK68" s="536"/>
      <c r="AL68" s="536"/>
      <c r="AM68" s="536"/>
      <c r="AN68" s="2622"/>
      <c r="AO68" s="2622"/>
      <c r="AP68" s="2622"/>
      <c r="AQ68" s="2622"/>
      <c r="AR68" s="2622"/>
      <c r="AS68" s="2622"/>
      <c r="AT68" s="2622"/>
      <c r="AU68" s="2622"/>
      <c r="AV68" s="2622"/>
      <c r="AW68" s="2622"/>
      <c r="AX68" s="581"/>
      <c r="AY68" s="581"/>
      <c r="AZ68" s="581"/>
      <c r="BA68" s="581"/>
      <c r="BB68" s="581"/>
      <c r="BC68" s="581"/>
      <c r="BD68" s="581"/>
      <c r="BE68" s="581"/>
      <c r="BF68" s="581"/>
      <c r="BG68" s="545"/>
    </row>
    <row r="69" spans="1:59" ht="17.25" customHeight="1">
      <c r="A69" s="2666"/>
      <c r="F69" s="2676"/>
      <c r="G69" s="2677"/>
      <c r="H69" s="2658" t="s">
        <v>3716</v>
      </c>
      <c r="I69" s="2658"/>
      <c r="J69" s="2658"/>
      <c r="K69" s="2658" t="s">
        <v>3717</v>
      </c>
      <c r="L69" s="2658"/>
      <c r="M69" s="2658">
        <v>1</v>
      </c>
      <c r="N69" s="2658"/>
      <c r="O69" s="2659" t="s">
        <v>3718</v>
      </c>
      <c r="P69" s="2660"/>
      <c r="Q69" s="2660"/>
      <c r="R69" s="573">
        <v>0</v>
      </c>
      <c r="U69" s="2542"/>
      <c r="V69" s="2519"/>
      <c r="W69" s="2620"/>
      <c r="X69" s="2620"/>
      <c r="Y69" s="2620"/>
      <c r="Z69" s="2620"/>
      <c r="AA69" s="2620"/>
      <c r="AB69" s="2620"/>
      <c r="AC69" s="2620"/>
      <c r="AD69" s="2620"/>
      <c r="AE69" s="2620"/>
      <c r="AF69" s="2620"/>
      <c r="AG69" s="2620"/>
      <c r="AH69" s="2620"/>
      <c r="AI69" s="2620"/>
      <c r="AJ69" s="2621"/>
      <c r="AK69" s="536"/>
      <c r="AL69" s="536"/>
      <c r="AM69" s="536"/>
      <c r="AN69" s="2622"/>
      <c r="AO69" s="2622"/>
      <c r="AP69" s="2622"/>
      <c r="AQ69" s="2622"/>
      <c r="AR69" s="2622"/>
      <c r="AS69" s="2622"/>
      <c r="AT69" s="2622"/>
      <c r="AU69" s="2622"/>
      <c r="AV69" s="2622"/>
      <c r="AW69" s="2622"/>
      <c r="AX69" s="581"/>
      <c r="AY69" s="581"/>
      <c r="AZ69" s="581"/>
      <c r="BA69" s="581"/>
      <c r="BB69" s="581"/>
      <c r="BC69" s="581"/>
      <c r="BD69" s="581"/>
      <c r="BE69" s="581"/>
      <c r="BF69" s="581"/>
      <c r="BG69" s="545"/>
    </row>
    <row r="70" spans="1:59" ht="17.25" customHeight="1">
      <c r="A70" s="2666"/>
      <c r="F70" s="2676"/>
      <c r="G70" s="2677"/>
      <c r="H70" s="2661" t="s">
        <v>3719</v>
      </c>
      <c r="I70" s="2661"/>
      <c r="J70" s="2661"/>
      <c r="K70" s="2661" t="s">
        <v>3720</v>
      </c>
      <c r="L70" s="2661"/>
      <c r="M70" s="2661">
        <v>2</v>
      </c>
      <c r="N70" s="2661"/>
      <c r="O70" s="2656" t="s">
        <v>3721</v>
      </c>
      <c r="P70" s="2657"/>
      <c r="Q70" s="2657"/>
      <c r="R70" s="1273" t="s">
        <v>3722</v>
      </c>
      <c r="U70" s="2543" t="s">
        <v>3723</v>
      </c>
      <c r="V70" s="2522"/>
      <c r="W70" s="2521" t="s">
        <v>3724</v>
      </c>
      <c r="X70" s="2522"/>
      <c r="Y70" s="2522"/>
      <c r="Z70" s="2522"/>
      <c r="AA70" s="2522"/>
      <c r="AB70" s="2522"/>
      <c r="AC70" s="2522"/>
      <c r="AD70" s="2522"/>
      <c r="AE70" s="2522"/>
      <c r="AF70" s="2522"/>
      <c r="AG70" s="2522"/>
      <c r="AH70" s="2522"/>
      <c r="AI70" s="2522"/>
      <c r="AJ70" s="2523"/>
      <c r="AK70" s="536"/>
      <c r="AL70" s="536"/>
      <c r="AM70" s="536"/>
      <c r="AN70" s="2547" t="s">
        <v>3725</v>
      </c>
      <c r="AO70" s="2548"/>
      <c r="AP70" s="2548"/>
      <c r="AQ70" s="2548"/>
      <c r="AR70" s="2548"/>
      <c r="AS70" s="2548"/>
      <c r="AT70" s="2548"/>
      <c r="AU70" s="2548"/>
      <c r="AV70" s="2548"/>
      <c r="AW70" s="2548"/>
      <c r="AX70" s="581"/>
      <c r="AY70" s="581"/>
      <c r="AZ70" s="581"/>
      <c r="BA70" s="581"/>
      <c r="BB70" s="581"/>
      <c r="BC70" s="581"/>
      <c r="BD70" s="581"/>
      <c r="BE70" s="581"/>
      <c r="BF70" s="581"/>
      <c r="BG70" s="545"/>
    </row>
    <row r="71" spans="1:59">
      <c r="A71" s="2666"/>
      <c r="F71" s="2676"/>
      <c r="G71" s="2677"/>
      <c r="H71" s="2658" t="s">
        <v>3726</v>
      </c>
      <c r="I71" s="2658"/>
      <c r="J71" s="2658"/>
      <c r="K71" s="2658" t="s">
        <v>3727</v>
      </c>
      <c r="L71" s="2658"/>
      <c r="M71" s="2658">
        <v>3</v>
      </c>
      <c r="N71" s="2658"/>
      <c r="O71" s="2689" t="s">
        <v>3728</v>
      </c>
      <c r="P71" s="2690"/>
      <c r="Q71" s="2690"/>
      <c r="R71" s="1274" t="s">
        <v>3729</v>
      </c>
      <c r="U71" s="2543"/>
      <c r="V71" s="2522"/>
      <c r="W71" s="2522"/>
      <c r="X71" s="2522"/>
      <c r="Y71" s="2522"/>
      <c r="Z71" s="2522"/>
      <c r="AA71" s="2522"/>
      <c r="AB71" s="2522"/>
      <c r="AC71" s="2522"/>
      <c r="AD71" s="2522"/>
      <c r="AE71" s="2522"/>
      <c r="AF71" s="2522"/>
      <c r="AG71" s="2522"/>
      <c r="AH71" s="2522"/>
      <c r="AI71" s="2522"/>
      <c r="AJ71" s="2523"/>
      <c r="AK71" s="536"/>
      <c r="AL71" s="536"/>
      <c r="AM71" s="536"/>
      <c r="AN71" s="2548"/>
      <c r="AO71" s="2548"/>
      <c r="AP71" s="2548"/>
      <c r="AQ71" s="2548"/>
      <c r="AR71" s="2548"/>
      <c r="AS71" s="2548"/>
      <c r="AT71" s="2548"/>
      <c r="AU71" s="2548"/>
      <c r="AV71" s="2548"/>
      <c r="AW71" s="2548"/>
    </row>
    <row r="72" spans="1:59">
      <c r="A72" s="2666"/>
      <c r="F72" s="2676"/>
      <c r="G72" s="2677"/>
      <c r="H72" s="2661" t="s">
        <v>3730</v>
      </c>
      <c r="I72" s="2661"/>
      <c r="J72" s="2661"/>
      <c r="K72" s="2661" t="s">
        <v>3731</v>
      </c>
      <c r="L72" s="2661"/>
      <c r="M72" s="2661">
        <v>4</v>
      </c>
      <c r="N72" s="2661"/>
      <c r="O72" s="2656" t="s">
        <v>3732</v>
      </c>
      <c r="P72" s="2657"/>
      <c r="Q72" s="2657"/>
      <c r="R72" s="1273" t="s">
        <v>3733</v>
      </c>
      <c r="U72" s="2543"/>
      <c r="V72" s="2522"/>
      <c r="W72" s="2522"/>
      <c r="X72" s="2522"/>
      <c r="Y72" s="2522"/>
      <c r="Z72" s="2522"/>
      <c r="AA72" s="2522"/>
      <c r="AB72" s="2522"/>
      <c r="AC72" s="2522"/>
      <c r="AD72" s="2522"/>
      <c r="AE72" s="2522"/>
      <c r="AF72" s="2522"/>
      <c r="AG72" s="2522"/>
      <c r="AH72" s="2522"/>
      <c r="AI72" s="2522"/>
      <c r="AJ72" s="2523"/>
      <c r="AN72" s="2548"/>
      <c r="AO72" s="2548"/>
      <c r="AP72" s="2548"/>
      <c r="AQ72" s="2548"/>
      <c r="AR72" s="2548"/>
      <c r="AS72" s="2548"/>
      <c r="AT72" s="2548"/>
      <c r="AU72" s="2548"/>
      <c r="AV72" s="2548"/>
      <c r="AW72" s="2548"/>
    </row>
    <row r="73" spans="1:59">
      <c r="A73" s="2666"/>
      <c r="F73" s="2678"/>
      <c r="G73" s="2679"/>
      <c r="H73" s="2691" t="s">
        <v>3734</v>
      </c>
      <c r="I73" s="2691"/>
      <c r="J73" s="2691"/>
      <c r="K73" s="2691" t="s">
        <v>3735</v>
      </c>
      <c r="L73" s="2691"/>
      <c r="M73" s="2691">
        <v>5</v>
      </c>
      <c r="N73" s="2691"/>
      <c r="O73" s="2692" t="s">
        <v>3736</v>
      </c>
      <c r="P73" s="2693"/>
      <c r="Q73" s="2693"/>
      <c r="R73" s="1275" t="s">
        <v>3737</v>
      </c>
      <c r="U73" s="2542" t="s">
        <v>3738</v>
      </c>
      <c r="V73" s="2519"/>
      <c r="W73" s="2518" t="s">
        <v>3739</v>
      </c>
      <c r="X73" s="2519"/>
      <c r="Y73" s="2519"/>
      <c r="Z73" s="2519"/>
      <c r="AA73" s="2519"/>
      <c r="AB73" s="2519"/>
      <c r="AC73" s="2519"/>
      <c r="AD73" s="2519"/>
      <c r="AE73" s="2519"/>
      <c r="AF73" s="2519"/>
      <c r="AG73" s="2519"/>
      <c r="AH73" s="2519"/>
      <c r="AI73" s="2519"/>
      <c r="AJ73" s="2520"/>
      <c r="AN73" s="2548"/>
      <c r="AO73" s="2548"/>
      <c r="AP73" s="2548"/>
      <c r="AQ73" s="2548"/>
      <c r="AR73" s="2548"/>
      <c r="AS73" s="2548"/>
      <c r="AT73" s="2548"/>
      <c r="AU73" s="2548"/>
      <c r="AV73" s="2548"/>
      <c r="AW73" s="2548"/>
    </row>
    <row r="74" spans="1:59">
      <c r="A74" s="2666"/>
      <c r="F74" s="2669" t="s">
        <v>3740</v>
      </c>
      <c r="G74" s="2669"/>
      <c r="H74" s="2669"/>
      <c r="I74" s="2669"/>
      <c r="J74" s="2669"/>
      <c r="K74" s="2669"/>
      <c r="L74" s="2669"/>
      <c r="M74" s="2669"/>
      <c r="N74" s="2669"/>
      <c r="Q74" s="536"/>
      <c r="R74" s="536"/>
      <c r="U74" s="2575"/>
      <c r="V74" s="2519"/>
      <c r="W74" s="2519"/>
      <c r="X74" s="2519"/>
      <c r="Y74" s="2519"/>
      <c r="Z74" s="2519"/>
      <c r="AA74" s="2519"/>
      <c r="AB74" s="2519"/>
      <c r="AC74" s="2519"/>
      <c r="AD74" s="2519"/>
      <c r="AE74" s="2519"/>
      <c r="AF74" s="2519"/>
      <c r="AG74" s="2519"/>
      <c r="AH74" s="2519"/>
      <c r="AI74" s="2519"/>
      <c r="AJ74" s="2520"/>
      <c r="AK74" s="536"/>
      <c r="AL74" s="536"/>
      <c r="AM74" s="536"/>
      <c r="AN74" s="575"/>
      <c r="AO74" s="575"/>
      <c r="AP74" s="575"/>
      <c r="AQ74" s="575"/>
      <c r="AR74" s="575"/>
      <c r="AS74" s="575"/>
      <c r="AT74" s="575"/>
      <c r="AU74" s="575"/>
      <c r="AV74" s="575"/>
      <c r="AW74" s="575"/>
    </row>
    <row r="75" spans="1:59">
      <c r="A75" s="2666"/>
      <c r="F75" s="2669"/>
      <c r="G75" s="2669"/>
      <c r="H75" s="2669"/>
      <c r="I75" s="2669"/>
      <c r="J75" s="2669"/>
      <c r="K75" s="2669"/>
      <c r="L75" s="2669"/>
      <c r="M75" s="2669"/>
      <c r="N75" s="2669"/>
      <c r="Q75" s="536"/>
      <c r="R75" s="536"/>
      <c r="U75" s="2542"/>
      <c r="V75" s="2519"/>
      <c r="W75" s="2519"/>
      <c r="X75" s="2519"/>
      <c r="Y75" s="2519"/>
      <c r="Z75" s="2519"/>
      <c r="AA75" s="2519"/>
      <c r="AB75" s="2519"/>
      <c r="AC75" s="2519"/>
      <c r="AD75" s="2519"/>
      <c r="AE75" s="2519"/>
      <c r="AF75" s="2519"/>
      <c r="AG75" s="2519"/>
      <c r="AH75" s="2519"/>
      <c r="AI75" s="2519"/>
      <c r="AJ75" s="2520"/>
      <c r="AL75" s="536"/>
      <c r="AM75" s="536"/>
      <c r="AN75" s="536"/>
      <c r="AO75" s="581"/>
      <c r="AP75" s="581"/>
      <c r="AQ75" s="581"/>
      <c r="AR75" s="581"/>
      <c r="AS75" s="581"/>
      <c r="AT75" s="581"/>
      <c r="AU75" s="581"/>
      <c r="AV75" s="581"/>
      <c r="AW75" s="581"/>
    </row>
    <row r="76" spans="1:59">
      <c r="A76" s="2666"/>
      <c r="G76" s="545"/>
      <c r="H76" s="545"/>
      <c r="P76" s="536"/>
      <c r="Q76" s="536"/>
      <c r="R76" s="536"/>
      <c r="U76" s="2543" t="s">
        <v>3741</v>
      </c>
      <c r="V76" s="2522"/>
      <c r="W76" s="2521" t="s">
        <v>3742</v>
      </c>
      <c r="X76" s="2522"/>
      <c r="Y76" s="2522"/>
      <c r="Z76" s="2522"/>
      <c r="AA76" s="2522"/>
      <c r="AB76" s="2522"/>
      <c r="AC76" s="2522"/>
      <c r="AD76" s="2522"/>
      <c r="AE76" s="2522"/>
      <c r="AF76" s="2522"/>
      <c r="AG76" s="2522"/>
      <c r="AH76" s="2522"/>
      <c r="AI76" s="2522"/>
      <c r="AJ76" s="2523"/>
      <c r="AL76" s="536"/>
      <c r="AM76" s="536"/>
      <c r="AN76" s="536"/>
      <c r="AO76" s="581"/>
      <c r="AP76" s="581"/>
      <c r="AQ76" s="581"/>
      <c r="AR76" s="581"/>
      <c r="AS76" s="581"/>
      <c r="AT76" s="581"/>
      <c r="AU76" s="581"/>
      <c r="AV76" s="581"/>
      <c r="AW76" s="581"/>
    </row>
    <row r="77" spans="1:59">
      <c r="A77" s="2666"/>
      <c r="Q77" s="536"/>
      <c r="R77" s="536"/>
      <c r="U77" s="2543"/>
      <c r="V77" s="2522"/>
      <c r="W77" s="2522"/>
      <c r="X77" s="2522"/>
      <c r="Y77" s="2522"/>
      <c r="Z77" s="2522"/>
      <c r="AA77" s="2522"/>
      <c r="AB77" s="2522"/>
      <c r="AC77" s="2522"/>
      <c r="AD77" s="2522"/>
      <c r="AE77" s="2522"/>
      <c r="AF77" s="2522"/>
      <c r="AG77" s="2522"/>
      <c r="AH77" s="2522"/>
      <c r="AI77" s="2522"/>
      <c r="AJ77" s="2523"/>
      <c r="AK77" s="536"/>
      <c r="AL77" s="536"/>
      <c r="AM77" s="536"/>
      <c r="AN77" s="536"/>
      <c r="AO77" s="581"/>
      <c r="AP77" s="581"/>
      <c r="AQ77" s="581"/>
      <c r="AR77" s="581"/>
      <c r="AS77" s="581"/>
      <c r="AT77" s="581"/>
      <c r="AU77" s="581"/>
      <c r="AV77" s="581"/>
      <c r="AW77" s="581"/>
    </row>
    <row r="78" spans="1:59">
      <c r="A78" s="2666"/>
      <c r="Q78" s="536"/>
      <c r="R78" s="536"/>
      <c r="U78" s="2543"/>
      <c r="V78" s="2522"/>
      <c r="W78" s="2522"/>
      <c r="X78" s="2522"/>
      <c r="Y78" s="2522"/>
      <c r="Z78" s="2522"/>
      <c r="AA78" s="2522"/>
      <c r="AB78" s="2522"/>
      <c r="AC78" s="2522"/>
      <c r="AD78" s="2522"/>
      <c r="AE78" s="2522"/>
      <c r="AF78" s="2522"/>
      <c r="AG78" s="2522"/>
      <c r="AH78" s="2522"/>
      <c r="AI78" s="2522"/>
      <c r="AJ78" s="2523"/>
      <c r="AO78" s="581"/>
      <c r="AP78" s="581"/>
      <c r="AQ78" s="581"/>
      <c r="AR78" s="581"/>
      <c r="AS78" s="581"/>
      <c r="AT78" s="581"/>
      <c r="AU78" s="581"/>
      <c r="AV78" s="581"/>
      <c r="AW78" s="581"/>
    </row>
    <row r="79" spans="1:59">
      <c r="A79" s="2666"/>
      <c r="U79" s="2542" t="s">
        <v>3743</v>
      </c>
      <c r="V79" s="2519"/>
      <c r="W79" s="2518" t="s">
        <v>3744</v>
      </c>
      <c r="X79" s="2519"/>
      <c r="Y79" s="2519"/>
      <c r="Z79" s="2519"/>
      <c r="AA79" s="2519"/>
      <c r="AB79" s="2519"/>
      <c r="AC79" s="2519"/>
      <c r="AD79" s="2519"/>
      <c r="AE79" s="2519"/>
      <c r="AF79" s="2519"/>
      <c r="AG79" s="2519"/>
      <c r="AH79" s="2519"/>
      <c r="AI79" s="2519"/>
      <c r="AJ79" s="2520"/>
      <c r="AV79" s="536"/>
      <c r="AW79" s="536"/>
    </row>
    <row r="80" spans="1:59">
      <c r="A80" s="2666"/>
      <c r="U80" s="2542"/>
      <c r="V80" s="2519"/>
      <c r="W80" s="2519"/>
      <c r="X80" s="2519"/>
      <c r="Y80" s="2519"/>
      <c r="Z80" s="2519"/>
      <c r="AA80" s="2519"/>
      <c r="AB80" s="2519"/>
      <c r="AC80" s="2519"/>
      <c r="AD80" s="2519"/>
      <c r="AE80" s="2519"/>
      <c r="AF80" s="2519"/>
      <c r="AG80" s="2519"/>
      <c r="AH80" s="2519"/>
      <c r="AI80" s="2519"/>
      <c r="AJ80" s="2520"/>
      <c r="AK80" s="536"/>
      <c r="AL80" s="536"/>
      <c r="AM80" s="536"/>
      <c r="AN80" s="536"/>
      <c r="AO80" s="536"/>
      <c r="AP80" s="536"/>
      <c r="AQ80" s="536"/>
      <c r="AR80" s="536"/>
      <c r="AS80" s="536"/>
      <c r="AT80" s="536"/>
      <c r="AU80" s="536"/>
      <c r="AV80" s="536"/>
      <c r="AW80" s="536"/>
    </row>
    <row r="81" spans="1:52">
      <c r="A81" s="2666"/>
      <c r="U81" s="2542"/>
      <c r="V81" s="2519"/>
      <c r="W81" s="2519"/>
      <c r="X81" s="2519"/>
      <c r="Y81" s="2519"/>
      <c r="Z81" s="2519"/>
      <c r="AA81" s="2519"/>
      <c r="AB81" s="2519"/>
      <c r="AC81" s="2519"/>
      <c r="AD81" s="2519"/>
      <c r="AE81" s="2519"/>
      <c r="AF81" s="2519"/>
      <c r="AG81" s="2519"/>
      <c r="AH81" s="2519"/>
      <c r="AI81" s="2519"/>
      <c r="AJ81" s="2520"/>
    </row>
    <row r="82" spans="1:52">
      <c r="A82" s="2666"/>
      <c r="U82" s="2543" t="s">
        <v>3745</v>
      </c>
      <c r="V82" s="2522"/>
      <c r="W82" s="2522"/>
      <c r="X82" s="2522"/>
      <c r="Y82" s="2522"/>
      <c r="Z82" s="2522"/>
      <c r="AA82" s="2522"/>
      <c r="AB82" s="2522"/>
      <c r="AC82" s="2522"/>
      <c r="AD82" s="2522"/>
      <c r="AE82" s="2522"/>
      <c r="AF82" s="2522"/>
      <c r="AG82" s="2522"/>
      <c r="AH82" s="2522"/>
      <c r="AI82" s="2522"/>
      <c r="AJ82" s="2523"/>
    </row>
    <row r="83" spans="1:52">
      <c r="A83" s="2666"/>
      <c r="U83" s="2543"/>
      <c r="V83" s="2522"/>
      <c r="W83" s="2522"/>
      <c r="X83" s="2522"/>
      <c r="Y83" s="2522"/>
      <c r="Z83" s="2522"/>
      <c r="AA83" s="2522"/>
      <c r="AB83" s="2522"/>
      <c r="AC83" s="2522"/>
      <c r="AD83" s="2522"/>
      <c r="AE83" s="2522"/>
      <c r="AF83" s="2522"/>
      <c r="AG83" s="2522"/>
      <c r="AH83" s="2522"/>
      <c r="AI83" s="2522"/>
      <c r="AJ83" s="2523"/>
    </row>
    <row r="84" spans="1:52">
      <c r="A84" s="2667"/>
      <c r="U84" s="2544"/>
      <c r="V84" s="2545"/>
      <c r="W84" s="2545"/>
      <c r="X84" s="2545"/>
      <c r="Y84" s="2545"/>
      <c r="Z84" s="2545"/>
      <c r="AA84" s="2545"/>
      <c r="AB84" s="2545"/>
      <c r="AC84" s="2545"/>
      <c r="AD84" s="2545"/>
      <c r="AE84" s="2545"/>
      <c r="AF84" s="2545"/>
      <c r="AG84" s="2545"/>
      <c r="AH84" s="2545"/>
      <c r="AI84" s="2545"/>
      <c r="AJ84" s="2546"/>
    </row>
    <row r="86" spans="1:52">
      <c r="B86" s="2358" t="s">
        <v>3746</v>
      </c>
      <c r="C86" s="2359"/>
      <c r="D86" s="2359"/>
      <c r="E86" s="2359"/>
      <c r="F86" s="2359"/>
      <c r="G86" s="2359"/>
      <c r="H86" s="2359"/>
      <c r="I86" s="2359"/>
      <c r="J86" s="2359"/>
      <c r="K86" s="2359"/>
      <c r="L86" s="2359"/>
      <c r="M86" s="2359"/>
      <c r="N86" s="2359"/>
      <c r="O86" s="2359"/>
      <c r="P86" s="2359"/>
      <c r="Q86" s="2359"/>
      <c r="R86" s="2359"/>
      <c r="S86" s="2359"/>
      <c r="T86" s="2359"/>
      <c r="U86" s="2359"/>
      <c r="V86" s="2359"/>
      <c r="W86" s="2359"/>
      <c r="X86" s="2359"/>
      <c r="Y86" s="2359"/>
      <c r="Z86" s="2359"/>
      <c r="AA86" s="2359"/>
      <c r="AB86" s="2359"/>
      <c r="AC86" s="2359"/>
      <c r="AD86" s="2359"/>
      <c r="AE86" s="2359"/>
      <c r="AF86" s="2359"/>
      <c r="AG86" s="2359"/>
      <c r="AH86" s="2359"/>
      <c r="AI86" s="2359"/>
      <c r="AJ86" s="2359"/>
      <c r="AK86" s="2359"/>
      <c r="AL86" s="2359"/>
      <c r="AM86" s="2359"/>
      <c r="AN86" s="2359"/>
      <c r="AO86" s="2359"/>
      <c r="AP86" s="2359"/>
      <c r="AQ86" s="2359"/>
      <c r="AR86" s="2359"/>
      <c r="AS86" s="2359"/>
      <c r="AT86" s="2359"/>
      <c r="AU86" s="2360"/>
    </row>
    <row r="87" spans="1:52">
      <c r="B87" s="2361"/>
      <c r="C87" s="2362"/>
      <c r="D87" s="2362"/>
      <c r="E87" s="2362"/>
      <c r="F87" s="2362"/>
      <c r="G87" s="2362"/>
      <c r="H87" s="2362"/>
      <c r="I87" s="2362"/>
      <c r="J87" s="2362"/>
      <c r="K87" s="2362"/>
      <c r="L87" s="2362"/>
      <c r="M87" s="2362"/>
      <c r="N87" s="2362"/>
      <c r="O87" s="2362"/>
      <c r="P87" s="2362"/>
      <c r="Q87" s="2362"/>
      <c r="R87" s="2362"/>
      <c r="S87" s="2362"/>
      <c r="T87" s="2362"/>
      <c r="U87" s="2362"/>
      <c r="V87" s="2362"/>
      <c r="W87" s="2362"/>
      <c r="X87" s="2362"/>
      <c r="Y87" s="2362"/>
      <c r="Z87" s="2362"/>
      <c r="AA87" s="2362"/>
      <c r="AB87" s="2362"/>
      <c r="AC87" s="2362"/>
      <c r="AD87" s="2362"/>
      <c r="AE87" s="2362"/>
      <c r="AF87" s="2362"/>
      <c r="AG87" s="2362"/>
      <c r="AH87" s="2362"/>
      <c r="AI87" s="2362"/>
      <c r="AJ87" s="2362"/>
      <c r="AK87" s="2362"/>
      <c r="AL87" s="2362"/>
      <c r="AM87" s="2362"/>
      <c r="AN87" s="2362"/>
      <c r="AO87" s="2362"/>
      <c r="AP87" s="2362"/>
      <c r="AQ87" s="2362"/>
      <c r="AR87" s="2362"/>
      <c r="AS87" s="2362"/>
      <c r="AT87" s="2362"/>
      <c r="AU87" s="2363"/>
    </row>
    <row r="88" spans="1:52">
      <c r="B88" s="2364"/>
      <c r="C88" s="2365"/>
      <c r="D88" s="2365"/>
      <c r="E88" s="2365"/>
      <c r="F88" s="2365"/>
      <c r="G88" s="2365"/>
      <c r="H88" s="2365"/>
      <c r="I88" s="2365"/>
      <c r="J88" s="2365"/>
      <c r="K88" s="2365"/>
      <c r="L88" s="2365"/>
      <c r="M88" s="2365"/>
      <c r="N88" s="2365"/>
      <c r="O88" s="2365"/>
      <c r="P88" s="2365"/>
      <c r="Q88" s="2365"/>
      <c r="R88" s="2365"/>
      <c r="S88" s="2365"/>
      <c r="T88" s="2365"/>
      <c r="U88" s="2365"/>
      <c r="V88" s="2365"/>
      <c r="W88" s="2365"/>
      <c r="X88" s="2365"/>
      <c r="Y88" s="2365"/>
      <c r="Z88" s="2365"/>
      <c r="AA88" s="2365"/>
      <c r="AB88" s="2365"/>
      <c r="AC88" s="2365"/>
      <c r="AD88" s="2365"/>
      <c r="AE88" s="2365"/>
      <c r="AF88" s="2365"/>
      <c r="AG88" s="2365"/>
      <c r="AH88" s="2365"/>
      <c r="AI88" s="2365"/>
      <c r="AJ88" s="2365"/>
      <c r="AK88" s="2365"/>
      <c r="AL88" s="2365"/>
      <c r="AM88" s="2365"/>
      <c r="AN88" s="2365"/>
      <c r="AO88" s="2365"/>
      <c r="AP88" s="2365"/>
      <c r="AQ88" s="2365"/>
      <c r="AR88" s="2365"/>
      <c r="AS88" s="2365"/>
      <c r="AT88" s="2365"/>
      <c r="AU88" s="2366"/>
    </row>
    <row r="89" spans="1:52">
      <c r="B89" s="226"/>
      <c r="C89" s="226"/>
      <c r="D89" s="226"/>
      <c r="E89" s="226"/>
      <c r="F89" s="226"/>
      <c r="G89" s="226"/>
      <c r="H89" s="226"/>
      <c r="I89" s="226"/>
      <c r="J89" s="226"/>
      <c r="K89" s="226"/>
      <c r="L89" s="226"/>
      <c r="M89" s="226"/>
      <c r="N89" s="226"/>
      <c r="O89" s="226"/>
      <c r="P89" s="226"/>
      <c r="Q89" s="226"/>
      <c r="R89" s="226"/>
      <c r="S89" s="226"/>
      <c r="T89" s="226"/>
      <c r="U89" s="226"/>
      <c r="V89" s="226"/>
      <c r="W89" s="226"/>
      <c r="X89" s="226"/>
      <c r="Y89" s="226"/>
      <c r="Z89" s="226"/>
      <c r="AA89" s="226"/>
      <c r="AB89" s="226"/>
      <c r="AC89" s="226"/>
      <c r="AD89" s="226"/>
      <c r="AE89" s="226"/>
      <c r="AF89" s="226"/>
      <c r="AG89" s="226"/>
      <c r="AH89" s="226"/>
      <c r="AI89" s="226"/>
      <c r="AJ89" s="226"/>
      <c r="AK89" s="226"/>
      <c r="AL89" s="226"/>
      <c r="AM89" s="226"/>
      <c r="AN89" s="226"/>
      <c r="AO89" s="226"/>
      <c r="AP89" s="226"/>
      <c r="AQ89" s="226"/>
      <c r="AR89" s="226"/>
      <c r="AS89" s="226"/>
      <c r="AT89" s="226"/>
      <c r="AU89" s="226"/>
    </row>
    <row r="90" spans="1:52" ht="18" customHeight="1">
      <c r="B90" s="2552" t="s">
        <v>3747</v>
      </c>
      <c r="C90" s="2553"/>
      <c r="D90" s="2553"/>
      <c r="E90" s="2553"/>
      <c r="F90" s="2553"/>
      <c r="G90" s="2553"/>
      <c r="H90" s="2553"/>
      <c r="I90" s="2553"/>
      <c r="J90" s="2553"/>
      <c r="K90" s="2553"/>
      <c r="L90" s="2553"/>
      <c r="M90" s="2553"/>
      <c r="N90" s="2553"/>
      <c r="O90" s="2553"/>
      <c r="P90" s="2553"/>
      <c r="Q90" s="2553"/>
      <c r="R90" s="2553"/>
      <c r="S90" s="2553"/>
      <c r="T90" s="2553"/>
      <c r="U90" s="2553"/>
      <c r="V90" s="2553"/>
      <c r="W90" s="2554"/>
      <c r="X90" s="226"/>
      <c r="Y90" s="226"/>
      <c r="Z90" s="2552" t="s">
        <v>3748</v>
      </c>
      <c r="AA90" s="2553"/>
      <c r="AB90" s="2553"/>
      <c r="AC90" s="2553"/>
      <c r="AD90" s="2553"/>
      <c r="AE90" s="2553"/>
      <c r="AF90" s="2553"/>
      <c r="AG90" s="2553"/>
      <c r="AH90" s="2553"/>
      <c r="AI90" s="2553"/>
      <c r="AJ90" s="2553"/>
      <c r="AK90" s="2553"/>
      <c r="AL90" s="2553"/>
      <c r="AM90" s="2553"/>
      <c r="AN90" s="2553"/>
      <c r="AO90" s="2553"/>
      <c r="AP90" s="2553"/>
      <c r="AQ90" s="2553"/>
      <c r="AR90" s="2553"/>
      <c r="AS90" s="2553"/>
      <c r="AT90" s="2553"/>
      <c r="AU90" s="2554"/>
    </row>
    <row r="91" spans="1:52" ht="18" customHeight="1">
      <c r="B91" s="2555"/>
      <c r="C91" s="2556"/>
      <c r="D91" s="2556"/>
      <c r="E91" s="2556"/>
      <c r="F91" s="2556"/>
      <c r="G91" s="2556"/>
      <c r="H91" s="2556"/>
      <c r="I91" s="2556"/>
      <c r="J91" s="2556"/>
      <c r="K91" s="2556"/>
      <c r="L91" s="2556"/>
      <c r="M91" s="2556"/>
      <c r="N91" s="2557"/>
      <c r="O91" s="2556"/>
      <c r="P91" s="2556"/>
      <c r="Q91" s="2556"/>
      <c r="R91" s="2556"/>
      <c r="S91" s="2556"/>
      <c r="T91" s="2556"/>
      <c r="U91" s="2556"/>
      <c r="V91" s="2556"/>
      <c r="W91" s="2558"/>
      <c r="X91" s="226"/>
      <c r="Y91" s="226"/>
      <c r="Z91" s="2555"/>
      <c r="AA91" s="2556"/>
      <c r="AB91" s="2556"/>
      <c r="AC91" s="2556"/>
      <c r="AD91" s="2556"/>
      <c r="AE91" s="2556"/>
      <c r="AF91" s="2556"/>
      <c r="AG91" s="2556"/>
      <c r="AH91" s="2556"/>
      <c r="AI91" s="2556"/>
      <c r="AJ91" s="2556"/>
      <c r="AK91" s="2556"/>
      <c r="AL91" s="2556"/>
      <c r="AM91" s="2556"/>
      <c r="AN91" s="2556"/>
      <c r="AO91" s="2556"/>
      <c r="AP91" s="2556"/>
      <c r="AQ91" s="2556"/>
      <c r="AR91" s="2556"/>
      <c r="AS91" s="2556"/>
      <c r="AT91" s="2556"/>
      <c r="AU91" s="2558"/>
    </row>
    <row r="92" spans="1:52">
      <c r="B92" s="2391" t="s">
        <v>3749</v>
      </c>
      <c r="C92" s="2392"/>
      <c r="D92" s="2392"/>
      <c r="E92" s="2392"/>
      <c r="F92" s="2392"/>
      <c r="G92" s="2392"/>
      <c r="H92" s="2392"/>
      <c r="I92" s="2392"/>
      <c r="J92" s="2392"/>
      <c r="K92" s="2392"/>
      <c r="L92" s="2392"/>
      <c r="M92" s="2512" t="s">
        <v>3750</v>
      </c>
      <c r="N92" s="2513"/>
      <c r="O92" s="2513"/>
      <c r="P92" s="2513"/>
      <c r="Q92" s="2513"/>
      <c r="R92" s="2513"/>
      <c r="S92" s="2513"/>
      <c r="T92" s="2513"/>
      <c r="U92" s="2513"/>
      <c r="V92" s="2513"/>
      <c r="W92" s="2514"/>
      <c r="X92" s="226"/>
      <c r="Y92" s="226"/>
      <c r="Z92" s="2593" t="s">
        <v>3751</v>
      </c>
      <c r="AA92" s="2594"/>
      <c r="AB92" s="2594"/>
      <c r="AC92" s="2594"/>
      <c r="AD92" s="2594"/>
      <c r="AE92" s="2594"/>
      <c r="AF92" s="2594"/>
      <c r="AG92" s="2594"/>
      <c r="AH92" s="2594"/>
      <c r="AI92" s="2594"/>
      <c r="AJ92" s="2594"/>
      <c r="AK92" s="2595"/>
      <c r="AL92" s="2595"/>
      <c r="AM92" s="2594"/>
      <c r="AN92" s="2594"/>
      <c r="AO92" s="2594"/>
      <c r="AP92" s="2596"/>
      <c r="AQ92" s="2594"/>
      <c r="AR92" s="2594"/>
      <c r="AS92" s="2594"/>
      <c r="AT92" s="2596"/>
      <c r="AU92" s="2597"/>
      <c r="AX92" s="575"/>
      <c r="AY92" s="575"/>
      <c r="AZ92" s="575"/>
    </row>
    <row r="93" spans="1:52">
      <c r="B93" s="2394"/>
      <c r="C93" s="2395"/>
      <c r="D93" s="2395"/>
      <c r="E93" s="2395"/>
      <c r="F93" s="2395"/>
      <c r="G93" s="2395"/>
      <c r="H93" s="2395"/>
      <c r="I93" s="2395"/>
      <c r="J93" s="2395"/>
      <c r="K93" s="2395"/>
      <c r="L93" s="2395"/>
      <c r="M93" s="2515"/>
      <c r="N93" s="2516"/>
      <c r="O93" s="2516"/>
      <c r="P93" s="2516"/>
      <c r="Q93" s="2516"/>
      <c r="R93" s="2516"/>
      <c r="S93" s="2516"/>
      <c r="T93" s="2516"/>
      <c r="U93" s="2516"/>
      <c r="V93" s="2516"/>
      <c r="W93" s="2517"/>
      <c r="X93" s="226"/>
      <c r="Y93" s="226"/>
      <c r="Z93" s="2391" t="s">
        <v>3752</v>
      </c>
      <c r="AA93" s="2513"/>
      <c r="AB93" s="2513"/>
      <c r="AC93" s="2513"/>
      <c r="AD93" s="2513"/>
      <c r="AE93" s="2513"/>
      <c r="AF93" s="2513"/>
      <c r="AG93" s="2513"/>
      <c r="AH93" s="2513"/>
      <c r="AI93" s="2513"/>
      <c r="AJ93" s="2513"/>
      <c r="AK93" s="2512" t="s">
        <v>3753</v>
      </c>
      <c r="AL93" s="2513"/>
      <c r="AM93" s="2513"/>
      <c r="AN93" s="2513"/>
      <c r="AO93" s="2513"/>
      <c r="AP93" s="2513"/>
      <c r="AQ93" s="2513"/>
      <c r="AR93" s="2513"/>
      <c r="AS93" s="2513"/>
      <c r="AT93" s="2513"/>
      <c r="AU93" s="2514"/>
      <c r="AX93" s="575"/>
      <c r="AY93" s="575"/>
      <c r="AZ93" s="575"/>
    </row>
    <row r="94" spans="1:52">
      <c r="B94" s="2394"/>
      <c r="C94" s="2395"/>
      <c r="D94" s="2395"/>
      <c r="E94" s="2395"/>
      <c r="F94" s="2395"/>
      <c r="G94" s="2395"/>
      <c r="H94" s="2395"/>
      <c r="I94" s="2395"/>
      <c r="J94" s="2395"/>
      <c r="K94" s="2395"/>
      <c r="L94" s="2395"/>
      <c r="M94" s="2512" t="s">
        <v>3754</v>
      </c>
      <c r="N94" s="2513"/>
      <c r="O94" s="2513"/>
      <c r="P94" s="2513"/>
      <c r="Q94" s="2513"/>
      <c r="R94" s="2513"/>
      <c r="S94" s="2513"/>
      <c r="T94" s="2513"/>
      <c r="U94" s="2513"/>
      <c r="V94" s="2513"/>
      <c r="W94" s="2514"/>
      <c r="X94" s="226"/>
      <c r="Y94" s="226"/>
      <c r="Z94" s="2072"/>
      <c r="AA94" s="2052"/>
      <c r="AB94" s="2052"/>
      <c r="AC94" s="2052"/>
      <c r="AD94" s="2052"/>
      <c r="AE94" s="2052"/>
      <c r="AF94" s="2052"/>
      <c r="AG94" s="2052"/>
      <c r="AH94" s="2052"/>
      <c r="AI94" s="2052"/>
      <c r="AJ94" s="2052"/>
      <c r="AK94" s="2539"/>
      <c r="AL94" s="2052"/>
      <c r="AM94" s="2052"/>
      <c r="AN94" s="2052"/>
      <c r="AO94" s="2052"/>
      <c r="AP94" s="2052"/>
      <c r="AQ94" s="2052"/>
      <c r="AR94" s="2052"/>
      <c r="AS94" s="2052"/>
      <c r="AT94" s="2052"/>
      <c r="AU94" s="2540"/>
      <c r="AX94" s="575"/>
      <c r="AY94" s="575"/>
      <c r="AZ94" s="575"/>
    </row>
    <row r="95" spans="1:52">
      <c r="B95" s="2394"/>
      <c r="C95" s="2395"/>
      <c r="D95" s="2395"/>
      <c r="E95" s="2395"/>
      <c r="F95" s="2395"/>
      <c r="G95" s="2395"/>
      <c r="H95" s="2395"/>
      <c r="I95" s="2395"/>
      <c r="J95" s="2395"/>
      <c r="K95" s="2395"/>
      <c r="L95" s="2395"/>
      <c r="M95" s="2515"/>
      <c r="N95" s="2516"/>
      <c r="O95" s="2516"/>
      <c r="P95" s="2516"/>
      <c r="Q95" s="2516"/>
      <c r="R95" s="2516"/>
      <c r="S95" s="2516"/>
      <c r="T95" s="2516"/>
      <c r="U95" s="2516"/>
      <c r="V95" s="2516"/>
      <c r="W95" s="2517"/>
      <c r="X95" s="226"/>
      <c r="Y95" s="226"/>
      <c r="Z95" s="2072"/>
      <c r="AA95" s="2052"/>
      <c r="AB95" s="2052"/>
      <c r="AC95" s="2052"/>
      <c r="AD95" s="2052"/>
      <c r="AE95" s="2052"/>
      <c r="AF95" s="2052"/>
      <c r="AG95" s="2052"/>
      <c r="AH95" s="2052"/>
      <c r="AI95" s="2052"/>
      <c r="AJ95" s="2052"/>
      <c r="AK95" s="2539"/>
      <c r="AL95" s="2052"/>
      <c r="AM95" s="2052"/>
      <c r="AN95" s="2052"/>
      <c r="AO95" s="2052"/>
      <c r="AP95" s="2052"/>
      <c r="AQ95" s="2052"/>
      <c r="AR95" s="2052"/>
      <c r="AS95" s="2052"/>
      <c r="AT95" s="2052"/>
      <c r="AU95" s="2540"/>
      <c r="AX95" s="575"/>
      <c r="AY95" s="575"/>
      <c r="AZ95" s="575"/>
    </row>
    <row r="96" spans="1:52">
      <c r="B96" s="2394"/>
      <c r="C96" s="2395"/>
      <c r="D96" s="2395"/>
      <c r="E96" s="2395"/>
      <c r="F96" s="2395"/>
      <c r="G96" s="2395"/>
      <c r="H96" s="2395"/>
      <c r="I96" s="2395"/>
      <c r="J96" s="2395"/>
      <c r="K96" s="2395"/>
      <c r="L96" s="2395"/>
      <c r="M96" s="2530" t="s">
        <v>3755</v>
      </c>
      <c r="N96" s="2531"/>
      <c r="O96" s="2531"/>
      <c r="P96" s="2531"/>
      <c r="Q96" s="2531"/>
      <c r="R96" s="2531"/>
      <c r="S96" s="2531"/>
      <c r="T96" s="2531"/>
      <c r="U96" s="2531"/>
      <c r="V96" s="2531"/>
      <c r="W96" s="2532"/>
      <c r="X96" s="226"/>
      <c r="Y96" s="226"/>
      <c r="Z96" s="2536"/>
      <c r="AA96" s="2537"/>
      <c r="AB96" s="2537"/>
      <c r="AC96" s="2537"/>
      <c r="AD96" s="2537"/>
      <c r="AE96" s="2537"/>
      <c r="AF96" s="2537"/>
      <c r="AG96" s="2537"/>
      <c r="AH96" s="2537"/>
      <c r="AI96" s="2537"/>
      <c r="AJ96" s="2538"/>
      <c r="AK96" s="2541"/>
      <c r="AL96" s="2053"/>
      <c r="AM96" s="2053"/>
      <c r="AN96" s="2053"/>
      <c r="AO96" s="2053"/>
      <c r="AP96" s="2053"/>
      <c r="AQ96" s="2053"/>
      <c r="AR96" s="2053"/>
      <c r="AS96" s="2053"/>
      <c r="AT96" s="2053"/>
      <c r="AU96" s="2419"/>
      <c r="AX96" s="575"/>
      <c r="AY96" s="575"/>
      <c r="AZ96" s="575"/>
    </row>
    <row r="97" spans="2:52">
      <c r="B97" s="2394"/>
      <c r="C97" s="2395"/>
      <c r="D97" s="2395"/>
      <c r="E97" s="2395"/>
      <c r="F97" s="2395"/>
      <c r="G97" s="2395"/>
      <c r="H97" s="2395"/>
      <c r="I97" s="2395"/>
      <c r="J97" s="2395"/>
      <c r="K97" s="2395"/>
      <c r="L97" s="2395"/>
      <c r="M97" s="2533"/>
      <c r="N97" s="2534"/>
      <c r="O97" s="2534"/>
      <c r="P97" s="2534"/>
      <c r="Q97" s="2534"/>
      <c r="R97" s="2534"/>
      <c r="S97" s="2534"/>
      <c r="T97" s="2534"/>
      <c r="U97" s="2534"/>
      <c r="V97" s="2534"/>
      <c r="W97" s="2535"/>
      <c r="X97" s="226"/>
      <c r="Y97" s="226"/>
      <c r="Z97" s="576"/>
      <c r="AA97" s="574"/>
      <c r="AB97" s="574"/>
      <c r="AC97" s="574"/>
      <c r="AD97" s="574"/>
      <c r="AE97" s="574"/>
      <c r="AF97" s="574"/>
      <c r="AG97" s="574"/>
      <c r="AH97" s="574"/>
      <c r="AI97" s="574"/>
      <c r="AJ97" s="574"/>
      <c r="AK97" s="576"/>
      <c r="AL97" s="574"/>
      <c r="AM97" s="574"/>
      <c r="AN97" s="574"/>
      <c r="AO97" s="574"/>
      <c r="AP97" s="574"/>
      <c r="AQ97" s="574"/>
      <c r="AR97" s="574"/>
      <c r="AS97" s="574"/>
      <c r="AT97" s="574"/>
      <c r="AU97" s="576"/>
      <c r="AX97" s="575"/>
      <c r="AY97" s="575"/>
      <c r="AZ97" s="575"/>
    </row>
    <row r="98" spans="2:52" ht="27.6">
      <c r="B98" s="2394"/>
      <c r="C98" s="2395"/>
      <c r="D98" s="2395"/>
      <c r="E98" s="2395"/>
      <c r="F98" s="2395"/>
      <c r="G98" s="2395"/>
      <c r="H98" s="2395"/>
      <c r="I98" s="2395"/>
      <c r="J98" s="2395"/>
      <c r="K98" s="2395"/>
      <c r="L98" s="2395"/>
      <c r="M98" s="2512" t="s">
        <v>3756</v>
      </c>
      <c r="N98" s="2513"/>
      <c r="O98" s="2513"/>
      <c r="P98" s="2513"/>
      <c r="Q98" s="2513"/>
      <c r="R98" s="2513"/>
      <c r="S98" s="2513"/>
      <c r="T98" s="2513"/>
      <c r="U98" s="2513"/>
      <c r="V98" s="2513"/>
      <c r="W98" s="2514"/>
      <c r="X98" s="226"/>
      <c r="Y98" s="226"/>
      <c r="Z98" s="2618"/>
      <c r="AA98" s="2618"/>
      <c r="AB98" s="2618"/>
      <c r="AC98" s="2618"/>
      <c r="AD98" s="2618"/>
      <c r="AE98" s="2618"/>
      <c r="AF98" s="2618"/>
      <c r="AG98" s="2618"/>
      <c r="AH98" s="227"/>
      <c r="AI98" s="2618"/>
      <c r="AJ98" s="2618"/>
      <c r="AK98" s="2618"/>
      <c r="AL98" s="2618"/>
      <c r="AM98" s="2618"/>
      <c r="AN98" s="2618"/>
      <c r="AO98" s="2618"/>
      <c r="AP98" s="2618"/>
      <c r="AQ98" s="2618"/>
      <c r="AR98" s="2618"/>
      <c r="AS98" s="2618"/>
      <c r="AT98" s="2618"/>
      <c r="AU98" s="2618"/>
      <c r="AV98" s="582"/>
      <c r="AW98" s="582"/>
      <c r="AX98" s="575"/>
      <c r="AY98" s="575"/>
      <c r="AZ98" s="575"/>
    </row>
    <row r="99" spans="2:52" ht="16.05" customHeight="1">
      <c r="B99" s="2394"/>
      <c r="C99" s="2395"/>
      <c r="D99" s="2395"/>
      <c r="E99" s="2395"/>
      <c r="F99" s="2395"/>
      <c r="G99" s="2395"/>
      <c r="H99" s="2395"/>
      <c r="I99" s="2395"/>
      <c r="J99" s="2395"/>
      <c r="K99" s="2395"/>
      <c r="L99" s="2395"/>
      <c r="M99" s="2515"/>
      <c r="N99" s="2516"/>
      <c r="O99" s="2516"/>
      <c r="P99" s="2516"/>
      <c r="Q99" s="2516"/>
      <c r="R99" s="2516"/>
      <c r="S99" s="2516"/>
      <c r="T99" s="2516"/>
      <c r="U99" s="2516"/>
      <c r="V99" s="2516"/>
      <c r="W99" s="2517"/>
      <c r="X99" s="226"/>
      <c r="Y99" s="226"/>
      <c r="Z99" s="2618"/>
      <c r="AA99" s="2618"/>
      <c r="AB99" s="2618"/>
      <c r="AC99" s="2618"/>
      <c r="AD99" s="2618"/>
      <c r="AE99" s="2618"/>
      <c r="AF99" s="2618"/>
      <c r="AG99" s="2618"/>
      <c r="AH99" s="227"/>
      <c r="AI99" s="2618"/>
      <c r="AJ99" s="2618"/>
      <c r="AK99" s="2618"/>
      <c r="AL99" s="2618"/>
      <c r="AM99" s="2618"/>
      <c r="AN99" s="2618"/>
      <c r="AO99" s="2618"/>
      <c r="AP99" s="2618"/>
      <c r="AQ99" s="2618"/>
      <c r="AR99" s="2618"/>
      <c r="AS99" s="2618"/>
      <c r="AT99" s="2618"/>
      <c r="AU99" s="2618"/>
      <c r="AV99" s="582"/>
      <c r="AW99" s="582"/>
      <c r="AX99" s="577"/>
      <c r="AY99" s="577"/>
      <c r="AZ99" s="577"/>
    </row>
    <row r="100" spans="2:52" ht="16.95" customHeight="1">
      <c r="B100" s="2394"/>
      <c r="C100" s="2395"/>
      <c r="D100" s="2395"/>
      <c r="E100" s="2395"/>
      <c r="F100" s="2395"/>
      <c r="G100" s="2395"/>
      <c r="H100" s="2395"/>
      <c r="I100" s="2395"/>
      <c r="J100" s="2395"/>
      <c r="K100" s="2395"/>
      <c r="L100" s="2395"/>
      <c r="M100" s="2605" t="s">
        <v>3757</v>
      </c>
      <c r="N100" s="2513"/>
      <c r="O100" s="2513"/>
      <c r="P100" s="2513"/>
      <c r="Q100" s="2513"/>
      <c r="R100" s="2513"/>
      <c r="S100" s="2513"/>
      <c r="T100" s="2513"/>
      <c r="U100" s="2513"/>
      <c r="V100" s="2513"/>
      <c r="W100" s="2514"/>
      <c r="X100" s="574"/>
      <c r="Y100" s="574"/>
      <c r="Z100" s="228"/>
      <c r="AA100" s="228"/>
      <c r="AB100" s="228"/>
      <c r="AC100" s="228"/>
      <c r="AD100" s="228"/>
      <c r="AE100" s="228"/>
      <c r="AF100" s="228"/>
      <c r="AG100" s="228"/>
      <c r="AH100" s="228"/>
      <c r="AI100" s="228"/>
      <c r="AJ100" s="228"/>
      <c r="AK100" s="228"/>
      <c r="AL100" s="228"/>
      <c r="AM100" s="228"/>
      <c r="AN100" s="228"/>
      <c r="AO100" s="228"/>
      <c r="AP100" s="228"/>
      <c r="AQ100" s="228"/>
      <c r="AR100" s="228"/>
      <c r="AS100" s="228"/>
      <c r="AT100" s="228"/>
      <c r="AU100" s="228"/>
      <c r="AV100" s="527"/>
      <c r="AW100" s="527"/>
      <c r="AX100" s="577"/>
      <c r="AY100" s="577"/>
      <c r="AZ100" s="577"/>
    </row>
    <row r="101" spans="2:52">
      <c r="B101" s="2397"/>
      <c r="C101" s="2398"/>
      <c r="D101" s="2398"/>
      <c r="E101" s="2398"/>
      <c r="F101" s="2398"/>
      <c r="G101" s="2398"/>
      <c r="H101" s="2398"/>
      <c r="I101" s="2398"/>
      <c r="J101" s="2398"/>
      <c r="K101" s="2398"/>
      <c r="L101" s="2398"/>
      <c r="M101" s="2541"/>
      <c r="N101" s="2053"/>
      <c r="O101" s="2053"/>
      <c r="P101" s="2053"/>
      <c r="Q101" s="2053"/>
      <c r="R101" s="2053"/>
      <c r="S101" s="2053"/>
      <c r="T101" s="2053"/>
      <c r="U101" s="2053"/>
      <c r="V101" s="2053"/>
      <c r="W101" s="2419"/>
      <c r="X101" s="574"/>
      <c r="Y101" s="574"/>
      <c r="Z101" s="228"/>
      <c r="AA101" s="228"/>
      <c r="AB101" s="228"/>
      <c r="AC101" s="228"/>
      <c r="AD101" s="228"/>
      <c r="AE101" s="228"/>
      <c r="AF101" s="228"/>
      <c r="AG101" s="228"/>
      <c r="AH101" s="228"/>
      <c r="AI101" s="228"/>
      <c r="AJ101" s="228"/>
      <c r="AK101" s="228"/>
      <c r="AL101" s="228"/>
      <c r="AM101" s="228"/>
      <c r="AN101" s="228"/>
      <c r="AO101" s="228"/>
      <c r="AP101" s="228"/>
      <c r="AQ101" s="228"/>
      <c r="AR101" s="228"/>
      <c r="AS101" s="228"/>
      <c r="AT101" s="228"/>
      <c r="AU101" s="228"/>
      <c r="AV101" s="527"/>
      <c r="AW101" s="527"/>
      <c r="AX101" s="32"/>
      <c r="AY101" s="32"/>
      <c r="AZ101" s="32"/>
    </row>
    <row r="102" spans="2:52">
      <c r="B102" s="226"/>
      <c r="C102" s="226"/>
      <c r="D102" s="226"/>
      <c r="E102" s="226"/>
      <c r="F102" s="226"/>
      <c r="G102" s="226"/>
      <c r="H102" s="226"/>
      <c r="I102" s="226"/>
      <c r="J102" s="226"/>
      <c r="K102" s="226"/>
      <c r="L102" s="226"/>
      <c r="M102" s="572"/>
      <c r="N102" s="572"/>
      <c r="O102" s="226"/>
      <c r="P102" s="226"/>
      <c r="Q102" s="226"/>
      <c r="R102" s="226"/>
      <c r="S102" s="226"/>
      <c r="T102" s="226"/>
      <c r="U102" s="226"/>
      <c r="V102" s="226"/>
      <c r="W102" s="226"/>
      <c r="X102" s="574"/>
      <c r="Y102" s="574"/>
      <c r="Z102" s="228"/>
      <c r="AA102" s="228"/>
      <c r="AB102" s="228"/>
      <c r="AC102" s="228"/>
      <c r="AD102" s="228"/>
      <c r="AE102" s="228"/>
      <c r="AF102" s="228"/>
      <c r="AG102" s="228"/>
      <c r="AH102" s="228"/>
      <c r="AI102" s="228"/>
      <c r="AJ102" s="228"/>
      <c r="AK102" s="228"/>
      <c r="AL102" s="228"/>
      <c r="AM102" s="228"/>
      <c r="AN102" s="228"/>
      <c r="AO102" s="228"/>
      <c r="AP102" s="228"/>
      <c r="AQ102" s="228"/>
      <c r="AR102" s="228"/>
      <c r="AS102" s="228"/>
      <c r="AT102" s="228"/>
      <c r="AU102" s="228"/>
      <c r="AV102" s="527"/>
      <c r="AW102" s="527"/>
      <c r="AX102" s="32"/>
      <c r="AY102" s="32"/>
      <c r="AZ102" s="32"/>
    </row>
    <row r="103" spans="2:52">
      <c r="B103" s="2358" t="s">
        <v>3758</v>
      </c>
      <c r="C103" s="2359"/>
      <c r="D103" s="2359"/>
      <c r="E103" s="2359"/>
      <c r="F103" s="2359"/>
      <c r="G103" s="2359"/>
      <c r="H103" s="2359"/>
      <c r="I103" s="2359"/>
      <c r="J103" s="2359"/>
      <c r="K103" s="2359"/>
      <c r="L103" s="2359"/>
      <c r="M103" s="2359"/>
      <c r="N103" s="2359"/>
      <c r="O103" s="2359"/>
      <c r="P103" s="2359"/>
      <c r="Q103" s="2359"/>
      <c r="R103" s="2359"/>
      <c r="S103" s="2359"/>
      <c r="T103" s="2359"/>
      <c r="U103" s="2359"/>
      <c r="V103" s="2359"/>
      <c r="W103" s="2359"/>
      <c r="X103" s="2359"/>
      <c r="Y103" s="2359"/>
      <c r="Z103" s="2359"/>
      <c r="AA103" s="2359"/>
      <c r="AB103" s="2359"/>
      <c r="AC103" s="2359"/>
      <c r="AD103" s="2359"/>
      <c r="AE103" s="2359"/>
      <c r="AF103" s="2359"/>
      <c r="AG103" s="2359"/>
      <c r="AH103" s="2359"/>
      <c r="AI103" s="2359"/>
      <c r="AJ103" s="2359"/>
      <c r="AK103" s="2359"/>
      <c r="AL103" s="2359"/>
      <c r="AM103" s="2359"/>
      <c r="AN103" s="2359"/>
      <c r="AO103" s="2359"/>
      <c r="AP103" s="2359"/>
      <c r="AQ103" s="2359"/>
      <c r="AR103" s="2359"/>
      <c r="AS103" s="2359"/>
      <c r="AT103" s="2359"/>
      <c r="AU103" s="2360"/>
      <c r="AV103" s="231"/>
      <c r="AW103" s="527"/>
      <c r="AX103" s="545"/>
      <c r="AY103" s="545"/>
      <c r="AZ103" s="545"/>
    </row>
    <row r="104" spans="2:52">
      <c r="B104" s="2361"/>
      <c r="C104" s="2362"/>
      <c r="D104" s="2362"/>
      <c r="E104" s="2362"/>
      <c r="F104" s="2362"/>
      <c r="G104" s="2362"/>
      <c r="H104" s="2362"/>
      <c r="I104" s="2362"/>
      <c r="J104" s="2362"/>
      <c r="K104" s="2362"/>
      <c r="L104" s="2362"/>
      <c r="M104" s="2362"/>
      <c r="N104" s="2362"/>
      <c r="O104" s="2362"/>
      <c r="P104" s="2362"/>
      <c r="Q104" s="2362"/>
      <c r="R104" s="2362"/>
      <c r="S104" s="2362"/>
      <c r="T104" s="2362"/>
      <c r="U104" s="2362"/>
      <c r="V104" s="2362"/>
      <c r="W104" s="2362"/>
      <c r="X104" s="2362"/>
      <c r="Y104" s="2362"/>
      <c r="Z104" s="2362"/>
      <c r="AA104" s="2362"/>
      <c r="AB104" s="2362"/>
      <c r="AC104" s="2362"/>
      <c r="AD104" s="2362"/>
      <c r="AE104" s="2362"/>
      <c r="AF104" s="2362"/>
      <c r="AG104" s="2362"/>
      <c r="AH104" s="2362"/>
      <c r="AI104" s="2362"/>
      <c r="AJ104" s="2362"/>
      <c r="AK104" s="2362"/>
      <c r="AL104" s="2362"/>
      <c r="AM104" s="2362"/>
      <c r="AN104" s="2362"/>
      <c r="AO104" s="2362"/>
      <c r="AP104" s="2362"/>
      <c r="AQ104" s="2362"/>
      <c r="AR104" s="2362"/>
      <c r="AS104" s="2362"/>
      <c r="AT104" s="2362"/>
      <c r="AU104" s="2363"/>
      <c r="AV104" s="231"/>
      <c r="AW104" s="527"/>
      <c r="AX104" s="545"/>
      <c r="AY104" s="545"/>
      <c r="AZ104" s="545"/>
    </row>
    <row r="105" spans="2:52">
      <c r="B105" s="2364"/>
      <c r="C105" s="2365"/>
      <c r="D105" s="2365"/>
      <c r="E105" s="2365"/>
      <c r="F105" s="2365"/>
      <c r="G105" s="2365"/>
      <c r="H105" s="2365"/>
      <c r="I105" s="2365"/>
      <c r="J105" s="2365"/>
      <c r="K105" s="2365"/>
      <c r="L105" s="2365"/>
      <c r="M105" s="2365"/>
      <c r="N105" s="2365"/>
      <c r="O105" s="2365"/>
      <c r="P105" s="2365"/>
      <c r="Q105" s="2365"/>
      <c r="R105" s="2365"/>
      <c r="S105" s="2365"/>
      <c r="T105" s="2365"/>
      <c r="U105" s="2365"/>
      <c r="V105" s="2365"/>
      <c r="W105" s="2365"/>
      <c r="X105" s="2365"/>
      <c r="Y105" s="2365"/>
      <c r="Z105" s="2365"/>
      <c r="AA105" s="2365"/>
      <c r="AB105" s="2365"/>
      <c r="AC105" s="2365"/>
      <c r="AD105" s="2365"/>
      <c r="AE105" s="2365"/>
      <c r="AF105" s="2365"/>
      <c r="AG105" s="2365"/>
      <c r="AH105" s="2365"/>
      <c r="AI105" s="2365"/>
      <c r="AJ105" s="2365"/>
      <c r="AK105" s="2365"/>
      <c r="AL105" s="2365"/>
      <c r="AM105" s="2365"/>
      <c r="AN105" s="2365"/>
      <c r="AO105" s="2365"/>
      <c r="AP105" s="2365"/>
      <c r="AQ105" s="2365"/>
      <c r="AR105" s="2365"/>
      <c r="AS105" s="2365"/>
      <c r="AT105" s="2365"/>
      <c r="AU105" s="2366"/>
      <c r="AV105" s="231"/>
      <c r="AW105" s="527"/>
      <c r="AX105" s="545"/>
      <c r="AY105" s="545"/>
      <c r="AZ105" s="545"/>
    </row>
    <row r="106" spans="2:52">
      <c r="B106" s="420"/>
      <c r="C106" s="420"/>
      <c r="D106" s="420"/>
      <c r="E106" s="420"/>
      <c r="F106" s="420"/>
      <c r="G106" s="420"/>
      <c r="H106" s="420"/>
      <c r="I106" s="420"/>
      <c r="J106" s="420"/>
      <c r="K106" s="420"/>
      <c r="L106" s="420"/>
      <c r="M106" s="420"/>
      <c r="N106" s="420"/>
      <c r="O106" s="420"/>
      <c r="P106" s="420"/>
      <c r="Q106" s="420"/>
      <c r="R106" s="420"/>
      <c r="S106" s="420"/>
      <c r="T106" s="228"/>
      <c r="U106" s="228"/>
      <c r="V106" s="228"/>
      <c r="W106" s="228"/>
      <c r="X106" s="575"/>
      <c r="Y106" s="574"/>
      <c r="Z106" s="228"/>
      <c r="AA106" s="228"/>
      <c r="AB106" s="228"/>
      <c r="AC106" s="228"/>
      <c r="AD106" s="228"/>
      <c r="AE106" s="228"/>
      <c r="AF106" s="228"/>
      <c r="AG106" s="228"/>
      <c r="AH106" s="228"/>
      <c r="AI106" s="228"/>
      <c r="AJ106" s="228"/>
      <c r="AK106" s="228"/>
      <c r="AL106" s="228"/>
      <c r="AM106" s="228"/>
      <c r="AN106" s="228"/>
      <c r="AO106" s="228"/>
      <c r="AP106" s="228"/>
      <c r="AQ106" s="228"/>
      <c r="AR106" s="228"/>
      <c r="AS106" s="228"/>
      <c r="AT106" s="228"/>
      <c r="AU106" s="228"/>
      <c r="AV106" s="231"/>
      <c r="AW106" s="527"/>
      <c r="AX106" s="545"/>
      <c r="AY106" s="545"/>
      <c r="AZ106" s="545"/>
    </row>
    <row r="107" spans="2:52" ht="18" customHeight="1">
      <c r="B107" s="2552" t="s">
        <v>3759</v>
      </c>
      <c r="C107" s="2553"/>
      <c r="D107" s="2553"/>
      <c r="E107" s="2553"/>
      <c r="F107" s="2553"/>
      <c r="G107" s="2553"/>
      <c r="H107" s="2553"/>
      <c r="I107" s="2553"/>
      <c r="J107" s="2553"/>
      <c r="K107" s="2553"/>
      <c r="L107" s="2553"/>
      <c r="M107" s="2553"/>
      <c r="N107" s="2553"/>
      <c r="O107" s="2553"/>
      <c r="P107" s="2554"/>
      <c r="R107" s="2552" t="s">
        <v>3760</v>
      </c>
      <c r="S107" s="2553"/>
      <c r="T107" s="2553"/>
      <c r="U107" s="2553"/>
      <c r="V107" s="2553"/>
      <c r="W107" s="2553"/>
      <c r="X107" s="2553"/>
      <c r="Y107" s="2553"/>
      <c r="Z107" s="2553"/>
      <c r="AA107" s="2554"/>
      <c r="AB107" s="577"/>
      <c r="AC107" s="2552" t="s">
        <v>3761</v>
      </c>
      <c r="AD107" s="2553"/>
      <c r="AE107" s="2553"/>
      <c r="AF107" s="2553"/>
      <c r="AG107" s="2553"/>
      <c r="AH107" s="2553"/>
      <c r="AI107" s="2553"/>
      <c r="AJ107" s="2553"/>
      <c r="AK107" s="2553"/>
      <c r="AL107" s="2553"/>
      <c r="AM107" s="2554"/>
      <c r="AO107" s="2552" t="s">
        <v>3762</v>
      </c>
      <c r="AP107" s="2553"/>
      <c r="AQ107" s="2553"/>
      <c r="AR107" s="2553"/>
      <c r="AS107" s="2553"/>
      <c r="AT107" s="2553"/>
      <c r="AU107" s="2554"/>
      <c r="AV107" s="577"/>
      <c r="AW107" s="577"/>
      <c r="AX107" s="578"/>
      <c r="AY107" s="578"/>
      <c r="AZ107" s="578"/>
    </row>
    <row r="108" spans="2:52" ht="18" customHeight="1">
      <c r="B108" s="2555"/>
      <c r="C108" s="2556"/>
      <c r="D108" s="2556"/>
      <c r="E108" s="2556"/>
      <c r="F108" s="2556"/>
      <c r="G108" s="2556"/>
      <c r="H108" s="2556"/>
      <c r="I108" s="2556"/>
      <c r="J108" s="2556"/>
      <c r="K108" s="2556"/>
      <c r="L108" s="2556"/>
      <c r="M108" s="2556"/>
      <c r="N108" s="2556"/>
      <c r="O108" s="2556"/>
      <c r="P108" s="2558"/>
      <c r="R108" s="2590"/>
      <c r="S108" s="2591"/>
      <c r="T108" s="2591"/>
      <c r="U108" s="2591"/>
      <c r="V108" s="2591"/>
      <c r="W108" s="2591"/>
      <c r="X108" s="2591"/>
      <c r="Y108" s="2591"/>
      <c r="Z108" s="2591"/>
      <c r="AA108" s="2592"/>
      <c r="AB108" s="577"/>
      <c r="AC108" s="2590"/>
      <c r="AD108" s="2591"/>
      <c r="AE108" s="2591"/>
      <c r="AF108" s="2591"/>
      <c r="AG108" s="2591"/>
      <c r="AH108" s="2591"/>
      <c r="AI108" s="2591"/>
      <c r="AJ108" s="2591"/>
      <c r="AK108" s="2591"/>
      <c r="AL108" s="2591"/>
      <c r="AM108" s="2592"/>
      <c r="AO108" s="2555"/>
      <c r="AP108" s="2556"/>
      <c r="AQ108" s="2556"/>
      <c r="AR108" s="2556"/>
      <c r="AS108" s="2556"/>
      <c r="AT108" s="2556"/>
      <c r="AU108" s="2558"/>
      <c r="AV108" s="577"/>
      <c r="AW108" s="577"/>
      <c r="AX108" s="578"/>
      <c r="AY108" s="578"/>
      <c r="AZ108" s="578"/>
    </row>
    <row r="109" spans="2:52" ht="18" customHeight="1">
      <c r="B109" s="2680" t="s">
        <v>3763</v>
      </c>
      <c r="C109" s="2681"/>
      <c r="D109" s="2681"/>
      <c r="E109" s="2681"/>
      <c r="F109" s="2681"/>
      <c r="G109" s="2681"/>
      <c r="H109" s="2681"/>
      <c r="I109" s="2681"/>
      <c r="J109" s="2681"/>
      <c r="K109" s="2681"/>
      <c r="L109" s="2681"/>
      <c r="M109" s="2681"/>
      <c r="N109" s="2642" t="s">
        <v>3764</v>
      </c>
      <c r="O109" s="2565"/>
      <c r="P109" s="2566"/>
      <c r="R109" s="2564" t="s">
        <v>3765</v>
      </c>
      <c r="S109" s="2565"/>
      <c r="T109" s="2565"/>
      <c r="U109" s="2565"/>
      <c r="V109" s="2565"/>
      <c r="W109" s="2565"/>
      <c r="X109" s="2598" t="s">
        <v>3766</v>
      </c>
      <c r="Y109" s="2599"/>
      <c r="Z109" s="2599"/>
      <c r="AA109" s="2600"/>
      <c r="AB109" s="536"/>
      <c r="AC109" s="2564" t="s">
        <v>3767</v>
      </c>
      <c r="AD109" s="2642"/>
      <c r="AE109" s="2643"/>
      <c r="AF109" s="2643"/>
      <c r="AG109" s="2643"/>
      <c r="AH109" s="2643"/>
      <c r="AI109" s="2644"/>
      <c r="AJ109" s="2601" t="s">
        <v>3766</v>
      </c>
      <c r="AK109" s="2599"/>
      <c r="AL109" s="2599"/>
      <c r="AM109" s="2600"/>
      <c r="AO109" s="2564" t="s">
        <v>3768</v>
      </c>
      <c r="AP109" s="2565"/>
      <c r="AQ109" s="2565"/>
      <c r="AR109" s="2565"/>
      <c r="AS109" s="2565"/>
      <c r="AT109" s="2565"/>
      <c r="AU109" s="2566"/>
      <c r="AV109" s="32"/>
      <c r="AW109" s="32"/>
      <c r="AX109" s="578"/>
      <c r="AY109" s="578"/>
      <c r="AZ109" s="578"/>
    </row>
    <row r="110" spans="2:52" ht="18" customHeight="1">
      <c r="B110" s="2680"/>
      <c r="C110" s="2681"/>
      <c r="D110" s="2681"/>
      <c r="E110" s="2681"/>
      <c r="F110" s="2681"/>
      <c r="G110" s="2681"/>
      <c r="H110" s="2681"/>
      <c r="I110" s="2681"/>
      <c r="J110" s="2681"/>
      <c r="K110" s="2681"/>
      <c r="L110" s="2681"/>
      <c r="M110" s="2681"/>
      <c r="N110" s="2642"/>
      <c r="O110" s="2565"/>
      <c r="P110" s="2566"/>
      <c r="R110" s="2564"/>
      <c r="S110" s="2565"/>
      <c r="T110" s="2565"/>
      <c r="U110" s="2565"/>
      <c r="V110" s="2565"/>
      <c r="W110" s="2565"/>
      <c r="X110" s="2578" t="s">
        <v>3769</v>
      </c>
      <c r="Y110" s="2579"/>
      <c r="Z110" s="2579"/>
      <c r="AA110" s="2580"/>
      <c r="AB110" s="536"/>
      <c r="AC110" s="2564"/>
      <c r="AD110" s="2642"/>
      <c r="AE110" s="2565"/>
      <c r="AF110" s="2565"/>
      <c r="AG110" s="2565"/>
      <c r="AH110" s="2565"/>
      <c r="AI110" s="2644"/>
      <c r="AJ110" s="2643" t="s">
        <v>3770</v>
      </c>
      <c r="AK110" s="2565"/>
      <c r="AL110" s="2565"/>
      <c r="AM110" s="2566"/>
      <c r="AO110" s="2564"/>
      <c r="AP110" s="2565"/>
      <c r="AQ110" s="2565"/>
      <c r="AR110" s="2565"/>
      <c r="AS110" s="2565"/>
      <c r="AT110" s="2565"/>
      <c r="AU110" s="2566"/>
      <c r="AV110" s="32"/>
      <c r="AW110" s="32"/>
      <c r="AX110" s="578"/>
      <c r="AY110" s="578"/>
      <c r="AZ110" s="578"/>
    </row>
    <row r="111" spans="2:52" ht="18" customHeight="1">
      <c r="B111" s="2680"/>
      <c r="C111" s="2681"/>
      <c r="D111" s="2681"/>
      <c r="E111" s="2681"/>
      <c r="F111" s="2681"/>
      <c r="G111" s="2681"/>
      <c r="H111" s="2681"/>
      <c r="I111" s="2681"/>
      <c r="J111" s="2681"/>
      <c r="K111" s="2681"/>
      <c r="L111" s="2681"/>
      <c r="M111" s="2681"/>
      <c r="N111" s="2642"/>
      <c r="O111" s="2565"/>
      <c r="P111" s="2566"/>
      <c r="R111" s="2564"/>
      <c r="S111" s="2565"/>
      <c r="T111" s="2565"/>
      <c r="U111" s="2565"/>
      <c r="V111" s="2565"/>
      <c r="W111" s="2565"/>
      <c r="X111" s="2578"/>
      <c r="Y111" s="2579"/>
      <c r="Z111" s="2579"/>
      <c r="AA111" s="2580"/>
      <c r="AB111" s="536"/>
      <c r="AC111" s="2564"/>
      <c r="AD111" s="2642"/>
      <c r="AE111" s="2565"/>
      <c r="AF111" s="2565"/>
      <c r="AG111" s="2565"/>
      <c r="AH111" s="2565"/>
      <c r="AI111" s="2644"/>
      <c r="AJ111" s="2589"/>
      <c r="AK111" s="2589"/>
      <c r="AL111" s="2589"/>
      <c r="AM111" s="2694"/>
      <c r="AO111" s="2564"/>
      <c r="AP111" s="2565"/>
      <c r="AQ111" s="2565"/>
      <c r="AR111" s="2565"/>
      <c r="AS111" s="2565"/>
      <c r="AT111" s="2565"/>
      <c r="AU111" s="2566"/>
      <c r="AV111" s="545"/>
      <c r="AW111" s="545"/>
      <c r="AX111" s="578"/>
      <c r="AY111" s="578"/>
      <c r="AZ111" s="578"/>
    </row>
    <row r="112" spans="2:52" ht="18" customHeight="1">
      <c r="B112" s="2680"/>
      <c r="C112" s="2681"/>
      <c r="D112" s="2681"/>
      <c r="E112" s="2681"/>
      <c r="F112" s="2681"/>
      <c r="G112" s="2681"/>
      <c r="H112" s="2681"/>
      <c r="I112" s="2681"/>
      <c r="J112" s="2681"/>
      <c r="K112" s="2681"/>
      <c r="L112" s="2681"/>
      <c r="M112" s="2681"/>
      <c r="N112" s="2642"/>
      <c r="O112" s="2565"/>
      <c r="P112" s="2566"/>
      <c r="R112" s="2564"/>
      <c r="S112" s="2565"/>
      <c r="T112" s="2565"/>
      <c r="U112" s="2565"/>
      <c r="V112" s="2565"/>
      <c r="W112" s="2565"/>
      <c r="X112" s="2602" t="s">
        <v>3771</v>
      </c>
      <c r="Y112" s="2603"/>
      <c r="Z112" s="2603"/>
      <c r="AA112" s="2604"/>
      <c r="AB112" s="536"/>
      <c r="AC112" s="2564"/>
      <c r="AD112" s="2642"/>
      <c r="AE112" s="2565"/>
      <c r="AF112" s="2565"/>
      <c r="AG112" s="2565"/>
      <c r="AH112" s="2565"/>
      <c r="AI112" s="2644"/>
      <c r="AJ112" s="2601" t="s">
        <v>3771</v>
      </c>
      <c r="AK112" s="2599"/>
      <c r="AL112" s="2599"/>
      <c r="AM112" s="2600"/>
      <c r="AO112" s="2567" t="s">
        <v>3772</v>
      </c>
      <c r="AP112" s="2568"/>
      <c r="AQ112" s="2568"/>
      <c r="AR112" s="2568"/>
      <c r="AS112" s="2568"/>
      <c r="AT112" s="2568"/>
      <c r="AU112" s="2569"/>
      <c r="AV112" s="545"/>
      <c r="AW112" s="545"/>
      <c r="AX112" s="578"/>
      <c r="AY112" s="578"/>
      <c r="AZ112" s="578"/>
    </row>
    <row r="113" spans="1:52" ht="18" customHeight="1">
      <c r="B113" s="2680"/>
      <c r="C113" s="2681"/>
      <c r="D113" s="2681"/>
      <c r="E113" s="2681"/>
      <c r="F113" s="2681"/>
      <c r="G113" s="2681"/>
      <c r="H113" s="2681"/>
      <c r="I113" s="2681"/>
      <c r="J113" s="2681"/>
      <c r="K113" s="2681"/>
      <c r="L113" s="2681"/>
      <c r="M113" s="2681"/>
      <c r="N113" s="2642"/>
      <c r="O113" s="2565"/>
      <c r="P113" s="2566"/>
      <c r="R113" s="2564"/>
      <c r="S113" s="2565"/>
      <c r="T113" s="2565"/>
      <c r="U113" s="2565"/>
      <c r="V113" s="2565"/>
      <c r="W113" s="2565"/>
      <c r="X113" s="2578" t="s">
        <v>3773</v>
      </c>
      <c r="Y113" s="2579"/>
      <c r="Z113" s="2579"/>
      <c r="AA113" s="2580"/>
      <c r="AB113" s="536"/>
      <c r="AC113" s="2564"/>
      <c r="AD113" s="2642"/>
      <c r="AE113" s="2565"/>
      <c r="AF113" s="2565"/>
      <c r="AG113" s="2565"/>
      <c r="AH113" s="2565"/>
      <c r="AI113" s="2644"/>
      <c r="AJ113" s="2585" t="s">
        <v>3774</v>
      </c>
      <c r="AK113" s="2579"/>
      <c r="AL113" s="2579"/>
      <c r="AM113" s="2580"/>
      <c r="AO113" s="2567"/>
      <c r="AP113" s="2568"/>
      <c r="AQ113" s="2568"/>
      <c r="AR113" s="2568"/>
      <c r="AS113" s="2568"/>
      <c r="AT113" s="2568"/>
      <c r="AU113" s="2569"/>
      <c r="AV113" s="545"/>
      <c r="AW113" s="545"/>
      <c r="AX113" s="578"/>
      <c r="AY113" s="578"/>
      <c r="AZ113" s="578"/>
    </row>
    <row r="114" spans="1:52" ht="18" customHeight="1">
      <c r="A114" s="570"/>
      <c r="B114" s="2680"/>
      <c r="C114" s="2681"/>
      <c r="D114" s="2681"/>
      <c r="E114" s="2681"/>
      <c r="F114" s="2681"/>
      <c r="G114" s="2681"/>
      <c r="H114" s="2681"/>
      <c r="I114" s="2681"/>
      <c r="J114" s="2681"/>
      <c r="K114" s="2681"/>
      <c r="L114" s="2681"/>
      <c r="M114" s="2681"/>
      <c r="N114" s="2642"/>
      <c r="O114" s="2565"/>
      <c r="P114" s="2566"/>
      <c r="R114" s="2588"/>
      <c r="S114" s="2589"/>
      <c r="T114" s="2589"/>
      <c r="U114" s="2589"/>
      <c r="V114" s="2589"/>
      <c r="W114" s="2589"/>
      <c r="X114" s="2581"/>
      <c r="Y114" s="2582"/>
      <c r="Z114" s="2583"/>
      <c r="AA114" s="2584"/>
      <c r="AB114" s="536"/>
      <c r="AC114" s="2588"/>
      <c r="AD114" s="2645"/>
      <c r="AE114" s="2589"/>
      <c r="AF114" s="2589"/>
      <c r="AG114" s="2589"/>
      <c r="AH114" s="2589"/>
      <c r="AI114" s="2646"/>
      <c r="AJ114" s="2586"/>
      <c r="AK114" s="2586"/>
      <c r="AL114" s="2586"/>
      <c r="AM114" s="2587"/>
      <c r="AO114" s="2567"/>
      <c r="AP114" s="2568"/>
      <c r="AQ114" s="2568"/>
      <c r="AR114" s="2568"/>
      <c r="AS114" s="2568"/>
      <c r="AT114" s="2568"/>
      <c r="AU114" s="2569"/>
      <c r="AV114" s="545"/>
      <c r="AW114" s="545"/>
    </row>
    <row r="115" spans="1:52" ht="18" customHeight="1">
      <c r="A115" s="571"/>
      <c r="B115" s="2682"/>
      <c r="C115" s="2683"/>
      <c r="D115" s="2683"/>
      <c r="E115" s="2683"/>
      <c r="F115" s="2683"/>
      <c r="G115" s="2683"/>
      <c r="H115" s="2683"/>
      <c r="I115" s="2683"/>
      <c r="J115" s="2683"/>
      <c r="K115" s="2683"/>
      <c r="L115" s="2683"/>
      <c r="M115" s="2683"/>
      <c r="N115" s="2642"/>
      <c r="O115" s="2565"/>
      <c r="P115" s="2566"/>
      <c r="R115" s="2567" t="s">
        <v>3775</v>
      </c>
      <c r="S115" s="2568"/>
      <c r="T115" s="2568"/>
      <c r="U115" s="2568"/>
      <c r="V115" s="2568"/>
      <c r="W115" s="2568"/>
      <c r="X115" s="2568"/>
      <c r="Y115" s="2568"/>
      <c r="Z115" s="2568"/>
      <c r="AA115" s="2569"/>
      <c r="AB115" s="578"/>
      <c r="AC115" s="2567" t="s">
        <v>3776</v>
      </c>
      <c r="AD115" s="2568"/>
      <c r="AE115" s="2568"/>
      <c r="AF115" s="2568"/>
      <c r="AG115" s="2568"/>
      <c r="AH115" s="2568"/>
      <c r="AI115" s="2568"/>
      <c r="AJ115" s="2568"/>
      <c r="AK115" s="2568"/>
      <c r="AL115" s="2568"/>
      <c r="AM115" s="2569"/>
      <c r="AO115" s="2567"/>
      <c r="AP115" s="2568"/>
      <c r="AQ115" s="2568"/>
      <c r="AR115" s="2568"/>
      <c r="AS115" s="2568"/>
      <c r="AT115" s="2568"/>
      <c r="AU115" s="2569"/>
      <c r="AV115" s="578"/>
      <c r="AW115" s="578"/>
    </row>
    <row r="116" spans="1:52" ht="18" customHeight="1">
      <c r="B116" s="2680" t="s">
        <v>3777</v>
      </c>
      <c r="C116" s="2681"/>
      <c r="D116" s="2681"/>
      <c r="E116" s="2681"/>
      <c r="F116" s="2681"/>
      <c r="G116" s="2681"/>
      <c r="H116" s="2681"/>
      <c r="I116" s="2681"/>
      <c r="J116" s="2681"/>
      <c r="K116" s="2681"/>
      <c r="L116" s="2681"/>
      <c r="M116" s="2681"/>
      <c r="N116" s="2642"/>
      <c r="O116" s="2565"/>
      <c r="P116" s="2566"/>
      <c r="R116" s="2567"/>
      <c r="S116" s="2568"/>
      <c r="T116" s="2568"/>
      <c r="U116" s="2568"/>
      <c r="V116" s="2568"/>
      <c r="W116" s="2568"/>
      <c r="X116" s="2568"/>
      <c r="Y116" s="2568"/>
      <c r="Z116" s="2568"/>
      <c r="AA116" s="2569"/>
      <c r="AB116" s="578"/>
      <c r="AC116" s="2567"/>
      <c r="AD116" s="2568"/>
      <c r="AE116" s="2568"/>
      <c r="AF116" s="2568"/>
      <c r="AG116" s="2568"/>
      <c r="AH116" s="2568"/>
      <c r="AI116" s="2568"/>
      <c r="AJ116" s="2568"/>
      <c r="AK116" s="2568"/>
      <c r="AL116" s="2568"/>
      <c r="AM116" s="2569"/>
      <c r="AO116" s="2567"/>
      <c r="AP116" s="2568"/>
      <c r="AQ116" s="2568"/>
      <c r="AR116" s="2568"/>
      <c r="AS116" s="2568"/>
      <c r="AT116" s="2568"/>
      <c r="AU116" s="2569"/>
      <c r="AV116" s="578"/>
      <c r="AW116" s="578"/>
    </row>
    <row r="117" spans="1:52" ht="18" customHeight="1">
      <c r="B117" s="2680"/>
      <c r="C117" s="2681"/>
      <c r="D117" s="2681"/>
      <c r="E117" s="2681"/>
      <c r="F117" s="2681"/>
      <c r="G117" s="2681"/>
      <c r="H117" s="2681"/>
      <c r="I117" s="2681"/>
      <c r="J117" s="2681"/>
      <c r="K117" s="2681"/>
      <c r="L117" s="2681"/>
      <c r="M117" s="2681"/>
      <c r="N117" s="2642"/>
      <c r="O117" s="2565"/>
      <c r="P117" s="2566"/>
      <c r="R117" s="2567"/>
      <c r="S117" s="2568"/>
      <c r="T117" s="2568"/>
      <c r="U117" s="2568"/>
      <c r="V117" s="2568"/>
      <c r="W117" s="2568"/>
      <c r="X117" s="2568"/>
      <c r="Y117" s="2568"/>
      <c r="Z117" s="2568"/>
      <c r="AA117" s="2569"/>
      <c r="AB117" s="578"/>
      <c r="AC117" s="2567"/>
      <c r="AD117" s="2568"/>
      <c r="AE117" s="2568"/>
      <c r="AF117" s="2568"/>
      <c r="AG117" s="2568"/>
      <c r="AH117" s="2568"/>
      <c r="AI117" s="2568"/>
      <c r="AJ117" s="2568"/>
      <c r="AK117" s="2568"/>
      <c r="AL117" s="2568"/>
      <c r="AM117" s="2569"/>
      <c r="AO117" s="2567"/>
      <c r="AP117" s="2568"/>
      <c r="AQ117" s="2568"/>
      <c r="AR117" s="2568"/>
      <c r="AS117" s="2568"/>
      <c r="AT117" s="2568"/>
      <c r="AU117" s="2569"/>
      <c r="AV117" s="578"/>
      <c r="AW117" s="578"/>
    </row>
    <row r="118" spans="1:52" ht="18" customHeight="1">
      <c r="B118" s="2680"/>
      <c r="C118" s="2681"/>
      <c r="D118" s="2681"/>
      <c r="E118" s="2681"/>
      <c r="F118" s="2681"/>
      <c r="G118" s="2681"/>
      <c r="H118" s="2681"/>
      <c r="I118" s="2681"/>
      <c r="J118" s="2681"/>
      <c r="K118" s="2681"/>
      <c r="L118" s="2681"/>
      <c r="M118" s="2681"/>
      <c r="N118" s="2642"/>
      <c r="O118" s="2565"/>
      <c r="P118" s="2566"/>
      <c r="R118" s="2567"/>
      <c r="S118" s="2568"/>
      <c r="T118" s="2568"/>
      <c r="U118" s="2568"/>
      <c r="V118" s="2568"/>
      <c r="W118" s="2568"/>
      <c r="X118" s="2568"/>
      <c r="Y118" s="2568"/>
      <c r="Z118" s="2568"/>
      <c r="AA118" s="2569"/>
      <c r="AB118" s="578"/>
      <c r="AC118" s="2567"/>
      <c r="AD118" s="2568"/>
      <c r="AE118" s="2568"/>
      <c r="AF118" s="2568"/>
      <c r="AG118" s="2568"/>
      <c r="AH118" s="2568"/>
      <c r="AI118" s="2568"/>
      <c r="AJ118" s="2568"/>
      <c r="AK118" s="2568"/>
      <c r="AL118" s="2568"/>
      <c r="AM118" s="2569"/>
      <c r="AO118" s="2567"/>
      <c r="AP118" s="2568"/>
      <c r="AQ118" s="2568"/>
      <c r="AR118" s="2568"/>
      <c r="AS118" s="2568"/>
      <c r="AT118" s="2568"/>
      <c r="AU118" s="2569"/>
      <c r="AV118" s="578"/>
      <c r="AW118" s="578"/>
    </row>
    <row r="119" spans="1:52" ht="18" customHeight="1">
      <c r="B119" s="2680"/>
      <c r="C119" s="2681"/>
      <c r="D119" s="2681"/>
      <c r="E119" s="2681"/>
      <c r="F119" s="2681"/>
      <c r="G119" s="2681"/>
      <c r="H119" s="2681"/>
      <c r="I119" s="2681"/>
      <c r="J119" s="2681"/>
      <c r="K119" s="2681"/>
      <c r="L119" s="2681"/>
      <c r="M119" s="2681"/>
      <c r="N119" s="2642"/>
      <c r="O119" s="2565"/>
      <c r="P119" s="2566"/>
      <c r="R119" s="2567"/>
      <c r="S119" s="2568"/>
      <c r="T119" s="2568"/>
      <c r="U119" s="2568"/>
      <c r="V119" s="2568"/>
      <c r="W119" s="2568"/>
      <c r="X119" s="2568"/>
      <c r="Y119" s="2568"/>
      <c r="Z119" s="2568"/>
      <c r="AA119" s="2569"/>
      <c r="AB119" s="578"/>
      <c r="AC119" s="2567"/>
      <c r="AD119" s="2568"/>
      <c r="AE119" s="2568"/>
      <c r="AF119" s="2568"/>
      <c r="AG119" s="2568"/>
      <c r="AH119" s="2568"/>
      <c r="AI119" s="2568"/>
      <c r="AJ119" s="2568"/>
      <c r="AK119" s="2568"/>
      <c r="AL119" s="2568"/>
      <c r="AM119" s="2569"/>
      <c r="AO119" s="2567"/>
      <c r="AP119" s="2568"/>
      <c r="AQ119" s="2568"/>
      <c r="AR119" s="2568"/>
      <c r="AS119" s="2568"/>
      <c r="AT119" s="2568"/>
      <c r="AU119" s="2569"/>
      <c r="AV119" s="578"/>
      <c r="AW119" s="578"/>
    </row>
    <row r="120" spans="1:52" ht="18" customHeight="1">
      <c r="B120" s="2680"/>
      <c r="C120" s="2681"/>
      <c r="D120" s="2681"/>
      <c r="E120" s="2681"/>
      <c r="F120" s="2681"/>
      <c r="G120" s="2681"/>
      <c r="H120" s="2681"/>
      <c r="I120" s="2681"/>
      <c r="J120" s="2681"/>
      <c r="K120" s="2681"/>
      <c r="L120" s="2681"/>
      <c r="M120" s="2681"/>
      <c r="N120" s="2642"/>
      <c r="O120" s="2565"/>
      <c r="P120" s="2566"/>
      <c r="R120" s="2567"/>
      <c r="S120" s="2568"/>
      <c r="T120" s="2568"/>
      <c r="U120" s="2568"/>
      <c r="V120" s="2568"/>
      <c r="W120" s="2568"/>
      <c r="X120" s="2568"/>
      <c r="Y120" s="2568"/>
      <c r="Z120" s="2568"/>
      <c r="AA120" s="2569"/>
      <c r="AB120" s="579"/>
      <c r="AC120" s="2567"/>
      <c r="AD120" s="2568"/>
      <c r="AE120" s="2568"/>
      <c r="AF120" s="2568"/>
      <c r="AG120" s="2568"/>
      <c r="AH120" s="2568"/>
      <c r="AI120" s="2568"/>
      <c r="AJ120" s="2568"/>
      <c r="AK120" s="2568"/>
      <c r="AL120" s="2568"/>
      <c r="AM120" s="2569"/>
      <c r="AO120" s="2567"/>
      <c r="AP120" s="2568"/>
      <c r="AQ120" s="2568"/>
      <c r="AR120" s="2568"/>
      <c r="AS120" s="2568"/>
      <c r="AT120" s="2568"/>
      <c r="AU120" s="2569"/>
      <c r="AV120" s="578"/>
      <c r="AW120" s="578"/>
    </row>
    <row r="121" spans="1:52" ht="18" customHeight="1">
      <c r="B121" s="2687"/>
      <c r="C121" s="2688"/>
      <c r="D121" s="2688"/>
      <c r="E121" s="2688"/>
      <c r="F121" s="2688"/>
      <c r="G121" s="2688"/>
      <c r="H121" s="2688"/>
      <c r="I121" s="2688"/>
      <c r="J121" s="2688"/>
      <c r="K121" s="2688"/>
      <c r="L121" s="2688"/>
      <c r="M121" s="2688"/>
      <c r="N121" s="2684"/>
      <c r="O121" s="2685"/>
      <c r="P121" s="2686"/>
      <c r="R121" s="2570"/>
      <c r="S121" s="2571"/>
      <c r="T121" s="2571"/>
      <c r="U121" s="2571"/>
      <c r="V121" s="2571"/>
      <c r="W121" s="2571"/>
      <c r="X121" s="2571"/>
      <c r="Y121" s="2571"/>
      <c r="Z121" s="2571"/>
      <c r="AA121" s="2572"/>
      <c r="AB121" s="575"/>
      <c r="AC121" s="2570"/>
      <c r="AD121" s="2571"/>
      <c r="AE121" s="2571"/>
      <c r="AF121" s="2571"/>
      <c r="AG121" s="2571"/>
      <c r="AH121" s="2571"/>
      <c r="AI121" s="2571"/>
      <c r="AJ121" s="2571"/>
      <c r="AK121" s="2571"/>
      <c r="AL121" s="2571"/>
      <c r="AM121" s="2572"/>
      <c r="AO121" s="2570"/>
      <c r="AP121" s="2571"/>
      <c r="AQ121" s="2571"/>
      <c r="AR121" s="2571"/>
      <c r="AS121" s="2571"/>
      <c r="AT121" s="2571"/>
      <c r="AU121" s="2572"/>
      <c r="AV121" s="578"/>
      <c r="AW121" s="578"/>
    </row>
    <row r="122" spans="1:52" ht="18" customHeight="1">
      <c r="B122" s="197"/>
      <c r="C122" s="197"/>
      <c r="D122" s="197"/>
      <c r="E122" s="197"/>
      <c r="F122" s="197"/>
      <c r="G122" s="197"/>
      <c r="H122" s="197"/>
      <c r="I122" s="197"/>
      <c r="J122" s="197"/>
      <c r="K122" s="197"/>
    </row>
    <row r="123" spans="1:52" ht="18" customHeight="1">
      <c r="B123" s="368"/>
      <c r="C123" s="421"/>
      <c r="D123" s="421"/>
      <c r="E123" s="421"/>
      <c r="F123" s="421"/>
      <c r="G123" s="421"/>
      <c r="H123" s="421"/>
      <c r="I123" s="421"/>
      <c r="J123" s="421"/>
      <c r="K123" s="379"/>
    </row>
    <row r="124" spans="1:52" ht="18" customHeight="1">
      <c r="B124" s="197"/>
      <c r="C124" s="197"/>
      <c r="D124" s="197"/>
      <c r="E124" s="197"/>
      <c r="F124" s="197"/>
      <c r="G124" s="197"/>
      <c r="H124" s="197"/>
      <c r="I124" s="197"/>
      <c r="J124" s="197"/>
      <c r="K124" s="197"/>
      <c r="T124" s="421"/>
      <c r="U124" s="421"/>
    </row>
    <row r="125" spans="1:52" ht="18" customHeight="1">
      <c r="B125" s="197"/>
      <c r="C125" s="197"/>
      <c r="D125" s="197"/>
      <c r="E125" s="197"/>
      <c r="F125" s="197"/>
      <c r="G125" s="197"/>
      <c r="H125" s="197"/>
      <c r="I125" s="197"/>
      <c r="J125" s="197"/>
      <c r="K125" s="197"/>
      <c r="T125" s="421"/>
      <c r="U125" s="421"/>
    </row>
    <row r="126" spans="1:52" ht="18" customHeight="1">
      <c r="B126" s="197"/>
      <c r="C126" s="197"/>
      <c r="D126" s="197"/>
      <c r="E126" s="197"/>
      <c r="F126" s="197"/>
      <c r="G126" s="197"/>
      <c r="H126" s="197"/>
      <c r="I126" s="197"/>
      <c r="J126" s="197"/>
      <c r="K126" s="197"/>
      <c r="T126" s="421"/>
      <c r="U126" s="421"/>
      <c r="AL126" s="421"/>
      <c r="AM126" s="421"/>
      <c r="AN126" s="421"/>
      <c r="AO126" s="421"/>
    </row>
    <row r="127" spans="1:52" ht="18" customHeight="1">
      <c r="B127" s="197"/>
      <c r="C127" s="197"/>
      <c r="D127" s="197"/>
      <c r="E127" s="197"/>
      <c r="F127" s="197"/>
      <c r="G127" s="197"/>
      <c r="H127" s="197"/>
      <c r="I127" s="197"/>
      <c r="J127" s="197"/>
      <c r="K127" s="197"/>
      <c r="T127" s="421"/>
      <c r="U127" s="421"/>
      <c r="AL127" s="421"/>
      <c r="AM127" s="421"/>
      <c r="AN127" s="421"/>
      <c r="AO127" s="421"/>
    </row>
    <row r="128" spans="1:52" ht="18" customHeight="1">
      <c r="B128" s="197"/>
      <c r="C128" s="197"/>
      <c r="D128" s="197"/>
      <c r="E128" s="197"/>
      <c r="F128" s="197"/>
      <c r="G128" s="197"/>
      <c r="H128" s="197"/>
      <c r="I128" s="197"/>
      <c r="J128" s="197"/>
      <c r="K128" s="197"/>
      <c r="T128" s="421"/>
      <c r="U128" s="421"/>
      <c r="AL128" s="421"/>
      <c r="AM128" s="421"/>
      <c r="AN128" s="421"/>
      <c r="AO128" s="421"/>
    </row>
    <row r="129" spans="1:47" ht="18" customHeight="1">
      <c r="B129" s="197"/>
      <c r="C129" s="197"/>
      <c r="D129" s="197"/>
      <c r="E129" s="197"/>
      <c r="F129" s="197"/>
      <c r="G129" s="197"/>
      <c r="H129" s="197"/>
      <c r="I129" s="197"/>
      <c r="J129" s="197"/>
      <c r="K129" s="197"/>
      <c r="T129" s="421"/>
      <c r="U129" s="421"/>
      <c r="AL129" s="421"/>
      <c r="AM129" s="421"/>
      <c r="AN129" s="421"/>
      <c r="AO129" s="421"/>
      <c r="AP129" s="421"/>
      <c r="AQ129" s="421"/>
      <c r="AR129" s="421"/>
      <c r="AS129" s="421"/>
      <c r="AT129" s="421"/>
      <c r="AU129" s="421"/>
    </row>
    <row r="130" spans="1:47" ht="18" customHeight="1">
      <c r="B130" s="197"/>
      <c r="C130" s="197"/>
      <c r="D130" s="197"/>
      <c r="E130" s="197"/>
      <c r="F130" s="197"/>
      <c r="G130" s="197"/>
      <c r="H130" s="197"/>
      <c r="I130" s="197"/>
      <c r="J130" s="197"/>
      <c r="K130" s="197"/>
      <c r="T130" s="421"/>
      <c r="U130" s="421"/>
      <c r="AL130" s="421"/>
      <c r="AM130" s="421"/>
      <c r="AN130" s="421"/>
      <c r="AO130" s="421"/>
      <c r="AP130" s="421"/>
      <c r="AQ130" s="421"/>
      <c r="AR130" s="421"/>
      <c r="AS130" s="421"/>
      <c r="AT130" s="421"/>
      <c r="AU130" s="421"/>
    </row>
    <row r="131" spans="1:47" ht="18" customHeight="1">
      <c r="B131" s="197"/>
      <c r="C131" s="197"/>
      <c r="D131" s="197"/>
      <c r="E131" s="197"/>
      <c r="F131" s="197"/>
      <c r="G131" s="197"/>
      <c r="H131" s="197"/>
      <c r="I131" s="197"/>
      <c r="J131" s="197"/>
      <c r="K131" s="197"/>
      <c r="T131" s="421"/>
      <c r="U131" s="421"/>
      <c r="AL131" s="421"/>
      <c r="AM131" s="421"/>
      <c r="AN131" s="421"/>
      <c r="AO131" s="421"/>
      <c r="AP131" s="421"/>
      <c r="AQ131" s="421"/>
      <c r="AR131" s="421"/>
      <c r="AS131" s="421"/>
      <c r="AT131" s="421"/>
      <c r="AU131" s="421"/>
    </row>
    <row r="132" spans="1:47" ht="18" customHeight="1">
      <c r="B132" s="197"/>
      <c r="C132" s="197"/>
      <c r="D132" s="197"/>
      <c r="E132" s="197"/>
      <c r="F132" s="197"/>
      <c r="G132" s="197"/>
      <c r="H132" s="197"/>
      <c r="I132" s="197"/>
      <c r="J132" s="197"/>
      <c r="K132" s="197"/>
      <c r="T132" s="421"/>
      <c r="U132" s="421"/>
      <c r="AL132" s="421"/>
      <c r="AM132" s="421"/>
      <c r="AN132" s="421"/>
      <c r="AO132" s="421"/>
      <c r="AP132" s="421"/>
      <c r="AQ132" s="421"/>
      <c r="AR132" s="421"/>
      <c r="AS132" s="421"/>
      <c r="AT132" s="421"/>
      <c r="AU132" s="421"/>
    </row>
    <row r="133" spans="1:47" ht="18" customHeight="1">
      <c r="B133" s="197"/>
      <c r="C133" s="197"/>
      <c r="D133" s="197"/>
      <c r="E133" s="197"/>
      <c r="F133" s="197"/>
      <c r="G133" s="197"/>
      <c r="H133" s="197"/>
      <c r="I133" s="197"/>
      <c r="J133" s="197"/>
      <c r="K133" s="197"/>
      <c r="T133" s="421"/>
      <c r="U133" s="421"/>
      <c r="AL133" s="421"/>
      <c r="AM133" s="421"/>
      <c r="AN133" s="421"/>
      <c r="AO133" s="421"/>
      <c r="AP133" s="421"/>
      <c r="AQ133" s="421"/>
      <c r="AR133" s="421"/>
      <c r="AS133" s="421"/>
      <c r="AT133" s="421"/>
      <c r="AU133" s="421"/>
    </row>
    <row r="134" spans="1:47" ht="18" customHeight="1">
      <c r="B134" s="197"/>
      <c r="C134" s="197"/>
      <c r="D134" s="197"/>
      <c r="E134" s="197"/>
      <c r="F134" s="197"/>
      <c r="G134" s="197"/>
      <c r="H134" s="197"/>
      <c r="I134" s="197"/>
      <c r="J134" s="197"/>
      <c r="K134" s="197"/>
      <c r="T134" s="421"/>
      <c r="U134" s="421"/>
      <c r="AL134" s="421"/>
      <c r="AM134" s="421"/>
      <c r="AN134" s="421"/>
      <c r="AO134" s="421"/>
      <c r="AP134" s="421"/>
      <c r="AQ134" s="421"/>
      <c r="AR134" s="421"/>
      <c r="AS134" s="421"/>
      <c r="AT134" s="421"/>
      <c r="AU134" s="421"/>
    </row>
    <row r="135" spans="1:47" ht="18" customHeight="1">
      <c r="B135" s="197"/>
      <c r="C135" s="197"/>
      <c r="D135" s="197"/>
      <c r="E135" s="197"/>
      <c r="F135" s="197"/>
      <c r="G135" s="197"/>
      <c r="H135" s="197"/>
      <c r="I135" s="197"/>
      <c r="J135" s="197"/>
      <c r="K135" s="197"/>
      <c r="T135" s="421"/>
      <c r="U135" s="421"/>
      <c r="AD135" s="421"/>
      <c r="AE135" s="421"/>
      <c r="AF135" s="421"/>
      <c r="AG135" s="421"/>
      <c r="AH135" s="421"/>
      <c r="AI135" s="421"/>
      <c r="AJ135" s="421"/>
      <c r="AK135" s="421"/>
      <c r="AL135" s="421"/>
      <c r="AM135" s="421"/>
      <c r="AN135" s="421"/>
      <c r="AO135" s="421"/>
      <c r="AP135" s="421"/>
      <c r="AQ135" s="421"/>
      <c r="AR135" s="421"/>
      <c r="AS135" s="421"/>
      <c r="AT135" s="421"/>
      <c r="AU135" s="421"/>
    </row>
    <row r="136" spans="1:47" ht="18" customHeight="1">
      <c r="B136" s="197"/>
      <c r="C136" s="197"/>
      <c r="D136" s="197"/>
      <c r="E136" s="197"/>
      <c r="F136" s="197"/>
      <c r="G136" s="197"/>
      <c r="H136" s="197"/>
      <c r="I136" s="197"/>
      <c r="J136" s="197"/>
      <c r="K136" s="197"/>
      <c r="T136" s="421"/>
      <c r="U136" s="421"/>
      <c r="AD136" s="421"/>
      <c r="AE136" s="421"/>
      <c r="AF136" s="421"/>
      <c r="AG136" s="421"/>
      <c r="AH136" s="421"/>
      <c r="AI136" s="421"/>
      <c r="AJ136" s="421"/>
      <c r="AK136" s="421"/>
      <c r="AL136" s="421"/>
      <c r="AM136" s="421"/>
      <c r="AN136" s="421"/>
      <c r="AO136" s="421"/>
      <c r="AP136" s="421"/>
      <c r="AQ136" s="421"/>
      <c r="AR136" s="421"/>
      <c r="AS136" s="421"/>
      <c r="AT136" s="421"/>
      <c r="AU136" s="421"/>
    </row>
    <row r="137" spans="1:47" ht="18" customHeight="1">
      <c r="B137" s="197"/>
      <c r="C137" s="197"/>
      <c r="D137" s="197"/>
      <c r="E137" s="197"/>
      <c r="F137" s="197"/>
      <c r="G137" s="197"/>
      <c r="H137" s="197"/>
      <c r="I137" s="197"/>
      <c r="J137" s="197"/>
      <c r="K137" s="197"/>
      <c r="T137" s="421"/>
      <c r="U137" s="421"/>
      <c r="AD137" s="421"/>
      <c r="AE137" s="421"/>
      <c r="AF137" s="421"/>
      <c r="AG137" s="421"/>
      <c r="AH137" s="421"/>
      <c r="AI137" s="421"/>
      <c r="AJ137" s="421"/>
      <c r="AK137" s="421"/>
      <c r="AL137" s="421"/>
      <c r="AM137" s="421"/>
      <c r="AN137" s="421"/>
      <c r="AO137" s="421"/>
      <c r="AP137" s="421"/>
      <c r="AQ137" s="421"/>
      <c r="AR137" s="421"/>
      <c r="AS137" s="421"/>
      <c r="AT137" s="421"/>
      <c r="AU137" s="421"/>
    </row>
    <row r="138" spans="1:47" ht="18" customHeight="1">
      <c r="B138" s="421"/>
      <c r="C138" s="421"/>
      <c r="D138" s="421"/>
      <c r="E138" s="421"/>
      <c r="F138" s="421"/>
      <c r="G138" s="421"/>
      <c r="H138" s="421"/>
      <c r="I138" s="421"/>
      <c r="J138" s="421"/>
      <c r="K138" s="421"/>
      <c r="L138" s="421"/>
      <c r="M138" s="421"/>
      <c r="N138" s="421"/>
      <c r="O138" s="421"/>
      <c r="P138" s="421"/>
      <c r="Q138" s="421"/>
      <c r="R138" s="421"/>
      <c r="S138" s="421"/>
      <c r="T138" s="421"/>
      <c r="U138" s="421"/>
      <c r="V138" s="421"/>
      <c r="W138" s="421"/>
      <c r="X138" s="421"/>
      <c r="Y138" s="421"/>
      <c r="Z138" s="421"/>
      <c r="AA138" s="421"/>
      <c r="AB138" s="421"/>
      <c r="AC138" s="421"/>
      <c r="AD138" s="421"/>
      <c r="AE138" s="421"/>
      <c r="AF138" s="421"/>
      <c r="AG138" s="421"/>
      <c r="AH138" s="421"/>
      <c r="AI138" s="421"/>
      <c r="AJ138" s="421"/>
      <c r="AK138" s="421"/>
      <c r="AL138" s="421"/>
      <c r="AM138" s="421"/>
      <c r="AN138" s="421"/>
      <c r="AO138" s="421"/>
      <c r="AP138" s="421"/>
      <c r="AQ138" s="421"/>
      <c r="AR138" s="421"/>
      <c r="AS138" s="421"/>
      <c r="AT138" s="421"/>
      <c r="AU138" s="421"/>
    </row>
    <row r="139" spans="1:47" ht="18" customHeight="1">
      <c r="B139" s="421"/>
      <c r="C139" s="421"/>
      <c r="D139" s="421"/>
      <c r="E139" s="421"/>
      <c r="F139" s="421"/>
      <c r="G139" s="421"/>
      <c r="H139" s="421"/>
      <c r="I139" s="421"/>
      <c r="J139" s="421"/>
      <c r="K139" s="421"/>
      <c r="L139" s="421"/>
      <c r="M139" s="421"/>
      <c r="N139" s="421"/>
      <c r="O139" s="421"/>
      <c r="P139" s="421"/>
      <c r="Q139" s="421"/>
      <c r="R139" s="421"/>
      <c r="S139" s="421"/>
      <c r="T139" s="421"/>
      <c r="U139" s="421"/>
      <c r="V139" s="421"/>
      <c r="W139" s="421"/>
      <c r="X139" s="421"/>
      <c r="Y139" s="421"/>
      <c r="Z139" s="421"/>
      <c r="AA139" s="421"/>
      <c r="AB139" s="421"/>
      <c r="AC139" s="421"/>
      <c r="AD139" s="421"/>
      <c r="AE139" s="421"/>
      <c r="AF139" s="421"/>
      <c r="AG139" s="421"/>
      <c r="AH139" s="421"/>
      <c r="AI139" s="421"/>
      <c r="AJ139" s="421"/>
      <c r="AK139" s="421"/>
      <c r="AL139" s="421"/>
      <c r="AM139" s="421"/>
      <c r="AN139" s="421"/>
      <c r="AO139" s="421"/>
      <c r="AP139" s="421"/>
      <c r="AQ139" s="421"/>
      <c r="AR139" s="421"/>
      <c r="AS139" s="421"/>
      <c r="AT139" s="421"/>
      <c r="AU139" s="421"/>
    </row>
    <row r="140" spans="1:47">
      <c r="A140" s="226"/>
      <c r="B140" s="226"/>
      <c r="C140" s="226"/>
      <c r="D140" s="226"/>
      <c r="E140" s="226"/>
      <c r="F140" s="226"/>
      <c r="G140" s="226"/>
      <c r="H140" s="226"/>
      <c r="I140" s="226"/>
      <c r="J140" s="226"/>
      <c r="K140" s="226"/>
      <c r="L140" s="226"/>
      <c r="M140" s="226"/>
      <c r="N140" s="226"/>
      <c r="O140" s="226"/>
      <c r="P140" s="226"/>
      <c r="Q140" s="226"/>
      <c r="R140" s="226"/>
      <c r="S140" s="226"/>
      <c r="T140" s="226"/>
      <c r="U140" s="226"/>
      <c r="V140" s="226"/>
      <c r="W140" s="226"/>
      <c r="X140" s="226"/>
      <c r="Y140" s="226"/>
      <c r="Z140" s="226"/>
      <c r="AA140" s="226"/>
      <c r="AB140" s="226"/>
      <c r="AC140" s="226"/>
      <c r="AD140" s="226"/>
      <c r="AE140" s="226"/>
      <c r="AF140" s="226"/>
      <c r="AG140" s="226"/>
      <c r="AH140" s="226"/>
      <c r="AI140" s="226"/>
      <c r="AJ140" s="226"/>
      <c r="AK140" s="226"/>
      <c r="AL140" s="226"/>
      <c r="AM140" s="226"/>
      <c r="AN140" s="226"/>
      <c r="AO140" s="226"/>
      <c r="AP140" s="226"/>
      <c r="AQ140" s="226"/>
      <c r="AR140" s="226"/>
      <c r="AS140" s="226"/>
      <c r="AT140" s="226"/>
      <c r="AU140" s="226"/>
    </row>
    <row r="141" spans="1:47">
      <c r="A141" s="571"/>
      <c r="B141" s="226"/>
      <c r="C141" s="226"/>
      <c r="D141" s="226"/>
      <c r="E141" s="226"/>
      <c r="F141" s="226"/>
      <c r="G141" s="226"/>
      <c r="H141" s="226"/>
      <c r="I141" s="226"/>
      <c r="J141" s="226"/>
      <c r="K141" s="226"/>
      <c r="L141" s="226"/>
      <c r="M141" s="226"/>
      <c r="N141" s="226"/>
      <c r="O141" s="226"/>
      <c r="P141" s="226"/>
      <c r="Q141" s="226"/>
      <c r="R141" s="226"/>
      <c r="S141" s="226"/>
      <c r="T141" s="226"/>
      <c r="U141" s="226"/>
      <c r="V141" s="226"/>
      <c r="W141" s="226"/>
      <c r="X141" s="226"/>
      <c r="Y141" s="226"/>
      <c r="Z141" s="226"/>
      <c r="AA141" s="226"/>
      <c r="AB141" s="226"/>
      <c r="AC141" s="226"/>
      <c r="AD141" s="226"/>
      <c r="AE141" s="226"/>
      <c r="AF141" s="226"/>
      <c r="AG141" s="226"/>
      <c r="AH141" s="226"/>
      <c r="AI141" s="226"/>
      <c r="AJ141" s="226"/>
      <c r="AK141" s="226"/>
      <c r="AL141" s="226"/>
      <c r="AM141" s="226"/>
      <c r="AN141" s="226"/>
      <c r="AO141" s="226"/>
      <c r="AP141" s="226"/>
      <c r="AQ141" s="226"/>
      <c r="AR141" s="226"/>
      <c r="AS141" s="226"/>
      <c r="AT141" s="226"/>
      <c r="AU141" s="226"/>
    </row>
    <row r="142" spans="1:47">
      <c r="A142" s="571"/>
      <c r="B142" s="226"/>
      <c r="C142" s="226"/>
      <c r="D142" s="226"/>
      <c r="E142" s="226"/>
      <c r="F142" s="226"/>
      <c r="G142" s="226"/>
      <c r="H142" s="226"/>
      <c r="I142" s="226"/>
      <c r="J142" s="226"/>
      <c r="K142" s="226"/>
      <c r="L142" s="226"/>
      <c r="M142" s="226"/>
      <c r="N142" s="226"/>
      <c r="O142" s="226"/>
      <c r="P142" s="226"/>
      <c r="Q142" s="226"/>
      <c r="R142" s="226"/>
      <c r="S142" s="226"/>
      <c r="T142" s="226"/>
      <c r="U142" s="226"/>
      <c r="V142" s="226"/>
      <c r="W142" s="226"/>
      <c r="X142" s="226"/>
      <c r="Y142" s="226"/>
      <c r="Z142" s="226"/>
      <c r="AA142" s="226"/>
      <c r="AB142" s="226"/>
      <c r="AC142" s="226"/>
      <c r="AD142" s="226"/>
      <c r="AE142" s="226"/>
      <c r="AF142" s="226"/>
      <c r="AG142" s="226"/>
      <c r="AH142" s="226"/>
      <c r="AI142" s="226"/>
      <c r="AJ142" s="226"/>
      <c r="AK142" s="226"/>
      <c r="AL142" s="226"/>
      <c r="AM142" s="226"/>
      <c r="AN142" s="226"/>
      <c r="AO142" s="226"/>
      <c r="AP142" s="226"/>
      <c r="AQ142" s="226"/>
      <c r="AR142" s="226"/>
      <c r="AS142" s="226"/>
      <c r="AT142" s="226"/>
      <c r="AU142" s="226"/>
    </row>
    <row r="143" spans="1:47">
      <c r="A143" s="571"/>
      <c r="B143" s="226"/>
      <c r="C143" s="226"/>
      <c r="D143" s="226"/>
      <c r="E143" s="226"/>
      <c r="F143" s="226"/>
      <c r="G143" s="226"/>
      <c r="H143" s="226"/>
      <c r="I143" s="226"/>
      <c r="J143" s="226"/>
      <c r="K143" s="226"/>
      <c r="L143" s="226"/>
      <c r="M143" s="226"/>
      <c r="N143" s="226"/>
      <c r="O143" s="226"/>
      <c r="P143" s="226"/>
      <c r="Q143" s="226"/>
      <c r="R143" s="226"/>
      <c r="S143" s="226"/>
      <c r="T143" s="226"/>
      <c r="U143" s="226"/>
      <c r="V143" s="226"/>
      <c r="W143" s="226"/>
      <c r="X143" s="226"/>
      <c r="Y143" s="226"/>
      <c r="Z143" s="226"/>
      <c r="AA143" s="226"/>
      <c r="AB143" s="226"/>
      <c r="AC143" s="226"/>
      <c r="AD143" s="226"/>
      <c r="AE143" s="226"/>
      <c r="AF143" s="226"/>
      <c r="AG143" s="226"/>
      <c r="AH143" s="226"/>
      <c r="AI143" s="226"/>
      <c r="AJ143" s="226"/>
      <c r="AK143" s="226"/>
      <c r="AL143" s="226"/>
      <c r="AM143" s="226"/>
      <c r="AN143" s="226"/>
      <c r="AO143" s="226"/>
      <c r="AP143" s="226"/>
      <c r="AQ143" s="226"/>
      <c r="AR143" s="226"/>
      <c r="AS143" s="226"/>
      <c r="AT143" s="226"/>
      <c r="AU143" s="226"/>
    </row>
    <row r="144" spans="1:47">
      <c r="A144" s="571"/>
      <c r="B144" s="226"/>
      <c r="C144" s="226"/>
      <c r="D144" s="226"/>
      <c r="E144" s="226"/>
      <c r="F144" s="226"/>
      <c r="G144" s="226"/>
      <c r="H144" s="226"/>
      <c r="I144" s="226"/>
      <c r="J144" s="226"/>
      <c r="K144" s="226"/>
      <c r="L144" s="226"/>
      <c r="M144" s="226"/>
      <c r="N144" s="226"/>
      <c r="O144" s="226"/>
      <c r="P144" s="226"/>
      <c r="Q144" s="226"/>
      <c r="R144" s="226"/>
      <c r="S144" s="226"/>
      <c r="T144" s="226"/>
      <c r="U144" s="226"/>
      <c r="V144" s="226"/>
      <c r="W144" s="226"/>
      <c r="X144" s="226"/>
      <c r="Y144" s="226"/>
      <c r="Z144" s="226"/>
      <c r="AA144" s="226"/>
      <c r="AB144" s="226"/>
      <c r="AC144" s="226"/>
      <c r="AD144" s="226"/>
      <c r="AE144" s="226"/>
      <c r="AF144" s="226"/>
      <c r="AG144" s="226"/>
      <c r="AH144" s="226"/>
      <c r="AI144" s="226"/>
      <c r="AJ144" s="226"/>
      <c r="AK144" s="226"/>
      <c r="AL144" s="226"/>
      <c r="AM144" s="226"/>
      <c r="AN144" s="226"/>
      <c r="AO144" s="226"/>
      <c r="AP144" s="226"/>
      <c r="AQ144" s="226"/>
      <c r="AR144" s="226"/>
      <c r="AS144" s="226"/>
      <c r="AT144" s="226"/>
      <c r="AU144" s="226"/>
    </row>
    <row r="145" spans="1:47">
      <c r="A145" s="571"/>
      <c r="B145" s="226"/>
      <c r="C145" s="226"/>
      <c r="D145" s="226"/>
      <c r="E145" s="226"/>
      <c r="F145" s="226"/>
      <c r="G145" s="226"/>
      <c r="H145" s="226"/>
      <c r="I145" s="226"/>
      <c r="J145" s="226"/>
      <c r="K145" s="226"/>
      <c r="L145" s="226"/>
      <c r="M145" s="226"/>
      <c r="N145" s="226"/>
      <c r="O145" s="226"/>
      <c r="P145" s="226"/>
      <c r="Q145" s="226"/>
      <c r="R145" s="226"/>
      <c r="S145" s="226"/>
      <c r="T145" s="226"/>
      <c r="U145" s="226"/>
      <c r="V145" s="226"/>
      <c r="W145" s="226"/>
      <c r="X145" s="226"/>
      <c r="Y145" s="226"/>
      <c r="Z145" s="226"/>
      <c r="AA145" s="226"/>
      <c r="AB145" s="226"/>
      <c r="AC145" s="226"/>
      <c r="AD145" s="226"/>
      <c r="AE145" s="226"/>
      <c r="AF145" s="226"/>
      <c r="AG145" s="226"/>
      <c r="AH145" s="226"/>
      <c r="AI145" s="226"/>
      <c r="AJ145" s="226"/>
      <c r="AK145" s="226"/>
      <c r="AL145" s="226"/>
      <c r="AM145" s="226"/>
      <c r="AN145" s="226"/>
      <c r="AO145" s="226"/>
      <c r="AP145" s="226"/>
      <c r="AQ145" s="226"/>
      <c r="AR145" s="226"/>
      <c r="AS145" s="226"/>
      <c r="AT145" s="226"/>
      <c r="AU145" s="226"/>
    </row>
    <row r="146" spans="1:47">
      <c r="A146" s="571"/>
      <c r="B146" s="226"/>
      <c r="C146" s="226"/>
      <c r="D146" s="226"/>
      <c r="E146" s="226"/>
      <c r="F146" s="226"/>
      <c r="G146" s="226"/>
      <c r="H146" s="226"/>
      <c r="I146" s="226"/>
      <c r="J146" s="226"/>
      <c r="K146" s="226"/>
      <c r="L146" s="226"/>
      <c r="M146" s="226"/>
      <c r="N146" s="226"/>
      <c r="O146" s="226"/>
      <c r="P146" s="226"/>
      <c r="Q146" s="226"/>
      <c r="R146" s="226"/>
      <c r="S146" s="226"/>
      <c r="T146" s="226"/>
      <c r="U146" s="226"/>
      <c r="V146" s="226"/>
      <c r="W146" s="226"/>
      <c r="X146" s="226"/>
      <c r="Y146" s="226"/>
      <c r="Z146" s="226"/>
      <c r="AA146" s="226"/>
      <c r="AB146" s="226"/>
      <c r="AC146" s="226"/>
      <c r="AD146" s="226"/>
      <c r="AE146" s="226"/>
      <c r="AF146" s="226"/>
      <c r="AG146" s="226"/>
      <c r="AH146" s="226"/>
      <c r="AI146" s="226"/>
      <c r="AJ146" s="226"/>
      <c r="AK146" s="226"/>
      <c r="AL146" s="226"/>
      <c r="AM146" s="226"/>
      <c r="AN146" s="226"/>
      <c r="AO146" s="226"/>
      <c r="AP146" s="226"/>
      <c r="AQ146" s="226"/>
      <c r="AR146" s="226"/>
      <c r="AS146" s="226"/>
      <c r="AT146" s="226"/>
      <c r="AU146" s="226"/>
    </row>
    <row r="147" spans="1:47">
      <c r="A147" s="571"/>
      <c r="B147" s="226"/>
      <c r="C147" s="226"/>
      <c r="D147" s="226"/>
      <c r="E147" s="226"/>
      <c r="F147" s="226"/>
      <c r="G147" s="226"/>
      <c r="H147" s="226"/>
      <c r="I147" s="226"/>
      <c r="J147" s="226"/>
      <c r="K147" s="226"/>
      <c r="L147" s="226"/>
      <c r="M147" s="226"/>
      <c r="N147" s="226"/>
      <c r="O147" s="226"/>
      <c r="P147" s="226"/>
      <c r="Q147" s="226"/>
      <c r="R147" s="226"/>
      <c r="S147" s="226"/>
      <c r="T147" s="226"/>
      <c r="U147" s="226"/>
      <c r="V147" s="226"/>
      <c r="W147" s="226"/>
      <c r="X147" s="226"/>
      <c r="Y147" s="226"/>
      <c r="Z147" s="226"/>
      <c r="AA147" s="226"/>
      <c r="AB147" s="226"/>
      <c r="AC147" s="226"/>
      <c r="AD147" s="226"/>
      <c r="AE147" s="226"/>
      <c r="AF147" s="226"/>
      <c r="AG147" s="226"/>
      <c r="AH147" s="226"/>
      <c r="AI147" s="226"/>
      <c r="AJ147" s="226"/>
      <c r="AK147" s="226"/>
      <c r="AL147" s="226"/>
      <c r="AM147" s="226"/>
      <c r="AN147" s="226"/>
      <c r="AO147" s="226"/>
      <c r="AP147" s="226"/>
      <c r="AQ147" s="226"/>
      <c r="AR147" s="226"/>
      <c r="AS147" s="226"/>
      <c r="AT147" s="226"/>
      <c r="AU147" s="226"/>
    </row>
    <row r="148" spans="1:47">
      <c r="A148" s="571"/>
      <c r="B148" s="226"/>
      <c r="C148" s="226"/>
      <c r="D148" s="226"/>
    </row>
    <row r="149" spans="1:47">
      <c r="A149" s="571"/>
      <c r="B149" s="226"/>
      <c r="C149" s="226"/>
      <c r="D149" s="226"/>
    </row>
    <row r="150" spans="1:47">
      <c r="A150" s="571"/>
      <c r="B150" s="226"/>
      <c r="C150" s="226"/>
      <c r="D150" s="226"/>
    </row>
    <row r="151" spans="1:47">
      <c r="A151" s="571"/>
      <c r="B151" s="226"/>
      <c r="C151" s="226"/>
      <c r="D151" s="226"/>
    </row>
    <row r="152" spans="1:47">
      <c r="B152" s="226"/>
      <c r="C152" s="226"/>
      <c r="D152" s="226"/>
    </row>
    <row r="153" spans="1:47">
      <c r="B153" s="226"/>
      <c r="C153" s="226"/>
      <c r="D153" s="226"/>
    </row>
    <row r="154" spans="1:47">
      <c r="B154" s="226"/>
      <c r="C154" s="226"/>
      <c r="D154" s="226"/>
    </row>
    <row r="155" spans="1:47">
      <c r="B155" s="226"/>
      <c r="C155" s="226"/>
      <c r="D155" s="226"/>
    </row>
    <row r="156" spans="1:47">
      <c r="B156" s="226"/>
      <c r="C156" s="226"/>
      <c r="D156" s="226"/>
    </row>
    <row r="157" spans="1:47">
      <c r="B157" s="226"/>
      <c r="C157" s="226"/>
      <c r="D157" s="226"/>
    </row>
    <row r="158" spans="1:47">
      <c r="B158" s="226"/>
      <c r="C158" s="226"/>
      <c r="D158" s="226"/>
    </row>
    <row r="159" spans="1:47">
      <c r="B159" s="226"/>
      <c r="C159" s="226"/>
      <c r="D159" s="226"/>
    </row>
    <row r="160" spans="1:47">
      <c r="B160" s="226"/>
      <c r="C160" s="226"/>
      <c r="D160" s="226"/>
    </row>
    <row r="161" spans="2:4">
      <c r="B161" s="226"/>
      <c r="C161" s="226"/>
      <c r="D161" s="226"/>
    </row>
    <row r="162" spans="2:4">
      <c r="B162" s="226"/>
      <c r="C162" s="226"/>
      <c r="D162" s="226"/>
    </row>
    <row r="163" spans="2:4">
      <c r="B163" s="226"/>
      <c r="C163" s="226"/>
      <c r="D163" s="226"/>
    </row>
    <row r="164" spans="2:4">
      <c r="B164" s="226"/>
      <c r="C164" s="226"/>
      <c r="D164" s="226"/>
    </row>
    <row r="165" spans="2:4">
      <c r="B165" s="226"/>
      <c r="C165" s="226"/>
      <c r="D165" s="226"/>
    </row>
    <row r="166" spans="2:4">
      <c r="B166" s="226"/>
      <c r="C166" s="226"/>
      <c r="D166" s="226"/>
    </row>
    <row r="167" spans="2:4">
      <c r="B167" s="226"/>
      <c r="C167" s="226"/>
      <c r="D167" s="226"/>
    </row>
    <row r="168" spans="2:4">
      <c r="B168" s="226"/>
      <c r="C168" s="226"/>
      <c r="D168" s="226"/>
    </row>
    <row r="169" spans="2:4">
      <c r="B169" s="226"/>
      <c r="C169" s="226"/>
      <c r="D169" s="226"/>
    </row>
    <row r="170" spans="2:4">
      <c r="B170" s="226"/>
      <c r="C170" s="226"/>
      <c r="D170" s="226"/>
    </row>
    <row r="171" spans="2:4">
      <c r="B171" s="226"/>
      <c r="C171" s="226"/>
      <c r="D171" s="226"/>
    </row>
    <row r="180" spans="47:47">
      <c r="AU180" s="226"/>
    </row>
    <row r="181" spans="47:47">
      <c r="AU181" s="226"/>
    </row>
    <row r="182" spans="47:47">
      <c r="AU182" s="226"/>
    </row>
    <row r="183" spans="47:47">
      <c r="AU183" s="226"/>
    </row>
    <row r="184" spans="47:47">
      <c r="AU184" s="226"/>
    </row>
    <row r="185" spans="47:47">
      <c r="AU185" s="226"/>
    </row>
    <row r="186" spans="47:47">
      <c r="AU186" s="226"/>
    </row>
    <row r="187" spans="47:47">
      <c r="AU187" s="226"/>
    </row>
    <row r="188" spans="47:47">
      <c r="AU188" s="226"/>
    </row>
    <row r="189" spans="47:47">
      <c r="AU189" s="226"/>
    </row>
    <row r="190" spans="47:47">
      <c r="AU190" s="226"/>
    </row>
    <row r="191" spans="47:47">
      <c r="AU191" s="226"/>
    </row>
    <row r="192" spans="47:47">
      <c r="AU192" s="226"/>
    </row>
  </sheetData>
  <sheetProtection password="D857" sheet="1" objects="1"/>
  <mergeCells count="316">
    <mergeCell ref="B2:AW2"/>
    <mergeCell ref="B3:G3"/>
    <mergeCell ref="H3:M3"/>
    <mergeCell ref="N3:S3"/>
    <mergeCell ref="T3:Y3"/>
    <mergeCell ref="Z3:AE3"/>
    <mergeCell ref="AF3:AK3"/>
    <mergeCell ref="AL3:AQ3"/>
    <mergeCell ref="AR3:AW3"/>
    <mergeCell ref="K66:L66"/>
    <mergeCell ref="M66:N66"/>
    <mergeCell ref="O66:Q66"/>
    <mergeCell ref="H67:J67"/>
    <mergeCell ref="K67:L67"/>
    <mergeCell ref="M67:N67"/>
    <mergeCell ref="O67:Q67"/>
    <mergeCell ref="B7:AW7"/>
    <mergeCell ref="B8:G8"/>
    <mergeCell ref="H8:M8"/>
    <mergeCell ref="N8:S8"/>
    <mergeCell ref="T8:Y8"/>
    <mergeCell ref="Z8:AE8"/>
    <mergeCell ref="AF8:AK8"/>
    <mergeCell ref="AL8:AQ8"/>
    <mergeCell ref="AR8:AW8"/>
    <mergeCell ref="Z40:AE43"/>
    <mergeCell ref="AF40:AK43"/>
    <mergeCell ref="AL40:AQ43"/>
    <mergeCell ref="AR40:AW43"/>
    <mergeCell ref="N40:S43"/>
    <mergeCell ref="T40:Y43"/>
    <mergeCell ref="O65:R65"/>
    <mergeCell ref="B9:B10"/>
    <mergeCell ref="M72:N72"/>
    <mergeCell ref="O72:Q72"/>
    <mergeCell ref="H73:J73"/>
    <mergeCell ref="K73:L73"/>
    <mergeCell ref="M73:N73"/>
    <mergeCell ref="O73:Q73"/>
    <mergeCell ref="B107:P108"/>
    <mergeCell ref="B103:AU105"/>
    <mergeCell ref="Z90:AU91"/>
    <mergeCell ref="Z98:AG99"/>
    <mergeCell ref="A27:A31"/>
    <mergeCell ref="A32:A35"/>
    <mergeCell ref="A36:A39"/>
    <mergeCell ref="A40:A43"/>
    <mergeCell ref="A44:A84"/>
    <mergeCell ref="B40:G43"/>
    <mergeCell ref="H40:M43"/>
    <mergeCell ref="M68:N68"/>
    <mergeCell ref="H65:J65"/>
    <mergeCell ref="K65:L65"/>
    <mergeCell ref="M65:N65"/>
    <mergeCell ref="H66:J66"/>
    <mergeCell ref="F74:N75"/>
    <mergeCell ref="H58:M61"/>
    <mergeCell ref="N54:P57"/>
    <mergeCell ref="K49:P51"/>
    <mergeCell ref="F65:G73"/>
    <mergeCell ref="B36:G39"/>
    <mergeCell ref="H71:J71"/>
    <mergeCell ref="K71:L71"/>
    <mergeCell ref="M71:N71"/>
    <mergeCell ref="O71:Q71"/>
    <mergeCell ref="H72:J72"/>
    <mergeCell ref="K72:L72"/>
    <mergeCell ref="O68:Q68"/>
    <mergeCell ref="H69:J69"/>
    <mergeCell ref="K69:L69"/>
    <mergeCell ref="M69:N69"/>
    <mergeCell ref="O69:Q69"/>
    <mergeCell ref="H70:J70"/>
    <mergeCell ref="K70:L70"/>
    <mergeCell ref="M70:N70"/>
    <mergeCell ref="O70:Q70"/>
    <mergeCell ref="H68:J68"/>
    <mergeCell ref="K68:L68"/>
    <mergeCell ref="B11:B12"/>
    <mergeCell ref="B13:B14"/>
    <mergeCell ref="B15:B16"/>
    <mergeCell ref="B17:B18"/>
    <mergeCell ref="B19:B20"/>
    <mergeCell ref="B21:B22"/>
    <mergeCell ref="B25:B26"/>
    <mergeCell ref="H9:H10"/>
    <mergeCell ref="H11:H12"/>
    <mergeCell ref="H13:H14"/>
    <mergeCell ref="H15:H16"/>
    <mergeCell ref="H17:H18"/>
    <mergeCell ref="H19:H20"/>
    <mergeCell ref="H21:H22"/>
    <mergeCell ref="H23:H24"/>
    <mergeCell ref="H25:H26"/>
    <mergeCell ref="C19:G20"/>
    <mergeCell ref="C9:G10"/>
    <mergeCell ref="C11:G12"/>
    <mergeCell ref="C25:G26"/>
    <mergeCell ref="N9:N10"/>
    <mergeCell ref="N11:N12"/>
    <mergeCell ref="N13:N14"/>
    <mergeCell ref="N15:N16"/>
    <mergeCell ref="N17:N18"/>
    <mergeCell ref="N19:N20"/>
    <mergeCell ref="N21:N22"/>
    <mergeCell ref="N23:N24"/>
    <mergeCell ref="N25:N26"/>
    <mergeCell ref="T9:T10"/>
    <mergeCell ref="T11:T12"/>
    <mergeCell ref="T13:T14"/>
    <mergeCell ref="T15:T16"/>
    <mergeCell ref="T17:T18"/>
    <mergeCell ref="T19:T20"/>
    <mergeCell ref="T21:T22"/>
    <mergeCell ref="T23:T24"/>
    <mergeCell ref="T25:T26"/>
    <mergeCell ref="Z9:Z10"/>
    <mergeCell ref="Z11:Z12"/>
    <mergeCell ref="Z13:Z14"/>
    <mergeCell ref="Z15:Z16"/>
    <mergeCell ref="Z17:Z18"/>
    <mergeCell ref="Z19:Z20"/>
    <mergeCell ref="Z21:Z22"/>
    <mergeCell ref="Z23:Z24"/>
    <mergeCell ref="Z25:Z26"/>
    <mergeCell ref="I23:M24"/>
    <mergeCell ref="AM23:AQ24"/>
    <mergeCell ref="AA25:AE26"/>
    <mergeCell ref="AG19:AK20"/>
    <mergeCell ref="O21:S22"/>
    <mergeCell ref="AS21:AW22"/>
    <mergeCell ref="U15:Y16"/>
    <mergeCell ref="U21:Y22"/>
    <mergeCell ref="I13:M14"/>
    <mergeCell ref="AM13:AQ14"/>
    <mergeCell ref="O13:S14"/>
    <mergeCell ref="AS13:AW14"/>
    <mergeCell ref="AR13:AR14"/>
    <mergeCell ref="AR15:AR16"/>
    <mergeCell ref="AR17:AR18"/>
    <mergeCell ref="AR19:AR20"/>
    <mergeCell ref="AR21:AR22"/>
    <mergeCell ref="AR23:AR24"/>
    <mergeCell ref="AR25:AR26"/>
    <mergeCell ref="AL13:AL14"/>
    <mergeCell ref="AL15:AL16"/>
    <mergeCell ref="AL17:AL18"/>
    <mergeCell ref="AL19:AL20"/>
    <mergeCell ref="AL21:AL22"/>
    <mergeCell ref="R115:AA121"/>
    <mergeCell ref="B4:G5"/>
    <mergeCell ref="H4:M5"/>
    <mergeCell ref="N4:S5"/>
    <mergeCell ref="T4:Y5"/>
    <mergeCell ref="Z4:AE5"/>
    <mergeCell ref="AF4:AK5"/>
    <mergeCell ref="AL4:AQ5"/>
    <mergeCell ref="AR4:AW5"/>
    <mergeCell ref="AL54:AQ56"/>
    <mergeCell ref="O9:S10"/>
    <mergeCell ref="AS9:AW10"/>
    <mergeCell ref="B27:G31"/>
    <mergeCell ref="H27:M31"/>
    <mergeCell ref="N27:S31"/>
    <mergeCell ref="T27:Y31"/>
    <mergeCell ref="Z27:AE31"/>
    <mergeCell ref="AF27:AK31"/>
    <mergeCell ref="AC109:AI114"/>
    <mergeCell ref="W64:AJ66"/>
    <mergeCell ref="T49:Y51"/>
    <mergeCell ref="AF49:AK51"/>
    <mergeCell ref="AL49:AQ51"/>
    <mergeCell ref="AR49:AW51"/>
    <mergeCell ref="AF36:AK39"/>
    <mergeCell ref="AL36:AQ39"/>
    <mergeCell ref="AR36:AW39"/>
    <mergeCell ref="W76:AJ78"/>
    <mergeCell ref="U64:V66"/>
    <mergeCell ref="AI98:AU99"/>
    <mergeCell ref="W67:AJ69"/>
    <mergeCell ref="U67:V69"/>
    <mergeCell ref="AN66:AW69"/>
    <mergeCell ref="U76:V78"/>
    <mergeCell ref="AL44:AQ46"/>
    <mergeCell ref="AR44:AW46"/>
    <mergeCell ref="W79:AJ81"/>
    <mergeCell ref="X113:AA114"/>
    <mergeCell ref="AJ113:AM114"/>
    <mergeCell ref="R109:W114"/>
    <mergeCell ref="R107:AA108"/>
    <mergeCell ref="Z92:AU92"/>
    <mergeCell ref="X109:AA109"/>
    <mergeCell ref="AJ109:AM109"/>
    <mergeCell ref="X112:AA112"/>
    <mergeCell ref="AJ112:AM112"/>
    <mergeCell ref="M100:W101"/>
    <mergeCell ref="AC107:AM108"/>
    <mergeCell ref="AO112:AU121"/>
    <mergeCell ref="B109:M115"/>
    <mergeCell ref="AO107:AU108"/>
    <mergeCell ref="N109:P121"/>
    <mergeCell ref="B116:M121"/>
    <mergeCell ref="X110:AA111"/>
    <mergeCell ref="AJ110:AM111"/>
    <mergeCell ref="C17:G18"/>
    <mergeCell ref="AG17:AK18"/>
    <mergeCell ref="C15:G16"/>
    <mergeCell ref="AG15:AK16"/>
    <mergeCell ref="I11:M12"/>
    <mergeCell ref="AM11:AQ12"/>
    <mergeCell ref="I19:M20"/>
    <mergeCell ref="AM19:AQ20"/>
    <mergeCell ref="AA17:AE18"/>
    <mergeCell ref="O15:S16"/>
    <mergeCell ref="I15:M16"/>
    <mergeCell ref="AM15:AQ16"/>
    <mergeCell ref="O19:S20"/>
    <mergeCell ref="AF11:AF12"/>
    <mergeCell ref="AF13:AF14"/>
    <mergeCell ref="AF15:AF16"/>
    <mergeCell ref="AF17:AF18"/>
    <mergeCell ref="AF19:AF20"/>
    <mergeCell ref="AA15:AE16"/>
    <mergeCell ref="U19:Y20"/>
    <mergeCell ref="U11:Y12"/>
    <mergeCell ref="AL11:AL12"/>
    <mergeCell ref="B44:G46"/>
    <mergeCell ref="AN64:AW65"/>
    <mergeCell ref="BD38:BU43"/>
    <mergeCell ref="U9:Y10"/>
    <mergeCell ref="AO109:AU111"/>
    <mergeCell ref="AA21:AE22"/>
    <mergeCell ref="AC115:AM121"/>
    <mergeCell ref="U25:Y26"/>
    <mergeCell ref="Y54:AF57"/>
    <mergeCell ref="B32:G35"/>
    <mergeCell ref="H32:M35"/>
    <mergeCell ref="N32:S35"/>
    <mergeCell ref="T32:Y35"/>
    <mergeCell ref="Z32:AE35"/>
    <mergeCell ref="AF32:AK35"/>
    <mergeCell ref="AL32:AQ35"/>
    <mergeCell ref="AR32:AW35"/>
    <mergeCell ref="O17:S18"/>
    <mergeCell ref="AS17:AW18"/>
    <mergeCell ref="I21:M22"/>
    <mergeCell ref="AM21:AQ22"/>
    <mergeCell ref="U73:V75"/>
    <mergeCell ref="C21:G22"/>
    <mergeCell ref="AG21:AK22"/>
    <mergeCell ref="I9:M10"/>
    <mergeCell ref="AF9:AF10"/>
    <mergeCell ref="AF21:AF22"/>
    <mergeCell ref="U23:Y24"/>
    <mergeCell ref="C13:G14"/>
    <mergeCell ref="AG13:AK14"/>
    <mergeCell ref="AA23:AE24"/>
    <mergeCell ref="Z93:AJ96"/>
    <mergeCell ref="AK93:AU96"/>
    <mergeCell ref="AG23:AK24"/>
    <mergeCell ref="U79:V81"/>
    <mergeCell ref="U82:AJ84"/>
    <mergeCell ref="AN70:AW73"/>
    <mergeCell ref="B92:L101"/>
    <mergeCell ref="N58:P61"/>
    <mergeCell ref="O25:S26"/>
    <mergeCell ref="AS25:AW26"/>
    <mergeCell ref="AA13:AE14"/>
    <mergeCell ref="B86:AU88"/>
    <mergeCell ref="B90:W91"/>
    <mergeCell ref="U70:V72"/>
    <mergeCell ref="M92:W93"/>
    <mergeCell ref="AL59:AQ61"/>
    <mergeCell ref="U17:Y18"/>
    <mergeCell ref="H54:M57"/>
    <mergeCell ref="M94:W95"/>
    <mergeCell ref="M98:W99"/>
    <mergeCell ref="AA19:AE20"/>
    <mergeCell ref="W73:AJ75"/>
    <mergeCell ref="U13:Y14"/>
    <mergeCell ref="AA11:AE12"/>
    <mergeCell ref="I17:M18"/>
    <mergeCell ref="W70:AJ72"/>
    <mergeCell ref="H44:M46"/>
    <mergeCell ref="N44:S46"/>
    <mergeCell ref="T44:Y46"/>
    <mergeCell ref="Z44:AE46"/>
    <mergeCell ref="AF44:AK46"/>
    <mergeCell ref="AG25:AK26"/>
    <mergeCell ref="H36:M39"/>
    <mergeCell ref="N36:S39"/>
    <mergeCell ref="M96:W97"/>
    <mergeCell ref="I25:M26"/>
    <mergeCell ref="O23:S24"/>
    <mergeCell ref="O11:S12"/>
    <mergeCell ref="AG11:AK12"/>
    <mergeCell ref="T36:Y39"/>
    <mergeCell ref="Z36:AE39"/>
    <mergeCell ref="AS15:AW16"/>
    <mergeCell ref="AL27:AQ31"/>
    <mergeCell ref="AR27:AW31"/>
    <mergeCell ref="AM25:AQ26"/>
    <mergeCell ref="AS23:AW24"/>
    <mergeCell ref="AS19:AW20"/>
    <mergeCell ref="AF23:AF24"/>
    <mergeCell ref="AF25:AF26"/>
    <mergeCell ref="AA9:AE10"/>
    <mergeCell ref="AM17:AQ18"/>
    <mergeCell ref="AS11:AW12"/>
    <mergeCell ref="AM9:AQ10"/>
    <mergeCell ref="AG9:AK10"/>
    <mergeCell ref="AR9:AR10"/>
    <mergeCell ref="AR11:AR12"/>
    <mergeCell ref="AL9:AL10"/>
    <mergeCell ref="AL23:AL24"/>
    <mergeCell ref="AL25:AL26"/>
  </mergeCells>
  <phoneticPr fontId="188" type="noConversion"/>
  <pageMargins left="0.75" right="0.75" top="1" bottom="1" header="0.50902777777777797" footer="0.5090277777777779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C235"/>
  <sheetViews>
    <sheetView showGridLines="0" showRowColHeaders="0" zoomScale="80" zoomScaleNormal="80" workbookViewId="0">
      <selection activeCell="B2" sqref="B2:AA4"/>
    </sheetView>
  </sheetViews>
  <sheetFormatPr defaultColWidth="9" defaultRowHeight="14.4"/>
  <cols>
    <col min="1" max="1" width="5.77734375" style="421" customWidth="1"/>
    <col min="2" max="4" width="9" style="421" customWidth="1"/>
    <col min="5" max="5" width="8.109375" style="421" customWidth="1"/>
    <col min="6" max="6" width="8" style="421" customWidth="1"/>
    <col min="7" max="8" width="6.6640625" style="421" customWidth="1"/>
    <col min="9" max="10" width="7.6640625" style="421" customWidth="1"/>
    <col min="11" max="13" width="9" style="421" customWidth="1"/>
    <col min="14" max="14" width="8" style="421" customWidth="1"/>
    <col min="15" max="16" width="6.6640625" style="421" customWidth="1"/>
    <col min="17" max="18" width="7.6640625" style="421" customWidth="1"/>
    <col min="19" max="21" width="9" style="421" customWidth="1"/>
    <col min="22" max="22" width="8" style="421" customWidth="1"/>
    <col min="23" max="23" width="8.109375" style="421" customWidth="1"/>
    <col min="24" max="24" width="6.6640625" style="421" customWidth="1"/>
    <col min="25" max="25" width="8" style="421" customWidth="1"/>
    <col min="26" max="26" width="7.6640625" style="421" customWidth="1"/>
    <col min="27" max="27" width="9" style="421" customWidth="1"/>
    <col min="28" max="16384" width="9" style="421"/>
  </cols>
  <sheetData>
    <row r="1" spans="1:29" ht="21" customHeight="1"/>
    <row r="2" spans="1:29" s="420" customFormat="1" ht="12" customHeight="1">
      <c r="B2" s="2358" t="s">
        <v>3778</v>
      </c>
      <c r="C2" s="2359"/>
      <c r="D2" s="2359"/>
      <c r="E2" s="2359"/>
      <c r="F2" s="2359"/>
      <c r="G2" s="2359"/>
      <c r="H2" s="2359"/>
      <c r="I2" s="2359"/>
      <c r="J2" s="2359"/>
      <c r="K2" s="2359"/>
      <c r="L2" s="2359"/>
      <c r="M2" s="2359"/>
      <c r="N2" s="2359"/>
      <c r="O2" s="2359"/>
      <c r="P2" s="2359"/>
      <c r="Q2" s="2359"/>
      <c r="R2" s="2359"/>
      <c r="S2" s="2359"/>
      <c r="T2" s="2359"/>
      <c r="U2" s="2359"/>
      <c r="V2" s="2359"/>
      <c r="W2" s="2359"/>
      <c r="X2" s="2359"/>
      <c r="Y2" s="2359"/>
      <c r="Z2" s="2359"/>
      <c r="AA2" s="2360"/>
      <c r="AB2" s="471"/>
    </row>
    <row r="3" spans="1:29" s="420" customFormat="1" ht="13.05" customHeight="1">
      <c r="B3" s="2361"/>
      <c r="C3" s="2362"/>
      <c r="D3" s="2362"/>
      <c r="E3" s="2362"/>
      <c r="F3" s="2362"/>
      <c r="G3" s="2362"/>
      <c r="H3" s="2362"/>
      <c r="I3" s="2362"/>
      <c r="J3" s="2362"/>
      <c r="K3" s="2362"/>
      <c r="L3" s="2362"/>
      <c r="M3" s="2362"/>
      <c r="N3" s="2362"/>
      <c r="O3" s="2362"/>
      <c r="P3" s="2362"/>
      <c r="Q3" s="2362"/>
      <c r="R3" s="2362"/>
      <c r="S3" s="2362"/>
      <c r="T3" s="2362"/>
      <c r="U3" s="2362"/>
      <c r="V3" s="2362"/>
      <c r="W3" s="2362"/>
      <c r="X3" s="2362"/>
      <c r="Y3" s="2362"/>
      <c r="Z3" s="2362"/>
      <c r="AA3" s="2363"/>
      <c r="AB3" s="471"/>
    </row>
    <row r="4" spans="1:29" s="420" customFormat="1" ht="18" customHeight="1">
      <c r="A4" s="422"/>
      <c r="B4" s="2364"/>
      <c r="C4" s="2365"/>
      <c r="D4" s="2365"/>
      <c r="E4" s="2365"/>
      <c r="F4" s="2365"/>
      <c r="G4" s="2365"/>
      <c r="H4" s="2365"/>
      <c r="I4" s="2365"/>
      <c r="J4" s="2365"/>
      <c r="K4" s="2365"/>
      <c r="L4" s="2365"/>
      <c r="M4" s="2365"/>
      <c r="N4" s="2365"/>
      <c r="O4" s="2365"/>
      <c r="P4" s="2365"/>
      <c r="Q4" s="2365"/>
      <c r="R4" s="2365"/>
      <c r="S4" s="2365"/>
      <c r="T4" s="2365"/>
      <c r="U4" s="2365"/>
      <c r="V4" s="2365"/>
      <c r="W4" s="2365"/>
      <c r="X4" s="2365"/>
      <c r="Y4" s="2365"/>
      <c r="Z4" s="2365"/>
      <c r="AA4" s="2366"/>
      <c r="AB4" s="471"/>
    </row>
    <row r="5" spans="1:29" s="420" customFormat="1" ht="15.6">
      <c r="B5" s="423"/>
      <c r="C5" s="423"/>
      <c r="D5" s="423"/>
      <c r="E5" s="423"/>
      <c r="F5" s="423"/>
      <c r="G5" s="423"/>
      <c r="H5" s="423"/>
      <c r="I5" s="423"/>
      <c r="J5" s="423"/>
      <c r="K5" s="423"/>
      <c r="L5" s="423"/>
      <c r="M5" s="423"/>
      <c r="N5" s="423"/>
      <c r="O5" s="423"/>
      <c r="P5" s="423"/>
      <c r="Q5" s="423"/>
      <c r="R5" s="423"/>
      <c r="S5" s="423"/>
      <c r="T5" s="423"/>
      <c r="V5" s="2883"/>
      <c r="W5" s="2883"/>
      <c r="X5" s="2883"/>
      <c r="Y5" s="2883"/>
      <c r="Z5" s="2883"/>
      <c r="AA5" s="2883"/>
      <c r="AB5" s="2884"/>
    </row>
    <row r="6" spans="1:29" s="420" customFormat="1" ht="15.6">
      <c r="A6" s="2710" t="s">
        <v>3779</v>
      </c>
      <c r="B6" s="2710"/>
      <c r="C6" s="2710"/>
      <c r="D6" s="2710"/>
      <c r="E6" s="2299" t="s">
        <v>3780</v>
      </c>
      <c r="F6" s="2300"/>
      <c r="G6" s="2300"/>
      <c r="H6" s="2300"/>
      <c r="I6" s="2300"/>
      <c r="J6" s="2300"/>
      <c r="K6" s="2301"/>
      <c r="L6" s="439"/>
      <c r="M6" s="2299" t="s">
        <v>3781</v>
      </c>
      <c r="N6" s="2300"/>
      <c r="O6" s="2300"/>
      <c r="P6" s="2300"/>
      <c r="Q6" s="2300"/>
      <c r="R6" s="2300"/>
      <c r="S6" s="2301"/>
      <c r="T6" s="439"/>
      <c r="U6" s="2299" t="s">
        <v>3782</v>
      </c>
      <c r="V6" s="2300"/>
      <c r="W6" s="2300"/>
      <c r="X6" s="2300"/>
      <c r="Y6" s="2300"/>
      <c r="Z6" s="2300"/>
      <c r="AA6" s="2301"/>
      <c r="AB6" s="472"/>
      <c r="AC6" s="472"/>
    </row>
    <row r="7" spans="1:29" s="420" customFormat="1" ht="15.6">
      <c r="A7" s="2710"/>
      <c r="B7" s="2710"/>
      <c r="C7" s="2710"/>
      <c r="D7" s="2710"/>
      <c r="E7" s="424" t="s">
        <v>184</v>
      </c>
      <c r="F7" s="425" t="s">
        <v>101</v>
      </c>
      <c r="G7" s="2861" t="s">
        <v>3783</v>
      </c>
      <c r="H7" s="2861"/>
      <c r="I7" s="2861" t="s">
        <v>186</v>
      </c>
      <c r="J7" s="2861"/>
      <c r="K7" s="448" t="s">
        <v>185</v>
      </c>
      <c r="L7" s="439"/>
      <c r="M7" s="424" t="s">
        <v>184</v>
      </c>
      <c r="N7" s="425" t="s">
        <v>101</v>
      </c>
      <c r="O7" s="2861" t="s">
        <v>3783</v>
      </c>
      <c r="P7" s="2861"/>
      <c r="Q7" s="2861" t="s">
        <v>186</v>
      </c>
      <c r="R7" s="2861"/>
      <c r="S7" s="448" t="s">
        <v>185</v>
      </c>
      <c r="T7" s="439"/>
      <c r="U7" s="424" t="s">
        <v>184</v>
      </c>
      <c r="V7" s="425" t="s">
        <v>101</v>
      </c>
      <c r="W7" s="2861" t="s">
        <v>3783</v>
      </c>
      <c r="X7" s="2861"/>
      <c r="Y7" s="2861" t="s">
        <v>186</v>
      </c>
      <c r="Z7" s="2861"/>
      <c r="AA7" s="448" t="s">
        <v>185</v>
      </c>
    </row>
    <row r="8" spans="1:29" s="420" customFormat="1" ht="40.049999999999997" customHeight="1">
      <c r="A8" s="2710"/>
      <c r="B8" s="2710"/>
      <c r="C8" s="2710"/>
      <c r="D8" s="2710"/>
      <c r="E8" s="426" t="s">
        <v>3784</v>
      </c>
      <c r="F8" s="427">
        <v>0</v>
      </c>
      <c r="G8" s="2878">
        <v>0.5</v>
      </c>
      <c r="H8" s="2878"/>
      <c r="I8" s="2878" t="s">
        <v>3785</v>
      </c>
      <c r="J8" s="2878"/>
      <c r="K8" s="449">
        <v>0.5</v>
      </c>
      <c r="L8" s="439"/>
      <c r="M8" s="450" t="s">
        <v>3784</v>
      </c>
      <c r="N8" s="427">
        <v>0</v>
      </c>
      <c r="O8" s="2878">
        <v>100</v>
      </c>
      <c r="P8" s="2878"/>
      <c r="Q8" s="2878" t="s">
        <v>3785</v>
      </c>
      <c r="R8" s="2878"/>
      <c r="S8" s="449">
        <v>50</v>
      </c>
      <c r="T8" s="439"/>
      <c r="U8" s="450" t="s">
        <v>3784</v>
      </c>
      <c r="V8" s="427">
        <v>0</v>
      </c>
      <c r="W8" s="2878">
        <v>1000</v>
      </c>
      <c r="X8" s="2878"/>
      <c r="Y8" s="2878" t="s">
        <v>3785</v>
      </c>
      <c r="Z8" s="2878"/>
      <c r="AA8" s="449">
        <v>500</v>
      </c>
    </row>
    <row r="9" spans="1:29" s="420" customFormat="1" ht="40.049999999999997" customHeight="1">
      <c r="A9" s="2709" t="s">
        <v>3786</v>
      </c>
      <c r="B9" s="2709"/>
      <c r="C9" s="2709"/>
      <c r="D9" s="2709"/>
      <c r="E9" s="429" t="s">
        <v>3787</v>
      </c>
      <c r="F9" s="430" t="s">
        <v>3788</v>
      </c>
      <c r="G9" s="2877" t="s">
        <v>3789</v>
      </c>
      <c r="H9" s="2877"/>
      <c r="I9" s="2877" t="s">
        <v>3790</v>
      </c>
      <c r="J9" s="2877"/>
      <c r="K9" s="451">
        <v>2</v>
      </c>
      <c r="L9" s="439"/>
      <c r="M9" s="452" t="s">
        <v>3787</v>
      </c>
      <c r="N9" s="430" t="s">
        <v>3788</v>
      </c>
      <c r="O9" s="2877" t="s">
        <v>3791</v>
      </c>
      <c r="P9" s="2877"/>
      <c r="Q9" s="2877" t="s">
        <v>3792</v>
      </c>
      <c r="R9" s="2877"/>
      <c r="S9" s="451">
        <v>100</v>
      </c>
      <c r="T9" s="439"/>
      <c r="U9" s="452" t="s">
        <v>3787</v>
      </c>
      <c r="V9" s="430" t="s">
        <v>3788</v>
      </c>
      <c r="W9" s="2877" t="s">
        <v>3793</v>
      </c>
      <c r="X9" s="2877"/>
      <c r="Y9" s="2877" t="s">
        <v>3794</v>
      </c>
      <c r="Z9" s="2877"/>
      <c r="AA9" s="451">
        <v>2000</v>
      </c>
    </row>
    <row r="10" spans="1:29" s="420" customFormat="1" ht="40.049999999999997" customHeight="1">
      <c r="A10" s="2709"/>
      <c r="B10" s="2709"/>
      <c r="C10" s="2709"/>
      <c r="D10" s="2709"/>
      <c r="E10" s="426" t="s">
        <v>3795</v>
      </c>
      <c r="F10" s="427" t="s">
        <v>3796</v>
      </c>
      <c r="G10" s="2875" t="s">
        <v>3797</v>
      </c>
      <c r="H10" s="2875"/>
      <c r="I10" s="2875" t="s">
        <v>3798</v>
      </c>
      <c r="J10" s="2875"/>
      <c r="K10" s="449">
        <v>10</v>
      </c>
      <c r="L10" s="439"/>
      <c r="M10" s="450" t="s">
        <v>3795</v>
      </c>
      <c r="N10" s="427" t="s">
        <v>3796</v>
      </c>
      <c r="O10" s="2875" t="s">
        <v>3799</v>
      </c>
      <c r="P10" s="2875"/>
      <c r="Q10" s="2875" t="s">
        <v>3800</v>
      </c>
      <c r="R10" s="2875"/>
      <c r="S10" s="449">
        <v>1000</v>
      </c>
      <c r="T10" s="439"/>
      <c r="U10" s="450" t="s">
        <v>3795</v>
      </c>
      <c r="V10" s="427" t="s">
        <v>3801</v>
      </c>
      <c r="W10" s="2875" t="s">
        <v>3802</v>
      </c>
      <c r="X10" s="2875"/>
      <c r="Y10" s="2875" t="s">
        <v>3803</v>
      </c>
      <c r="Z10" s="2875"/>
      <c r="AA10" s="449">
        <v>25000</v>
      </c>
    </row>
    <row r="11" spans="1:29" s="420" customFormat="1" ht="40.049999999999997" customHeight="1">
      <c r="A11" s="431"/>
      <c r="B11" s="431"/>
      <c r="C11" s="431"/>
      <c r="D11" s="431"/>
      <c r="E11" s="429" t="s">
        <v>3804</v>
      </c>
      <c r="F11" s="430" t="s">
        <v>3805</v>
      </c>
      <c r="G11" s="2877" t="s">
        <v>3806</v>
      </c>
      <c r="H11" s="2877"/>
      <c r="I11" s="2877" t="s">
        <v>3807</v>
      </c>
      <c r="J11" s="2877"/>
      <c r="K11" s="451">
        <v>50</v>
      </c>
      <c r="L11" s="439"/>
      <c r="M11" s="452" t="s">
        <v>3804</v>
      </c>
      <c r="N11" s="430" t="s">
        <v>3805</v>
      </c>
      <c r="O11" s="2877" t="s">
        <v>3807</v>
      </c>
      <c r="P11" s="2877"/>
      <c r="Q11" s="2877" t="s">
        <v>3808</v>
      </c>
      <c r="R11" s="2877"/>
      <c r="S11" s="451">
        <v>5000</v>
      </c>
      <c r="T11" s="439"/>
      <c r="U11" s="452" t="s">
        <v>3804</v>
      </c>
      <c r="V11" s="430" t="s">
        <v>3805</v>
      </c>
      <c r="W11" s="2877" t="s">
        <v>3809</v>
      </c>
      <c r="X11" s="2877"/>
      <c r="Y11" s="2877" t="s">
        <v>3810</v>
      </c>
      <c r="Z11" s="2877"/>
      <c r="AA11" s="451" t="s">
        <v>3811</v>
      </c>
    </row>
    <row r="12" spans="1:29" s="420" customFormat="1" ht="40.049999999999997" customHeight="1">
      <c r="A12" s="2439" t="s">
        <v>3812</v>
      </c>
      <c r="B12" s="2439"/>
      <c r="C12" s="2439"/>
      <c r="D12" s="2439"/>
      <c r="E12" s="426" t="s">
        <v>3813</v>
      </c>
      <c r="F12" s="427" t="s">
        <v>3814</v>
      </c>
      <c r="G12" s="2875" t="s">
        <v>3815</v>
      </c>
      <c r="H12" s="2875"/>
      <c r="I12" s="2875" t="s">
        <v>3793</v>
      </c>
      <c r="J12" s="2875"/>
      <c r="K12" s="449">
        <v>250</v>
      </c>
      <c r="L12" s="439"/>
      <c r="M12" s="450" t="s">
        <v>3813</v>
      </c>
      <c r="N12" s="427" t="s">
        <v>3814</v>
      </c>
      <c r="O12" s="2875" t="s">
        <v>3816</v>
      </c>
      <c r="P12" s="2875"/>
      <c r="Q12" s="2875" t="s">
        <v>3817</v>
      </c>
      <c r="R12" s="2875"/>
      <c r="S12" s="449" t="s">
        <v>3818</v>
      </c>
      <c r="T12" s="439"/>
      <c r="U12" s="450" t="s">
        <v>3813</v>
      </c>
      <c r="V12" s="427" t="s">
        <v>3814</v>
      </c>
      <c r="W12" s="2875" t="s">
        <v>3819</v>
      </c>
      <c r="X12" s="2875"/>
      <c r="Y12" s="2875" t="s">
        <v>3820</v>
      </c>
      <c r="Z12" s="2875"/>
      <c r="AA12" s="449" t="s">
        <v>3821</v>
      </c>
    </row>
    <row r="13" spans="1:29" s="420" customFormat="1" ht="40.049999999999997" customHeight="1">
      <c r="A13" s="2439"/>
      <c r="B13" s="2439"/>
      <c r="C13" s="2439"/>
      <c r="D13" s="2439"/>
      <c r="E13" s="432" t="s">
        <v>3822</v>
      </c>
      <c r="F13" s="433">
        <v>99</v>
      </c>
      <c r="G13" s="2876" t="s">
        <v>3823</v>
      </c>
      <c r="H13" s="2876"/>
      <c r="I13" s="2876" t="s">
        <v>3824</v>
      </c>
      <c r="J13" s="2876"/>
      <c r="K13" s="453">
        <v>5000</v>
      </c>
      <c r="L13" s="439"/>
      <c r="M13" s="454" t="s">
        <v>3822</v>
      </c>
      <c r="N13" s="433">
        <v>99</v>
      </c>
      <c r="O13" s="2876" t="s">
        <v>3825</v>
      </c>
      <c r="P13" s="2876"/>
      <c r="Q13" s="2876" t="s">
        <v>3826</v>
      </c>
      <c r="R13" s="2876"/>
      <c r="S13" s="453" t="s">
        <v>3811</v>
      </c>
      <c r="T13" s="439"/>
      <c r="U13" s="454" t="s">
        <v>3822</v>
      </c>
      <c r="V13" s="433">
        <v>99</v>
      </c>
      <c r="W13" s="2876" t="s">
        <v>3827</v>
      </c>
      <c r="X13" s="2876"/>
      <c r="Y13" s="2876" t="s">
        <v>3828</v>
      </c>
      <c r="Z13" s="2876"/>
      <c r="AA13" s="453" t="s">
        <v>3829</v>
      </c>
    </row>
    <row r="14" spans="1:29" s="420" customFormat="1" ht="13.95" customHeight="1">
      <c r="B14" s="11"/>
      <c r="C14" s="434"/>
      <c r="D14" s="435"/>
      <c r="E14" s="436"/>
      <c r="F14" s="436"/>
      <c r="G14" s="436"/>
      <c r="H14" s="436"/>
      <c r="I14" s="436"/>
      <c r="J14" s="436"/>
      <c r="K14" s="436"/>
      <c r="L14" s="439"/>
      <c r="M14" s="455"/>
      <c r="N14" s="439"/>
      <c r="O14" s="439"/>
      <c r="P14" s="439"/>
      <c r="Q14" s="439"/>
      <c r="R14" s="439"/>
      <c r="S14" s="439"/>
      <c r="T14" s="439"/>
      <c r="U14" s="455"/>
      <c r="V14" s="439"/>
      <c r="W14" s="439"/>
      <c r="X14" s="439"/>
      <c r="Y14" s="439"/>
      <c r="Z14" s="439"/>
      <c r="AA14" s="439"/>
    </row>
    <row r="15" spans="1:29" s="420" customFormat="1" ht="13.95" customHeight="1">
      <c r="B15" s="11"/>
      <c r="C15" s="434"/>
      <c r="D15" s="435"/>
      <c r="E15" s="2879" t="s">
        <v>3830</v>
      </c>
      <c r="F15" s="2880"/>
      <c r="G15" s="2880"/>
      <c r="H15" s="2880"/>
      <c r="I15" s="2880"/>
      <c r="J15" s="2880"/>
      <c r="K15" s="2881"/>
      <c r="L15" s="439"/>
      <c r="M15" s="2299" t="s">
        <v>3831</v>
      </c>
      <c r="N15" s="2300"/>
      <c r="O15" s="2300"/>
      <c r="P15" s="2300"/>
      <c r="Q15" s="2300"/>
      <c r="R15" s="2300"/>
      <c r="S15" s="2301"/>
      <c r="T15" s="439"/>
      <c r="U15" s="2299" t="s">
        <v>3832</v>
      </c>
      <c r="V15" s="2300"/>
      <c r="W15" s="2300"/>
      <c r="X15" s="2300"/>
      <c r="Y15" s="2300"/>
      <c r="Z15" s="2300"/>
      <c r="AA15" s="2301"/>
    </row>
    <row r="16" spans="1:29" s="420" customFormat="1" ht="19.2">
      <c r="B16" s="11"/>
      <c r="C16" s="434"/>
      <c r="D16" s="435"/>
      <c r="E16" s="437" t="s">
        <v>184</v>
      </c>
      <c r="F16" s="438" t="s">
        <v>101</v>
      </c>
      <c r="G16" s="2882" t="s">
        <v>3783</v>
      </c>
      <c r="H16" s="2882"/>
      <c r="I16" s="2882" t="s">
        <v>186</v>
      </c>
      <c r="J16" s="2882"/>
      <c r="K16" s="456" t="s">
        <v>185</v>
      </c>
      <c r="L16" s="439"/>
      <c r="M16" s="424" t="s">
        <v>184</v>
      </c>
      <c r="N16" s="425" t="s">
        <v>101</v>
      </c>
      <c r="O16" s="2861" t="s">
        <v>3783</v>
      </c>
      <c r="P16" s="2861"/>
      <c r="Q16" s="2861" t="s">
        <v>186</v>
      </c>
      <c r="R16" s="2861"/>
      <c r="S16" s="448" t="s">
        <v>185</v>
      </c>
      <c r="T16" s="439"/>
      <c r="U16" s="424" t="s">
        <v>184</v>
      </c>
      <c r="V16" s="425" t="s">
        <v>101</v>
      </c>
      <c r="W16" s="2861" t="s">
        <v>3783</v>
      </c>
      <c r="X16" s="2861"/>
      <c r="Y16" s="2861" t="s">
        <v>186</v>
      </c>
      <c r="Z16" s="2861"/>
      <c r="AA16" s="448" t="s">
        <v>185</v>
      </c>
    </row>
    <row r="17" spans="2:28" s="420" customFormat="1" ht="40.049999999999997" customHeight="1">
      <c r="B17" s="11"/>
      <c r="C17" s="434"/>
      <c r="D17" s="435"/>
      <c r="E17" s="426" t="s">
        <v>3784</v>
      </c>
      <c r="F17" s="427">
        <v>0</v>
      </c>
      <c r="G17" s="2878">
        <v>10</v>
      </c>
      <c r="H17" s="2878"/>
      <c r="I17" s="2878" t="s">
        <v>3785</v>
      </c>
      <c r="J17" s="2878"/>
      <c r="K17" s="449">
        <v>10</v>
      </c>
      <c r="L17" s="439"/>
      <c r="M17" s="450" t="s">
        <v>3784</v>
      </c>
      <c r="N17" s="427">
        <v>0</v>
      </c>
      <c r="O17" s="2878" t="s">
        <v>3833</v>
      </c>
      <c r="P17" s="2878"/>
      <c r="Q17" s="2878" t="s">
        <v>3785</v>
      </c>
      <c r="R17" s="2878"/>
      <c r="S17" s="449" t="s">
        <v>3834</v>
      </c>
      <c r="T17" s="439"/>
      <c r="U17" s="450" t="s">
        <v>3784</v>
      </c>
      <c r="V17" s="427">
        <v>0</v>
      </c>
      <c r="W17" s="2878">
        <v>10</v>
      </c>
      <c r="X17" s="2878"/>
      <c r="Y17" s="2878" t="s">
        <v>3785</v>
      </c>
      <c r="Z17" s="2878"/>
      <c r="AA17" s="449">
        <v>10</v>
      </c>
    </row>
    <row r="18" spans="2:28" s="420" customFormat="1" ht="40.049999999999997" customHeight="1">
      <c r="B18" s="11"/>
      <c r="C18" s="434"/>
      <c r="D18" s="435"/>
      <c r="E18" s="429" t="s">
        <v>3787</v>
      </c>
      <c r="F18" s="430" t="s">
        <v>3788</v>
      </c>
      <c r="G18" s="2877" t="s">
        <v>3835</v>
      </c>
      <c r="H18" s="2877"/>
      <c r="I18" s="2877" t="s">
        <v>3836</v>
      </c>
      <c r="J18" s="2877"/>
      <c r="K18" s="451">
        <v>40</v>
      </c>
      <c r="L18" s="439"/>
      <c r="M18" s="452" t="s">
        <v>3787</v>
      </c>
      <c r="N18" s="430" t="s">
        <v>3788</v>
      </c>
      <c r="O18" s="2877" t="s">
        <v>3837</v>
      </c>
      <c r="P18" s="2877"/>
      <c r="Q18" s="2877" t="s">
        <v>3838</v>
      </c>
      <c r="R18" s="2877"/>
      <c r="S18" s="451" t="s">
        <v>3839</v>
      </c>
      <c r="T18" s="439"/>
      <c r="U18" s="452" t="s">
        <v>3787</v>
      </c>
      <c r="V18" s="430" t="s">
        <v>3788</v>
      </c>
      <c r="W18" s="2877" t="s">
        <v>3840</v>
      </c>
      <c r="X18" s="2877"/>
      <c r="Y18" s="2877" t="s">
        <v>3841</v>
      </c>
      <c r="Z18" s="2877"/>
      <c r="AA18" s="451">
        <v>35</v>
      </c>
    </row>
    <row r="19" spans="2:28" s="420" customFormat="1" ht="40.049999999999997" customHeight="1">
      <c r="B19" s="11"/>
      <c r="C19" s="434"/>
      <c r="D19" s="435"/>
      <c r="E19" s="426" t="s">
        <v>3795</v>
      </c>
      <c r="F19" s="427" t="s">
        <v>3796</v>
      </c>
      <c r="G19" s="2875" t="s">
        <v>3842</v>
      </c>
      <c r="H19" s="2875"/>
      <c r="I19" s="2875" t="s">
        <v>3792</v>
      </c>
      <c r="J19" s="2875"/>
      <c r="K19" s="449">
        <v>200</v>
      </c>
      <c r="L19" s="439"/>
      <c r="M19" s="450" t="s">
        <v>3795</v>
      </c>
      <c r="N19" s="427" t="s">
        <v>3796</v>
      </c>
      <c r="O19" s="2875" t="s">
        <v>3838</v>
      </c>
      <c r="P19" s="2875"/>
      <c r="Q19" s="2875" t="s">
        <v>3815</v>
      </c>
      <c r="R19" s="2875"/>
      <c r="S19" s="462" t="s">
        <v>3843</v>
      </c>
      <c r="T19" s="439"/>
      <c r="U19" s="450" t="s">
        <v>3795</v>
      </c>
      <c r="V19" s="427" t="s">
        <v>3796</v>
      </c>
      <c r="W19" s="2875" t="s">
        <v>3844</v>
      </c>
      <c r="X19" s="2875"/>
      <c r="Y19" s="2875" t="s">
        <v>3807</v>
      </c>
      <c r="Z19" s="2875"/>
      <c r="AA19" s="449">
        <v>140</v>
      </c>
    </row>
    <row r="20" spans="2:28" s="420" customFormat="1" ht="40.049999999999997" customHeight="1">
      <c r="B20" s="11"/>
      <c r="C20" s="434"/>
      <c r="D20" s="435"/>
      <c r="E20" s="429" t="s">
        <v>3804</v>
      </c>
      <c r="F20" s="430" t="s">
        <v>3805</v>
      </c>
      <c r="G20" s="2877" t="s">
        <v>3791</v>
      </c>
      <c r="H20" s="2877"/>
      <c r="I20" s="2877" t="s">
        <v>3845</v>
      </c>
      <c r="J20" s="2877"/>
      <c r="K20" s="451">
        <v>1000</v>
      </c>
      <c r="L20" s="439"/>
      <c r="M20" s="452" t="s">
        <v>3804</v>
      </c>
      <c r="N20" s="430" t="s">
        <v>3805</v>
      </c>
      <c r="O20" s="2877" t="s">
        <v>3846</v>
      </c>
      <c r="P20" s="2877"/>
      <c r="Q20" s="2877" t="s">
        <v>3799</v>
      </c>
      <c r="R20" s="2877"/>
      <c r="S20" s="451">
        <v>15</v>
      </c>
      <c r="T20" s="439"/>
      <c r="U20" s="452" t="s">
        <v>3804</v>
      </c>
      <c r="V20" s="430" t="s">
        <v>3805</v>
      </c>
      <c r="W20" s="2877" t="s">
        <v>3847</v>
      </c>
      <c r="X20" s="2877"/>
      <c r="Y20" s="2877" t="s">
        <v>3848</v>
      </c>
      <c r="Z20" s="2877"/>
      <c r="AA20" s="451">
        <v>700</v>
      </c>
    </row>
    <row r="21" spans="2:28" s="420" customFormat="1" ht="40.049999999999997" customHeight="1">
      <c r="B21" s="11"/>
      <c r="C21" s="434"/>
      <c r="D21" s="435"/>
      <c r="E21" s="426" t="s">
        <v>3813</v>
      </c>
      <c r="F21" s="427" t="s">
        <v>3814</v>
      </c>
      <c r="G21" s="2875" t="s">
        <v>3849</v>
      </c>
      <c r="H21" s="2875"/>
      <c r="I21" s="2875" t="s">
        <v>3850</v>
      </c>
      <c r="J21" s="2875"/>
      <c r="K21" s="449">
        <v>5000</v>
      </c>
      <c r="L21" s="439"/>
      <c r="M21" s="450" t="s">
        <v>3813</v>
      </c>
      <c r="N21" s="427" t="s">
        <v>3814</v>
      </c>
      <c r="O21" s="2875" t="s">
        <v>3798</v>
      </c>
      <c r="P21" s="2875"/>
      <c r="Q21" s="2875" t="s">
        <v>3807</v>
      </c>
      <c r="R21" s="2875"/>
      <c r="S21" s="449">
        <v>50</v>
      </c>
      <c r="T21" s="439"/>
      <c r="U21" s="450" t="s">
        <v>3813</v>
      </c>
      <c r="V21" s="427" t="s">
        <v>3814</v>
      </c>
      <c r="W21" s="2875" t="s">
        <v>3851</v>
      </c>
      <c r="X21" s="2875"/>
      <c r="Y21" s="2875" t="s">
        <v>3852</v>
      </c>
      <c r="Z21" s="2875"/>
      <c r="AA21" s="449">
        <v>4000</v>
      </c>
    </row>
    <row r="22" spans="2:28" s="420" customFormat="1" ht="40.049999999999997" customHeight="1">
      <c r="B22" s="11"/>
      <c r="C22" s="434"/>
      <c r="D22" s="435"/>
      <c r="E22" s="432" t="s">
        <v>3822</v>
      </c>
      <c r="F22" s="433">
        <v>99</v>
      </c>
      <c r="G22" s="2876" t="s">
        <v>3825</v>
      </c>
      <c r="H22" s="2876"/>
      <c r="I22" s="2876" t="s">
        <v>3853</v>
      </c>
      <c r="J22" s="2876"/>
      <c r="K22" s="453" t="s">
        <v>3811</v>
      </c>
      <c r="L22" s="439"/>
      <c r="M22" s="454" t="s">
        <v>3822</v>
      </c>
      <c r="N22" s="433">
        <v>99</v>
      </c>
      <c r="O22" s="2876" t="s">
        <v>3854</v>
      </c>
      <c r="P22" s="2876"/>
      <c r="Q22" s="2876" t="s">
        <v>3855</v>
      </c>
      <c r="R22" s="2876"/>
      <c r="S22" s="453">
        <v>250</v>
      </c>
      <c r="T22" s="439"/>
      <c r="U22" s="454" t="s">
        <v>3822</v>
      </c>
      <c r="V22" s="433">
        <v>99</v>
      </c>
      <c r="W22" s="2876" t="s">
        <v>3825</v>
      </c>
      <c r="X22" s="2876"/>
      <c r="Y22" s="2876" t="s">
        <v>3856</v>
      </c>
      <c r="Z22" s="2876"/>
      <c r="AA22" s="453" t="s">
        <v>3857</v>
      </c>
    </row>
    <row r="23" spans="2:28" s="420" customFormat="1" ht="15.6">
      <c r="E23" s="439"/>
      <c r="F23" s="439"/>
      <c r="G23" s="439"/>
      <c r="H23" s="439"/>
      <c r="I23" s="439"/>
      <c r="J23" s="439"/>
      <c r="K23" s="439"/>
      <c r="L23" s="439"/>
      <c r="M23" s="1673" t="s">
        <v>3858</v>
      </c>
      <c r="N23" s="1673"/>
      <c r="O23" s="1673"/>
      <c r="P23" s="1673"/>
      <c r="Q23" s="1673"/>
      <c r="R23" s="1673"/>
      <c r="S23" s="1673"/>
      <c r="U23" s="439"/>
      <c r="V23" s="439"/>
      <c r="W23" s="439"/>
      <c r="X23" s="439"/>
      <c r="Y23" s="439"/>
      <c r="Z23" s="439"/>
      <c r="AA23" s="439"/>
      <c r="AB23" s="439"/>
    </row>
    <row r="24" spans="2:28" s="420" customFormat="1" ht="15.6">
      <c r="E24" s="439"/>
      <c r="F24" s="439"/>
      <c r="G24" s="439"/>
      <c r="H24" s="439"/>
      <c r="I24" s="439"/>
      <c r="J24" s="439"/>
      <c r="K24" s="439"/>
      <c r="L24" s="439"/>
      <c r="M24" s="439"/>
      <c r="U24" s="439"/>
      <c r="V24" s="439"/>
      <c r="W24" s="439"/>
      <c r="X24" s="439"/>
      <c r="Y24" s="439"/>
      <c r="Z24" s="439"/>
      <c r="AA24" s="439"/>
      <c r="AB24" s="439"/>
    </row>
    <row r="25" spans="2:28" s="420" customFormat="1" ht="16.2">
      <c r="E25" s="439"/>
      <c r="F25" s="2869" t="s">
        <v>3784</v>
      </c>
      <c r="G25" s="2870"/>
      <c r="H25" s="2870"/>
      <c r="I25" s="2870"/>
      <c r="J25" s="2871"/>
      <c r="K25" s="439"/>
      <c r="L25" s="439"/>
      <c r="M25" s="439"/>
      <c r="N25" s="2872" t="s">
        <v>3859</v>
      </c>
      <c r="O25" s="2873"/>
      <c r="P25" s="2873"/>
      <c r="Q25" s="2873"/>
      <c r="R25" s="2874"/>
      <c r="S25" s="463"/>
      <c r="T25" s="439"/>
      <c r="U25" s="439"/>
      <c r="V25" s="439"/>
      <c r="W25" s="463"/>
      <c r="X25" s="463"/>
      <c r="Y25" s="463"/>
      <c r="Z25" s="463"/>
      <c r="AA25" s="463"/>
      <c r="AB25" s="439"/>
    </row>
    <row r="26" spans="2:28" s="420" customFormat="1" ht="63" customHeight="1">
      <c r="E26" s="439"/>
      <c r="F26" s="2711" t="s">
        <v>3860</v>
      </c>
      <c r="G26" s="2868"/>
      <c r="H26" s="2868"/>
      <c r="I26" s="2868"/>
      <c r="J26" s="2712"/>
      <c r="K26" s="439"/>
      <c r="L26" s="439"/>
      <c r="M26" s="439"/>
      <c r="N26" s="2711" t="s">
        <v>3861</v>
      </c>
      <c r="O26" s="2868"/>
      <c r="P26" s="2868"/>
      <c r="Q26" s="2868"/>
      <c r="R26" s="2712"/>
      <c r="S26" s="464"/>
      <c r="T26" s="439"/>
      <c r="U26" s="439"/>
      <c r="V26" s="439"/>
      <c r="W26" s="464"/>
      <c r="X26" s="464"/>
      <c r="Y26" s="464"/>
      <c r="Z26" s="464"/>
      <c r="AA26" s="464"/>
      <c r="AB26" s="439"/>
    </row>
    <row r="27" spans="2:28" s="420" customFormat="1" ht="15.6">
      <c r="B27" s="440"/>
      <c r="E27" s="439"/>
      <c r="F27" s="2860" t="s">
        <v>3862</v>
      </c>
      <c r="G27" s="2861"/>
      <c r="H27" s="2861"/>
      <c r="I27" s="2861"/>
      <c r="J27" s="2862"/>
      <c r="K27" s="439"/>
      <c r="L27" s="439"/>
      <c r="M27" s="439"/>
      <c r="N27" s="2860" t="s">
        <v>3863</v>
      </c>
      <c r="O27" s="2861"/>
      <c r="P27" s="2861"/>
      <c r="Q27" s="2861"/>
      <c r="R27" s="2862"/>
      <c r="S27" s="463"/>
      <c r="T27" s="439"/>
      <c r="U27" s="439"/>
      <c r="V27" s="439"/>
      <c r="W27" s="463"/>
      <c r="X27" s="463"/>
      <c r="Y27" s="463"/>
      <c r="Z27" s="463"/>
      <c r="AA27" s="463"/>
      <c r="AB27" s="439"/>
    </row>
    <row r="28" spans="2:28" s="420" customFormat="1" ht="87" customHeight="1">
      <c r="E28" s="439"/>
      <c r="F28" s="2711" t="s">
        <v>3864</v>
      </c>
      <c r="G28" s="2868"/>
      <c r="H28" s="2868"/>
      <c r="I28" s="2868"/>
      <c r="J28" s="2712"/>
      <c r="K28" s="439"/>
      <c r="L28" s="439"/>
      <c r="M28" s="439"/>
      <c r="N28" s="2711" t="s">
        <v>3865</v>
      </c>
      <c r="O28" s="2868"/>
      <c r="P28" s="2868"/>
      <c r="Q28" s="2868"/>
      <c r="R28" s="2712"/>
      <c r="S28" s="464"/>
      <c r="T28" s="439"/>
      <c r="U28" s="439"/>
      <c r="V28" s="439"/>
      <c r="W28" s="464"/>
      <c r="X28" s="464"/>
      <c r="Y28" s="464"/>
      <c r="Z28" s="464"/>
      <c r="AA28" s="464"/>
      <c r="AB28" s="439"/>
    </row>
    <row r="29" spans="2:28" s="420" customFormat="1" ht="15.6">
      <c r="E29" s="439"/>
      <c r="F29" s="2860" t="s">
        <v>3795</v>
      </c>
      <c r="G29" s="2861"/>
      <c r="H29" s="2861"/>
      <c r="I29" s="2861"/>
      <c r="J29" s="2862"/>
      <c r="K29" s="439"/>
      <c r="L29" s="439"/>
      <c r="M29" s="439"/>
      <c r="N29" s="2860" t="s">
        <v>3866</v>
      </c>
      <c r="O29" s="2861"/>
      <c r="P29" s="2861"/>
      <c r="Q29" s="2861"/>
      <c r="R29" s="2862"/>
      <c r="S29" s="463"/>
      <c r="T29" s="439"/>
      <c r="U29" s="439"/>
      <c r="V29" s="439"/>
      <c r="W29" s="463"/>
      <c r="X29" s="463"/>
      <c r="Y29" s="463"/>
      <c r="Z29" s="463"/>
      <c r="AA29" s="463"/>
      <c r="AB29" s="439"/>
    </row>
    <row r="30" spans="2:28" s="420" customFormat="1" ht="49.95" customHeight="1">
      <c r="E30" s="439"/>
      <c r="F30" s="2711" t="s">
        <v>3867</v>
      </c>
      <c r="G30" s="2868"/>
      <c r="H30" s="2868"/>
      <c r="I30" s="2868"/>
      <c r="J30" s="2712"/>
      <c r="K30" s="439"/>
      <c r="L30" s="439"/>
      <c r="M30" s="439"/>
      <c r="N30" s="2711" t="s">
        <v>3868</v>
      </c>
      <c r="O30" s="2868"/>
      <c r="P30" s="2868"/>
      <c r="Q30" s="2868"/>
      <c r="R30" s="2712"/>
      <c r="S30" s="464"/>
      <c r="T30" s="439"/>
      <c r="U30" s="439"/>
      <c r="V30" s="439"/>
      <c r="W30" s="464"/>
      <c r="X30" s="464"/>
      <c r="Y30" s="464"/>
      <c r="Z30" s="464"/>
      <c r="AA30" s="464"/>
      <c r="AB30" s="439"/>
    </row>
    <row r="31" spans="2:28" s="420" customFormat="1" ht="15.6">
      <c r="E31" s="439"/>
      <c r="F31" s="2860" t="s">
        <v>3804</v>
      </c>
      <c r="G31" s="2861"/>
      <c r="H31" s="2861"/>
      <c r="I31" s="2861"/>
      <c r="J31" s="2862"/>
      <c r="K31" s="439"/>
      <c r="L31" s="439"/>
      <c r="M31" s="439"/>
      <c r="N31" s="2860" t="s">
        <v>3869</v>
      </c>
      <c r="O31" s="2861"/>
      <c r="P31" s="2861"/>
      <c r="Q31" s="2861"/>
      <c r="R31" s="2862"/>
      <c r="S31" s="463"/>
      <c r="T31" s="439"/>
      <c r="U31" s="439"/>
      <c r="V31" s="439"/>
      <c r="W31" s="463"/>
      <c r="X31" s="463"/>
      <c r="Y31" s="463"/>
      <c r="Z31" s="463"/>
      <c r="AA31" s="463"/>
      <c r="AB31" s="439"/>
    </row>
    <row r="32" spans="2:28" s="420" customFormat="1" ht="49.95" customHeight="1">
      <c r="E32" s="439"/>
      <c r="F32" s="2711" t="s">
        <v>3870</v>
      </c>
      <c r="G32" s="2868"/>
      <c r="H32" s="2868"/>
      <c r="I32" s="2868"/>
      <c r="J32" s="2712"/>
      <c r="K32" s="439"/>
      <c r="L32" s="439"/>
      <c r="M32" s="439"/>
      <c r="N32" s="2711" t="s">
        <v>3871</v>
      </c>
      <c r="O32" s="2709"/>
      <c r="P32" s="2709"/>
      <c r="Q32" s="2709"/>
      <c r="R32" s="2712"/>
      <c r="S32" s="464"/>
      <c r="T32" s="439"/>
      <c r="U32" s="439"/>
      <c r="V32" s="439"/>
      <c r="W32" s="464"/>
      <c r="X32" s="464"/>
      <c r="Y32" s="464"/>
      <c r="Z32" s="464"/>
      <c r="AA32" s="464"/>
      <c r="AB32" s="439"/>
    </row>
    <row r="33" spans="2:29" s="420" customFormat="1" ht="15.6">
      <c r="E33" s="439"/>
      <c r="F33" s="2860" t="s">
        <v>3813</v>
      </c>
      <c r="G33" s="2861"/>
      <c r="H33" s="2861"/>
      <c r="I33" s="2861"/>
      <c r="J33" s="2862"/>
      <c r="K33" s="439"/>
      <c r="L33" s="439"/>
      <c r="M33" s="439"/>
      <c r="N33" s="2711"/>
      <c r="O33" s="2709"/>
      <c r="P33" s="2709"/>
      <c r="Q33" s="2709"/>
      <c r="R33" s="2712"/>
      <c r="S33" s="463"/>
      <c r="T33" s="439"/>
      <c r="U33" s="439"/>
      <c r="V33" s="439"/>
      <c r="W33" s="463"/>
      <c r="X33" s="463"/>
      <c r="Y33" s="463"/>
      <c r="Z33" s="463"/>
      <c r="AA33" s="463"/>
      <c r="AB33" s="439"/>
    </row>
    <row r="34" spans="2:29" s="420" customFormat="1" ht="49.95" customHeight="1">
      <c r="E34" s="439"/>
      <c r="F34" s="2711" t="s">
        <v>3872</v>
      </c>
      <c r="G34" s="2868"/>
      <c r="H34" s="2868"/>
      <c r="I34" s="2868"/>
      <c r="J34" s="2712"/>
      <c r="K34" s="439"/>
      <c r="L34" s="439"/>
      <c r="M34" s="439"/>
      <c r="N34" s="2711"/>
      <c r="O34" s="2709"/>
      <c r="P34" s="2709"/>
      <c r="Q34" s="2709"/>
      <c r="R34" s="2712"/>
      <c r="S34" s="464"/>
      <c r="T34" s="439"/>
      <c r="U34" s="439"/>
      <c r="V34" s="439"/>
      <c r="W34" s="464"/>
      <c r="X34" s="464"/>
      <c r="Y34" s="464"/>
      <c r="Z34" s="464"/>
      <c r="AA34" s="464"/>
      <c r="AB34" s="439"/>
    </row>
    <row r="35" spans="2:29" s="420" customFormat="1" ht="15.6">
      <c r="B35" s="440"/>
      <c r="E35" s="439"/>
      <c r="F35" s="2860" t="s">
        <v>3873</v>
      </c>
      <c r="G35" s="2861"/>
      <c r="H35" s="2861"/>
      <c r="I35" s="2861"/>
      <c r="J35" s="2862"/>
      <c r="K35" s="439"/>
      <c r="L35" s="439"/>
      <c r="M35" s="439"/>
      <c r="N35" s="2860" t="s">
        <v>3874</v>
      </c>
      <c r="O35" s="2861"/>
      <c r="P35" s="2861"/>
      <c r="Q35" s="2861"/>
      <c r="R35" s="2862"/>
      <c r="S35" s="463"/>
      <c r="T35" s="439"/>
      <c r="U35" s="439"/>
      <c r="V35" s="439"/>
      <c r="W35" s="463"/>
      <c r="X35" s="463"/>
      <c r="Y35" s="463"/>
      <c r="Z35" s="463"/>
      <c r="AA35" s="463"/>
      <c r="AB35" s="439"/>
    </row>
    <row r="36" spans="2:29" s="420" customFormat="1" ht="49.95" customHeight="1">
      <c r="E36" s="439"/>
      <c r="F36" s="2863" t="s">
        <v>3875</v>
      </c>
      <c r="G36" s="2864"/>
      <c r="H36" s="2864"/>
      <c r="I36" s="2864"/>
      <c r="J36" s="2865"/>
      <c r="K36" s="439"/>
      <c r="L36" s="439"/>
      <c r="M36" s="439"/>
      <c r="N36" s="2863" t="s">
        <v>3876</v>
      </c>
      <c r="O36" s="2864"/>
      <c r="P36" s="2864"/>
      <c r="Q36" s="2864"/>
      <c r="R36" s="2865"/>
      <c r="S36" s="464"/>
      <c r="T36" s="439"/>
      <c r="U36" s="439"/>
      <c r="V36" s="439"/>
      <c r="W36" s="464"/>
      <c r="X36" s="464"/>
      <c r="Y36" s="464"/>
      <c r="Z36" s="464"/>
      <c r="AA36" s="464"/>
      <c r="AB36" s="439"/>
    </row>
    <row r="39" spans="2:29" ht="15" customHeight="1">
      <c r="B39" s="2358" t="s">
        <v>3877</v>
      </c>
      <c r="C39" s="2359"/>
      <c r="D39" s="2359"/>
      <c r="E39" s="2359"/>
      <c r="F39" s="2359"/>
      <c r="G39" s="2359"/>
      <c r="H39" s="2359"/>
      <c r="I39" s="2359"/>
      <c r="J39" s="2359"/>
      <c r="K39" s="2359"/>
      <c r="L39" s="2359"/>
      <c r="M39" s="2359"/>
      <c r="N39" s="2359"/>
      <c r="O39" s="2359"/>
      <c r="P39" s="2359"/>
      <c r="Q39" s="2359"/>
      <c r="R39" s="2359"/>
      <c r="S39" s="2359"/>
      <c r="T39" s="2359"/>
      <c r="U39" s="2359"/>
      <c r="V39" s="2359"/>
      <c r="W39" s="2359"/>
      <c r="X39" s="2359"/>
      <c r="Y39" s="2359"/>
      <c r="Z39" s="2359"/>
      <c r="AA39" s="2360"/>
      <c r="AB39" s="473"/>
    </row>
    <row r="40" spans="2:29" ht="15" customHeight="1">
      <c r="B40" s="2361"/>
      <c r="C40" s="2362"/>
      <c r="D40" s="2362"/>
      <c r="E40" s="2362"/>
      <c r="F40" s="2362"/>
      <c r="G40" s="2362"/>
      <c r="H40" s="2362"/>
      <c r="I40" s="2362"/>
      <c r="J40" s="2362"/>
      <c r="K40" s="2362"/>
      <c r="L40" s="2362"/>
      <c r="M40" s="2362"/>
      <c r="N40" s="2362"/>
      <c r="O40" s="2362"/>
      <c r="P40" s="2362"/>
      <c r="Q40" s="2362"/>
      <c r="R40" s="2362"/>
      <c r="S40" s="2362"/>
      <c r="T40" s="2362"/>
      <c r="U40" s="2362"/>
      <c r="V40" s="2362"/>
      <c r="W40" s="2362"/>
      <c r="X40" s="2362"/>
      <c r="Y40" s="2362"/>
      <c r="Z40" s="2362"/>
      <c r="AA40" s="2363"/>
      <c r="AB40" s="473"/>
    </row>
    <row r="41" spans="2:29" ht="15" customHeight="1">
      <c r="B41" s="2364"/>
      <c r="C41" s="2365"/>
      <c r="D41" s="2365"/>
      <c r="E41" s="2365"/>
      <c r="F41" s="2365"/>
      <c r="G41" s="2365"/>
      <c r="H41" s="2365"/>
      <c r="I41" s="2365"/>
      <c r="J41" s="2365"/>
      <c r="K41" s="2365"/>
      <c r="L41" s="2365"/>
      <c r="M41" s="2365"/>
      <c r="N41" s="2365"/>
      <c r="O41" s="2365"/>
      <c r="P41" s="2365"/>
      <c r="Q41" s="2365"/>
      <c r="R41" s="2365"/>
      <c r="S41" s="2365"/>
      <c r="T41" s="2365"/>
      <c r="U41" s="2365"/>
      <c r="V41" s="2365"/>
      <c r="W41" s="2365"/>
      <c r="X41" s="2365"/>
      <c r="Y41" s="2365"/>
      <c r="Z41" s="2365"/>
      <c r="AA41" s="2366"/>
      <c r="AB41" s="473"/>
    </row>
    <row r="42" spans="2:29">
      <c r="B42" s="2866" t="s">
        <v>3878</v>
      </c>
      <c r="C42" s="2867"/>
      <c r="D42" s="2867"/>
      <c r="E42" s="2867"/>
      <c r="F42" s="2867"/>
      <c r="G42" s="2867"/>
      <c r="H42" s="2867"/>
      <c r="I42" s="2867"/>
      <c r="J42" s="2867"/>
      <c r="K42" s="2867"/>
      <c r="L42" s="2867"/>
      <c r="M42" s="2867"/>
      <c r="N42" s="2867"/>
      <c r="O42" s="2867"/>
      <c r="P42" s="2867"/>
      <c r="Q42" s="2867"/>
      <c r="R42" s="2867"/>
      <c r="S42" s="2867"/>
      <c r="T42" s="2867"/>
      <c r="U42" s="2867"/>
      <c r="V42" s="2867"/>
      <c r="W42" s="2867"/>
      <c r="X42" s="2867"/>
      <c r="Y42" s="2867"/>
      <c r="Z42" s="2867"/>
      <c r="AA42" s="2867"/>
    </row>
    <row r="43" spans="2:29" ht="16.05" customHeight="1">
      <c r="B43" s="2800" t="s">
        <v>3879</v>
      </c>
      <c r="C43" s="2801"/>
      <c r="D43" s="2801"/>
      <c r="E43" s="2802"/>
      <c r="F43" s="36"/>
      <c r="G43" s="2800" t="s">
        <v>3880</v>
      </c>
      <c r="H43" s="2801"/>
      <c r="I43" s="2801"/>
      <c r="J43" s="2801"/>
      <c r="K43" s="2802"/>
      <c r="L43" s="36"/>
      <c r="M43" s="2730" t="s">
        <v>3881</v>
      </c>
      <c r="N43" s="2731"/>
      <c r="O43" s="2731"/>
      <c r="P43" s="2732"/>
      <c r="Q43" s="36"/>
      <c r="R43" s="2730" t="s">
        <v>3882</v>
      </c>
      <c r="S43" s="2731"/>
      <c r="T43" s="2732"/>
      <c r="U43" s="465"/>
      <c r="V43" s="2730" t="s">
        <v>3883</v>
      </c>
      <c r="W43" s="2731"/>
      <c r="X43" s="2731"/>
      <c r="Y43" s="2731"/>
      <c r="Z43" s="2731"/>
      <c r="AA43" s="2732"/>
      <c r="AC43" s="474"/>
    </row>
    <row r="44" spans="2:29" ht="16.05" customHeight="1">
      <c r="B44" s="2798" t="s">
        <v>1500</v>
      </c>
      <c r="C44" s="2799"/>
      <c r="D44" s="2799"/>
      <c r="E44" s="441" t="s">
        <v>3884</v>
      </c>
      <c r="F44" s="36"/>
      <c r="G44" s="2798" t="s">
        <v>1500</v>
      </c>
      <c r="H44" s="2799"/>
      <c r="I44" s="2799"/>
      <c r="J44" s="2799"/>
      <c r="K44" s="441" t="s">
        <v>3884</v>
      </c>
      <c r="L44" s="36"/>
      <c r="M44" s="2735" t="s">
        <v>1500</v>
      </c>
      <c r="N44" s="2736"/>
      <c r="O44" s="2736"/>
      <c r="P44" s="459" t="s">
        <v>3884</v>
      </c>
      <c r="Q44" s="36"/>
      <c r="R44" s="2735" t="s">
        <v>1500</v>
      </c>
      <c r="S44" s="2736"/>
      <c r="T44" s="459" t="s">
        <v>3884</v>
      </c>
      <c r="U44" s="36"/>
      <c r="V44" s="2735" t="s">
        <v>1500</v>
      </c>
      <c r="W44" s="2736"/>
      <c r="X44" s="2736"/>
      <c r="Y44" s="2736"/>
      <c r="Z44" s="444" t="s">
        <v>3885</v>
      </c>
      <c r="AA44" s="459" t="s">
        <v>3884</v>
      </c>
      <c r="AC44" s="474"/>
    </row>
    <row r="45" spans="2:29" ht="16.05" customHeight="1">
      <c r="B45" s="2719" t="s">
        <v>3886</v>
      </c>
      <c r="C45" s="2725"/>
      <c r="D45" s="2725"/>
      <c r="E45" s="442" t="s">
        <v>3887</v>
      </c>
      <c r="F45" s="36"/>
      <c r="G45" s="2786" t="s">
        <v>3888</v>
      </c>
      <c r="H45" s="2787"/>
      <c r="I45" s="2787"/>
      <c r="J45" s="2787"/>
      <c r="K45" s="442" t="s">
        <v>3889</v>
      </c>
      <c r="L45" s="36"/>
      <c r="M45" s="2719" t="s">
        <v>3890</v>
      </c>
      <c r="N45" s="2725"/>
      <c r="O45" s="2725"/>
      <c r="P45" s="442">
        <v>25</v>
      </c>
      <c r="Q45" s="36"/>
      <c r="R45" s="2719" t="s">
        <v>3891</v>
      </c>
      <c r="S45" s="2725"/>
      <c r="T45" s="466">
        <v>20</v>
      </c>
      <c r="U45" s="36"/>
      <c r="V45" s="2849" t="s">
        <v>3892</v>
      </c>
      <c r="W45" s="2850"/>
      <c r="X45" s="2850"/>
      <c r="Y45" s="2850"/>
      <c r="Z45" s="447">
        <v>500</v>
      </c>
      <c r="AA45" s="466">
        <v>21</v>
      </c>
      <c r="AC45" s="475"/>
    </row>
    <row r="46" spans="2:29" ht="16.05" customHeight="1">
      <c r="B46" s="2723" t="s">
        <v>3893</v>
      </c>
      <c r="C46" s="2739"/>
      <c r="D46" s="2739"/>
      <c r="E46" s="443">
        <v>350</v>
      </c>
      <c r="F46" s="36"/>
      <c r="G46" s="2784" t="s">
        <v>3894</v>
      </c>
      <c r="H46" s="2785"/>
      <c r="I46" s="2785"/>
      <c r="J46" s="2785"/>
      <c r="K46" s="443" t="s">
        <v>3895</v>
      </c>
      <c r="L46" s="36"/>
      <c r="M46" s="2723" t="s">
        <v>3896</v>
      </c>
      <c r="N46" s="2739"/>
      <c r="O46" s="2739"/>
      <c r="P46" s="443">
        <v>60</v>
      </c>
      <c r="Q46" s="36"/>
      <c r="R46" s="2723" t="s">
        <v>3897</v>
      </c>
      <c r="S46" s="2739"/>
      <c r="T46" s="467">
        <v>50</v>
      </c>
      <c r="U46" s="36"/>
      <c r="V46" s="2856" t="s">
        <v>3898</v>
      </c>
      <c r="W46" s="2857"/>
      <c r="X46" s="2857"/>
      <c r="Y46" s="2857"/>
      <c r="Z46" s="476">
        <v>50</v>
      </c>
      <c r="AA46" s="467">
        <v>24</v>
      </c>
      <c r="AC46" s="475"/>
    </row>
    <row r="47" spans="2:29" ht="16.05" customHeight="1">
      <c r="B47" s="2719" t="s">
        <v>3899</v>
      </c>
      <c r="C47" s="2725"/>
      <c r="D47" s="2725"/>
      <c r="E47" s="442">
        <v>200</v>
      </c>
      <c r="F47" s="36"/>
      <c r="G47" s="2735" t="s">
        <v>3900</v>
      </c>
      <c r="H47" s="2736"/>
      <c r="I47" s="2736"/>
      <c r="J47" s="2736"/>
      <c r="K47" s="459" t="s">
        <v>3884</v>
      </c>
      <c r="L47" s="36"/>
      <c r="M47" s="2719" t="s">
        <v>3901</v>
      </c>
      <c r="N47" s="2725"/>
      <c r="O47" s="2725"/>
      <c r="P47" s="442">
        <v>110</v>
      </c>
      <c r="Q47" s="36"/>
      <c r="R47" s="2740" t="s">
        <v>3902</v>
      </c>
      <c r="S47" s="2741"/>
      <c r="T47" s="468">
        <v>50</v>
      </c>
      <c r="U47" s="36"/>
      <c r="V47" s="2858" t="s">
        <v>3903</v>
      </c>
      <c r="W47" s="2859"/>
      <c r="X47" s="2859"/>
      <c r="Y47" s="2859"/>
      <c r="Z47" s="477">
        <v>50</v>
      </c>
      <c r="AA47" s="466">
        <v>15</v>
      </c>
      <c r="AC47" s="475"/>
    </row>
    <row r="48" spans="2:29" ht="16.05" customHeight="1">
      <c r="B48" s="2723" t="s">
        <v>3904</v>
      </c>
      <c r="C48" s="2739"/>
      <c r="D48" s="2739"/>
      <c r="E48" s="443">
        <v>50</v>
      </c>
      <c r="F48" s="36"/>
      <c r="G48" s="2786" t="s">
        <v>3905</v>
      </c>
      <c r="H48" s="2787"/>
      <c r="I48" s="2787"/>
      <c r="J48" s="2787"/>
      <c r="K48" s="442" t="s">
        <v>3906</v>
      </c>
      <c r="L48" s="36"/>
      <c r="M48" s="2723" t="s">
        <v>3907</v>
      </c>
      <c r="N48" s="2739"/>
      <c r="O48" s="2739"/>
      <c r="P48" s="443">
        <v>30</v>
      </c>
      <c r="Q48" s="36"/>
      <c r="R48" s="2853"/>
      <c r="S48" s="2853"/>
      <c r="T48" s="447"/>
      <c r="U48" s="36"/>
      <c r="V48" s="2854" t="s">
        <v>3908</v>
      </c>
      <c r="W48" s="2855"/>
      <c r="X48" s="2855"/>
      <c r="Y48" s="2855"/>
      <c r="Z48" s="478">
        <v>50</v>
      </c>
      <c r="AA48" s="467">
        <v>15</v>
      </c>
      <c r="AC48" s="475"/>
    </row>
    <row r="49" spans="2:29" ht="16.05" customHeight="1">
      <c r="B49" s="2719" t="s">
        <v>3909</v>
      </c>
      <c r="C49" s="2725"/>
      <c r="D49" s="2725"/>
      <c r="E49" s="442">
        <v>200</v>
      </c>
      <c r="F49" s="36"/>
      <c r="G49" s="2784" t="s">
        <v>3910</v>
      </c>
      <c r="H49" s="2785"/>
      <c r="I49" s="2785"/>
      <c r="J49" s="2785"/>
      <c r="K49" s="443" t="s">
        <v>3911</v>
      </c>
      <c r="L49" s="36"/>
      <c r="M49" s="2719" t="s">
        <v>3912</v>
      </c>
      <c r="N49" s="2725"/>
      <c r="O49" s="2725"/>
      <c r="P49" s="442">
        <v>200</v>
      </c>
      <c r="Q49" s="36"/>
      <c r="R49" s="2730" t="s">
        <v>404</v>
      </c>
      <c r="S49" s="2731"/>
      <c r="T49" s="2732"/>
      <c r="U49" s="36"/>
      <c r="V49" s="2849" t="s">
        <v>3913</v>
      </c>
      <c r="W49" s="2850"/>
      <c r="X49" s="2850"/>
      <c r="Y49" s="2850"/>
      <c r="Z49" s="479">
        <v>50</v>
      </c>
      <c r="AA49" s="466">
        <v>15</v>
      </c>
      <c r="AC49" s="475"/>
    </row>
    <row r="50" spans="2:29" ht="16.05" customHeight="1">
      <c r="B50" s="2723" t="s">
        <v>3914</v>
      </c>
      <c r="C50" s="2739"/>
      <c r="D50" s="2739"/>
      <c r="E50" s="443">
        <v>250</v>
      </c>
      <c r="F50" s="36"/>
      <c r="G50" s="2786" t="s">
        <v>3915</v>
      </c>
      <c r="H50" s="2787"/>
      <c r="I50" s="2787"/>
      <c r="J50" s="2787"/>
      <c r="K50" s="442">
        <v>62.5</v>
      </c>
      <c r="L50" s="36"/>
      <c r="M50" s="2723" t="s">
        <v>3916</v>
      </c>
      <c r="N50" s="2739"/>
      <c r="O50" s="2739"/>
      <c r="P50" s="443">
        <v>30</v>
      </c>
      <c r="Q50" s="36"/>
      <c r="R50" s="2735" t="s">
        <v>1500</v>
      </c>
      <c r="S50" s="2736"/>
      <c r="T50" s="459" t="s">
        <v>3884</v>
      </c>
      <c r="U50" s="36"/>
      <c r="V50" s="2845" t="s">
        <v>3917</v>
      </c>
      <c r="W50" s="2846"/>
      <c r="X50" s="2846"/>
      <c r="Y50" s="2846"/>
      <c r="Z50" s="480">
        <v>50</v>
      </c>
      <c r="AA50" s="467">
        <v>22</v>
      </c>
      <c r="AC50" s="475"/>
    </row>
    <row r="51" spans="2:29" ht="16.05" customHeight="1">
      <c r="B51" s="2719" t="s">
        <v>3918</v>
      </c>
      <c r="C51" s="2725"/>
      <c r="D51" s="2725"/>
      <c r="E51" s="442">
        <v>35</v>
      </c>
      <c r="F51" s="36"/>
      <c r="G51" s="2790" t="s">
        <v>3919</v>
      </c>
      <c r="H51" s="2791"/>
      <c r="I51" s="2791"/>
      <c r="J51" s="2791"/>
      <c r="K51" s="459" t="s">
        <v>3884</v>
      </c>
      <c r="L51" s="36"/>
      <c r="M51" s="2719" t="s">
        <v>3920</v>
      </c>
      <c r="N51" s="2725"/>
      <c r="O51" s="2725"/>
      <c r="P51" s="442">
        <v>1300</v>
      </c>
      <c r="Q51" s="36"/>
      <c r="R51" s="2719" t="s">
        <v>3921</v>
      </c>
      <c r="S51" s="2725"/>
      <c r="T51" s="466" t="s">
        <v>3887</v>
      </c>
      <c r="U51" s="36"/>
      <c r="V51" s="2849" t="s">
        <v>3922</v>
      </c>
      <c r="W51" s="2850"/>
      <c r="X51" s="2850"/>
      <c r="Y51" s="2850"/>
      <c r="Z51" s="479">
        <v>50</v>
      </c>
      <c r="AA51" s="466">
        <v>17</v>
      </c>
      <c r="AC51" s="475"/>
    </row>
    <row r="52" spans="2:29" ht="16.05" customHeight="1">
      <c r="B52" s="2723" t="s">
        <v>3923</v>
      </c>
      <c r="C52" s="2739"/>
      <c r="D52" s="2739"/>
      <c r="E52" s="443">
        <v>36</v>
      </c>
      <c r="F52" s="36"/>
      <c r="G52" s="2786" t="s">
        <v>3924</v>
      </c>
      <c r="H52" s="2787"/>
      <c r="I52" s="2787"/>
      <c r="J52" s="2787"/>
      <c r="K52" s="442" t="s">
        <v>3925</v>
      </c>
      <c r="L52" s="36"/>
      <c r="M52" s="2723" t="s">
        <v>3926</v>
      </c>
      <c r="N52" s="2739"/>
      <c r="O52" s="2739"/>
      <c r="P52" s="443">
        <v>65</v>
      </c>
      <c r="Q52" s="36"/>
      <c r="R52" s="2723" t="s">
        <v>3927</v>
      </c>
      <c r="S52" s="2739"/>
      <c r="T52" s="467" t="s">
        <v>3928</v>
      </c>
      <c r="U52" s="36"/>
      <c r="V52" s="2845" t="s">
        <v>3929</v>
      </c>
      <c r="W52" s="2846"/>
      <c r="X52" s="2846"/>
      <c r="Y52" s="2846"/>
      <c r="Z52" s="480">
        <v>50</v>
      </c>
      <c r="AA52" s="467">
        <v>24</v>
      </c>
    </row>
    <row r="53" spans="2:29" ht="16.05" customHeight="1">
      <c r="B53" s="2719" t="s">
        <v>3930</v>
      </c>
      <c r="C53" s="2725"/>
      <c r="D53" s="2725"/>
      <c r="E53" s="442">
        <v>35</v>
      </c>
      <c r="F53" s="36"/>
      <c r="G53" s="2784" t="s">
        <v>3931</v>
      </c>
      <c r="H53" s="2785"/>
      <c r="I53" s="2785"/>
      <c r="J53" s="2785"/>
      <c r="K53" s="443" t="s">
        <v>3932</v>
      </c>
      <c r="L53" s="36"/>
      <c r="M53" s="2719" t="s">
        <v>3933</v>
      </c>
      <c r="N53" s="2725"/>
      <c r="O53" s="2725"/>
      <c r="P53" s="442">
        <v>30</v>
      </c>
      <c r="Q53" s="36"/>
      <c r="R53" s="2719" t="s">
        <v>3934</v>
      </c>
      <c r="S53" s="2725"/>
      <c r="T53" s="466" t="s">
        <v>3935</v>
      </c>
      <c r="U53" s="36"/>
      <c r="V53" s="2849" t="s">
        <v>3936</v>
      </c>
      <c r="W53" s="2850"/>
      <c r="X53" s="2850"/>
      <c r="Y53" s="2850"/>
      <c r="Z53" s="479">
        <v>50</v>
      </c>
      <c r="AA53" s="466">
        <v>12</v>
      </c>
    </row>
    <row r="54" spans="2:29" ht="16.05" customHeight="1">
      <c r="B54" s="2723" t="s">
        <v>3937</v>
      </c>
      <c r="C54" s="2739"/>
      <c r="D54" s="2739"/>
      <c r="E54" s="443">
        <v>40</v>
      </c>
      <c r="F54" s="36"/>
      <c r="G54" s="2851" t="s">
        <v>3938</v>
      </c>
      <c r="H54" s="2852"/>
      <c r="I54" s="2852"/>
      <c r="J54" s="2852"/>
      <c r="K54" s="460" t="s">
        <v>3939</v>
      </c>
      <c r="L54" s="36"/>
      <c r="M54" s="2723" t="s">
        <v>3940</v>
      </c>
      <c r="N54" s="2739"/>
      <c r="O54" s="2739"/>
      <c r="P54" s="443">
        <v>20</v>
      </c>
      <c r="Q54" s="36"/>
      <c r="R54" s="2723" t="s">
        <v>3941</v>
      </c>
      <c r="S54" s="2739"/>
      <c r="T54" s="467" t="s">
        <v>3942</v>
      </c>
      <c r="U54" s="36"/>
      <c r="V54" s="2845" t="s">
        <v>3943</v>
      </c>
      <c r="W54" s="2846"/>
      <c r="X54" s="2846"/>
      <c r="Y54" s="2846"/>
      <c r="Z54" s="480">
        <v>50</v>
      </c>
      <c r="AA54" s="467">
        <v>39</v>
      </c>
    </row>
    <row r="55" spans="2:29" ht="16.05" customHeight="1">
      <c r="B55" s="2719" t="s">
        <v>3944</v>
      </c>
      <c r="C55" s="2725"/>
      <c r="D55" s="2725"/>
      <c r="E55" s="442">
        <v>50</v>
      </c>
      <c r="F55" s="36"/>
      <c r="G55" s="445"/>
      <c r="H55" s="445"/>
      <c r="I55" s="445"/>
      <c r="J55" s="36"/>
      <c r="K55" s="36"/>
      <c r="L55" s="36"/>
      <c r="M55" s="2719" t="s">
        <v>3945</v>
      </c>
      <c r="N55" s="2725"/>
      <c r="O55" s="2725"/>
      <c r="P55" s="442">
        <v>250</v>
      </c>
      <c r="Q55" s="36"/>
      <c r="R55" s="2719" t="s">
        <v>3946</v>
      </c>
      <c r="S55" s="2725"/>
      <c r="T55" s="466">
        <v>400</v>
      </c>
      <c r="U55" s="36"/>
      <c r="V55" s="2849" t="s">
        <v>3947</v>
      </c>
      <c r="W55" s="2850"/>
      <c r="X55" s="2850"/>
      <c r="Y55" s="2850"/>
      <c r="Z55" s="479">
        <v>100</v>
      </c>
      <c r="AA55" s="466">
        <v>23</v>
      </c>
    </row>
    <row r="56" spans="2:29" ht="16.05" customHeight="1">
      <c r="B56" s="2723" t="s">
        <v>3948</v>
      </c>
      <c r="C56" s="2739"/>
      <c r="D56" s="2739"/>
      <c r="E56" s="443">
        <v>100</v>
      </c>
      <c r="F56" s="36"/>
      <c r="G56" s="2730" t="s">
        <v>3949</v>
      </c>
      <c r="H56" s="2731"/>
      <c r="I56" s="2731"/>
      <c r="J56" s="2731"/>
      <c r="K56" s="2732"/>
      <c r="L56" s="36"/>
      <c r="M56" s="2723" t="s">
        <v>3950</v>
      </c>
      <c r="N56" s="2739"/>
      <c r="O56" s="2739"/>
      <c r="P56" s="443">
        <v>260</v>
      </c>
      <c r="Q56" s="36"/>
      <c r="R56" s="2767" t="s">
        <v>3951</v>
      </c>
      <c r="S56" s="2768"/>
      <c r="T56" s="469">
        <v>200</v>
      </c>
      <c r="U56" s="36"/>
      <c r="V56" s="2845" t="s">
        <v>3952</v>
      </c>
      <c r="W56" s="2846"/>
      <c r="X56" s="2846"/>
      <c r="Y56" s="2846"/>
      <c r="Z56" s="480">
        <v>25</v>
      </c>
      <c r="AA56" s="467">
        <v>40</v>
      </c>
    </row>
    <row r="57" spans="2:29" ht="16.05" customHeight="1">
      <c r="B57" s="2719" t="s">
        <v>3953</v>
      </c>
      <c r="C57" s="2725"/>
      <c r="D57" s="2725"/>
      <c r="E57" s="442">
        <v>35</v>
      </c>
      <c r="F57" s="36"/>
      <c r="G57" s="2735" t="s">
        <v>1500</v>
      </c>
      <c r="H57" s="2736"/>
      <c r="I57" s="2736"/>
      <c r="J57" s="2736"/>
      <c r="K57" s="459" t="s">
        <v>3884</v>
      </c>
      <c r="L57" s="36"/>
      <c r="M57" s="2719" t="s">
        <v>3954</v>
      </c>
      <c r="N57" s="2725"/>
      <c r="O57" s="2725"/>
      <c r="P57" s="442">
        <v>2000</v>
      </c>
      <c r="Q57" s="36"/>
      <c r="R57" s="36"/>
      <c r="S57" s="36"/>
      <c r="T57" s="36"/>
      <c r="U57" s="36"/>
      <c r="V57" s="2849" t="s">
        <v>3955</v>
      </c>
      <c r="W57" s="2850"/>
      <c r="X57" s="2850"/>
      <c r="Y57" s="2850"/>
      <c r="Z57" s="447">
        <v>25</v>
      </c>
      <c r="AA57" s="466">
        <v>30</v>
      </c>
      <c r="AC57" s="475"/>
    </row>
    <row r="58" spans="2:29" ht="16.05" customHeight="1">
      <c r="B58" s="2723" t="s">
        <v>3956</v>
      </c>
      <c r="C58" s="2739"/>
      <c r="D58" s="2739"/>
      <c r="E58" s="443">
        <v>15</v>
      </c>
      <c r="F58" s="36"/>
      <c r="G58" s="2719" t="s">
        <v>3957</v>
      </c>
      <c r="H58" s="2725"/>
      <c r="I58" s="2725"/>
      <c r="J58" s="2725"/>
      <c r="K58" s="442">
        <v>23000</v>
      </c>
      <c r="L58" s="36"/>
      <c r="M58" s="2723" t="s">
        <v>3958</v>
      </c>
      <c r="N58" s="2739"/>
      <c r="O58" s="2739"/>
      <c r="P58" s="443">
        <v>1000</v>
      </c>
      <c r="Q58" s="36"/>
      <c r="R58" s="2730" t="s">
        <v>3959</v>
      </c>
      <c r="S58" s="2731"/>
      <c r="T58" s="2732"/>
      <c r="U58" s="36"/>
      <c r="V58" s="2845" t="s">
        <v>3960</v>
      </c>
      <c r="W58" s="2846"/>
      <c r="X58" s="2846"/>
      <c r="Y58" s="2846"/>
      <c r="Z58" s="481">
        <v>25</v>
      </c>
      <c r="AA58" s="467">
        <v>26</v>
      </c>
    </row>
    <row r="59" spans="2:29" ht="16.05" customHeight="1">
      <c r="B59" s="2719" t="s">
        <v>3961</v>
      </c>
      <c r="C59" s="2725"/>
      <c r="D59" s="2725"/>
      <c r="E59" s="442">
        <v>15</v>
      </c>
      <c r="F59" s="36"/>
      <c r="G59" s="2723" t="s">
        <v>3962</v>
      </c>
      <c r="H59" s="2739"/>
      <c r="I59" s="2739"/>
      <c r="J59" s="2739"/>
      <c r="K59" s="443">
        <v>13000</v>
      </c>
      <c r="L59" s="36"/>
      <c r="M59" s="2719" t="s">
        <v>3963</v>
      </c>
      <c r="N59" s="2725"/>
      <c r="O59" s="2725"/>
      <c r="P59" s="442" t="s">
        <v>3964</v>
      </c>
      <c r="Q59" s="36"/>
      <c r="R59" s="2735" t="s">
        <v>1500</v>
      </c>
      <c r="S59" s="2736"/>
      <c r="T59" s="459" t="s">
        <v>3884</v>
      </c>
      <c r="U59" s="36"/>
      <c r="V59" s="2847" t="s">
        <v>3965</v>
      </c>
      <c r="W59" s="2848"/>
      <c r="X59" s="2848"/>
      <c r="Y59" s="2848"/>
      <c r="Z59" s="482">
        <v>25</v>
      </c>
      <c r="AA59" s="468">
        <v>28</v>
      </c>
    </row>
    <row r="60" spans="2:29" ht="16.05" customHeight="1">
      <c r="B60" s="2723" t="s">
        <v>3966</v>
      </c>
      <c r="C60" s="2739"/>
      <c r="D60" s="2739"/>
      <c r="E60" s="443">
        <v>60</v>
      </c>
      <c r="F60" s="36"/>
      <c r="G60" s="2719" t="s">
        <v>3967</v>
      </c>
      <c r="H60" s="2725"/>
      <c r="I60" s="2725"/>
      <c r="J60" s="2725"/>
      <c r="K60" s="442">
        <v>260000</v>
      </c>
      <c r="L60" s="36"/>
      <c r="M60" s="2767" t="s">
        <v>3968</v>
      </c>
      <c r="N60" s="2768"/>
      <c r="O60" s="2768"/>
      <c r="P60" s="461">
        <v>100</v>
      </c>
      <c r="Q60" s="36"/>
      <c r="R60" s="2737" t="s">
        <v>3969</v>
      </c>
      <c r="S60" s="2738"/>
      <c r="T60" s="466">
        <v>600</v>
      </c>
      <c r="U60" s="36"/>
      <c r="V60" s="36"/>
      <c r="W60" s="36"/>
      <c r="X60" s="36"/>
      <c r="Y60" s="36"/>
      <c r="Z60" s="36"/>
      <c r="AA60" s="36"/>
    </row>
    <row r="61" spans="2:29" ht="16.05" customHeight="1">
      <c r="B61" s="2719" t="s">
        <v>3970</v>
      </c>
      <c r="C61" s="2725"/>
      <c r="D61" s="2725"/>
      <c r="E61" s="442">
        <v>200</v>
      </c>
      <c r="F61" s="36"/>
      <c r="G61" s="2723" t="s">
        <v>3971</v>
      </c>
      <c r="H61" s="2739"/>
      <c r="I61" s="2739"/>
      <c r="J61" s="2739"/>
      <c r="K61" s="443">
        <v>200500</v>
      </c>
      <c r="L61" s="36"/>
      <c r="M61" s="36"/>
      <c r="N61" s="445"/>
      <c r="O61" s="445"/>
      <c r="P61" s="445"/>
      <c r="Q61" s="36"/>
      <c r="R61" s="2763" t="s">
        <v>3972</v>
      </c>
      <c r="S61" s="2783"/>
      <c r="T61" s="467">
        <v>500</v>
      </c>
      <c r="U61" s="36"/>
      <c r="V61" s="2730" t="s">
        <v>3973</v>
      </c>
      <c r="W61" s="2731"/>
      <c r="X61" s="2731"/>
      <c r="Y61" s="2731"/>
      <c r="Z61" s="2731"/>
      <c r="AA61" s="2732"/>
    </row>
    <row r="62" spans="2:29" ht="16.05" customHeight="1">
      <c r="B62" s="2767" t="s">
        <v>3974</v>
      </c>
      <c r="C62" s="2768"/>
      <c r="D62" s="2768"/>
      <c r="E62" s="446">
        <v>600</v>
      </c>
      <c r="F62" s="36"/>
      <c r="G62" s="2719" t="s">
        <v>3975</v>
      </c>
      <c r="H62" s="2725"/>
      <c r="I62" s="2725"/>
      <c r="J62" s="2725"/>
      <c r="K62" s="442">
        <v>62000</v>
      </c>
      <c r="L62" s="36"/>
      <c r="M62" s="2837" t="s">
        <v>3976</v>
      </c>
      <c r="N62" s="2838"/>
      <c r="O62" s="2838"/>
      <c r="P62" s="2839"/>
      <c r="Q62" s="36"/>
      <c r="R62" s="2737" t="s">
        <v>3977</v>
      </c>
      <c r="S62" s="2738"/>
      <c r="T62" s="466">
        <v>1400</v>
      </c>
      <c r="U62" s="36"/>
      <c r="V62" s="2735" t="s">
        <v>1500</v>
      </c>
      <c r="W62" s="2736"/>
      <c r="X62" s="2736"/>
      <c r="Y62" s="2736"/>
      <c r="Z62" s="2736" t="s">
        <v>3884</v>
      </c>
      <c r="AA62" s="2844"/>
    </row>
    <row r="63" spans="2:29" ht="16.05" customHeight="1">
      <c r="B63" s="2757"/>
      <c r="C63" s="2757"/>
      <c r="D63" s="447"/>
      <c r="E63" s="445"/>
      <c r="F63" s="36"/>
      <c r="G63" s="2723" t="s">
        <v>3978</v>
      </c>
      <c r="H63" s="2739"/>
      <c r="I63" s="2739"/>
      <c r="J63" s="2739"/>
      <c r="K63" s="443">
        <v>38000</v>
      </c>
      <c r="L63" s="36"/>
      <c r="M63" s="2735" t="s">
        <v>1500</v>
      </c>
      <c r="N63" s="2736"/>
      <c r="O63" s="2736"/>
      <c r="P63" s="459" t="s">
        <v>3884</v>
      </c>
      <c r="Q63" s="36"/>
      <c r="R63" s="2842" t="s">
        <v>3979</v>
      </c>
      <c r="S63" s="2843"/>
      <c r="T63" s="469">
        <v>90</v>
      </c>
      <c r="U63" s="36"/>
      <c r="V63" s="2723" t="s">
        <v>3980</v>
      </c>
      <c r="W63" s="2739"/>
      <c r="X63" s="2739"/>
      <c r="Y63" s="2739"/>
      <c r="Z63" s="2739" t="s">
        <v>3887</v>
      </c>
      <c r="AA63" s="2833"/>
    </row>
    <row r="64" spans="2:29" ht="16.05" customHeight="1">
      <c r="B64" s="2730" t="s">
        <v>3981</v>
      </c>
      <c r="C64" s="2731"/>
      <c r="D64" s="2731"/>
      <c r="E64" s="2732"/>
      <c r="F64" s="36"/>
      <c r="G64" s="2719" t="s">
        <v>3982</v>
      </c>
      <c r="H64" s="2725"/>
      <c r="I64" s="2725"/>
      <c r="J64" s="2725"/>
      <c r="K64" s="442">
        <v>54000</v>
      </c>
      <c r="L64" s="36"/>
      <c r="M64" s="2719" t="s">
        <v>3983</v>
      </c>
      <c r="N64" s="2725"/>
      <c r="O64" s="2725"/>
      <c r="P64" s="442">
        <v>60</v>
      </c>
      <c r="Q64" s="36"/>
      <c r="R64" s="36"/>
      <c r="S64" s="36"/>
      <c r="T64" s="36"/>
      <c r="U64" s="36"/>
      <c r="V64" s="2719" t="s">
        <v>3984</v>
      </c>
      <c r="W64" s="2725"/>
      <c r="X64" s="2725"/>
      <c r="Y64" s="2725"/>
      <c r="Z64" s="2725" t="s">
        <v>3985</v>
      </c>
      <c r="AA64" s="2836"/>
    </row>
    <row r="65" spans="2:29" ht="16.05" customHeight="1">
      <c r="B65" s="2735" t="s">
        <v>1500</v>
      </c>
      <c r="C65" s="2736"/>
      <c r="D65" s="2736"/>
      <c r="E65" s="459" t="s">
        <v>3884</v>
      </c>
      <c r="F65" s="36"/>
      <c r="G65" s="2723" t="s">
        <v>3986</v>
      </c>
      <c r="H65" s="2739"/>
      <c r="I65" s="2739"/>
      <c r="J65" s="2739"/>
      <c r="K65" s="443">
        <v>33000</v>
      </c>
      <c r="L65" s="36"/>
      <c r="M65" s="2723" t="s">
        <v>3987</v>
      </c>
      <c r="N65" s="2739"/>
      <c r="O65" s="2739"/>
      <c r="P65" s="443">
        <v>90</v>
      </c>
      <c r="Q65" s="36"/>
      <c r="R65" s="2730" t="s">
        <v>3988</v>
      </c>
      <c r="S65" s="2731"/>
      <c r="T65" s="2732"/>
      <c r="U65" s="36"/>
      <c r="V65" s="2723" t="s">
        <v>3989</v>
      </c>
      <c r="W65" s="2739"/>
      <c r="X65" s="2739"/>
      <c r="Y65" s="2739"/>
      <c r="Z65" s="2739" t="s">
        <v>3650</v>
      </c>
      <c r="AA65" s="2833"/>
    </row>
    <row r="66" spans="2:29" ht="16.05" customHeight="1">
      <c r="B66" s="2719" t="s">
        <v>3990</v>
      </c>
      <c r="C66" s="2725"/>
      <c r="D66" s="2725"/>
      <c r="E66" s="442" t="s">
        <v>3991</v>
      </c>
      <c r="F66" s="36"/>
      <c r="G66" s="2719" t="s">
        <v>3992</v>
      </c>
      <c r="H66" s="2725"/>
      <c r="I66" s="2725"/>
      <c r="J66" s="2725"/>
      <c r="K66" s="442">
        <v>27000</v>
      </c>
      <c r="L66" s="36"/>
      <c r="M66" s="2740" t="s">
        <v>3993</v>
      </c>
      <c r="N66" s="2741"/>
      <c r="O66" s="2741"/>
      <c r="P66" s="460">
        <v>30</v>
      </c>
      <c r="Q66" s="36"/>
      <c r="R66" s="2735" t="s">
        <v>1500</v>
      </c>
      <c r="S66" s="2736"/>
      <c r="T66" s="459" t="s">
        <v>3884</v>
      </c>
      <c r="U66" s="36"/>
      <c r="V66" s="2719" t="s">
        <v>3994</v>
      </c>
      <c r="W66" s="2725"/>
      <c r="X66" s="2725"/>
      <c r="Y66" s="2725"/>
      <c r="Z66" s="2840" t="s">
        <v>3738</v>
      </c>
      <c r="AA66" s="2841"/>
    </row>
    <row r="67" spans="2:29" ht="16.05" customHeight="1">
      <c r="B67" s="2723" t="s">
        <v>3995</v>
      </c>
      <c r="C67" s="2739"/>
      <c r="D67" s="2739"/>
      <c r="E67" s="443">
        <v>400</v>
      </c>
      <c r="F67" s="36"/>
      <c r="G67" s="2767" t="s">
        <v>3996</v>
      </c>
      <c r="H67" s="2768"/>
      <c r="I67" s="2768"/>
      <c r="J67" s="2768"/>
      <c r="K67" s="446">
        <v>16500</v>
      </c>
      <c r="L67" s="36"/>
      <c r="M67" s="36"/>
      <c r="N67" s="36"/>
      <c r="O67" s="36"/>
      <c r="P67" s="36"/>
      <c r="Q67" s="36"/>
      <c r="R67" s="2813" t="s">
        <v>3997</v>
      </c>
      <c r="S67" s="2814"/>
      <c r="T67" s="466">
        <v>90</v>
      </c>
      <c r="U67" s="36"/>
      <c r="V67" s="2723" t="s">
        <v>3998</v>
      </c>
      <c r="W67" s="2739"/>
      <c r="X67" s="2739"/>
      <c r="Y67" s="2739"/>
      <c r="Z67" s="2739">
        <v>65</v>
      </c>
      <c r="AA67" s="2833"/>
      <c r="AB67" s="475"/>
      <c r="AC67" s="475"/>
    </row>
    <row r="68" spans="2:29" ht="16.05" customHeight="1">
      <c r="B68" s="2719" t="s">
        <v>3999</v>
      </c>
      <c r="C68" s="2725"/>
      <c r="D68" s="2725"/>
      <c r="E68" s="442">
        <v>150</v>
      </c>
      <c r="F68" s="36"/>
      <c r="G68" s="36"/>
      <c r="H68" s="36"/>
      <c r="I68" s="36"/>
      <c r="J68" s="36"/>
      <c r="K68" s="36"/>
      <c r="L68" s="36"/>
      <c r="M68" s="2837" t="s">
        <v>4000</v>
      </c>
      <c r="N68" s="2838"/>
      <c r="O68" s="2838"/>
      <c r="P68" s="2839"/>
      <c r="Q68" s="36"/>
      <c r="R68" s="2733" t="s">
        <v>4001</v>
      </c>
      <c r="S68" s="2734"/>
      <c r="T68" s="467">
        <v>35</v>
      </c>
      <c r="U68" s="36"/>
      <c r="V68" s="2719" t="s">
        <v>4002</v>
      </c>
      <c r="W68" s="2725"/>
      <c r="X68" s="2725"/>
      <c r="Y68" s="2725"/>
      <c r="Z68" s="2725">
        <v>16</v>
      </c>
      <c r="AA68" s="2836"/>
      <c r="AC68" s="475"/>
    </row>
    <row r="69" spans="2:29" ht="16.05" customHeight="1">
      <c r="B69" s="2723" t="s">
        <v>4003</v>
      </c>
      <c r="C69" s="2739"/>
      <c r="D69" s="2739"/>
      <c r="E69" s="443">
        <v>90</v>
      </c>
      <c r="F69" s="36"/>
      <c r="G69" s="2800" t="s">
        <v>4004</v>
      </c>
      <c r="H69" s="2801"/>
      <c r="I69" s="2801"/>
      <c r="J69" s="2801"/>
      <c r="K69" s="2802"/>
      <c r="L69" s="36"/>
      <c r="M69" s="2735" t="s">
        <v>1500</v>
      </c>
      <c r="N69" s="2736"/>
      <c r="O69" s="2736"/>
      <c r="P69" s="459" t="s">
        <v>3884</v>
      </c>
      <c r="Q69" s="36"/>
      <c r="R69" s="2737" t="s">
        <v>4005</v>
      </c>
      <c r="S69" s="2738"/>
      <c r="T69" s="466">
        <v>40</v>
      </c>
      <c r="U69" s="36"/>
      <c r="V69" s="2723" t="s">
        <v>4006</v>
      </c>
      <c r="W69" s="2739"/>
      <c r="X69" s="2739"/>
      <c r="Y69" s="2739"/>
      <c r="Z69" s="2739">
        <v>20</v>
      </c>
      <c r="AA69" s="2833"/>
      <c r="AC69" s="475"/>
    </row>
    <row r="70" spans="2:29" ht="16.05" customHeight="1">
      <c r="B70" s="2719" t="s">
        <v>4007</v>
      </c>
      <c r="C70" s="2725"/>
      <c r="D70" s="2725"/>
      <c r="E70" s="442">
        <v>25</v>
      </c>
      <c r="F70" s="36"/>
      <c r="G70" s="2798" t="s">
        <v>1500</v>
      </c>
      <c r="H70" s="2799"/>
      <c r="I70" s="2799"/>
      <c r="J70" s="2799"/>
      <c r="K70" s="441" t="s">
        <v>3884</v>
      </c>
      <c r="L70" s="36"/>
      <c r="M70" s="2719" t="s">
        <v>4008</v>
      </c>
      <c r="N70" s="2725"/>
      <c r="O70" s="2725"/>
      <c r="P70" s="442">
        <v>40</v>
      </c>
      <c r="Q70" s="36"/>
      <c r="R70" s="2733" t="s">
        <v>4009</v>
      </c>
      <c r="S70" s="2734"/>
      <c r="T70" s="467">
        <v>450</v>
      </c>
      <c r="U70" s="36"/>
      <c r="V70" s="2719" t="s">
        <v>4010</v>
      </c>
      <c r="W70" s="2725"/>
      <c r="X70" s="2725"/>
      <c r="Y70" s="2725"/>
      <c r="Z70" s="2725" t="s">
        <v>4011</v>
      </c>
      <c r="AA70" s="2836"/>
      <c r="AC70" s="475"/>
    </row>
    <row r="71" spans="2:29" ht="16.05" customHeight="1">
      <c r="B71" s="2723" t="s">
        <v>4012</v>
      </c>
      <c r="C71" s="2739"/>
      <c r="D71" s="2739"/>
      <c r="E71" s="443">
        <v>35</v>
      </c>
      <c r="F71" s="36"/>
      <c r="G71" s="2823" t="s">
        <v>4013</v>
      </c>
      <c r="H71" s="2832"/>
      <c r="I71" s="2832"/>
      <c r="J71" s="2832"/>
      <c r="K71" s="490">
        <v>70</v>
      </c>
      <c r="L71" s="36"/>
      <c r="M71" s="2723" t="s">
        <v>4014</v>
      </c>
      <c r="N71" s="2739"/>
      <c r="O71" s="2739"/>
      <c r="P71" s="443" t="s">
        <v>4015</v>
      </c>
      <c r="Q71" s="36"/>
      <c r="R71" s="2737" t="s">
        <v>4016</v>
      </c>
      <c r="S71" s="2738"/>
      <c r="T71" s="466">
        <v>10</v>
      </c>
      <c r="U71" s="36"/>
      <c r="V71" s="2723" t="s">
        <v>4017</v>
      </c>
      <c r="W71" s="2739"/>
      <c r="X71" s="2739"/>
      <c r="Y71" s="2739"/>
      <c r="Z71" s="2739">
        <v>38</v>
      </c>
      <c r="AA71" s="2833"/>
      <c r="AC71" s="475"/>
    </row>
    <row r="72" spans="2:29" ht="16.05" customHeight="1">
      <c r="B72" s="2719" t="s">
        <v>4018</v>
      </c>
      <c r="C72" s="2725"/>
      <c r="D72" s="2725"/>
      <c r="E72" s="442">
        <v>260</v>
      </c>
      <c r="F72" s="36"/>
      <c r="G72" s="2829" t="s">
        <v>4019</v>
      </c>
      <c r="H72" s="2835"/>
      <c r="I72" s="2835"/>
      <c r="J72" s="2835"/>
      <c r="K72" s="491">
        <v>300</v>
      </c>
      <c r="L72" s="36"/>
      <c r="M72" s="2719" t="s">
        <v>4020</v>
      </c>
      <c r="N72" s="2725"/>
      <c r="O72" s="2725"/>
      <c r="P72" s="442">
        <v>500</v>
      </c>
      <c r="Q72" s="36"/>
      <c r="R72" s="2733" t="s">
        <v>4021</v>
      </c>
      <c r="S72" s="2734"/>
      <c r="T72" s="467">
        <v>240</v>
      </c>
      <c r="U72" s="36"/>
      <c r="V72" s="2786" t="s">
        <v>4022</v>
      </c>
      <c r="W72" s="2725"/>
      <c r="X72" s="2725"/>
      <c r="Y72" s="2725"/>
      <c r="Z72" s="2725">
        <v>35</v>
      </c>
      <c r="AA72" s="2836"/>
      <c r="AC72" s="475"/>
    </row>
    <row r="73" spans="2:29" ht="16.05" customHeight="1">
      <c r="B73" s="2723" t="s">
        <v>4023</v>
      </c>
      <c r="C73" s="2739"/>
      <c r="D73" s="2739"/>
      <c r="E73" s="443">
        <v>190</v>
      </c>
      <c r="F73" s="36"/>
      <c r="G73" s="2823" t="s">
        <v>4024</v>
      </c>
      <c r="H73" s="2832"/>
      <c r="I73" s="2832"/>
      <c r="J73" s="2832"/>
      <c r="K73" s="490" t="s">
        <v>4025</v>
      </c>
      <c r="L73" s="36"/>
      <c r="M73" s="2723" t="s">
        <v>4026</v>
      </c>
      <c r="N73" s="2739"/>
      <c r="O73" s="2739"/>
      <c r="P73" s="443" t="s">
        <v>3650</v>
      </c>
      <c r="Q73" s="36"/>
      <c r="R73" s="2737" t="s">
        <v>4027</v>
      </c>
      <c r="S73" s="2738"/>
      <c r="T73" s="466">
        <v>400</v>
      </c>
      <c r="U73" s="36"/>
      <c r="V73" s="2723" t="s">
        <v>4028</v>
      </c>
      <c r="W73" s="2739"/>
      <c r="X73" s="2739"/>
      <c r="Y73" s="2739"/>
      <c r="Z73" s="2739">
        <v>60</v>
      </c>
      <c r="AA73" s="2833"/>
      <c r="AC73" s="475"/>
    </row>
    <row r="74" spans="2:29" ht="16.05" customHeight="1">
      <c r="B74" s="2719" t="s">
        <v>4029</v>
      </c>
      <c r="C74" s="2725"/>
      <c r="D74" s="2725"/>
      <c r="E74" s="442">
        <v>35</v>
      </c>
      <c r="F74" s="36"/>
      <c r="G74" s="2825" t="s">
        <v>4030</v>
      </c>
      <c r="H74" s="2826"/>
      <c r="I74" s="2826"/>
      <c r="J74" s="2826"/>
      <c r="K74" s="492">
        <v>200</v>
      </c>
      <c r="L74" s="36"/>
      <c r="M74" s="2719" t="s">
        <v>4031</v>
      </c>
      <c r="N74" s="2725"/>
      <c r="O74" s="2725"/>
      <c r="P74" s="442" t="s">
        <v>4011</v>
      </c>
      <c r="Q74" s="36"/>
      <c r="R74" s="2733" t="s">
        <v>4032</v>
      </c>
      <c r="S74" s="2734"/>
      <c r="T74" s="467">
        <v>200</v>
      </c>
      <c r="U74" s="36"/>
      <c r="V74" s="2740" t="s">
        <v>4033</v>
      </c>
      <c r="W74" s="2741"/>
      <c r="X74" s="2741"/>
      <c r="Y74" s="2741"/>
      <c r="Z74" s="2741">
        <v>25</v>
      </c>
      <c r="AA74" s="2834"/>
      <c r="AC74" s="475"/>
    </row>
    <row r="75" spans="2:29" ht="16.05" customHeight="1">
      <c r="B75" s="2723" t="s">
        <v>4034</v>
      </c>
      <c r="C75" s="2739"/>
      <c r="D75" s="2739"/>
      <c r="E75" s="443">
        <v>50</v>
      </c>
      <c r="F75" s="36"/>
      <c r="G75" s="36"/>
      <c r="H75" s="36"/>
      <c r="I75" s="36"/>
      <c r="J75" s="36"/>
      <c r="K75" s="36"/>
      <c r="L75" s="36"/>
      <c r="M75" s="2723" t="s">
        <v>4035</v>
      </c>
      <c r="N75" s="2739"/>
      <c r="O75" s="2739"/>
      <c r="P75" s="443" t="s">
        <v>4036</v>
      </c>
      <c r="Q75" s="36"/>
      <c r="R75" s="2737" t="s">
        <v>4037</v>
      </c>
      <c r="S75" s="2738"/>
      <c r="T75" s="466">
        <v>260</v>
      </c>
      <c r="U75" s="36"/>
      <c r="V75" s="484"/>
      <c r="W75" s="484"/>
      <c r="X75" s="484"/>
      <c r="Y75" s="484"/>
      <c r="Z75" s="484"/>
      <c r="AA75" s="484"/>
      <c r="AC75" s="475"/>
    </row>
    <row r="76" spans="2:29" ht="16.05" customHeight="1">
      <c r="B76" s="2719" t="s">
        <v>4038</v>
      </c>
      <c r="C76" s="2725"/>
      <c r="D76" s="2725"/>
      <c r="E76" s="442">
        <v>100</v>
      </c>
      <c r="F76" s="36"/>
      <c r="G76" s="2800" t="s">
        <v>4039</v>
      </c>
      <c r="H76" s="2801"/>
      <c r="I76" s="2801"/>
      <c r="J76" s="2801"/>
      <c r="K76" s="2802"/>
      <c r="L76" s="36"/>
      <c r="M76" s="2740" t="s">
        <v>4040</v>
      </c>
      <c r="N76" s="2741"/>
      <c r="O76" s="2741"/>
      <c r="P76" s="460" t="s">
        <v>4041</v>
      </c>
      <c r="Q76" s="36"/>
      <c r="R76" s="2733" t="s">
        <v>4042</v>
      </c>
      <c r="S76" s="2734"/>
      <c r="T76" s="467">
        <v>60</v>
      </c>
      <c r="U76" s="36"/>
      <c r="V76" s="484"/>
      <c r="W76" s="484"/>
      <c r="X76" s="484"/>
      <c r="Y76" s="484"/>
      <c r="Z76" s="484"/>
      <c r="AA76" s="484"/>
      <c r="AC76" s="475"/>
    </row>
    <row r="77" spans="2:29" ht="16.05" customHeight="1">
      <c r="B77" s="2723" t="s">
        <v>4043</v>
      </c>
      <c r="C77" s="2739"/>
      <c r="D77" s="2739"/>
      <c r="E77" s="443">
        <v>160</v>
      </c>
      <c r="F77" s="36"/>
      <c r="G77" s="2798" t="s">
        <v>1500</v>
      </c>
      <c r="H77" s="2831"/>
      <c r="I77" s="2831"/>
      <c r="J77" s="2831"/>
      <c r="K77" s="441" t="s">
        <v>3884</v>
      </c>
      <c r="L77" s="36"/>
      <c r="M77" s="36"/>
      <c r="N77" s="36"/>
      <c r="O77" s="36"/>
      <c r="P77" s="36"/>
      <c r="Q77" s="36"/>
      <c r="R77" s="2737" t="s">
        <v>4044</v>
      </c>
      <c r="S77" s="2738"/>
      <c r="T77" s="466">
        <v>250</v>
      </c>
      <c r="U77" s="36"/>
      <c r="V77" s="484"/>
      <c r="W77" s="484"/>
      <c r="X77" s="484"/>
      <c r="Y77" s="484"/>
      <c r="Z77" s="484"/>
      <c r="AA77" s="484"/>
      <c r="AC77" s="475"/>
    </row>
    <row r="78" spans="2:29" ht="16.05" customHeight="1">
      <c r="B78" s="2719" t="s">
        <v>3970</v>
      </c>
      <c r="C78" s="2725"/>
      <c r="D78" s="2725"/>
      <c r="E78" s="442">
        <v>200</v>
      </c>
      <c r="F78" s="36"/>
      <c r="G78" s="2829" t="s">
        <v>4045</v>
      </c>
      <c r="H78" s="2830"/>
      <c r="I78" s="2830"/>
      <c r="J78" s="2830"/>
      <c r="K78" s="491">
        <v>100</v>
      </c>
      <c r="L78" s="36"/>
      <c r="M78" s="2730" t="s">
        <v>4046</v>
      </c>
      <c r="N78" s="2731"/>
      <c r="O78" s="2731"/>
      <c r="P78" s="2732"/>
      <c r="Q78" s="36"/>
      <c r="R78" s="2733" t="s">
        <v>4047</v>
      </c>
      <c r="S78" s="2734"/>
      <c r="T78" s="467">
        <v>400</v>
      </c>
      <c r="U78" s="36"/>
      <c r="V78" s="484"/>
      <c r="W78" s="484"/>
      <c r="X78" s="484"/>
      <c r="Y78" s="484"/>
      <c r="Z78" s="484"/>
      <c r="AA78" s="484"/>
      <c r="AC78" s="475"/>
    </row>
    <row r="79" spans="2:29" ht="16.05" customHeight="1">
      <c r="B79" s="2723" t="s">
        <v>4048</v>
      </c>
      <c r="C79" s="2739"/>
      <c r="D79" s="2739"/>
      <c r="E79" s="443">
        <v>350</v>
      </c>
      <c r="F79" s="36"/>
      <c r="G79" s="2823" t="s">
        <v>4049</v>
      </c>
      <c r="H79" s="2824"/>
      <c r="I79" s="2824"/>
      <c r="J79" s="2824"/>
      <c r="K79" s="490">
        <v>30</v>
      </c>
      <c r="L79" s="36"/>
      <c r="M79" s="2735" t="s">
        <v>1500</v>
      </c>
      <c r="N79" s="2736"/>
      <c r="O79" s="2736"/>
      <c r="P79" s="459" t="s">
        <v>3884</v>
      </c>
      <c r="Q79" s="445"/>
      <c r="R79" s="2737" t="s">
        <v>4050</v>
      </c>
      <c r="S79" s="2738"/>
      <c r="T79" s="466">
        <v>900</v>
      </c>
      <c r="U79" s="36"/>
      <c r="V79" s="484"/>
      <c r="W79" s="484"/>
      <c r="X79" s="484"/>
      <c r="Y79" s="484"/>
      <c r="Z79" s="484"/>
      <c r="AA79" s="484"/>
      <c r="AC79" s="475"/>
    </row>
    <row r="80" spans="2:29" ht="16.05" customHeight="1">
      <c r="B80" s="2719" t="s">
        <v>4051</v>
      </c>
      <c r="C80" s="2725"/>
      <c r="D80" s="2725"/>
      <c r="E80" s="442">
        <v>20</v>
      </c>
      <c r="F80" s="36"/>
      <c r="G80" s="2829" t="s">
        <v>4052</v>
      </c>
      <c r="H80" s="2830"/>
      <c r="I80" s="2830"/>
      <c r="J80" s="2830"/>
      <c r="K80" s="491">
        <v>60</v>
      </c>
      <c r="L80" s="36"/>
      <c r="M80" s="2719" t="s">
        <v>4053</v>
      </c>
      <c r="N80" s="2725"/>
      <c r="O80" s="2725"/>
      <c r="P80" s="442" t="s">
        <v>3887</v>
      </c>
      <c r="Q80" s="445"/>
      <c r="R80" s="2733" t="s">
        <v>4054</v>
      </c>
      <c r="S80" s="2734"/>
      <c r="T80" s="467">
        <v>200</v>
      </c>
      <c r="U80" s="445"/>
      <c r="V80" s="484"/>
      <c r="W80" s="484"/>
      <c r="X80" s="484"/>
      <c r="Y80" s="484"/>
      <c r="Z80" s="484"/>
      <c r="AA80" s="484"/>
      <c r="AC80" s="475"/>
    </row>
    <row r="81" spans="2:27" ht="16.05" customHeight="1">
      <c r="B81" s="2723" t="s">
        <v>3966</v>
      </c>
      <c r="C81" s="2739"/>
      <c r="D81" s="2739"/>
      <c r="E81" s="443">
        <v>60</v>
      </c>
      <c r="F81" s="36"/>
      <c r="G81" s="2823" t="s">
        <v>4055</v>
      </c>
      <c r="H81" s="2824"/>
      <c r="I81" s="2824"/>
      <c r="J81" s="2824"/>
      <c r="K81" s="490">
        <v>160</v>
      </c>
      <c r="L81" s="445"/>
      <c r="M81" s="2723" t="s">
        <v>4056</v>
      </c>
      <c r="N81" s="2739"/>
      <c r="O81" s="2739"/>
      <c r="P81" s="443" t="s">
        <v>4057</v>
      </c>
      <c r="Q81" s="445"/>
      <c r="R81" s="2737" t="s">
        <v>4058</v>
      </c>
      <c r="S81" s="2738"/>
      <c r="T81" s="466" t="s">
        <v>3985</v>
      </c>
      <c r="U81" s="36"/>
      <c r="V81" s="484"/>
      <c r="W81" s="484"/>
      <c r="X81" s="484"/>
      <c r="Y81" s="484"/>
      <c r="Z81" s="484"/>
      <c r="AA81" s="484"/>
    </row>
    <row r="82" spans="2:27" ht="16.05" customHeight="1">
      <c r="B82" s="2740" t="s">
        <v>3974</v>
      </c>
      <c r="C82" s="2741"/>
      <c r="D82" s="2741"/>
      <c r="E82" s="460" t="s">
        <v>4011</v>
      </c>
      <c r="F82" s="36"/>
      <c r="G82" s="2825" t="s">
        <v>4059</v>
      </c>
      <c r="H82" s="2826"/>
      <c r="I82" s="2826"/>
      <c r="J82" s="2826"/>
      <c r="K82" s="492">
        <v>70</v>
      </c>
      <c r="L82" s="36"/>
      <c r="M82" s="2719" t="s">
        <v>4060</v>
      </c>
      <c r="N82" s="2725"/>
      <c r="O82" s="2725"/>
      <c r="P82" s="442">
        <v>10</v>
      </c>
      <c r="Q82" s="445"/>
      <c r="R82" s="2733" t="s">
        <v>4061</v>
      </c>
      <c r="S82" s="2734"/>
      <c r="T82" s="467" t="s">
        <v>3650</v>
      </c>
      <c r="U82" s="36"/>
      <c r="V82" s="484"/>
      <c r="W82" s="484"/>
      <c r="X82" s="484"/>
      <c r="Y82" s="484"/>
      <c r="Z82" s="484"/>
      <c r="AA82" s="484"/>
    </row>
    <row r="83" spans="2:27" ht="16.05" customHeight="1">
      <c r="B83" s="484"/>
      <c r="C83" s="484"/>
      <c r="D83" s="484"/>
      <c r="E83" s="445"/>
      <c r="F83" s="36"/>
      <c r="G83" s="36"/>
      <c r="H83" s="36"/>
      <c r="I83" s="36"/>
      <c r="J83" s="36"/>
      <c r="K83" s="36"/>
      <c r="L83" s="36"/>
      <c r="M83" s="2723" t="s">
        <v>4062</v>
      </c>
      <c r="N83" s="2739"/>
      <c r="O83" s="2739"/>
      <c r="P83" s="443" t="s">
        <v>3738</v>
      </c>
      <c r="Q83" s="445"/>
      <c r="R83" s="2827" t="s">
        <v>4063</v>
      </c>
      <c r="S83" s="2828"/>
      <c r="T83" s="468" t="s">
        <v>4011</v>
      </c>
      <c r="U83" s="36"/>
      <c r="V83" s="496"/>
      <c r="W83" s="496"/>
      <c r="X83" s="496"/>
      <c r="Y83" s="36"/>
      <c r="Z83" s="36"/>
      <c r="AA83" s="36"/>
    </row>
    <row r="84" spans="2:27" ht="16.05" customHeight="1">
      <c r="B84" s="445"/>
      <c r="C84" s="445"/>
      <c r="D84" s="445"/>
      <c r="E84" s="445"/>
      <c r="F84" s="36"/>
      <c r="G84" s="36"/>
      <c r="H84" s="36"/>
      <c r="I84" s="445"/>
      <c r="J84" s="36"/>
      <c r="K84" s="36"/>
      <c r="L84" s="36"/>
      <c r="M84" s="2719" t="s">
        <v>4064</v>
      </c>
      <c r="N84" s="2725"/>
      <c r="O84" s="2725"/>
      <c r="P84" s="442">
        <v>55</v>
      </c>
      <c r="Q84" s="445"/>
      <c r="R84" s="36"/>
      <c r="S84" s="36"/>
      <c r="T84" s="36"/>
      <c r="U84" s="36"/>
      <c r="V84" s="36"/>
      <c r="W84" s="36"/>
      <c r="X84" s="36"/>
      <c r="Y84" s="36"/>
      <c r="Z84" s="36"/>
      <c r="AA84" s="36"/>
    </row>
    <row r="85" spans="2:27" ht="16.05" customHeight="1">
      <c r="B85" s="445"/>
      <c r="C85" s="445"/>
      <c r="D85" s="445"/>
      <c r="E85" s="445"/>
      <c r="F85" s="36"/>
      <c r="G85" s="36"/>
      <c r="H85" s="36"/>
      <c r="I85" s="445"/>
      <c r="J85" s="36"/>
      <c r="K85" s="36"/>
      <c r="L85" s="36"/>
      <c r="M85" s="2767" t="s">
        <v>4065</v>
      </c>
      <c r="N85" s="2768"/>
      <c r="O85" s="2768"/>
      <c r="P85" s="446">
        <v>65</v>
      </c>
      <c r="Q85" s="445"/>
      <c r="R85" s="36"/>
      <c r="S85" s="36"/>
      <c r="T85" s="36"/>
      <c r="U85" s="36"/>
      <c r="V85" s="36"/>
      <c r="W85" s="36"/>
      <c r="X85" s="36"/>
      <c r="Y85" s="36"/>
      <c r="Z85" s="36"/>
      <c r="AA85" s="36"/>
    </row>
    <row r="86" spans="2:27" ht="16.05" customHeight="1">
      <c r="B86" s="475"/>
      <c r="C86" s="475"/>
      <c r="D86" s="475"/>
      <c r="E86" s="475"/>
      <c r="I86" s="475"/>
      <c r="Q86" s="475"/>
    </row>
    <row r="87" spans="2:27" ht="16.05" customHeight="1">
      <c r="B87" s="2358" t="s">
        <v>4066</v>
      </c>
      <c r="C87" s="2359"/>
      <c r="D87" s="2359"/>
      <c r="E87" s="2359"/>
      <c r="F87" s="2359"/>
      <c r="G87" s="2359"/>
      <c r="H87" s="2359"/>
      <c r="I87" s="2359"/>
      <c r="J87" s="2359"/>
      <c r="K87" s="2359"/>
      <c r="L87" s="2359"/>
      <c r="M87" s="2359"/>
      <c r="N87" s="2359"/>
      <c r="O87" s="2359"/>
      <c r="P87" s="2359"/>
      <c r="Q87" s="2359"/>
      <c r="R87" s="2359"/>
      <c r="S87" s="2359"/>
      <c r="T87" s="2359"/>
      <c r="U87" s="2359"/>
      <c r="V87" s="2359"/>
      <c r="W87" s="2359"/>
      <c r="X87" s="2359"/>
      <c r="Y87" s="2359"/>
      <c r="Z87" s="2359"/>
      <c r="AA87" s="2360"/>
    </row>
    <row r="88" spans="2:27" ht="16.05" customHeight="1">
      <c r="B88" s="2361"/>
      <c r="C88" s="2362"/>
      <c r="D88" s="2362"/>
      <c r="E88" s="2362"/>
      <c r="F88" s="2362"/>
      <c r="G88" s="2362"/>
      <c r="H88" s="2362"/>
      <c r="I88" s="2362"/>
      <c r="J88" s="2362"/>
      <c r="K88" s="2362"/>
      <c r="L88" s="2362"/>
      <c r="M88" s="2362"/>
      <c r="N88" s="2362"/>
      <c r="O88" s="2362"/>
      <c r="P88" s="2362"/>
      <c r="Q88" s="2362"/>
      <c r="R88" s="2362"/>
      <c r="S88" s="2362"/>
      <c r="T88" s="2362"/>
      <c r="U88" s="2362"/>
      <c r="V88" s="2362"/>
      <c r="W88" s="2362"/>
      <c r="X88" s="2362"/>
      <c r="Y88" s="2362"/>
      <c r="Z88" s="2362"/>
      <c r="AA88" s="2363"/>
    </row>
    <row r="89" spans="2:27" ht="16.05" customHeight="1">
      <c r="B89" s="2364"/>
      <c r="C89" s="2365"/>
      <c r="D89" s="2365"/>
      <c r="E89" s="2365"/>
      <c r="F89" s="2365"/>
      <c r="G89" s="2365"/>
      <c r="H89" s="2365"/>
      <c r="I89" s="2365"/>
      <c r="J89" s="2365"/>
      <c r="K89" s="2365"/>
      <c r="L89" s="2365"/>
      <c r="M89" s="2365"/>
      <c r="N89" s="2365"/>
      <c r="O89" s="2365"/>
      <c r="P89" s="2365"/>
      <c r="Q89" s="2365"/>
      <c r="R89" s="2365"/>
      <c r="S89" s="2365"/>
      <c r="T89" s="2365"/>
      <c r="U89" s="2365"/>
      <c r="V89" s="2365"/>
      <c r="W89" s="2365"/>
      <c r="X89" s="2365"/>
      <c r="Y89" s="2365"/>
      <c r="Z89" s="2365"/>
      <c r="AA89" s="2366"/>
    </row>
    <row r="90" spans="2:27" ht="16.05" customHeight="1">
      <c r="B90" s="2822" t="s">
        <v>4067</v>
      </c>
      <c r="C90" s="2822"/>
      <c r="D90" s="2822"/>
      <c r="E90" s="2822"/>
      <c r="F90" s="2822"/>
      <c r="G90" s="2822"/>
      <c r="H90" s="2822"/>
      <c r="I90" s="2822"/>
      <c r="J90" s="2822"/>
      <c r="K90" s="2822"/>
      <c r="L90" s="2822"/>
      <c r="M90" s="2822"/>
      <c r="N90" s="2822"/>
      <c r="O90" s="2822"/>
      <c r="P90" s="2822"/>
      <c r="Q90" s="2822"/>
      <c r="R90" s="2822"/>
      <c r="S90" s="2822"/>
      <c r="T90" s="2822"/>
      <c r="U90" s="2822"/>
      <c r="V90" s="2822"/>
      <c r="W90" s="2822"/>
      <c r="X90" s="2822"/>
      <c r="Y90" s="2822"/>
      <c r="Z90" s="2822"/>
      <c r="AA90" s="2822"/>
    </row>
    <row r="91" spans="2:27" ht="16.05" customHeight="1">
      <c r="B91" s="2800" t="s">
        <v>3879</v>
      </c>
      <c r="C91" s="2801"/>
      <c r="D91" s="2801"/>
      <c r="E91" s="2802"/>
      <c r="G91" s="2730" t="s">
        <v>3881</v>
      </c>
      <c r="H91" s="2731"/>
      <c r="I91" s="2731"/>
      <c r="J91" s="2731"/>
      <c r="K91" s="2732"/>
      <c r="L91" s="493"/>
      <c r="M91" s="2730" t="s">
        <v>4068</v>
      </c>
      <c r="N91" s="2731"/>
      <c r="O91" s="2731"/>
      <c r="P91" s="2731"/>
      <c r="Q91" s="2732"/>
      <c r="R91" s="497"/>
      <c r="S91" s="2730" t="s">
        <v>4069</v>
      </c>
      <c r="T91" s="2731"/>
      <c r="U91" s="2731"/>
      <c r="V91" s="2732"/>
      <c r="W91" s="498"/>
      <c r="X91" s="2730" t="s">
        <v>4070</v>
      </c>
      <c r="Y91" s="2731"/>
      <c r="Z91" s="2731"/>
      <c r="AA91" s="2732"/>
    </row>
    <row r="92" spans="2:27" ht="16.05" customHeight="1">
      <c r="B92" s="2798" t="s">
        <v>1500</v>
      </c>
      <c r="C92" s="2799"/>
      <c r="D92" s="483" t="s">
        <v>3884</v>
      </c>
      <c r="E92" s="441" t="s">
        <v>4071</v>
      </c>
      <c r="G92" s="2735" t="s">
        <v>1500</v>
      </c>
      <c r="H92" s="2755"/>
      <c r="I92" s="2755"/>
      <c r="J92" s="485" t="s">
        <v>3884</v>
      </c>
      <c r="K92" s="459" t="s">
        <v>4071</v>
      </c>
      <c r="L92" s="493"/>
      <c r="M92" s="2735" t="s">
        <v>1500</v>
      </c>
      <c r="N92" s="2736"/>
      <c r="O92" s="2736"/>
      <c r="P92" s="444" t="s">
        <v>3884</v>
      </c>
      <c r="Q92" s="499" t="s">
        <v>4071</v>
      </c>
      <c r="R92" s="500"/>
      <c r="S92" s="2735" t="s">
        <v>1500</v>
      </c>
      <c r="T92" s="2736"/>
      <c r="U92" s="485" t="s">
        <v>3884</v>
      </c>
      <c r="V92" s="499" t="s">
        <v>4071</v>
      </c>
      <c r="W92" s="501"/>
      <c r="X92" s="2735" t="s">
        <v>1500</v>
      </c>
      <c r="Y92" s="2736"/>
      <c r="Z92" s="444" t="s">
        <v>3885</v>
      </c>
      <c r="AA92" s="499" t="s">
        <v>3884</v>
      </c>
    </row>
    <row r="93" spans="2:27" ht="16.05" customHeight="1">
      <c r="B93" s="2719" t="s">
        <v>4072</v>
      </c>
      <c r="C93" s="2725"/>
      <c r="D93" s="486">
        <v>17.95</v>
      </c>
      <c r="E93" s="442">
        <f>D93*20</f>
        <v>359</v>
      </c>
      <c r="G93" s="2719" t="s">
        <v>4073</v>
      </c>
      <c r="H93" s="2720"/>
      <c r="I93" s="2720"/>
      <c r="J93" s="486">
        <v>8.98</v>
      </c>
      <c r="K93" s="442">
        <f t="shared" ref="K93:K119" si="0">J93*20</f>
        <v>179.60000000000002</v>
      </c>
      <c r="L93" s="493"/>
      <c r="M93" s="2719" t="s">
        <v>4074</v>
      </c>
      <c r="N93" s="2720"/>
      <c r="O93" s="2720"/>
      <c r="P93" s="486">
        <v>1.79</v>
      </c>
      <c r="Q93" s="442">
        <f t="shared" ref="Q93:Q99" si="1">P93*20</f>
        <v>35.799999999999997</v>
      </c>
      <c r="R93" s="500"/>
      <c r="S93" s="2749" t="s">
        <v>4075</v>
      </c>
      <c r="T93" s="2750"/>
      <c r="U93" s="486">
        <v>2.5</v>
      </c>
      <c r="V93" s="442">
        <f t="shared" ref="V93:V98" si="2">U93*20</f>
        <v>50</v>
      </c>
      <c r="W93" s="501"/>
      <c r="X93" s="2815" t="s">
        <v>3892</v>
      </c>
      <c r="Y93" s="2816"/>
      <c r="Z93" s="486">
        <v>100</v>
      </c>
      <c r="AA93" s="442">
        <v>0.54</v>
      </c>
    </row>
    <row r="94" spans="2:27" ht="16.05" customHeight="1">
      <c r="B94" s="2723" t="s">
        <v>4076</v>
      </c>
      <c r="C94" s="2739"/>
      <c r="D94" s="487">
        <v>18.5</v>
      </c>
      <c r="E94" s="443">
        <f t="shared" ref="E94:E112" si="3">D94*20</f>
        <v>370</v>
      </c>
      <c r="G94" s="2723" t="s">
        <v>4077</v>
      </c>
      <c r="H94" s="2724"/>
      <c r="I94" s="2724"/>
      <c r="J94" s="487">
        <v>6.1</v>
      </c>
      <c r="K94" s="443">
        <f t="shared" si="0"/>
        <v>122</v>
      </c>
      <c r="L94" s="493"/>
      <c r="M94" s="2723" t="s">
        <v>4078</v>
      </c>
      <c r="N94" s="2724"/>
      <c r="O94" s="2724"/>
      <c r="P94" s="487">
        <v>2.98</v>
      </c>
      <c r="Q94" s="443">
        <f t="shared" si="1"/>
        <v>59.6</v>
      </c>
      <c r="R94" s="500"/>
      <c r="S94" s="2723" t="s">
        <v>4079</v>
      </c>
      <c r="T94" s="2739"/>
      <c r="U94" s="487">
        <v>0.45</v>
      </c>
      <c r="V94" s="443">
        <f t="shared" si="2"/>
        <v>9</v>
      </c>
      <c r="W94" s="501"/>
      <c r="X94" s="2817" t="s">
        <v>4080</v>
      </c>
      <c r="Y94" s="2818"/>
      <c r="Z94" s="487">
        <v>100</v>
      </c>
      <c r="AA94" s="443">
        <v>0.53</v>
      </c>
    </row>
    <row r="95" spans="2:27" ht="16.05" customHeight="1">
      <c r="B95" s="2719" t="s">
        <v>4081</v>
      </c>
      <c r="C95" s="2725"/>
      <c r="D95" s="486">
        <v>13.85</v>
      </c>
      <c r="E95" s="442">
        <f t="shared" si="3"/>
        <v>277</v>
      </c>
      <c r="G95" s="2719" t="s">
        <v>4082</v>
      </c>
      <c r="H95" s="2720"/>
      <c r="I95" s="2720"/>
      <c r="J95" s="486">
        <v>0.89</v>
      </c>
      <c r="K95" s="442">
        <f t="shared" si="0"/>
        <v>17.8</v>
      </c>
      <c r="L95" s="493"/>
      <c r="M95" s="2719" t="s">
        <v>4083</v>
      </c>
      <c r="N95" s="2720"/>
      <c r="O95" s="2720"/>
      <c r="P95" s="486">
        <v>2.98</v>
      </c>
      <c r="Q95" s="442">
        <f t="shared" si="1"/>
        <v>59.6</v>
      </c>
      <c r="R95" s="500"/>
      <c r="S95" s="2719" t="s">
        <v>4084</v>
      </c>
      <c r="T95" s="2725"/>
      <c r="U95" s="486">
        <v>0.65</v>
      </c>
      <c r="V95" s="442">
        <f t="shared" si="2"/>
        <v>13</v>
      </c>
      <c r="W95" s="501"/>
      <c r="X95" s="2819" t="s">
        <v>4085</v>
      </c>
      <c r="Y95" s="2820"/>
      <c r="Z95" s="486">
        <v>100</v>
      </c>
      <c r="AA95" s="442">
        <v>1.34</v>
      </c>
    </row>
    <row r="96" spans="2:27" ht="16.05" customHeight="1">
      <c r="B96" s="2723" t="s">
        <v>4086</v>
      </c>
      <c r="C96" s="2739"/>
      <c r="D96" s="487">
        <v>9.9499999999999993</v>
      </c>
      <c r="E96" s="443">
        <f t="shared" si="3"/>
        <v>199</v>
      </c>
      <c r="G96" s="2723" t="s">
        <v>4087</v>
      </c>
      <c r="H96" s="2724"/>
      <c r="I96" s="2724"/>
      <c r="J96" s="487">
        <v>6.79</v>
      </c>
      <c r="K96" s="443">
        <f t="shared" si="0"/>
        <v>135.80000000000001</v>
      </c>
      <c r="L96" s="493"/>
      <c r="M96" s="2723" t="s">
        <v>4088</v>
      </c>
      <c r="N96" s="2724"/>
      <c r="O96" s="2724"/>
      <c r="P96" s="487">
        <v>0.98</v>
      </c>
      <c r="Q96" s="443">
        <f t="shared" si="1"/>
        <v>19.600000000000001</v>
      </c>
      <c r="R96" s="493"/>
      <c r="S96" s="2723" t="s">
        <v>4089</v>
      </c>
      <c r="T96" s="2739"/>
      <c r="U96" s="487">
        <v>1.25</v>
      </c>
      <c r="V96" s="443">
        <f t="shared" si="2"/>
        <v>25</v>
      </c>
      <c r="W96" s="501"/>
      <c r="X96" s="2821" t="s">
        <v>4090</v>
      </c>
      <c r="Y96" s="2766"/>
      <c r="Z96" s="487">
        <v>100</v>
      </c>
      <c r="AA96" s="443">
        <v>7.63</v>
      </c>
    </row>
    <row r="97" spans="2:27" ht="16.05" customHeight="1">
      <c r="B97" s="2719" t="s">
        <v>4091</v>
      </c>
      <c r="C97" s="2725"/>
      <c r="D97" s="486">
        <v>0.69</v>
      </c>
      <c r="E97" s="442">
        <f t="shared" si="3"/>
        <v>13.799999999999999</v>
      </c>
      <c r="G97" s="2774" t="s">
        <v>4092</v>
      </c>
      <c r="H97" s="2775"/>
      <c r="I97" s="2775"/>
      <c r="J97" s="486">
        <v>5.0599999999999996</v>
      </c>
      <c r="K97" s="442">
        <f t="shared" si="0"/>
        <v>101.19999999999999</v>
      </c>
      <c r="L97" s="493"/>
      <c r="M97" s="2719" t="s">
        <v>4093</v>
      </c>
      <c r="N97" s="2720"/>
      <c r="O97" s="2720"/>
      <c r="P97" s="486">
        <v>2.59</v>
      </c>
      <c r="Q97" s="442">
        <f t="shared" si="1"/>
        <v>51.8</v>
      </c>
      <c r="R97" s="497"/>
      <c r="S97" s="2719" t="s">
        <v>4094</v>
      </c>
      <c r="T97" s="2725"/>
      <c r="U97" s="486">
        <v>2.5</v>
      </c>
      <c r="V97" s="442">
        <f t="shared" si="2"/>
        <v>50</v>
      </c>
      <c r="W97" s="501"/>
      <c r="X97" s="2819" t="s">
        <v>4095</v>
      </c>
      <c r="Y97" s="2820"/>
      <c r="Z97" s="486">
        <v>100</v>
      </c>
      <c r="AA97" s="442">
        <v>5.95</v>
      </c>
    </row>
    <row r="98" spans="2:27" ht="16.05" customHeight="1">
      <c r="B98" s="2723" t="s">
        <v>4096</v>
      </c>
      <c r="C98" s="2739"/>
      <c r="D98" s="487" t="s">
        <v>4097</v>
      </c>
      <c r="E98" s="443" t="s">
        <v>4098</v>
      </c>
      <c r="G98" s="2723" t="s">
        <v>4099</v>
      </c>
      <c r="H98" s="2724"/>
      <c r="I98" s="2724"/>
      <c r="J98" s="487">
        <v>3.65</v>
      </c>
      <c r="K98" s="443">
        <f t="shared" si="0"/>
        <v>73</v>
      </c>
      <c r="L98" s="493"/>
      <c r="M98" s="2723" t="s">
        <v>4100</v>
      </c>
      <c r="N98" s="2724"/>
      <c r="O98" s="2724"/>
      <c r="P98" s="487">
        <v>4.95</v>
      </c>
      <c r="Q98" s="443">
        <f t="shared" si="1"/>
        <v>99</v>
      </c>
      <c r="R98" s="500"/>
      <c r="S98" s="2767" t="s">
        <v>4101</v>
      </c>
      <c r="T98" s="2768"/>
      <c r="U98" s="470">
        <v>0.45</v>
      </c>
      <c r="V98" s="446">
        <f t="shared" si="2"/>
        <v>9</v>
      </c>
      <c r="W98" s="501"/>
      <c r="X98" s="2817" t="s">
        <v>4102</v>
      </c>
      <c r="Y98" s="2818"/>
      <c r="Z98" s="487">
        <v>100</v>
      </c>
      <c r="AA98" s="443">
        <v>2.97</v>
      </c>
    </row>
    <row r="99" spans="2:27" ht="16.05" customHeight="1">
      <c r="B99" s="2719" t="s">
        <v>4103</v>
      </c>
      <c r="C99" s="2725"/>
      <c r="D99" s="486">
        <v>37.5</v>
      </c>
      <c r="E99" s="442">
        <f t="shared" si="3"/>
        <v>750</v>
      </c>
      <c r="G99" s="2719" t="s">
        <v>4104</v>
      </c>
      <c r="H99" s="2720"/>
      <c r="I99" s="2720"/>
      <c r="J99" s="486">
        <v>2.59</v>
      </c>
      <c r="K99" s="442">
        <f t="shared" si="0"/>
        <v>51.8</v>
      </c>
      <c r="L99" s="493"/>
      <c r="M99" s="2719" t="s">
        <v>4105</v>
      </c>
      <c r="N99" s="2720"/>
      <c r="O99" s="2720"/>
      <c r="P99" s="486">
        <v>0.4</v>
      </c>
      <c r="Q99" s="442">
        <f t="shared" si="1"/>
        <v>8</v>
      </c>
      <c r="R99" s="500"/>
      <c r="W99" s="501"/>
      <c r="X99" s="2756" t="s">
        <v>4106</v>
      </c>
      <c r="Y99" s="2757"/>
      <c r="Z99" s="486">
        <v>100</v>
      </c>
      <c r="AA99" s="442">
        <v>1.75</v>
      </c>
    </row>
    <row r="100" spans="2:27" ht="16.05" customHeight="1">
      <c r="B100" s="2779" t="s">
        <v>4107</v>
      </c>
      <c r="C100" s="2780"/>
      <c r="D100" s="488">
        <v>19.95</v>
      </c>
      <c r="E100" s="443">
        <f t="shared" si="3"/>
        <v>399</v>
      </c>
      <c r="G100" s="2723" t="s">
        <v>4108</v>
      </c>
      <c r="H100" s="2724"/>
      <c r="I100" s="2724"/>
      <c r="J100" s="487">
        <v>0.25</v>
      </c>
      <c r="K100" s="443">
        <f t="shared" si="0"/>
        <v>5</v>
      </c>
      <c r="L100" s="493"/>
      <c r="M100" s="2730" t="s">
        <v>4109</v>
      </c>
      <c r="N100" s="2731"/>
      <c r="O100" s="2731"/>
      <c r="P100" s="2731"/>
      <c r="Q100" s="2732"/>
      <c r="R100" s="500"/>
      <c r="S100" s="2730" t="s">
        <v>4110</v>
      </c>
      <c r="T100" s="2731"/>
      <c r="U100" s="2731"/>
      <c r="V100" s="2732"/>
      <c r="W100" s="498"/>
      <c r="X100" s="2817" t="s">
        <v>4111</v>
      </c>
      <c r="Y100" s="2818"/>
      <c r="Z100" s="487">
        <v>100</v>
      </c>
      <c r="AA100" s="443">
        <v>6.6</v>
      </c>
    </row>
    <row r="101" spans="2:27" ht="16.05" customHeight="1">
      <c r="B101" s="2719" t="s">
        <v>4112</v>
      </c>
      <c r="C101" s="2725"/>
      <c r="D101" s="486">
        <v>6.95</v>
      </c>
      <c r="E101" s="442">
        <f t="shared" si="3"/>
        <v>139</v>
      </c>
      <c r="G101" s="2719" t="s">
        <v>4113</v>
      </c>
      <c r="H101" s="2720"/>
      <c r="I101" s="2720"/>
      <c r="J101" s="486">
        <v>5.95</v>
      </c>
      <c r="K101" s="442">
        <f t="shared" si="0"/>
        <v>119</v>
      </c>
      <c r="L101" s="493"/>
      <c r="M101" s="2719" t="s">
        <v>4114</v>
      </c>
      <c r="N101" s="2720"/>
      <c r="O101" s="2720"/>
      <c r="P101" s="486">
        <v>1.69</v>
      </c>
      <c r="Q101" s="442">
        <f t="shared" ref="Q101:Q105" si="4">P101*20</f>
        <v>33.799999999999997</v>
      </c>
      <c r="R101" s="500"/>
      <c r="S101" s="2735" t="s">
        <v>4115</v>
      </c>
      <c r="T101" s="2736"/>
      <c r="U101" s="444" t="s">
        <v>3884</v>
      </c>
      <c r="V101" s="499" t="s">
        <v>4071</v>
      </c>
      <c r="W101" s="501"/>
      <c r="X101" s="2815" t="s">
        <v>4116</v>
      </c>
      <c r="Y101" s="2816"/>
      <c r="Z101" s="486">
        <v>100</v>
      </c>
      <c r="AA101" s="442">
        <v>4.49</v>
      </c>
    </row>
    <row r="102" spans="2:27" ht="16.05" customHeight="1">
      <c r="B102" s="2723" t="s">
        <v>4117</v>
      </c>
      <c r="C102" s="2739"/>
      <c r="D102" s="487">
        <v>4.95</v>
      </c>
      <c r="E102" s="443">
        <f t="shared" si="3"/>
        <v>99</v>
      </c>
      <c r="G102" s="2723" t="s">
        <v>4118</v>
      </c>
      <c r="H102" s="2724"/>
      <c r="I102" s="2724"/>
      <c r="J102" s="487">
        <v>6.59</v>
      </c>
      <c r="K102" s="443">
        <f t="shared" si="0"/>
        <v>131.80000000000001</v>
      </c>
      <c r="L102" s="493"/>
      <c r="M102" s="2723" t="s">
        <v>4119</v>
      </c>
      <c r="N102" s="2724"/>
      <c r="O102" s="2724"/>
      <c r="P102" s="487">
        <v>3.98</v>
      </c>
      <c r="Q102" s="443">
        <f t="shared" si="4"/>
        <v>79.599999999999994</v>
      </c>
      <c r="R102" s="500"/>
      <c r="S102" s="2719" t="s">
        <v>4120</v>
      </c>
      <c r="T102" s="2725"/>
      <c r="U102" s="486">
        <v>0.25</v>
      </c>
      <c r="V102" s="442">
        <f t="shared" ref="V102:V121" si="5">U102*20</f>
        <v>5</v>
      </c>
      <c r="W102" s="501"/>
      <c r="X102" s="2817" t="s">
        <v>4121</v>
      </c>
      <c r="Y102" s="2818"/>
      <c r="Z102" s="487">
        <v>100</v>
      </c>
      <c r="AA102" s="443">
        <v>4.43</v>
      </c>
    </row>
    <row r="103" spans="2:27" ht="16.05" customHeight="1">
      <c r="B103" s="2737" t="s">
        <v>4122</v>
      </c>
      <c r="C103" s="2738"/>
      <c r="D103" s="486">
        <v>8</v>
      </c>
      <c r="E103" s="442">
        <f t="shared" si="3"/>
        <v>160</v>
      </c>
      <c r="G103" s="2719" t="s">
        <v>4123</v>
      </c>
      <c r="H103" s="2720"/>
      <c r="I103" s="2720"/>
      <c r="J103" s="486">
        <v>1.39</v>
      </c>
      <c r="K103" s="442">
        <f t="shared" si="0"/>
        <v>27.799999999999997</v>
      </c>
      <c r="L103" s="493"/>
      <c r="M103" s="2719" t="s">
        <v>4124</v>
      </c>
      <c r="N103" s="2720"/>
      <c r="O103" s="2720"/>
      <c r="P103" s="486">
        <v>0.8</v>
      </c>
      <c r="Q103" s="442">
        <f t="shared" si="4"/>
        <v>16</v>
      </c>
      <c r="R103" s="500"/>
      <c r="S103" s="2723" t="s">
        <v>4125</v>
      </c>
      <c r="T103" s="2739"/>
      <c r="U103" s="487">
        <v>0.1</v>
      </c>
      <c r="V103" s="443">
        <f t="shared" si="5"/>
        <v>2</v>
      </c>
      <c r="X103" s="2756" t="s">
        <v>3952</v>
      </c>
      <c r="Y103" s="2757"/>
      <c r="Z103" s="486">
        <v>25</v>
      </c>
      <c r="AA103" s="442">
        <v>1</v>
      </c>
    </row>
    <row r="104" spans="2:27" ht="16.05" customHeight="1">
      <c r="B104" s="2723" t="s">
        <v>4126</v>
      </c>
      <c r="C104" s="2739"/>
      <c r="D104" s="487">
        <v>4.95</v>
      </c>
      <c r="E104" s="443">
        <f t="shared" si="3"/>
        <v>99</v>
      </c>
      <c r="G104" s="2723" t="s">
        <v>4127</v>
      </c>
      <c r="H104" s="2724"/>
      <c r="I104" s="2724"/>
      <c r="J104" s="487">
        <v>1.68</v>
      </c>
      <c r="K104" s="443">
        <f t="shared" si="0"/>
        <v>33.6</v>
      </c>
      <c r="L104" s="493"/>
      <c r="M104" s="2723" t="s">
        <v>4128</v>
      </c>
      <c r="N104" s="2724"/>
      <c r="O104" s="2724"/>
      <c r="P104" s="487">
        <v>1.04</v>
      </c>
      <c r="Q104" s="443">
        <f t="shared" si="4"/>
        <v>20.8</v>
      </c>
      <c r="R104" s="500"/>
      <c r="S104" s="2813" t="s">
        <v>4129</v>
      </c>
      <c r="T104" s="2814"/>
      <c r="U104" s="486">
        <v>0.19</v>
      </c>
      <c r="V104" s="442">
        <f t="shared" si="5"/>
        <v>3.8</v>
      </c>
      <c r="X104" s="2765" t="s">
        <v>3952</v>
      </c>
      <c r="Y104" s="2766"/>
      <c r="Z104" s="487">
        <v>100</v>
      </c>
      <c r="AA104" s="443">
        <v>3.91</v>
      </c>
    </row>
    <row r="105" spans="2:27" ht="16.05" customHeight="1">
      <c r="B105" s="2719" t="s">
        <v>4130</v>
      </c>
      <c r="C105" s="2725"/>
      <c r="D105" s="486" t="s">
        <v>4131</v>
      </c>
      <c r="E105" s="442" t="s">
        <v>4132</v>
      </c>
      <c r="G105" s="2719" t="s">
        <v>4133</v>
      </c>
      <c r="H105" s="2720"/>
      <c r="I105" s="2720"/>
      <c r="J105" s="494" t="s">
        <v>4134</v>
      </c>
      <c r="K105" s="442" t="s">
        <v>4135</v>
      </c>
      <c r="L105" s="493"/>
      <c r="M105" s="2740" t="s">
        <v>4136</v>
      </c>
      <c r="N105" s="2741"/>
      <c r="O105" s="2741"/>
      <c r="P105" s="482">
        <v>2.06</v>
      </c>
      <c r="Q105" s="460">
        <f t="shared" si="4"/>
        <v>41.2</v>
      </c>
      <c r="R105" s="493"/>
      <c r="S105" s="2726" t="s">
        <v>4137</v>
      </c>
      <c r="T105" s="2727"/>
      <c r="U105" s="487">
        <v>0.43</v>
      </c>
      <c r="V105" s="443">
        <f t="shared" si="5"/>
        <v>8.6</v>
      </c>
      <c r="X105" s="2756" t="s">
        <v>3955</v>
      </c>
      <c r="Y105" s="2757"/>
      <c r="Z105" s="486">
        <v>100</v>
      </c>
      <c r="AA105" s="442">
        <v>3.63</v>
      </c>
    </row>
    <row r="106" spans="2:27" ht="16.05" customHeight="1">
      <c r="B106" s="2723" t="s">
        <v>4138</v>
      </c>
      <c r="C106" s="2739"/>
      <c r="D106" s="487">
        <v>19.5</v>
      </c>
      <c r="E106" s="443">
        <f t="shared" si="3"/>
        <v>390</v>
      </c>
      <c r="G106" s="2723" t="s">
        <v>4139</v>
      </c>
      <c r="H106" s="2724"/>
      <c r="I106" s="2724"/>
      <c r="J106" s="487">
        <v>0.6</v>
      </c>
      <c r="K106" s="443">
        <f t="shared" si="0"/>
        <v>12</v>
      </c>
      <c r="L106" s="493"/>
      <c r="R106" s="497"/>
      <c r="S106" s="2719" t="s">
        <v>4140</v>
      </c>
      <c r="T106" s="2725"/>
      <c r="U106" s="486">
        <v>0.25</v>
      </c>
      <c r="V106" s="442">
        <f t="shared" si="5"/>
        <v>5</v>
      </c>
      <c r="X106" s="2758" t="s">
        <v>3960</v>
      </c>
      <c r="Y106" s="2759"/>
      <c r="Z106" s="487">
        <v>25</v>
      </c>
      <c r="AA106" s="443">
        <v>0.86</v>
      </c>
    </row>
    <row r="107" spans="2:27" ht="16.05" customHeight="1">
      <c r="B107" s="2719" t="s">
        <v>4141</v>
      </c>
      <c r="C107" s="2725"/>
      <c r="D107" s="486">
        <v>7.69</v>
      </c>
      <c r="E107" s="442">
        <f t="shared" si="3"/>
        <v>153.80000000000001</v>
      </c>
      <c r="G107" s="2719" t="s">
        <v>4142</v>
      </c>
      <c r="H107" s="2720"/>
      <c r="I107" s="2720"/>
      <c r="J107" s="486">
        <v>1</v>
      </c>
      <c r="K107" s="442">
        <f t="shared" si="0"/>
        <v>20</v>
      </c>
      <c r="L107" s="493"/>
      <c r="M107" s="2730" t="s">
        <v>4039</v>
      </c>
      <c r="N107" s="2731"/>
      <c r="O107" s="2731"/>
      <c r="P107" s="2731"/>
      <c r="Q107" s="2732"/>
      <c r="R107" s="500"/>
      <c r="S107" s="2723" t="s">
        <v>4143</v>
      </c>
      <c r="T107" s="2739"/>
      <c r="U107" s="487">
        <v>0.13</v>
      </c>
      <c r="V107" s="443">
        <f t="shared" si="5"/>
        <v>2.6</v>
      </c>
      <c r="X107" s="2756" t="s">
        <v>3960</v>
      </c>
      <c r="Y107" s="2757"/>
      <c r="Z107" s="486">
        <v>100</v>
      </c>
      <c r="AA107" s="442">
        <v>3.34</v>
      </c>
    </row>
    <row r="108" spans="2:27" ht="16.05" customHeight="1">
      <c r="B108" s="2723" t="s">
        <v>4144</v>
      </c>
      <c r="C108" s="2739"/>
      <c r="D108" s="487">
        <v>4.95</v>
      </c>
      <c r="E108" s="443">
        <f t="shared" si="3"/>
        <v>99</v>
      </c>
      <c r="G108" s="2723" t="s">
        <v>4145</v>
      </c>
      <c r="H108" s="2724"/>
      <c r="I108" s="2724"/>
      <c r="J108" s="487">
        <v>0.27</v>
      </c>
      <c r="K108" s="443">
        <f t="shared" si="0"/>
        <v>5.4</v>
      </c>
      <c r="L108" s="493"/>
      <c r="M108" s="2735" t="s">
        <v>1500</v>
      </c>
      <c r="N108" s="2755"/>
      <c r="O108" s="2755"/>
      <c r="P108" s="485" t="s">
        <v>3884</v>
      </c>
      <c r="Q108" s="499" t="s">
        <v>4071</v>
      </c>
      <c r="R108" s="500"/>
      <c r="S108" s="2719" t="s">
        <v>4146</v>
      </c>
      <c r="T108" s="2725"/>
      <c r="U108" s="486">
        <v>0.4</v>
      </c>
      <c r="V108" s="442">
        <f t="shared" si="5"/>
        <v>8</v>
      </c>
      <c r="X108" s="2758" t="s">
        <v>3965</v>
      </c>
      <c r="Y108" s="2759"/>
      <c r="Z108" s="487">
        <v>25</v>
      </c>
      <c r="AA108" s="443">
        <v>0.85</v>
      </c>
    </row>
    <row r="109" spans="2:27" ht="16.05" customHeight="1">
      <c r="B109" s="2719" t="s">
        <v>4147</v>
      </c>
      <c r="C109" s="2725"/>
      <c r="D109" s="486">
        <v>0.79</v>
      </c>
      <c r="E109" s="442">
        <f t="shared" si="3"/>
        <v>15.8</v>
      </c>
      <c r="G109" s="2719" t="s">
        <v>4148</v>
      </c>
      <c r="H109" s="2720"/>
      <c r="I109" s="2720"/>
      <c r="J109" s="486">
        <v>3.45</v>
      </c>
      <c r="K109" s="442">
        <f t="shared" si="0"/>
        <v>69</v>
      </c>
      <c r="L109" s="493"/>
      <c r="M109" s="2723" t="s">
        <v>4149</v>
      </c>
      <c r="N109" s="2724"/>
      <c r="O109" s="2724"/>
      <c r="P109" s="487">
        <v>0.1</v>
      </c>
      <c r="Q109" s="443">
        <f t="shared" ref="Q109:Q127" si="6">P109*20</f>
        <v>2</v>
      </c>
      <c r="R109" s="502"/>
      <c r="S109" s="2726" t="s">
        <v>4150</v>
      </c>
      <c r="T109" s="2727"/>
      <c r="U109" s="487">
        <v>0.17</v>
      </c>
      <c r="V109" s="443">
        <f t="shared" si="5"/>
        <v>3.4000000000000004</v>
      </c>
      <c r="X109" s="2811" t="s">
        <v>3965</v>
      </c>
      <c r="Y109" s="2812"/>
      <c r="Z109" s="482">
        <v>100</v>
      </c>
      <c r="AA109" s="460">
        <v>3.3</v>
      </c>
    </row>
    <row r="110" spans="2:27" ht="16.05" customHeight="1">
      <c r="B110" s="2723" t="s">
        <v>4151</v>
      </c>
      <c r="C110" s="2739"/>
      <c r="D110" s="487">
        <v>1.95</v>
      </c>
      <c r="E110" s="443">
        <f t="shared" si="3"/>
        <v>39</v>
      </c>
      <c r="G110" s="2726" t="s">
        <v>4152</v>
      </c>
      <c r="H110" s="2769"/>
      <c r="I110" s="2769"/>
      <c r="J110" s="495" t="s">
        <v>4153</v>
      </c>
      <c r="K110" s="443" t="s">
        <v>4154</v>
      </c>
      <c r="L110" s="493"/>
      <c r="M110" s="2719" t="s">
        <v>4155</v>
      </c>
      <c r="N110" s="2720"/>
      <c r="O110" s="2720"/>
      <c r="P110" s="486">
        <v>0.9</v>
      </c>
      <c r="Q110" s="442">
        <f t="shared" si="6"/>
        <v>18</v>
      </c>
      <c r="R110" s="500"/>
      <c r="S110" s="2719" t="s">
        <v>4156</v>
      </c>
      <c r="T110" s="2725"/>
      <c r="U110" s="486">
        <v>0.5</v>
      </c>
      <c r="V110" s="442">
        <f t="shared" si="5"/>
        <v>10</v>
      </c>
    </row>
    <row r="111" spans="2:27" ht="16.05" customHeight="1">
      <c r="B111" s="2753" t="s">
        <v>4157</v>
      </c>
      <c r="C111" s="2810"/>
      <c r="D111" s="486">
        <v>3.65</v>
      </c>
      <c r="E111" s="442">
        <f t="shared" si="3"/>
        <v>73</v>
      </c>
      <c r="G111" s="2719" t="s">
        <v>4158</v>
      </c>
      <c r="H111" s="2720"/>
      <c r="I111" s="2720"/>
      <c r="J111" s="486">
        <v>28.5</v>
      </c>
      <c r="K111" s="442">
        <f t="shared" si="0"/>
        <v>570</v>
      </c>
      <c r="L111" s="493"/>
      <c r="M111" s="2723" t="s">
        <v>4159</v>
      </c>
      <c r="N111" s="2724"/>
      <c r="O111" s="2724"/>
      <c r="P111" s="487">
        <v>0.25</v>
      </c>
      <c r="Q111" s="443">
        <f t="shared" si="6"/>
        <v>5</v>
      </c>
      <c r="R111" s="500"/>
      <c r="S111" s="2723" t="s">
        <v>4160</v>
      </c>
      <c r="T111" s="2739"/>
      <c r="U111" s="487">
        <v>0.12</v>
      </c>
      <c r="V111" s="443">
        <f t="shared" si="5"/>
        <v>2.4</v>
      </c>
      <c r="X111" s="2730" t="s">
        <v>3973</v>
      </c>
      <c r="Y111" s="2731"/>
      <c r="Z111" s="2731"/>
      <c r="AA111" s="2732"/>
    </row>
    <row r="112" spans="2:27" ht="16.05" customHeight="1">
      <c r="B112" s="2723" t="s">
        <v>4161</v>
      </c>
      <c r="C112" s="2739"/>
      <c r="D112" s="487">
        <v>0.98</v>
      </c>
      <c r="E112" s="443">
        <f t="shared" si="3"/>
        <v>19.600000000000001</v>
      </c>
      <c r="G112" s="2723" t="s">
        <v>4162</v>
      </c>
      <c r="H112" s="2724"/>
      <c r="I112" s="2724"/>
      <c r="J112" s="487">
        <v>3.25</v>
      </c>
      <c r="K112" s="443">
        <f t="shared" si="0"/>
        <v>65</v>
      </c>
      <c r="L112" s="493"/>
      <c r="M112" s="2719" t="s">
        <v>4163</v>
      </c>
      <c r="N112" s="2720"/>
      <c r="O112" s="2720"/>
      <c r="P112" s="486">
        <v>0.25</v>
      </c>
      <c r="Q112" s="442">
        <f t="shared" si="6"/>
        <v>5</v>
      </c>
      <c r="R112" s="493"/>
      <c r="S112" s="2719" t="s">
        <v>4164</v>
      </c>
      <c r="T112" s="2725"/>
      <c r="U112" s="486">
        <v>7.0000000000000007E-2</v>
      </c>
      <c r="V112" s="442">
        <f t="shared" si="5"/>
        <v>1.4000000000000001</v>
      </c>
      <c r="X112" s="2735" t="s">
        <v>1500</v>
      </c>
      <c r="Y112" s="2755"/>
      <c r="Z112" s="485" t="s">
        <v>3884</v>
      </c>
      <c r="AA112" s="499" t="s">
        <v>4071</v>
      </c>
    </row>
    <row r="113" spans="2:27" ht="16.05" customHeight="1">
      <c r="B113" s="2719" t="s">
        <v>4165</v>
      </c>
      <c r="C113" s="2725"/>
      <c r="D113" s="486">
        <v>16.95</v>
      </c>
      <c r="E113" s="442">
        <f t="shared" ref="E113:E118" si="7">D113*20</f>
        <v>339</v>
      </c>
      <c r="G113" s="2719" t="s">
        <v>4166</v>
      </c>
      <c r="H113" s="2720"/>
      <c r="I113" s="2720"/>
      <c r="J113" s="486">
        <v>2.85</v>
      </c>
      <c r="K113" s="442">
        <f t="shared" si="0"/>
        <v>57</v>
      </c>
      <c r="L113" s="493"/>
      <c r="M113" s="2723" t="s">
        <v>4167</v>
      </c>
      <c r="N113" s="2724"/>
      <c r="O113" s="2724"/>
      <c r="P113" s="487">
        <v>10.45</v>
      </c>
      <c r="Q113" s="443">
        <f t="shared" si="6"/>
        <v>209</v>
      </c>
      <c r="R113" s="497"/>
      <c r="S113" s="2723" t="s">
        <v>4168</v>
      </c>
      <c r="T113" s="2739"/>
      <c r="U113" s="487">
        <v>0.1</v>
      </c>
      <c r="V113" s="443">
        <f t="shared" si="5"/>
        <v>2</v>
      </c>
      <c r="X113" s="2806" t="s">
        <v>4169</v>
      </c>
      <c r="Y113" s="2807"/>
      <c r="Z113" s="487">
        <v>9.1999999999999993</v>
      </c>
      <c r="AA113" s="443">
        <f>Z113*20</f>
        <v>184</v>
      </c>
    </row>
    <row r="114" spans="2:27" ht="16.05" customHeight="1">
      <c r="B114" s="2723" t="s">
        <v>4170</v>
      </c>
      <c r="C114" s="2739"/>
      <c r="D114" s="487">
        <v>0.96</v>
      </c>
      <c r="E114" s="443">
        <f t="shared" si="7"/>
        <v>19.2</v>
      </c>
      <c r="G114" s="2726" t="s">
        <v>4171</v>
      </c>
      <c r="H114" s="2769"/>
      <c r="I114" s="2769"/>
      <c r="J114" s="487">
        <v>9.35</v>
      </c>
      <c r="K114" s="443">
        <f t="shared" si="0"/>
        <v>187</v>
      </c>
      <c r="L114" s="493"/>
      <c r="M114" s="2719" t="s">
        <v>4172</v>
      </c>
      <c r="N114" s="2720"/>
      <c r="O114" s="2720"/>
      <c r="P114" s="486">
        <v>3.59</v>
      </c>
      <c r="Q114" s="442">
        <f t="shared" si="6"/>
        <v>71.8</v>
      </c>
      <c r="R114" s="500"/>
      <c r="S114" s="2719" t="s">
        <v>4173</v>
      </c>
      <c r="T114" s="2725"/>
      <c r="U114" s="486">
        <v>0.15</v>
      </c>
      <c r="V114" s="442">
        <f t="shared" si="5"/>
        <v>3</v>
      </c>
      <c r="X114" s="2808" t="s">
        <v>4174</v>
      </c>
      <c r="Y114" s="2809"/>
      <c r="Z114" s="486">
        <v>21.35</v>
      </c>
      <c r="AA114" s="442">
        <f>Z114*20</f>
        <v>427</v>
      </c>
    </row>
    <row r="115" spans="2:27" ht="16.05" customHeight="1">
      <c r="B115" s="2719" t="s">
        <v>3953</v>
      </c>
      <c r="C115" s="2725"/>
      <c r="D115" s="486">
        <v>0.5</v>
      </c>
      <c r="E115" s="442">
        <f t="shared" si="7"/>
        <v>10</v>
      </c>
      <c r="G115" s="2719" t="s">
        <v>4175</v>
      </c>
      <c r="H115" s="2720"/>
      <c r="I115" s="2720"/>
      <c r="J115" s="486">
        <v>0.27</v>
      </c>
      <c r="K115" s="442">
        <f t="shared" si="0"/>
        <v>5.4</v>
      </c>
      <c r="L115" s="493"/>
      <c r="M115" s="2723" t="s">
        <v>4176</v>
      </c>
      <c r="N115" s="2724"/>
      <c r="O115" s="2724"/>
      <c r="P115" s="487">
        <v>1.39</v>
      </c>
      <c r="Q115" s="443">
        <f t="shared" si="6"/>
        <v>27.799999999999997</v>
      </c>
      <c r="R115" s="503"/>
      <c r="S115" s="2723" t="s">
        <v>4177</v>
      </c>
      <c r="T115" s="2739"/>
      <c r="U115" s="487">
        <v>0.1</v>
      </c>
      <c r="V115" s="443">
        <f t="shared" si="5"/>
        <v>2</v>
      </c>
      <c r="X115" s="2771" t="s">
        <v>4178</v>
      </c>
      <c r="Y115" s="2772"/>
      <c r="Z115" s="470">
        <v>1.9</v>
      </c>
      <c r="AA115" s="446">
        <f>Z115*20</f>
        <v>38</v>
      </c>
    </row>
    <row r="116" spans="2:27" ht="16.05" customHeight="1">
      <c r="B116" s="2723" t="s">
        <v>4179</v>
      </c>
      <c r="C116" s="2739"/>
      <c r="D116" s="487">
        <v>0.55000000000000004</v>
      </c>
      <c r="E116" s="443">
        <f t="shared" si="7"/>
        <v>11</v>
      </c>
      <c r="G116" s="2723" t="s">
        <v>4180</v>
      </c>
      <c r="H116" s="2724"/>
      <c r="I116" s="2724"/>
      <c r="J116" s="487">
        <v>1.7</v>
      </c>
      <c r="K116" s="443">
        <f t="shared" si="0"/>
        <v>34</v>
      </c>
      <c r="L116" s="493"/>
      <c r="M116" s="2719" t="s">
        <v>4181</v>
      </c>
      <c r="N116" s="2720"/>
      <c r="O116" s="2720"/>
      <c r="P116" s="486">
        <v>12.5</v>
      </c>
      <c r="Q116" s="442">
        <f t="shared" si="6"/>
        <v>250</v>
      </c>
      <c r="R116" s="500"/>
      <c r="S116" s="2719" t="s">
        <v>4182</v>
      </c>
      <c r="T116" s="2725"/>
      <c r="U116" s="486">
        <v>0.1</v>
      </c>
      <c r="V116" s="442">
        <f t="shared" si="5"/>
        <v>2</v>
      </c>
    </row>
    <row r="117" spans="2:27" ht="16.05" customHeight="1">
      <c r="B117" s="2719" t="s">
        <v>4183</v>
      </c>
      <c r="C117" s="2725"/>
      <c r="D117" s="486">
        <v>0.39</v>
      </c>
      <c r="E117" s="442">
        <f t="shared" si="7"/>
        <v>7.8000000000000007</v>
      </c>
      <c r="G117" s="2719" t="s">
        <v>4184</v>
      </c>
      <c r="H117" s="2720"/>
      <c r="I117" s="2720"/>
      <c r="J117" s="486">
        <v>3.45</v>
      </c>
      <c r="K117" s="442">
        <f t="shared" si="0"/>
        <v>69</v>
      </c>
      <c r="L117" s="493"/>
      <c r="M117" s="2723" t="s">
        <v>4185</v>
      </c>
      <c r="N117" s="2724"/>
      <c r="O117" s="2724"/>
      <c r="P117" s="487">
        <v>1.39</v>
      </c>
      <c r="Q117" s="443">
        <f t="shared" si="6"/>
        <v>27.799999999999997</v>
      </c>
      <c r="R117" s="500"/>
      <c r="S117" s="2723" t="s">
        <v>4186</v>
      </c>
      <c r="T117" s="2739"/>
      <c r="U117" s="487">
        <v>0.13</v>
      </c>
      <c r="V117" s="443">
        <f t="shared" si="5"/>
        <v>2.6</v>
      </c>
      <c r="X117" s="2730" t="s">
        <v>4187</v>
      </c>
      <c r="Y117" s="2731"/>
      <c r="Z117" s="2731"/>
      <c r="AA117" s="2732"/>
    </row>
    <row r="118" spans="2:27" ht="16.05" customHeight="1">
      <c r="B118" s="2723" t="s">
        <v>4188</v>
      </c>
      <c r="C118" s="2739"/>
      <c r="D118" s="487">
        <v>1.48</v>
      </c>
      <c r="E118" s="443">
        <f t="shared" si="7"/>
        <v>29.6</v>
      </c>
      <c r="G118" s="2723" t="s">
        <v>4189</v>
      </c>
      <c r="H118" s="2724"/>
      <c r="I118" s="2724"/>
      <c r="J118" s="487">
        <v>0.62</v>
      </c>
      <c r="K118" s="443">
        <f t="shared" si="0"/>
        <v>12.4</v>
      </c>
      <c r="L118" s="493"/>
      <c r="M118" s="2719" t="s">
        <v>4190</v>
      </c>
      <c r="N118" s="2720"/>
      <c r="O118" s="2720"/>
      <c r="P118" s="486">
        <v>0.69</v>
      </c>
      <c r="Q118" s="442">
        <f t="shared" si="6"/>
        <v>13.799999999999999</v>
      </c>
      <c r="R118" s="500"/>
      <c r="S118" s="2719" t="s">
        <v>4191</v>
      </c>
      <c r="T118" s="2725"/>
      <c r="U118" s="486">
        <v>0.1</v>
      </c>
      <c r="V118" s="442">
        <f t="shared" si="5"/>
        <v>2</v>
      </c>
      <c r="X118" s="2735" t="s">
        <v>1500</v>
      </c>
      <c r="Y118" s="2755"/>
      <c r="Z118" s="485" t="s">
        <v>3884</v>
      </c>
      <c r="AA118" s="499" t="s">
        <v>4071</v>
      </c>
    </row>
    <row r="119" spans="2:27" ht="16.05" customHeight="1">
      <c r="B119" s="2719" t="s">
        <v>4192</v>
      </c>
      <c r="C119" s="2725"/>
      <c r="D119" s="486">
        <v>0.4</v>
      </c>
      <c r="E119" s="442">
        <f t="shared" ref="E119:E124" si="8">D119*20</f>
        <v>8</v>
      </c>
      <c r="G119" s="2719" t="s">
        <v>4193</v>
      </c>
      <c r="H119" s="2720"/>
      <c r="I119" s="2720"/>
      <c r="J119" s="486">
        <v>0.48</v>
      </c>
      <c r="K119" s="442">
        <f t="shared" si="0"/>
        <v>9.6</v>
      </c>
      <c r="L119" s="493"/>
      <c r="M119" s="2723" t="s">
        <v>4194</v>
      </c>
      <c r="N119" s="2724"/>
      <c r="O119" s="2724"/>
      <c r="P119" s="487">
        <v>0.69</v>
      </c>
      <c r="Q119" s="443">
        <f t="shared" si="6"/>
        <v>13.799999999999999</v>
      </c>
      <c r="R119" s="500"/>
      <c r="S119" s="2726" t="s">
        <v>4195</v>
      </c>
      <c r="T119" s="2727"/>
      <c r="U119" s="487">
        <v>2.25</v>
      </c>
      <c r="V119" s="443">
        <f t="shared" si="5"/>
        <v>45</v>
      </c>
      <c r="X119" s="2756" t="s">
        <v>4196</v>
      </c>
      <c r="Y119" s="2803"/>
      <c r="Z119" s="486">
        <v>12.5</v>
      </c>
      <c r="AA119" s="442">
        <f t="shared" ref="AA119:AA127" si="9">Z119*20</f>
        <v>250</v>
      </c>
    </row>
    <row r="120" spans="2:27" ht="16.05" customHeight="1">
      <c r="B120" s="2723" t="s">
        <v>4197</v>
      </c>
      <c r="C120" s="2739"/>
      <c r="D120" s="487">
        <v>1.35</v>
      </c>
      <c r="E120" s="443">
        <f t="shared" si="8"/>
        <v>27</v>
      </c>
      <c r="G120" s="2746" t="s">
        <v>4198</v>
      </c>
      <c r="H120" s="2747"/>
      <c r="I120" s="2747"/>
      <c r="J120" s="2747"/>
      <c r="K120" s="2748"/>
      <c r="L120" s="493"/>
      <c r="M120" s="2719" t="s">
        <v>4199</v>
      </c>
      <c r="N120" s="2720"/>
      <c r="O120" s="2720"/>
      <c r="P120" s="486">
        <v>0.2</v>
      </c>
      <c r="Q120" s="442">
        <f t="shared" si="6"/>
        <v>4</v>
      </c>
      <c r="R120" s="500"/>
      <c r="S120" s="2719" t="s">
        <v>4200</v>
      </c>
      <c r="T120" s="2725"/>
      <c r="U120" s="486">
        <v>0.25</v>
      </c>
      <c r="V120" s="442">
        <f t="shared" si="5"/>
        <v>5</v>
      </c>
      <c r="X120" s="2758" t="s">
        <v>4201</v>
      </c>
      <c r="Y120" s="2805"/>
      <c r="Z120" s="487">
        <v>3.75</v>
      </c>
      <c r="AA120" s="443">
        <f t="shared" si="9"/>
        <v>75</v>
      </c>
    </row>
    <row r="121" spans="2:27" ht="16.05" customHeight="1">
      <c r="B121" s="2719" t="s">
        <v>4202</v>
      </c>
      <c r="C121" s="2725"/>
      <c r="D121" s="486">
        <v>0.79</v>
      </c>
      <c r="E121" s="442">
        <f t="shared" si="8"/>
        <v>15.8</v>
      </c>
      <c r="G121" s="2723" t="s">
        <v>4203</v>
      </c>
      <c r="H121" s="2724"/>
      <c r="I121" s="2724"/>
      <c r="J121" s="487">
        <v>2.35</v>
      </c>
      <c r="K121" s="443">
        <f>J121*20</f>
        <v>47</v>
      </c>
      <c r="L121" s="493"/>
      <c r="M121" s="2723" t="s">
        <v>4204</v>
      </c>
      <c r="N121" s="2724"/>
      <c r="O121" s="2724"/>
      <c r="P121" s="487">
        <v>0.69</v>
      </c>
      <c r="Q121" s="443">
        <f t="shared" si="6"/>
        <v>13.799999999999999</v>
      </c>
      <c r="R121" s="500"/>
      <c r="S121" s="2767" t="s">
        <v>4205</v>
      </c>
      <c r="T121" s="2768"/>
      <c r="U121" s="470">
        <v>0.45</v>
      </c>
      <c r="V121" s="446">
        <f t="shared" si="5"/>
        <v>9</v>
      </c>
      <c r="X121" s="2756" t="s">
        <v>4206</v>
      </c>
      <c r="Y121" s="2803"/>
      <c r="Z121" s="486">
        <v>2.5</v>
      </c>
      <c r="AA121" s="442">
        <f t="shared" si="9"/>
        <v>50</v>
      </c>
    </row>
    <row r="122" spans="2:27" ht="16.05" customHeight="1">
      <c r="B122" s="2723" t="s">
        <v>4207</v>
      </c>
      <c r="C122" s="2739"/>
      <c r="D122" s="487">
        <v>7.25</v>
      </c>
      <c r="E122" s="443">
        <f t="shared" si="8"/>
        <v>145</v>
      </c>
      <c r="G122" s="2719" t="s">
        <v>4208</v>
      </c>
      <c r="H122" s="2720"/>
      <c r="I122" s="2720"/>
      <c r="J122" s="486">
        <v>1.2</v>
      </c>
      <c r="K122" s="442">
        <f>J122*20</f>
        <v>24</v>
      </c>
      <c r="L122" s="493"/>
      <c r="M122" s="2719" t="s">
        <v>4209</v>
      </c>
      <c r="N122" s="2720"/>
      <c r="O122" s="2720"/>
      <c r="P122" s="486">
        <v>1.79</v>
      </c>
      <c r="Q122" s="442">
        <f t="shared" si="6"/>
        <v>35.799999999999997</v>
      </c>
      <c r="R122" s="500"/>
      <c r="X122" s="2758" t="s">
        <v>4210</v>
      </c>
      <c r="Y122" s="2805"/>
      <c r="Z122" s="505" t="s">
        <v>4211</v>
      </c>
      <c r="AA122" s="506" t="s">
        <v>4212</v>
      </c>
    </row>
    <row r="123" spans="2:27" ht="16.05" customHeight="1">
      <c r="B123" s="2719" t="s">
        <v>4213</v>
      </c>
      <c r="C123" s="2725"/>
      <c r="D123" s="486">
        <v>5.25</v>
      </c>
      <c r="E123" s="442">
        <f t="shared" si="8"/>
        <v>105</v>
      </c>
      <c r="G123" s="2723" t="s">
        <v>4214</v>
      </c>
      <c r="H123" s="2724"/>
      <c r="I123" s="2724"/>
      <c r="J123" s="487">
        <v>0.98</v>
      </c>
      <c r="K123" s="443">
        <f>J123*20</f>
        <v>19.600000000000001</v>
      </c>
      <c r="L123" s="493"/>
      <c r="M123" s="2723" t="s">
        <v>4215</v>
      </c>
      <c r="N123" s="2724"/>
      <c r="O123" s="2724"/>
      <c r="P123" s="487">
        <v>39.950000000000003</v>
      </c>
      <c r="Q123" s="443">
        <f t="shared" si="6"/>
        <v>799</v>
      </c>
      <c r="R123" s="500"/>
      <c r="S123" s="2730" t="s">
        <v>4216</v>
      </c>
      <c r="T123" s="2731"/>
      <c r="U123" s="2731"/>
      <c r="V123" s="2732"/>
      <c r="W123" s="498"/>
      <c r="X123" s="2756" t="s">
        <v>4217</v>
      </c>
      <c r="Y123" s="2803"/>
      <c r="Z123" s="486">
        <v>1</v>
      </c>
      <c r="AA123" s="442">
        <f t="shared" si="9"/>
        <v>20</v>
      </c>
    </row>
    <row r="124" spans="2:27" ht="16.05" customHeight="1">
      <c r="B124" s="2723" t="s">
        <v>4218</v>
      </c>
      <c r="C124" s="2739"/>
      <c r="D124" s="487">
        <v>3.45</v>
      </c>
      <c r="E124" s="443">
        <f t="shared" si="8"/>
        <v>69</v>
      </c>
      <c r="G124" s="2746" t="s">
        <v>4219</v>
      </c>
      <c r="H124" s="2747"/>
      <c r="I124" s="2747"/>
      <c r="J124" s="2747"/>
      <c r="K124" s="2748"/>
      <c r="L124" s="493"/>
      <c r="M124" s="2719" t="s">
        <v>4220</v>
      </c>
      <c r="N124" s="2720"/>
      <c r="O124" s="2720"/>
      <c r="P124" s="486">
        <v>1.59</v>
      </c>
      <c r="Q124" s="442">
        <f t="shared" si="6"/>
        <v>31.8</v>
      </c>
      <c r="R124" s="500"/>
      <c r="S124" s="2735" t="s">
        <v>1500</v>
      </c>
      <c r="T124" s="2736"/>
      <c r="U124" s="444" t="s">
        <v>3884</v>
      </c>
      <c r="V124" s="499" t="s">
        <v>4071</v>
      </c>
      <c r="X124" s="2758" t="s">
        <v>4221</v>
      </c>
      <c r="Y124" s="2805"/>
      <c r="Z124" s="487">
        <v>1.98</v>
      </c>
      <c r="AA124" s="443">
        <f t="shared" si="9"/>
        <v>39.6</v>
      </c>
    </row>
    <row r="125" spans="2:27" ht="16.05" customHeight="1">
      <c r="B125" s="2740" t="s">
        <v>4222</v>
      </c>
      <c r="C125" s="2741"/>
      <c r="D125" s="482">
        <v>0.75</v>
      </c>
      <c r="E125" s="460">
        <f t="shared" ref="E125:E136" si="10">D125*20</f>
        <v>15</v>
      </c>
      <c r="G125" s="2749" t="s">
        <v>4223</v>
      </c>
      <c r="H125" s="2770"/>
      <c r="I125" s="2770"/>
      <c r="J125" s="486">
        <v>2.48</v>
      </c>
      <c r="K125" s="442">
        <f>J125*20</f>
        <v>49.6</v>
      </c>
      <c r="L125" s="493"/>
      <c r="M125" s="2723" t="s">
        <v>4224</v>
      </c>
      <c r="N125" s="2724"/>
      <c r="O125" s="2724"/>
      <c r="P125" s="487">
        <v>0.28999999999999998</v>
      </c>
      <c r="Q125" s="443">
        <f t="shared" si="6"/>
        <v>5.8</v>
      </c>
      <c r="R125" s="500"/>
      <c r="S125" s="2719" t="s">
        <v>4225</v>
      </c>
      <c r="T125" s="2725"/>
      <c r="U125" s="486">
        <v>2.5</v>
      </c>
      <c r="V125" s="442">
        <f t="shared" ref="V125:V128" si="11">U125*20</f>
        <v>50</v>
      </c>
      <c r="X125" s="2756" t="s">
        <v>4226</v>
      </c>
      <c r="Y125" s="2803"/>
      <c r="Z125" s="486">
        <v>0.6</v>
      </c>
      <c r="AA125" s="442">
        <f t="shared" si="9"/>
        <v>12</v>
      </c>
    </row>
    <row r="126" spans="2:27" ht="16.05" customHeight="1">
      <c r="B126" s="489"/>
      <c r="C126" s="489"/>
      <c r="D126" s="489"/>
      <c r="E126" s="489"/>
      <c r="G126" s="2751" t="s">
        <v>4227</v>
      </c>
      <c r="H126" s="2804"/>
      <c r="I126" s="2804"/>
      <c r="J126" s="487">
        <v>5.98</v>
      </c>
      <c r="K126" s="443">
        <f>J126*20</f>
        <v>119.60000000000001</v>
      </c>
      <c r="L126" s="493"/>
      <c r="M126" s="2719" t="s">
        <v>4228</v>
      </c>
      <c r="N126" s="2720"/>
      <c r="O126" s="2720"/>
      <c r="P126" s="486">
        <v>1.98</v>
      </c>
      <c r="Q126" s="442">
        <f t="shared" si="6"/>
        <v>39.6</v>
      </c>
      <c r="R126" s="500"/>
      <c r="S126" s="2723" t="s">
        <v>4229</v>
      </c>
      <c r="T126" s="2739"/>
      <c r="U126" s="487">
        <v>0.45</v>
      </c>
      <c r="V126" s="443">
        <f t="shared" si="11"/>
        <v>9</v>
      </c>
      <c r="X126" s="2758" t="s">
        <v>4230</v>
      </c>
      <c r="Y126" s="2805"/>
      <c r="Z126" s="487">
        <v>1.95</v>
      </c>
      <c r="AA126" s="443">
        <f t="shared" si="9"/>
        <v>39</v>
      </c>
    </row>
    <row r="127" spans="2:27" ht="16.05" customHeight="1">
      <c r="B127" s="2730" t="s">
        <v>3981</v>
      </c>
      <c r="C127" s="2731"/>
      <c r="D127" s="2731"/>
      <c r="E127" s="2732"/>
      <c r="G127" s="2719" t="s">
        <v>4231</v>
      </c>
      <c r="H127" s="2720"/>
      <c r="I127" s="2720"/>
      <c r="J127" s="486">
        <v>11.43</v>
      </c>
      <c r="K127" s="442">
        <f>J127*20</f>
        <v>228.6</v>
      </c>
      <c r="L127" s="493"/>
      <c r="M127" s="2767" t="s">
        <v>4232</v>
      </c>
      <c r="N127" s="2768"/>
      <c r="O127" s="2768"/>
      <c r="P127" s="470">
        <v>0.98</v>
      </c>
      <c r="Q127" s="446">
        <f t="shared" si="6"/>
        <v>19.600000000000001</v>
      </c>
      <c r="R127" s="500"/>
      <c r="S127" s="2719" t="s">
        <v>4233</v>
      </c>
      <c r="T127" s="2725"/>
      <c r="U127" s="486">
        <v>0.65</v>
      </c>
      <c r="V127" s="442">
        <f t="shared" si="11"/>
        <v>13</v>
      </c>
      <c r="X127" s="2761" t="s">
        <v>4234</v>
      </c>
      <c r="Y127" s="2762"/>
      <c r="Z127" s="482">
        <v>1.75</v>
      </c>
      <c r="AA127" s="460">
        <f t="shared" si="9"/>
        <v>35</v>
      </c>
    </row>
    <row r="128" spans="2:27" ht="16.05" customHeight="1">
      <c r="B128" s="2735" t="s">
        <v>1500</v>
      </c>
      <c r="C128" s="2736"/>
      <c r="D128" s="485" t="s">
        <v>3884</v>
      </c>
      <c r="E128" s="459" t="s">
        <v>4071</v>
      </c>
      <c r="G128" s="2746" t="s">
        <v>4235</v>
      </c>
      <c r="H128" s="2747"/>
      <c r="I128" s="2747"/>
      <c r="J128" s="2747"/>
      <c r="K128" s="2748"/>
      <c r="L128" s="493"/>
      <c r="R128" s="500"/>
      <c r="S128" s="2767" t="s">
        <v>4236</v>
      </c>
      <c r="T128" s="2768"/>
      <c r="U128" s="470">
        <v>1.25</v>
      </c>
      <c r="V128" s="446">
        <f t="shared" si="11"/>
        <v>25</v>
      </c>
    </row>
    <row r="129" spans="2:27" ht="16.05" customHeight="1">
      <c r="B129" s="2719" t="s">
        <v>4237</v>
      </c>
      <c r="C129" s="2725"/>
      <c r="D129" s="486" t="s">
        <v>4015</v>
      </c>
      <c r="E129" s="442" t="s">
        <v>4238</v>
      </c>
      <c r="G129" s="2723" t="s">
        <v>4239</v>
      </c>
      <c r="H129" s="2724"/>
      <c r="I129" s="2724"/>
      <c r="J129" s="487">
        <v>35.200000000000003</v>
      </c>
      <c r="K129" s="443">
        <f>J129*20</f>
        <v>704</v>
      </c>
      <c r="L129" s="500"/>
      <c r="M129" s="2730" t="s">
        <v>4240</v>
      </c>
      <c r="N129" s="2731"/>
      <c r="O129" s="2731"/>
      <c r="P129" s="2731"/>
      <c r="Q129" s="2732"/>
      <c r="R129" s="500"/>
      <c r="X129" s="2730" t="s">
        <v>4241</v>
      </c>
      <c r="Y129" s="2731"/>
      <c r="Z129" s="2731"/>
      <c r="AA129" s="2732"/>
    </row>
    <row r="130" spans="2:27" ht="16.05" customHeight="1">
      <c r="B130" s="2723" t="s">
        <v>4242</v>
      </c>
      <c r="C130" s="2739"/>
      <c r="D130" s="487">
        <v>13.95</v>
      </c>
      <c r="E130" s="443">
        <f t="shared" si="10"/>
        <v>279</v>
      </c>
      <c r="G130" s="2719" t="s">
        <v>4243</v>
      </c>
      <c r="H130" s="2720"/>
      <c r="I130" s="2720"/>
      <c r="J130" s="486">
        <v>79.95</v>
      </c>
      <c r="K130" s="442">
        <f>J130*20</f>
        <v>1599</v>
      </c>
      <c r="L130" s="493"/>
      <c r="M130" s="2735" t="s">
        <v>1500</v>
      </c>
      <c r="N130" s="2736"/>
      <c r="O130" s="2736"/>
      <c r="P130" s="444" t="s">
        <v>3884</v>
      </c>
      <c r="Q130" s="513" t="s">
        <v>4071</v>
      </c>
      <c r="R130" s="500"/>
      <c r="S130" s="2730" t="s">
        <v>3959</v>
      </c>
      <c r="T130" s="2731"/>
      <c r="U130" s="2731"/>
      <c r="V130" s="2732"/>
      <c r="X130" s="2735" t="s">
        <v>1500</v>
      </c>
      <c r="Y130" s="2755"/>
      <c r="Z130" s="2755"/>
      <c r="AA130" s="459" t="s">
        <v>3884</v>
      </c>
    </row>
    <row r="131" spans="2:27" ht="16.05" customHeight="1">
      <c r="B131" s="2719" t="s">
        <v>4244</v>
      </c>
      <c r="C131" s="2725"/>
      <c r="D131" s="486">
        <v>10.95</v>
      </c>
      <c r="E131" s="442">
        <f t="shared" si="10"/>
        <v>219</v>
      </c>
      <c r="G131" s="2767" t="s">
        <v>4245</v>
      </c>
      <c r="H131" s="2768"/>
      <c r="I131" s="2768"/>
      <c r="J131" s="470">
        <v>75</v>
      </c>
      <c r="K131" s="446">
        <f>J131*20</f>
        <v>1500</v>
      </c>
      <c r="L131" s="493"/>
      <c r="M131" s="2719" t="s">
        <v>4246</v>
      </c>
      <c r="N131" s="2725"/>
      <c r="O131" s="2725"/>
      <c r="P131" s="486">
        <v>4.9800000000000004</v>
      </c>
      <c r="Q131" s="442">
        <f>P131*20</f>
        <v>99.600000000000009</v>
      </c>
      <c r="R131" s="500"/>
      <c r="S131" s="2735" t="s">
        <v>1500</v>
      </c>
      <c r="T131" s="2736"/>
      <c r="U131" s="444" t="s">
        <v>3884</v>
      </c>
      <c r="V131" s="499" t="s">
        <v>4071</v>
      </c>
      <c r="X131" s="2756" t="s">
        <v>4247</v>
      </c>
      <c r="Y131" s="2757"/>
      <c r="Z131" s="2757"/>
      <c r="AA131" s="442" t="s">
        <v>4248</v>
      </c>
    </row>
    <row r="132" spans="2:27" ht="16.05" customHeight="1">
      <c r="B132" s="2723" t="s">
        <v>4249</v>
      </c>
      <c r="C132" s="2739"/>
      <c r="D132" s="487">
        <v>10.95</v>
      </c>
      <c r="E132" s="443">
        <f t="shared" si="10"/>
        <v>219</v>
      </c>
      <c r="M132" s="2726" t="s">
        <v>4250</v>
      </c>
      <c r="N132" s="2727"/>
      <c r="O132" s="2727"/>
      <c r="P132" s="487">
        <v>9.98</v>
      </c>
      <c r="Q132" s="443">
        <f>P132*20</f>
        <v>199.60000000000002</v>
      </c>
      <c r="S132" s="2749" t="s">
        <v>4251</v>
      </c>
      <c r="T132" s="2750"/>
      <c r="U132" s="486">
        <v>14.9</v>
      </c>
      <c r="V132" s="442">
        <f t="shared" ref="V132:V148" si="12">U132*20</f>
        <v>298</v>
      </c>
      <c r="X132" s="2758" t="s">
        <v>4252</v>
      </c>
      <c r="Y132" s="2759"/>
      <c r="Z132" s="2759"/>
      <c r="AA132" s="443" t="s">
        <v>4253</v>
      </c>
    </row>
    <row r="133" spans="2:27" ht="16.05" customHeight="1">
      <c r="B133" s="2719" t="s">
        <v>4254</v>
      </c>
      <c r="C133" s="2725"/>
      <c r="D133" s="486">
        <v>2.59</v>
      </c>
      <c r="E133" s="442">
        <f t="shared" si="10"/>
        <v>51.8</v>
      </c>
      <c r="G133" s="2800" t="s">
        <v>4255</v>
      </c>
      <c r="H133" s="2801"/>
      <c r="I133" s="2801"/>
      <c r="J133" s="2801"/>
      <c r="K133" s="2802"/>
      <c r="M133" s="2749" t="s">
        <v>4256</v>
      </c>
      <c r="N133" s="2750"/>
      <c r="O133" s="2750"/>
      <c r="P133" s="486">
        <v>22.95</v>
      </c>
      <c r="Q133" s="442">
        <f>P133*20</f>
        <v>459</v>
      </c>
      <c r="S133" s="2751" t="s">
        <v>4257</v>
      </c>
      <c r="T133" s="2752"/>
      <c r="U133" s="487">
        <v>6.15</v>
      </c>
      <c r="V133" s="443">
        <f t="shared" si="12"/>
        <v>123</v>
      </c>
      <c r="X133" s="2756" t="s">
        <v>4258</v>
      </c>
      <c r="Y133" s="2757"/>
      <c r="Z133" s="2757"/>
      <c r="AA133" s="442">
        <v>25</v>
      </c>
    </row>
    <row r="134" spans="2:27" ht="16.05" customHeight="1">
      <c r="B134" s="2723" t="s">
        <v>4259</v>
      </c>
      <c r="C134" s="2739"/>
      <c r="D134" s="487">
        <v>10.95</v>
      </c>
      <c r="E134" s="443">
        <f t="shared" si="10"/>
        <v>219</v>
      </c>
      <c r="G134" s="2798" t="s">
        <v>4260</v>
      </c>
      <c r="H134" s="2799"/>
      <c r="I134" s="2799"/>
      <c r="J134" s="2799"/>
      <c r="K134" s="441" t="s">
        <v>3884</v>
      </c>
      <c r="M134" s="2723" t="s">
        <v>4261</v>
      </c>
      <c r="N134" s="2739"/>
      <c r="O134" s="2739"/>
      <c r="P134" s="487">
        <v>0.79</v>
      </c>
      <c r="Q134" s="443">
        <f>P134*20</f>
        <v>15.8</v>
      </c>
      <c r="S134" s="2719" t="s">
        <v>4262</v>
      </c>
      <c r="T134" s="2725"/>
      <c r="U134" s="486">
        <v>1.75</v>
      </c>
      <c r="V134" s="442">
        <f t="shared" si="12"/>
        <v>35</v>
      </c>
      <c r="X134" s="2758" t="s">
        <v>4263</v>
      </c>
      <c r="Y134" s="2759"/>
      <c r="Z134" s="2759"/>
      <c r="AA134" s="518" t="s">
        <v>4264</v>
      </c>
    </row>
    <row r="135" spans="2:27" ht="16.05" customHeight="1">
      <c r="B135" s="2719" t="s">
        <v>4265</v>
      </c>
      <c r="C135" s="2725"/>
      <c r="D135" s="486">
        <v>7.95</v>
      </c>
      <c r="E135" s="442">
        <f t="shared" si="10"/>
        <v>159</v>
      </c>
      <c r="G135" s="2786" t="s">
        <v>4266</v>
      </c>
      <c r="H135" s="2787"/>
      <c r="I135" s="2787"/>
      <c r="J135" s="2787"/>
      <c r="K135" s="442">
        <v>2</v>
      </c>
      <c r="M135" s="2719" t="s">
        <v>4267</v>
      </c>
      <c r="N135" s="2725"/>
      <c r="O135" s="2725"/>
      <c r="P135" s="486">
        <v>2.19</v>
      </c>
      <c r="Q135" s="442">
        <v>43.8</v>
      </c>
      <c r="S135" s="2723" t="s">
        <v>4268</v>
      </c>
      <c r="T135" s="2739"/>
      <c r="U135" s="487">
        <v>0.95</v>
      </c>
      <c r="V135" s="443">
        <f t="shared" si="12"/>
        <v>19</v>
      </c>
      <c r="X135" s="2756" t="s">
        <v>4269</v>
      </c>
      <c r="Y135" s="2757"/>
      <c r="Z135" s="2757"/>
      <c r="AA135" s="442">
        <v>45</v>
      </c>
    </row>
    <row r="136" spans="2:27" ht="16.05" customHeight="1">
      <c r="B136" s="2723" t="s">
        <v>4270</v>
      </c>
      <c r="C136" s="2739"/>
      <c r="D136" s="487">
        <v>1.98</v>
      </c>
      <c r="E136" s="443">
        <f t="shared" si="10"/>
        <v>39.6</v>
      </c>
      <c r="G136" s="2784" t="s">
        <v>4271</v>
      </c>
      <c r="H136" s="2785"/>
      <c r="I136" s="2785"/>
      <c r="J136" s="2785"/>
      <c r="K136" s="443">
        <v>18</v>
      </c>
      <c r="M136" s="2723" t="s">
        <v>4272</v>
      </c>
      <c r="N136" s="2739"/>
      <c r="O136" s="2739"/>
      <c r="P136" s="487">
        <v>0.89</v>
      </c>
      <c r="Q136" s="443">
        <v>17.8</v>
      </c>
      <c r="S136" s="2719" t="s">
        <v>4273</v>
      </c>
      <c r="T136" s="2725"/>
      <c r="U136" s="486">
        <v>8.6</v>
      </c>
      <c r="V136" s="442">
        <f t="shared" si="12"/>
        <v>172</v>
      </c>
      <c r="X136" s="2758" t="s">
        <v>4274</v>
      </c>
      <c r="Y136" s="2759"/>
      <c r="Z136" s="2759"/>
      <c r="AA136" s="443" t="s">
        <v>4275</v>
      </c>
    </row>
    <row r="137" spans="2:27" ht="16.05" customHeight="1">
      <c r="B137" s="2719" t="s">
        <v>4276</v>
      </c>
      <c r="C137" s="2725"/>
      <c r="D137" s="486">
        <v>9.48</v>
      </c>
      <c r="E137" s="442">
        <f t="shared" ref="E137:E144" si="13">D137*20</f>
        <v>189.60000000000002</v>
      </c>
      <c r="G137" s="2786" t="s">
        <v>4277</v>
      </c>
      <c r="H137" s="2787"/>
      <c r="I137" s="2787"/>
      <c r="J137" s="2787"/>
      <c r="K137" s="442">
        <v>300</v>
      </c>
      <c r="M137" s="2719" t="s">
        <v>4278</v>
      </c>
      <c r="N137" s="2725"/>
      <c r="O137" s="2725"/>
      <c r="P137" s="486">
        <v>0.25</v>
      </c>
      <c r="Q137" s="442">
        <v>5</v>
      </c>
      <c r="S137" s="2723" t="s">
        <v>4279</v>
      </c>
      <c r="T137" s="2739"/>
      <c r="U137" s="487">
        <v>0.1</v>
      </c>
      <c r="V137" s="443">
        <f t="shared" si="12"/>
        <v>2</v>
      </c>
      <c r="X137" s="2796" t="s">
        <v>4280</v>
      </c>
      <c r="Y137" s="2797"/>
      <c r="Z137" s="2797"/>
      <c r="AA137" s="442">
        <v>2</v>
      </c>
    </row>
    <row r="138" spans="2:27" ht="16.05" customHeight="1">
      <c r="B138" s="2723" t="s">
        <v>4281</v>
      </c>
      <c r="C138" s="2739"/>
      <c r="D138" s="487">
        <v>0.88</v>
      </c>
      <c r="E138" s="443">
        <f t="shared" si="13"/>
        <v>17.600000000000001</v>
      </c>
      <c r="G138" s="2784" t="s">
        <v>4282</v>
      </c>
      <c r="H138" s="2785"/>
      <c r="I138" s="2785"/>
      <c r="J138" s="2785"/>
      <c r="K138" s="443">
        <v>3000</v>
      </c>
      <c r="M138" s="2723" t="s">
        <v>4283</v>
      </c>
      <c r="N138" s="2739"/>
      <c r="O138" s="2739"/>
      <c r="P138" s="487">
        <v>0.79</v>
      </c>
      <c r="Q138" s="443">
        <v>15.8</v>
      </c>
      <c r="S138" s="2719" t="s">
        <v>4284</v>
      </c>
      <c r="T138" s="2725"/>
      <c r="U138" s="486">
        <v>7.74</v>
      </c>
      <c r="V138" s="442">
        <f t="shared" si="12"/>
        <v>154.80000000000001</v>
      </c>
      <c r="X138" s="2794" t="s">
        <v>4285</v>
      </c>
      <c r="Y138" s="2795"/>
      <c r="Z138" s="2795"/>
      <c r="AA138" s="443">
        <v>2</v>
      </c>
    </row>
    <row r="139" spans="2:27" ht="16.05" customHeight="1">
      <c r="B139" s="2719" t="s">
        <v>4286</v>
      </c>
      <c r="C139" s="2725"/>
      <c r="D139" s="486">
        <v>4.45</v>
      </c>
      <c r="E139" s="442">
        <f t="shared" si="13"/>
        <v>89</v>
      </c>
      <c r="G139" s="2735" t="s">
        <v>4287</v>
      </c>
      <c r="H139" s="2736"/>
      <c r="I139" s="2736"/>
      <c r="J139" s="2736"/>
      <c r="K139" s="459" t="s">
        <v>3884</v>
      </c>
      <c r="M139" s="2719" t="s">
        <v>4288</v>
      </c>
      <c r="N139" s="2725"/>
      <c r="O139" s="2725"/>
      <c r="P139" s="486">
        <v>0.5</v>
      </c>
      <c r="Q139" s="442">
        <v>10</v>
      </c>
      <c r="S139" s="2723" t="s">
        <v>4289</v>
      </c>
      <c r="T139" s="2739"/>
      <c r="U139" s="487">
        <v>2.25</v>
      </c>
      <c r="V139" s="443">
        <f t="shared" si="12"/>
        <v>45</v>
      </c>
      <c r="X139" s="2794" t="s">
        <v>4290</v>
      </c>
      <c r="Y139" s="2795"/>
      <c r="Z139" s="2795"/>
      <c r="AA139" s="519" t="s">
        <v>4291</v>
      </c>
    </row>
    <row r="140" spans="2:27" ht="16.05" customHeight="1">
      <c r="B140" s="2723" t="s">
        <v>4292</v>
      </c>
      <c r="C140" s="2739"/>
      <c r="D140" s="487">
        <v>0.98</v>
      </c>
      <c r="E140" s="443">
        <f t="shared" si="13"/>
        <v>19.600000000000001</v>
      </c>
      <c r="G140" s="2786" t="s">
        <v>3905</v>
      </c>
      <c r="H140" s="2787"/>
      <c r="I140" s="2787"/>
      <c r="J140" s="2787"/>
      <c r="K140" s="442">
        <v>2</v>
      </c>
      <c r="M140" s="2723" t="s">
        <v>4293</v>
      </c>
      <c r="N140" s="2739"/>
      <c r="O140" s="2739"/>
      <c r="P140" s="487">
        <v>1.39</v>
      </c>
      <c r="Q140" s="443">
        <v>27.8</v>
      </c>
      <c r="S140" s="2719" t="s">
        <v>4294</v>
      </c>
      <c r="T140" s="2725"/>
      <c r="U140" s="486">
        <v>1.65</v>
      </c>
      <c r="V140" s="442">
        <f t="shared" si="12"/>
        <v>33</v>
      </c>
      <c r="X140" s="2792" t="s">
        <v>4295</v>
      </c>
      <c r="Y140" s="2793"/>
      <c r="Z140" s="2793"/>
      <c r="AA140" s="443">
        <v>10</v>
      </c>
    </row>
    <row r="141" spans="2:27" ht="16.05" customHeight="1">
      <c r="B141" s="2719" t="s">
        <v>4296</v>
      </c>
      <c r="C141" s="2725"/>
      <c r="D141" s="486">
        <v>4.4400000000000004</v>
      </c>
      <c r="E141" s="442">
        <f t="shared" si="13"/>
        <v>88.800000000000011</v>
      </c>
      <c r="G141" s="2784" t="s">
        <v>3910</v>
      </c>
      <c r="H141" s="2785"/>
      <c r="I141" s="2785"/>
      <c r="J141" s="2785"/>
      <c r="K141" s="443">
        <v>3</v>
      </c>
      <c r="M141" s="2719" t="s">
        <v>4297</v>
      </c>
      <c r="N141" s="2725"/>
      <c r="O141" s="2725"/>
      <c r="P141" s="486">
        <v>0.19</v>
      </c>
      <c r="Q141" s="442">
        <v>3.8</v>
      </c>
      <c r="S141" s="2723" t="s">
        <v>4298</v>
      </c>
      <c r="T141" s="2739"/>
      <c r="U141" s="487">
        <v>4.45</v>
      </c>
      <c r="V141" s="443">
        <f t="shared" si="12"/>
        <v>89</v>
      </c>
      <c r="X141" s="2713" t="s">
        <v>4299</v>
      </c>
      <c r="Y141" s="2714"/>
      <c r="Z141" s="2714"/>
      <c r="AA141" s="2715"/>
    </row>
    <row r="142" spans="2:27" ht="16.05" customHeight="1">
      <c r="B142" s="2723" t="s">
        <v>4300</v>
      </c>
      <c r="C142" s="2739"/>
      <c r="D142" s="487">
        <v>3.69</v>
      </c>
      <c r="E142" s="443">
        <f t="shared" si="13"/>
        <v>73.8</v>
      </c>
      <c r="G142" s="2786" t="s">
        <v>3915</v>
      </c>
      <c r="H142" s="2787"/>
      <c r="I142" s="2787"/>
      <c r="J142" s="2787"/>
      <c r="K142" s="442">
        <v>6</v>
      </c>
      <c r="M142" s="2767" t="s">
        <v>4301</v>
      </c>
      <c r="N142" s="2768"/>
      <c r="O142" s="2768"/>
      <c r="P142" s="470">
        <v>0.39</v>
      </c>
      <c r="Q142" s="446">
        <v>7.8</v>
      </c>
      <c r="S142" s="2719" t="s">
        <v>4302</v>
      </c>
      <c r="T142" s="2725"/>
      <c r="U142" s="486">
        <v>1.98</v>
      </c>
      <c r="V142" s="442">
        <f t="shared" si="12"/>
        <v>39.6</v>
      </c>
      <c r="X142" s="2713"/>
      <c r="Y142" s="2714"/>
      <c r="Z142" s="2714"/>
      <c r="AA142" s="2715"/>
    </row>
    <row r="143" spans="2:27" ht="16.05" customHeight="1">
      <c r="B143" s="2737" t="s">
        <v>4303</v>
      </c>
      <c r="C143" s="2738"/>
      <c r="D143" s="486">
        <v>2.59</v>
      </c>
      <c r="E143" s="442">
        <f t="shared" si="13"/>
        <v>51.8</v>
      </c>
      <c r="G143" s="2790" t="s">
        <v>4304</v>
      </c>
      <c r="H143" s="2791"/>
      <c r="I143" s="2791"/>
      <c r="J143" s="2791"/>
      <c r="K143" s="459" t="s">
        <v>3884</v>
      </c>
      <c r="S143" s="2779" t="s">
        <v>4305</v>
      </c>
      <c r="T143" s="2780"/>
      <c r="U143" s="487">
        <v>3.33</v>
      </c>
      <c r="V143" s="443">
        <f t="shared" si="12"/>
        <v>66.599999999999994</v>
      </c>
      <c r="X143" s="2713"/>
      <c r="Y143" s="2714"/>
      <c r="Z143" s="2714"/>
      <c r="AA143" s="2715"/>
    </row>
    <row r="144" spans="2:27" ht="16.05" customHeight="1">
      <c r="B144" s="2723" t="s">
        <v>4306</v>
      </c>
      <c r="C144" s="2739"/>
      <c r="D144" s="487">
        <v>1.59</v>
      </c>
      <c r="E144" s="443">
        <f t="shared" si="13"/>
        <v>31.8</v>
      </c>
      <c r="G144" s="2786" t="s">
        <v>4307</v>
      </c>
      <c r="H144" s="2787"/>
      <c r="I144" s="2787"/>
      <c r="J144" s="2787"/>
      <c r="K144" s="442">
        <v>120</v>
      </c>
      <c r="M144" s="2730" t="s">
        <v>201</v>
      </c>
      <c r="N144" s="2731"/>
      <c r="O144" s="2731"/>
      <c r="P144" s="2731"/>
      <c r="Q144" s="2732"/>
      <c r="S144" s="2719" t="s">
        <v>4308</v>
      </c>
      <c r="T144" s="2725"/>
      <c r="U144" s="486">
        <v>2.52</v>
      </c>
      <c r="V144" s="442">
        <f t="shared" si="12"/>
        <v>50.4</v>
      </c>
      <c r="X144" s="2713"/>
      <c r="Y144" s="2714"/>
      <c r="Z144" s="2714"/>
      <c r="AA144" s="2715"/>
    </row>
    <row r="145" spans="2:27" ht="16.05" customHeight="1">
      <c r="B145" s="2719" t="s">
        <v>4309</v>
      </c>
      <c r="C145" s="2725"/>
      <c r="D145" s="486">
        <v>2.25</v>
      </c>
      <c r="E145" s="442">
        <f t="shared" ref="E145:E153" si="14">D145*20</f>
        <v>45</v>
      </c>
      <c r="G145" s="2784" t="s">
        <v>4310</v>
      </c>
      <c r="H145" s="2785"/>
      <c r="I145" s="2785"/>
      <c r="J145" s="2785"/>
      <c r="K145" s="443">
        <v>200</v>
      </c>
      <c r="M145" s="2735" t="s">
        <v>1500</v>
      </c>
      <c r="N145" s="2755"/>
      <c r="O145" s="2755"/>
      <c r="P145" s="485" t="s">
        <v>3884</v>
      </c>
      <c r="Q145" s="499" t="s">
        <v>4071</v>
      </c>
      <c r="S145" s="2751" t="s">
        <v>4311</v>
      </c>
      <c r="T145" s="2752"/>
      <c r="U145" s="487">
        <v>15.98</v>
      </c>
      <c r="V145" s="443">
        <f t="shared" si="12"/>
        <v>319.60000000000002</v>
      </c>
      <c r="X145" s="2713"/>
      <c r="Y145" s="2714"/>
      <c r="Z145" s="2714"/>
      <c r="AA145" s="2715"/>
    </row>
    <row r="146" spans="2:27" ht="16.05" customHeight="1">
      <c r="B146" s="2723" t="s">
        <v>4312</v>
      </c>
      <c r="C146" s="2739"/>
      <c r="D146" s="487" t="s">
        <v>4313</v>
      </c>
      <c r="E146" s="506" t="s">
        <v>4314</v>
      </c>
      <c r="G146" s="2786" t="s">
        <v>4315</v>
      </c>
      <c r="H146" s="2787"/>
      <c r="I146" s="2787"/>
      <c r="J146" s="2787"/>
      <c r="K146" s="442">
        <v>35</v>
      </c>
      <c r="M146" s="2749" t="s">
        <v>4316</v>
      </c>
      <c r="N146" s="2770"/>
      <c r="O146" s="2770"/>
      <c r="P146" s="486">
        <v>95</v>
      </c>
      <c r="Q146" s="442">
        <f t="shared" ref="Q146:Q188" si="15">P146*20</f>
        <v>1900</v>
      </c>
      <c r="S146" s="2719" t="s">
        <v>4317</v>
      </c>
      <c r="T146" s="2725"/>
      <c r="U146" s="486">
        <v>6.9</v>
      </c>
      <c r="V146" s="442">
        <f t="shared" si="12"/>
        <v>138</v>
      </c>
      <c r="X146" s="2716"/>
      <c r="Y146" s="2717"/>
      <c r="Z146" s="2717"/>
      <c r="AA146" s="2718"/>
    </row>
    <row r="147" spans="2:27" ht="16.05" customHeight="1">
      <c r="B147" s="2719" t="s">
        <v>4318</v>
      </c>
      <c r="C147" s="2725"/>
      <c r="D147" s="486">
        <v>3.95</v>
      </c>
      <c r="E147" s="442">
        <f t="shared" si="14"/>
        <v>79</v>
      </c>
      <c r="G147" s="2790" t="s">
        <v>4319</v>
      </c>
      <c r="H147" s="2791"/>
      <c r="I147" s="2791"/>
      <c r="J147" s="485" t="s">
        <v>3884</v>
      </c>
      <c r="K147" s="499" t="s">
        <v>4071</v>
      </c>
      <c r="M147" s="2726" t="s">
        <v>4320</v>
      </c>
      <c r="N147" s="2769"/>
      <c r="O147" s="2769"/>
      <c r="P147" s="487">
        <v>1020</v>
      </c>
      <c r="Q147" s="443">
        <f t="shared" si="15"/>
        <v>20400</v>
      </c>
      <c r="S147" s="2723" t="s">
        <v>4321</v>
      </c>
      <c r="T147" s="2739"/>
      <c r="U147" s="487">
        <v>0.95</v>
      </c>
      <c r="V147" s="443">
        <f t="shared" si="12"/>
        <v>19</v>
      </c>
      <c r="X147" s="514"/>
      <c r="Y147" s="514"/>
      <c r="Z147" s="514"/>
      <c r="AA147" s="514"/>
    </row>
    <row r="148" spans="2:27" ht="16.05" customHeight="1">
      <c r="B148" s="2763" t="s">
        <v>4322</v>
      </c>
      <c r="C148" s="2783"/>
      <c r="D148" s="487">
        <v>39.75</v>
      </c>
      <c r="E148" s="443">
        <f t="shared" si="14"/>
        <v>795</v>
      </c>
      <c r="G148" s="2784" t="s">
        <v>4323</v>
      </c>
      <c r="H148" s="2785"/>
      <c r="I148" s="2785"/>
      <c r="J148" s="487" t="s">
        <v>4238</v>
      </c>
      <c r="K148" s="443" t="s">
        <v>4324</v>
      </c>
      <c r="M148" s="2749" t="s">
        <v>4325</v>
      </c>
      <c r="N148" s="2770"/>
      <c r="O148" s="2770"/>
      <c r="P148" s="486">
        <v>2240</v>
      </c>
      <c r="Q148" s="442">
        <f t="shared" si="15"/>
        <v>44800</v>
      </c>
      <c r="S148" s="2740" t="s">
        <v>4326</v>
      </c>
      <c r="T148" s="2741"/>
      <c r="U148" s="482">
        <v>14.9</v>
      </c>
      <c r="V148" s="460">
        <f t="shared" si="12"/>
        <v>298</v>
      </c>
      <c r="X148" s="515"/>
      <c r="Y148" s="515"/>
      <c r="Z148" s="515"/>
      <c r="AA148" s="515"/>
    </row>
    <row r="149" spans="2:27" ht="16.05" customHeight="1">
      <c r="B149" s="2719" t="s">
        <v>4327</v>
      </c>
      <c r="C149" s="2725"/>
      <c r="D149" s="486">
        <v>198</v>
      </c>
      <c r="E149" s="442">
        <f t="shared" si="14"/>
        <v>3960</v>
      </c>
      <c r="G149" s="2786" t="s">
        <v>4328</v>
      </c>
      <c r="H149" s="2787"/>
      <c r="I149" s="2787"/>
      <c r="J149" s="486">
        <v>0.1</v>
      </c>
      <c r="K149" s="442">
        <f t="shared" ref="K149:K150" si="16">J149*20</f>
        <v>2</v>
      </c>
      <c r="M149" s="2726" t="s">
        <v>4329</v>
      </c>
      <c r="N149" s="2769"/>
      <c r="O149" s="2769"/>
      <c r="P149" s="487">
        <v>695</v>
      </c>
      <c r="Q149" s="443">
        <f t="shared" si="15"/>
        <v>13900</v>
      </c>
    </row>
    <row r="150" spans="2:27" ht="16.05" customHeight="1">
      <c r="B150" s="2723" t="s">
        <v>4330</v>
      </c>
      <c r="C150" s="2739"/>
      <c r="D150" s="487">
        <v>3.98</v>
      </c>
      <c r="E150" s="443">
        <f t="shared" si="14"/>
        <v>79.599999999999994</v>
      </c>
      <c r="G150" s="2788" t="s">
        <v>4331</v>
      </c>
      <c r="H150" s="2789"/>
      <c r="I150" s="2789"/>
      <c r="J150" s="470">
        <v>0.05</v>
      </c>
      <c r="K150" s="446">
        <f t="shared" si="16"/>
        <v>1</v>
      </c>
      <c r="M150" s="2749" t="s">
        <v>4332</v>
      </c>
      <c r="N150" s="2770"/>
      <c r="O150" s="2770"/>
      <c r="P150" s="486">
        <v>1045</v>
      </c>
      <c r="Q150" s="442">
        <f t="shared" si="15"/>
        <v>20900</v>
      </c>
      <c r="R150" s="516"/>
      <c r="S150" s="2730" t="s">
        <v>4333</v>
      </c>
      <c r="T150" s="2731"/>
      <c r="U150" s="2731"/>
      <c r="V150" s="2732"/>
    </row>
    <row r="151" spans="2:27" ht="16.05" customHeight="1">
      <c r="B151" s="2719" t="s">
        <v>4334</v>
      </c>
      <c r="C151" s="2725"/>
      <c r="D151" s="486">
        <v>8.98</v>
      </c>
      <c r="E151" s="442">
        <f t="shared" si="14"/>
        <v>179.60000000000002</v>
      </c>
      <c r="M151" s="2726" t="s">
        <v>4335</v>
      </c>
      <c r="N151" s="2769"/>
      <c r="O151" s="2769"/>
      <c r="P151" s="487">
        <v>985</v>
      </c>
      <c r="Q151" s="443">
        <f t="shared" si="15"/>
        <v>19700</v>
      </c>
      <c r="R151" s="516"/>
      <c r="S151" s="2735" t="s">
        <v>1500</v>
      </c>
      <c r="T151" s="2736"/>
      <c r="U151" s="444" t="s">
        <v>3884</v>
      </c>
      <c r="V151" s="499" t="s">
        <v>4071</v>
      </c>
    </row>
    <row r="152" spans="2:27" ht="16.05" customHeight="1">
      <c r="B152" s="2723" t="s">
        <v>4336</v>
      </c>
      <c r="C152" s="2739"/>
      <c r="D152" s="487">
        <v>4.9800000000000004</v>
      </c>
      <c r="E152" s="443">
        <f t="shared" si="14"/>
        <v>99.600000000000009</v>
      </c>
      <c r="G152" s="2730" t="s">
        <v>4337</v>
      </c>
      <c r="H152" s="2731"/>
      <c r="I152" s="2731"/>
      <c r="J152" s="2731"/>
      <c r="K152" s="2732"/>
      <c r="M152" s="2749" t="s">
        <v>4338</v>
      </c>
      <c r="N152" s="2770"/>
      <c r="O152" s="2770"/>
      <c r="P152" s="486">
        <v>20000</v>
      </c>
      <c r="Q152" s="442">
        <f t="shared" si="15"/>
        <v>400000</v>
      </c>
      <c r="S152" s="2719" t="s">
        <v>4339</v>
      </c>
      <c r="T152" s="2725"/>
      <c r="U152" s="486">
        <v>3.35</v>
      </c>
      <c r="V152" s="442">
        <f t="shared" ref="V152:V155" si="17">U152*20</f>
        <v>67</v>
      </c>
    </row>
    <row r="153" spans="2:27" ht="16.05" customHeight="1">
      <c r="B153" s="2740" t="s">
        <v>4340</v>
      </c>
      <c r="C153" s="2741"/>
      <c r="D153" s="482">
        <v>0.98</v>
      </c>
      <c r="E153" s="460">
        <f t="shared" si="14"/>
        <v>19.600000000000001</v>
      </c>
      <c r="G153" s="2735" t="s">
        <v>1500</v>
      </c>
      <c r="H153" s="2736"/>
      <c r="I153" s="2736"/>
      <c r="J153" s="444" t="s">
        <v>3884</v>
      </c>
      <c r="K153" s="499" t="s">
        <v>4071</v>
      </c>
      <c r="M153" s="2726" t="s">
        <v>4341</v>
      </c>
      <c r="N153" s="2769"/>
      <c r="O153" s="2769"/>
      <c r="P153" s="487">
        <v>360</v>
      </c>
      <c r="Q153" s="443">
        <f t="shared" si="15"/>
        <v>7200</v>
      </c>
      <c r="S153" s="2723" t="s">
        <v>4342</v>
      </c>
      <c r="T153" s="2739"/>
      <c r="U153" s="487">
        <v>0.28000000000000003</v>
      </c>
      <c r="V153" s="443">
        <f t="shared" ref="V153:V185" si="18">U153*20</f>
        <v>5.6000000000000005</v>
      </c>
    </row>
    <row r="154" spans="2:27" ht="16.05" customHeight="1">
      <c r="G154" s="2763" t="s">
        <v>4343</v>
      </c>
      <c r="H154" s="2783"/>
      <c r="I154" s="2783"/>
      <c r="J154" s="487" t="s">
        <v>4036</v>
      </c>
      <c r="K154" s="443" t="s">
        <v>4344</v>
      </c>
      <c r="M154" s="2749" t="s">
        <v>4345</v>
      </c>
      <c r="N154" s="2770"/>
      <c r="O154" s="2770"/>
      <c r="P154" s="486">
        <v>450</v>
      </c>
      <c r="Q154" s="442">
        <f t="shared" si="15"/>
        <v>9000</v>
      </c>
      <c r="S154" s="2719" t="s">
        <v>4346</v>
      </c>
      <c r="T154" s="2725"/>
      <c r="U154" s="486">
        <v>0.3</v>
      </c>
      <c r="V154" s="442">
        <f t="shared" si="17"/>
        <v>6</v>
      </c>
    </row>
    <row r="155" spans="2:27" ht="16.05" customHeight="1">
      <c r="B155" s="2730" t="s">
        <v>4347</v>
      </c>
      <c r="C155" s="2731"/>
      <c r="D155" s="2731"/>
      <c r="E155" s="2732"/>
      <c r="F155" s="507"/>
      <c r="G155" s="2719" t="s">
        <v>4348</v>
      </c>
      <c r="H155" s="2725"/>
      <c r="I155" s="2725"/>
      <c r="J155" s="486" t="s">
        <v>4349</v>
      </c>
      <c r="K155" s="442" t="s">
        <v>4350</v>
      </c>
      <c r="M155" s="2726" t="s">
        <v>4351</v>
      </c>
      <c r="N155" s="2769"/>
      <c r="O155" s="2769"/>
      <c r="P155" s="487">
        <v>1750</v>
      </c>
      <c r="Q155" s="443">
        <f t="shared" si="15"/>
        <v>35000</v>
      </c>
      <c r="S155" s="2723" t="s">
        <v>4352</v>
      </c>
      <c r="T155" s="2739"/>
      <c r="U155" s="487">
        <v>39.950000000000003</v>
      </c>
      <c r="V155" s="443">
        <f t="shared" si="17"/>
        <v>799</v>
      </c>
      <c r="X155" s="517"/>
      <c r="Y155" s="517"/>
      <c r="Z155" s="517"/>
      <c r="AA155" s="517"/>
    </row>
    <row r="156" spans="2:27" ht="16.05" customHeight="1">
      <c r="B156" s="2735" t="s">
        <v>1500</v>
      </c>
      <c r="C156" s="2755"/>
      <c r="D156" s="485" t="s">
        <v>3884</v>
      </c>
      <c r="E156" s="459" t="s">
        <v>4071</v>
      </c>
      <c r="F156" s="507"/>
      <c r="G156" s="2723" t="s">
        <v>4353</v>
      </c>
      <c r="H156" s="2739"/>
      <c r="I156" s="2739"/>
      <c r="J156" s="511" t="s">
        <v>4354</v>
      </c>
      <c r="K156" s="506" t="s">
        <v>4355</v>
      </c>
      <c r="M156" s="2749" t="s">
        <v>4356</v>
      </c>
      <c r="N156" s="2770"/>
      <c r="O156" s="2770"/>
      <c r="P156" s="486">
        <v>1345</v>
      </c>
      <c r="Q156" s="442">
        <f t="shared" si="15"/>
        <v>26900</v>
      </c>
      <c r="S156" s="2719" t="s">
        <v>4357</v>
      </c>
      <c r="T156" s="2725"/>
      <c r="U156" s="486">
        <v>129.94999999999999</v>
      </c>
      <c r="V156" s="442" t="s">
        <v>4358</v>
      </c>
      <c r="X156" s="517"/>
      <c r="Y156" s="517"/>
      <c r="Z156" s="517"/>
      <c r="AA156" s="517"/>
    </row>
    <row r="157" spans="2:27" ht="16.05" customHeight="1">
      <c r="B157" s="2719" t="s">
        <v>4359</v>
      </c>
      <c r="C157" s="2720"/>
      <c r="D157" s="486">
        <v>1.79</v>
      </c>
      <c r="E157" s="442">
        <f>D157*20</f>
        <v>35.799999999999997</v>
      </c>
      <c r="F157" s="507"/>
      <c r="G157" s="2719" t="s">
        <v>4360</v>
      </c>
      <c r="H157" s="2725"/>
      <c r="I157" s="2725"/>
      <c r="J157" s="486" t="s">
        <v>4361</v>
      </c>
      <c r="K157" s="442" t="s">
        <v>4362</v>
      </c>
      <c r="M157" s="2726" t="s">
        <v>4363</v>
      </c>
      <c r="N157" s="2769"/>
      <c r="O157" s="2769"/>
      <c r="P157" s="487">
        <v>2950</v>
      </c>
      <c r="Q157" s="443">
        <f t="shared" si="15"/>
        <v>59000</v>
      </c>
      <c r="S157" s="2723" t="s">
        <v>4364</v>
      </c>
      <c r="T157" s="2739"/>
      <c r="U157" s="487">
        <v>5.95</v>
      </c>
      <c r="V157" s="443">
        <f t="shared" si="18"/>
        <v>119</v>
      </c>
      <c r="X157" s="517"/>
      <c r="Y157" s="517"/>
      <c r="Z157" s="517"/>
      <c r="AA157" s="517"/>
    </row>
    <row r="158" spans="2:27" ht="16.05" customHeight="1">
      <c r="B158" s="2723" t="s">
        <v>4365</v>
      </c>
      <c r="C158" s="2724"/>
      <c r="D158" s="487">
        <v>2.98</v>
      </c>
      <c r="E158" s="443">
        <f>D158*20</f>
        <v>59.6</v>
      </c>
      <c r="F158" s="507"/>
      <c r="G158" s="2723" t="s">
        <v>4366</v>
      </c>
      <c r="H158" s="2739"/>
      <c r="I158" s="2739"/>
      <c r="J158" s="487">
        <v>3100</v>
      </c>
      <c r="K158" s="443">
        <f t="shared" ref="K158:K163" si="19">J158*20</f>
        <v>62000</v>
      </c>
      <c r="M158" s="2749" t="s">
        <v>4367</v>
      </c>
      <c r="N158" s="2770"/>
      <c r="O158" s="2770"/>
      <c r="P158" s="486">
        <v>6000</v>
      </c>
      <c r="Q158" s="442">
        <f t="shared" si="15"/>
        <v>120000</v>
      </c>
      <c r="S158" s="2719" t="s">
        <v>4368</v>
      </c>
      <c r="T158" s="2725"/>
      <c r="U158" s="486">
        <v>35.1</v>
      </c>
      <c r="V158" s="442">
        <f t="shared" si="18"/>
        <v>702</v>
      </c>
      <c r="X158" s="517"/>
      <c r="Y158" s="517"/>
      <c r="Z158" s="517"/>
      <c r="AA158" s="517"/>
    </row>
    <row r="159" spans="2:27" ht="16.05" customHeight="1">
      <c r="B159" s="2746" t="s">
        <v>4369</v>
      </c>
      <c r="C159" s="2747"/>
      <c r="D159" s="2747"/>
      <c r="E159" s="2748"/>
      <c r="F159" s="507"/>
      <c r="G159" s="2746" t="s">
        <v>4370</v>
      </c>
      <c r="H159" s="2747"/>
      <c r="I159" s="2747"/>
      <c r="J159" s="2747"/>
      <c r="K159" s="2748"/>
      <c r="M159" s="2726" t="s">
        <v>4371</v>
      </c>
      <c r="N159" s="2769"/>
      <c r="O159" s="2769"/>
      <c r="P159" s="487">
        <v>745</v>
      </c>
      <c r="Q159" s="443">
        <f t="shared" si="15"/>
        <v>14900</v>
      </c>
      <c r="S159" s="2723" t="s">
        <v>4372</v>
      </c>
      <c r="T159" s="2739"/>
      <c r="U159" s="487">
        <v>1.8</v>
      </c>
      <c r="V159" s="443">
        <f t="shared" si="18"/>
        <v>36</v>
      </c>
    </row>
    <row r="160" spans="2:27" ht="16.05" customHeight="1">
      <c r="B160" s="2719" t="s">
        <v>4359</v>
      </c>
      <c r="C160" s="2720"/>
      <c r="D160" s="486">
        <v>1.79</v>
      </c>
      <c r="E160" s="442">
        <f t="shared" ref="E160:E168" si="20">D160*20</f>
        <v>35.799999999999997</v>
      </c>
      <c r="F160" s="507"/>
      <c r="G160" s="2723" t="s">
        <v>4373</v>
      </c>
      <c r="H160" s="2724"/>
      <c r="I160" s="2724"/>
      <c r="J160" s="487">
        <v>1175</v>
      </c>
      <c r="K160" s="443">
        <f t="shared" si="19"/>
        <v>23500</v>
      </c>
      <c r="M160" s="2749" t="s">
        <v>4374</v>
      </c>
      <c r="N160" s="2770"/>
      <c r="O160" s="2770"/>
      <c r="P160" s="486">
        <v>995</v>
      </c>
      <c r="Q160" s="442">
        <f t="shared" si="15"/>
        <v>19900</v>
      </c>
      <c r="S160" s="2719" t="s">
        <v>4375</v>
      </c>
      <c r="T160" s="2725"/>
      <c r="U160" s="486">
        <v>0.85</v>
      </c>
      <c r="V160" s="442">
        <f t="shared" si="18"/>
        <v>17</v>
      </c>
    </row>
    <row r="161" spans="2:22" ht="16.05" customHeight="1">
      <c r="B161" s="2723" t="s">
        <v>4376</v>
      </c>
      <c r="C161" s="2724"/>
      <c r="D161" s="487">
        <v>2.98</v>
      </c>
      <c r="E161" s="443">
        <f t="shared" si="20"/>
        <v>59.6</v>
      </c>
      <c r="F161" s="507"/>
      <c r="G161" s="2719" t="s">
        <v>4377</v>
      </c>
      <c r="H161" s="2720"/>
      <c r="I161" s="2720"/>
      <c r="J161" s="486">
        <v>2135</v>
      </c>
      <c r="K161" s="442">
        <f t="shared" si="19"/>
        <v>42700</v>
      </c>
      <c r="M161" s="2726" t="s">
        <v>4378</v>
      </c>
      <c r="N161" s="2769"/>
      <c r="O161" s="2769"/>
      <c r="P161" s="487">
        <v>570</v>
      </c>
      <c r="Q161" s="443">
        <f t="shared" si="15"/>
        <v>11400</v>
      </c>
      <c r="S161" s="2723" t="s">
        <v>4379</v>
      </c>
      <c r="T161" s="2739"/>
      <c r="U161" s="487">
        <v>0.2</v>
      </c>
      <c r="V161" s="443">
        <f t="shared" si="18"/>
        <v>4</v>
      </c>
    </row>
    <row r="162" spans="2:22" ht="16.05" customHeight="1">
      <c r="B162" s="2719" t="s">
        <v>4380</v>
      </c>
      <c r="C162" s="2720"/>
      <c r="D162" s="486">
        <v>2.98</v>
      </c>
      <c r="E162" s="442">
        <f t="shared" si="20"/>
        <v>59.6</v>
      </c>
      <c r="F162" s="507"/>
      <c r="G162" s="2723" t="s">
        <v>4381</v>
      </c>
      <c r="H162" s="2724"/>
      <c r="I162" s="2724"/>
      <c r="J162" s="487">
        <v>3278</v>
      </c>
      <c r="K162" s="443">
        <f t="shared" si="19"/>
        <v>65560</v>
      </c>
      <c r="M162" s="2749" t="s">
        <v>4382</v>
      </c>
      <c r="N162" s="2770"/>
      <c r="O162" s="2770"/>
      <c r="P162" s="486">
        <v>1450</v>
      </c>
      <c r="Q162" s="442">
        <f t="shared" si="15"/>
        <v>29000</v>
      </c>
      <c r="S162" s="2719" t="s">
        <v>4383</v>
      </c>
      <c r="T162" s="2725"/>
      <c r="U162" s="486">
        <v>9.5</v>
      </c>
      <c r="V162" s="442">
        <f t="shared" si="18"/>
        <v>190</v>
      </c>
    </row>
    <row r="163" spans="2:22" ht="16.05" customHeight="1">
      <c r="B163" s="2723" t="s">
        <v>4384</v>
      </c>
      <c r="C163" s="2724"/>
      <c r="D163" s="487">
        <v>0.98</v>
      </c>
      <c r="E163" s="443">
        <f t="shared" si="20"/>
        <v>19.600000000000001</v>
      </c>
      <c r="F163" s="508"/>
      <c r="G163" s="2740" t="s">
        <v>4385</v>
      </c>
      <c r="H163" s="2741"/>
      <c r="I163" s="2741"/>
      <c r="J163" s="482">
        <v>4492</v>
      </c>
      <c r="K163" s="460">
        <f t="shared" si="19"/>
        <v>89840</v>
      </c>
      <c r="M163" s="2726" t="s">
        <v>4386</v>
      </c>
      <c r="N163" s="2769"/>
      <c r="O163" s="2769"/>
      <c r="P163" s="487">
        <v>995</v>
      </c>
      <c r="Q163" s="443">
        <f t="shared" si="15"/>
        <v>19900</v>
      </c>
      <c r="S163" s="2723" t="s">
        <v>4387</v>
      </c>
      <c r="T163" s="2739"/>
      <c r="U163" s="487">
        <v>0.25</v>
      </c>
      <c r="V163" s="443">
        <f t="shared" si="18"/>
        <v>5</v>
      </c>
    </row>
    <row r="164" spans="2:22" ht="16.05" customHeight="1">
      <c r="B164" s="2719" t="s">
        <v>4388</v>
      </c>
      <c r="C164" s="2720"/>
      <c r="D164" s="486">
        <v>2.59</v>
      </c>
      <c r="E164" s="442">
        <f t="shared" si="20"/>
        <v>51.8</v>
      </c>
      <c r="F164" s="508"/>
      <c r="M164" s="2749" t="s">
        <v>4389</v>
      </c>
      <c r="N164" s="2770"/>
      <c r="O164" s="2770"/>
      <c r="P164" s="486">
        <v>300</v>
      </c>
      <c r="Q164" s="442">
        <f t="shared" si="15"/>
        <v>6000</v>
      </c>
      <c r="S164" s="2719" t="s">
        <v>4390</v>
      </c>
      <c r="T164" s="2725"/>
      <c r="U164" s="486">
        <v>1200</v>
      </c>
      <c r="V164" s="442">
        <f t="shared" si="18"/>
        <v>24000</v>
      </c>
    </row>
    <row r="165" spans="2:22" ht="16.05" customHeight="1">
      <c r="B165" s="2723" t="s">
        <v>4218</v>
      </c>
      <c r="C165" s="2724"/>
      <c r="D165" s="487">
        <v>4.95</v>
      </c>
      <c r="E165" s="443">
        <f t="shared" si="20"/>
        <v>99</v>
      </c>
      <c r="F165" s="508"/>
      <c r="G165" s="2730" t="s">
        <v>4000</v>
      </c>
      <c r="H165" s="2731"/>
      <c r="I165" s="2731"/>
      <c r="J165" s="2731"/>
      <c r="K165" s="2732"/>
      <c r="M165" s="2726" t="s">
        <v>4391</v>
      </c>
      <c r="N165" s="2769"/>
      <c r="O165" s="2769"/>
      <c r="P165" s="487">
        <v>75</v>
      </c>
      <c r="Q165" s="443">
        <f t="shared" si="15"/>
        <v>1500</v>
      </c>
      <c r="S165" s="2723" t="s">
        <v>4392</v>
      </c>
      <c r="T165" s="2739"/>
      <c r="U165" s="487">
        <v>40</v>
      </c>
      <c r="V165" s="443" t="s">
        <v>4358</v>
      </c>
    </row>
    <row r="166" spans="2:22" ht="16.05" customHeight="1">
      <c r="B166" s="2719" t="s">
        <v>4393</v>
      </c>
      <c r="C166" s="2720"/>
      <c r="D166" s="486">
        <v>0.4</v>
      </c>
      <c r="E166" s="442">
        <f t="shared" si="20"/>
        <v>8</v>
      </c>
      <c r="G166" s="2735" t="s">
        <v>4394</v>
      </c>
      <c r="H166" s="2755"/>
      <c r="I166" s="2755"/>
      <c r="J166" s="485" t="s">
        <v>3884</v>
      </c>
      <c r="K166" s="499" t="s">
        <v>4071</v>
      </c>
      <c r="M166" s="2749" t="s">
        <v>4395</v>
      </c>
      <c r="N166" s="2770"/>
      <c r="O166" s="2770"/>
      <c r="P166" s="486">
        <v>545</v>
      </c>
      <c r="Q166" s="442">
        <f t="shared" si="15"/>
        <v>10900</v>
      </c>
      <c r="S166" s="2719" t="s">
        <v>4396</v>
      </c>
      <c r="T166" s="2725"/>
      <c r="U166" s="486">
        <v>66.75</v>
      </c>
      <c r="V166" s="442" t="s">
        <v>4358</v>
      </c>
    </row>
    <row r="167" spans="2:22" ht="16.05" customHeight="1">
      <c r="B167" s="2723" t="s">
        <v>4222</v>
      </c>
      <c r="C167" s="2724"/>
      <c r="D167" s="487">
        <v>0.54</v>
      </c>
      <c r="E167" s="443">
        <f t="shared" si="20"/>
        <v>10.8</v>
      </c>
      <c r="G167" s="2737" t="s">
        <v>4397</v>
      </c>
      <c r="H167" s="2778"/>
      <c r="I167" s="2778"/>
      <c r="J167" s="486">
        <v>4.45</v>
      </c>
      <c r="K167" s="442">
        <f t="shared" ref="K167:K180" si="21">J167*20</f>
        <v>89</v>
      </c>
      <c r="M167" s="2726" t="s">
        <v>4398</v>
      </c>
      <c r="N167" s="2769"/>
      <c r="O167" s="2769"/>
      <c r="P167" s="487">
        <v>1085</v>
      </c>
      <c r="Q167" s="443">
        <f t="shared" si="15"/>
        <v>21700</v>
      </c>
      <c r="S167" s="2723" t="s">
        <v>4399</v>
      </c>
      <c r="T167" s="2739"/>
      <c r="U167" s="487">
        <v>0.57999999999999996</v>
      </c>
      <c r="V167" s="443">
        <f t="shared" si="18"/>
        <v>11.6</v>
      </c>
    </row>
    <row r="168" spans="2:22" ht="16.05" customHeight="1">
      <c r="B168" s="2781" t="s">
        <v>4400</v>
      </c>
      <c r="C168" s="2782"/>
      <c r="D168" s="482">
        <v>1.29</v>
      </c>
      <c r="E168" s="460">
        <f t="shared" si="20"/>
        <v>25.8</v>
      </c>
      <c r="G168" s="2723" t="s">
        <v>4401</v>
      </c>
      <c r="H168" s="2724"/>
      <c r="I168" s="2724"/>
      <c r="J168" s="487">
        <v>10</v>
      </c>
      <c r="K168" s="443">
        <f t="shared" si="21"/>
        <v>200</v>
      </c>
      <c r="M168" s="2749" t="s">
        <v>4402</v>
      </c>
      <c r="N168" s="2770"/>
      <c r="O168" s="2770"/>
      <c r="P168" s="486">
        <v>490</v>
      </c>
      <c r="Q168" s="442">
        <f t="shared" si="15"/>
        <v>9800</v>
      </c>
      <c r="S168" s="2719" t="s">
        <v>4403</v>
      </c>
      <c r="T168" s="2725"/>
      <c r="U168" s="486">
        <v>17.5</v>
      </c>
      <c r="V168" s="442">
        <f t="shared" si="18"/>
        <v>350</v>
      </c>
    </row>
    <row r="169" spans="2:22" ht="16.05" customHeight="1">
      <c r="G169" s="2737" t="s">
        <v>4404</v>
      </c>
      <c r="H169" s="2778"/>
      <c r="I169" s="2778"/>
      <c r="J169" s="486">
        <v>0.75</v>
      </c>
      <c r="K169" s="442">
        <f t="shared" si="21"/>
        <v>15</v>
      </c>
      <c r="M169" s="2726" t="s">
        <v>4405</v>
      </c>
      <c r="N169" s="2769"/>
      <c r="O169" s="2769"/>
      <c r="P169" s="487">
        <v>9000</v>
      </c>
      <c r="Q169" s="443">
        <f t="shared" si="15"/>
        <v>180000</v>
      </c>
      <c r="S169" s="2779" t="s">
        <v>4406</v>
      </c>
      <c r="T169" s="2780"/>
      <c r="U169" s="487">
        <v>62.5</v>
      </c>
      <c r="V169" s="443">
        <f t="shared" si="18"/>
        <v>1250</v>
      </c>
    </row>
    <row r="170" spans="2:22" ht="16.05" customHeight="1">
      <c r="B170" s="2730" t="s">
        <v>3976</v>
      </c>
      <c r="C170" s="2731"/>
      <c r="D170" s="2731"/>
      <c r="E170" s="2732"/>
      <c r="G170" s="2733" t="s">
        <v>4026</v>
      </c>
      <c r="H170" s="2773"/>
      <c r="I170" s="2773"/>
      <c r="J170" s="487">
        <v>9</v>
      </c>
      <c r="K170" s="443">
        <f t="shared" si="21"/>
        <v>180</v>
      </c>
      <c r="M170" s="2749" t="s">
        <v>4407</v>
      </c>
      <c r="N170" s="2770"/>
      <c r="O170" s="2770"/>
      <c r="P170" s="486">
        <v>1225</v>
      </c>
      <c r="Q170" s="442">
        <f t="shared" si="15"/>
        <v>24500</v>
      </c>
      <c r="S170" s="2719" t="s">
        <v>4408</v>
      </c>
      <c r="T170" s="2725"/>
      <c r="U170" s="486">
        <v>1.79</v>
      </c>
      <c r="V170" s="442">
        <f t="shared" si="18"/>
        <v>35.799999999999997</v>
      </c>
    </row>
    <row r="171" spans="2:22" ht="16.05" customHeight="1">
      <c r="B171" s="2735" t="s">
        <v>1500</v>
      </c>
      <c r="C171" s="2736"/>
      <c r="D171" s="485" t="s">
        <v>3884</v>
      </c>
      <c r="E171" s="459" t="s">
        <v>4071</v>
      </c>
      <c r="G171" s="2719" t="s">
        <v>4409</v>
      </c>
      <c r="H171" s="2720"/>
      <c r="I171" s="2720"/>
      <c r="J171" s="486">
        <v>24</v>
      </c>
      <c r="K171" s="442">
        <f t="shared" si="21"/>
        <v>480</v>
      </c>
      <c r="M171" s="2726" t="s">
        <v>4410</v>
      </c>
      <c r="N171" s="2769"/>
      <c r="O171" s="2769"/>
      <c r="P171" s="487">
        <v>800</v>
      </c>
      <c r="Q171" s="443">
        <f t="shared" si="15"/>
        <v>16000</v>
      </c>
      <c r="S171" s="2723" t="s">
        <v>4411</v>
      </c>
      <c r="T171" s="2739"/>
      <c r="U171" s="487">
        <v>0.99</v>
      </c>
      <c r="V171" s="443">
        <f t="shared" si="18"/>
        <v>19.8</v>
      </c>
    </row>
    <row r="172" spans="2:22" ht="16.05" customHeight="1">
      <c r="B172" s="2756" t="s">
        <v>4412</v>
      </c>
      <c r="C172" s="2757"/>
      <c r="D172" s="486">
        <v>7.45</v>
      </c>
      <c r="E172" s="442">
        <f t="shared" ref="E172:E174" si="22">D172*20</f>
        <v>149</v>
      </c>
      <c r="G172" s="2733" t="s">
        <v>4413</v>
      </c>
      <c r="H172" s="2773"/>
      <c r="I172" s="2773"/>
      <c r="J172" s="487" t="s">
        <v>4414</v>
      </c>
      <c r="K172" s="443" t="s">
        <v>4011</v>
      </c>
      <c r="M172" s="2774" t="s">
        <v>4415</v>
      </c>
      <c r="N172" s="2775"/>
      <c r="O172" s="2775"/>
      <c r="P172" s="486">
        <v>4000</v>
      </c>
      <c r="Q172" s="442">
        <f t="shared" si="15"/>
        <v>80000</v>
      </c>
      <c r="S172" s="2719" t="s">
        <v>4416</v>
      </c>
      <c r="T172" s="2725"/>
      <c r="U172" s="486">
        <v>0.1</v>
      </c>
      <c r="V172" s="442">
        <f t="shared" si="18"/>
        <v>2</v>
      </c>
    </row>
    <row r="173" spans="2:22" ht="16.05" customHeight="1">
      <c r="B173" s="2758" t="s">
        <v>4417</v>
      </c>
      <c r="C173" s="2759"/>
      <c r="D173" s="487">
        <v>9.9499999999999993</v>
      </c>
      <c r="E173" s="443">
        <f t="shared" si="22"/>
        <v>199</v>
      </c>
      <c r="G173" s="2776" t="s">
        <v>4418</v>
      </c>
      <c r="H173" s="2777"/>
      <c r="I173" s="2777"/>
      <c r="J173" s="486">
        <v>5</v>
      </c>
      <c r="K173" s="442">
        <f t="shared" si="21"/>
        <v>100</v>
      </c>
      <c r="M173" s="2726" t="s">
        <v>4419</v>
      </c>
      <c r="N173" s="2769"/>
      <c r="O173" s="2769"/>
      <c r="P173" s="487">
        <v>4050</v>
      </c>
      <c r="Q173" s="443">
        <f t="shared" si="15"/>
        <v>81000</v>
      </c>
      <c r="S173" s="2723" t="s">
        <v>4420</v>
      </c>
      <c r="T173" s="2739"/>
      <c r="U173" s="487">
        <v>2.29</v>
      </c>
      <c r="V173" s="443">
        <f t="shared" si="18"/>
        <v>45.8</v>
      </c>
    </row>
    <row r="174" spans="2:22" ht="16.05" customHeight="1">
      <c r="B174" s="2756" t="s">
        <v>4421</v>
      </c>
      <c r="C174" s="2757"/>
      <c r="D174" s="486">
        <v>12</v>
      </c>
      <c r="E174" s="442">
        <f t="shared" si="22"/>
        <v>240</v>
      </c>
      <c r="G174" s="2746" t="s">
        <v>4422</v>
      </c>
      <c r="H174" s="2747"/>
      <c r="I174" s="2747"/>
      <c r="J174" s="2747"/>
      <c r="K174" s="2748"/>
      <c r="M174" s="2749" t="s">
        <v>4423</v>
      </c>
      <c r="N174" s="2770"/>
      <c r="O174" s="2770"/>
      <c r="P174" s="486">
        <v>7750</v>
      </c>
      <c r="Q174" s="442">
        <f t="shared" si="15"/>
        <v>155000</v>
      </c>
      <c r="S174" s="2719" t="s">
        <v>4424</v>
      </c>
      <c r="T174" s="2725"/>
      <c r="U174" s="486">
        <v>6.75</v>
      </c>
      <c r="V174" s="442">
        <f t="shared" si="18"/>
        <v>135</v>
      </c>
    </row>
    <row r="175" spans="2:22" ht="16.05" customHeight="1">
      <c r="B175" s="2758" t="s">
        <v>4425</v>
      </c>
      <c r="C175" s="2759"/>
      <c r="D175" s="487">
        <v>54.95</v>
      </c>
      <c r="E175" s="443">
        <f t="shared" ref="E175:E177" si="23">D175*20</f>
        <v>1099</v>
      </c>
      <c r="G175" s="2719" t="s">
        <v>4426</v>
      </c>
      <c r="H175" s="2720"/>
      <c r="I175" s="2720"/>
      <c r="J175" s="486">
        <v>1000</v>
      </c>
      <c r="K175" s="442">
        <f t="shared" si="21"/>
        <v>20000</v>
      </c>
      <c r="M175" s="2726" t="s">
        <v>4427</v>
      </c>
      <c r="N175" s="2769"/>
      <c r="O175" s="2769"/>
      <c r="P175" s="487">
        <v>500</v>
      </c>
      <c r="Q175" s="443">
        <f t="shared" si="15"/>
        <v>10000</v>
      </c>
      <c r="S175" s="2723" t="s">
        <v>4428</v>
      </c>
      <c r="T175" s="2739"/>
      <c r="U175" s="487">
        <v>49</v>
      </c>
      <c r="V175" s="443">
        <f t="shared" si="18"/>
        <v>980</v>
      </c>
    </row>
    <row r="176" spans="2:22" ht="16.05" customHeight="1">
      <c r="B176" s="2756" t="s">
        <v>4429</v>
      </c>
      <c r="C176" s="2757"/>
      <c r="D176" s="486">
        <v>79.95</v>
      </c>
      <c r="E176" s="442">
        <f t="shared" si="23"/>
        <v>1599</v>
      </c>
      <c r="G176" s="2723" t="s">
        <v>4430</v>
      </c>
      <c r="H176" s="2724"/>
      <c r="I176" s="2724"/>
      <c r="J176" s="487">
        <v>55</v>
      </c>
      <c r="K176" s="443">
        <f t="shared" si="21"/>
        <v>1100</v>
      </c>
      <c r="M176" s="2749" t="s">
        <v>4431</v>
      </c>
      <c r="N176" s="2770"/>
      <c r="O176" s="2770"/>
      <c r="P176" s="486">
        <v>6750</v>
      </c>
      <c r="Q176" s="442">
        <f t="shared" si="15"/>
        <v>135000</v>
      </c>
      <c r="S176" s="2719" t="s">
        <v>4432</v>
      </c>
      <c r="T176" s="2725"/>
      <c r="U176" s="486">
        <v>1.95</v>
      </c>
      <c r="V176" s="442">
        <f t="shared" si="18"/>
        <v>39</v>
      </c>
    </row>
    <row r="177" spans="2:22" ht="16.05" customHeight="1">
      <c r="B177" s="2771" t="s">
        <v>4433</v>
      </c>
      <c r="C177" s="2772"/>
      <c r="D177" s="470">
        <v>12.5</v>
      </c>
      <c r="E177" s="446">
        <f t="shared" si="23"/>
        <v>250</v>
      </c>
      <c r="G177" s="2719" t="s">
        <v>4434</v>
      </c>
      <c r="H177" s="2720"/>
      <c r="I177" s="2720"/>
      <c r="J177" s="486">
        <v>350</v>
      </c>
      <c r="K177" s="442">
        <f t="shared" si="21"/>
        <v>7000</v>
      </c>
      <c r="M177" s="2726" t="s">
        <v>4435</v>
      </c>
      <c r="N177" s="2769"/>
      <c r="O177" s="2769"/>
      <c r="P177" s="487">
        <v>10800</v>
      </c>
      <c r="Q177" s="443">
        <f t="shared" si="15"/>
        <v>216000</v>
      </c>
      <c r="S177" s="2723" t="s">
        <v>4436</v>
      </c>
      <c r="T177" s="2739"/>
      <c r="U177" s="487">
        <v>1.68</v>
      </c>
      <c r="V177" s="443">
        <f t="shared" si="18"/>
        <v>33.6</v>
      </c>
    </row>
    <row r="178" spans="2:22" ht="16.05" customHeight="1">
      <c r="G178" s="2723" t="s">
        <v>4437</v>
      </c>
      <c r="H178" s="2724"/>
      <c r="I178" s="2724"/>
      <c r="J178" s="487">
        <v>12.5</v>
      </c>
      <c r="K178" s="443">
        <f t="shared" si="21"/>
        <v>250</v>
      </c>
      <c r="M178" s="2746" t="s">
        <v>4438</v>
      </c>
      <c r="N178" s="2747"/>
      <c r="O178" s="2747"/>
      <c r="P178" s="2747"/>
      <c r="Q178" s="2748"/>
      <c r="S178" s="2719" t="s">
        <v>4439</v>
      </c>
      <c r="T178" s="2725"/>
      <c r="U178" s="486">
        <v>3.98</v>
      </c>
      <c r="V178" s="442">
        <f t="shared" si="18"/>
        <v>79.599999999999994</v>
      </c>
    </row>
    <row r="179" spans="2:22" ht="16.05" customHeight="1">
      <c r="B179" s="2730" t="s">
        <v>3882</v>
      </c>
      <c r="C179" s="2731"/>
      <c r="D179" s="2731"/>
      <c r="E179" s="2732"/>
      <c r="G179" s="2719" t="s">
        <v>4440</v>
      </c>
      <c r="H179" s="2720"/>
      <c r="I179" s="2720"/>
      <c r="J179" s="486">
        <v>10</v>
      </c>
      <c r="K179" s="442">
        <f t="shared" si="21"/>
        <v>200</v>
      </c>
      <c r="M179" s="2723" t="s">
        <v>4441</v>
      </c>
      <c r="N179" s="2724"/>
      <c r="O179" s="2724"/>
      <c r="P179" s="487">
        <v>10.95</v>
      </c>
      <c r="Q179" s="443">
        <f t="shared" si="15"/>
        <v>219</v>
      </c>
      <c r="S179" s="2723" t="s">
        <v>4442</v>
      </c>
      <c r="T179" s="2739"/>
      <c r="U179" s="487">
        <v>1.48</v>
      </c>
      <c r="V179" s="443">
        <f t="shared" si="18"/>
        <v>29.6</v>
      </c>
    </row>
    <row r="180" spans="2:22" ht="16.05" customHeight="1">
      <c r="B180" s="2735" t="s">
        <v>1500</v>
      </c>
      <c r="C180" s="2736"/>
      <c r="D180" s="444" t="s">
        <v>3884</v>
      </c>
      <c r="E180" s="499" t="s">
        <v>4071</v>
      </c>
      <c r="G180" s="2767" t="s">
        <v>4443</v>
      </c>
      <c r="H180" s="2768"/>
      <c r="I180" s="2768"/>
      <c r="J180" s="470">
        <v>40</v>
      </c>
      <c r="K180" s="446">
        <f t="shared" si="21"/>
        <v>800</v>
      </c>
      <c r="M180" s="2719" t="s">
        <v>4444</v>
      </c>
      <c r="N180" s="2720"/>
      <c r="O180" s="2720"/>
      <c r="P180" s="486">
        <v>0.32</v>
      </c>
      <c r="Q180" s="442">
        <f t="shared" si="15"/>
        <v>6.4</v>
      </c>
      <c r="S180" s="2719" t="s">
        <v>4445</v>
      </c>
      <c r="T180" s="2725"/>
      <c r="U180" s="486">
        <v>9.9499999999999993</v>
      </c>
      <c r="V180" s="442">
        <f t="shared" si="18"/>
        <v>199</v>
      </c>
    </row>
    <row r="181" spans="2:22" ht="16.05" customHeight="1">
      <c r="B181" s="2749" t="s">
        <v>4446</v>
      </c>
      <c r="C181" s="2750"/>
      <c r="D181" s="486">
        <v>0.25</v>
      </c>
      <c r="E181" s="2742" t="s">
        <v>4447</v>
      </c>
      <c r="G181" s="504"/>
      <c r="H181" s="504"/>
      <c r="I181" s="504"/>
      <c r="J181" s="504"/>
      <c r="K181" s="504"/>
      <c r="M181" s="2723" t="s">
        <v>4448</v>
      </c>
      <c r="N181" s="2724"/>
      <c r="O181" s="2724"/>
      <c r="P181" s="487">
        <v>4.95</v>
      </c>
      <c r="Q181" s="443">
        <f t="shared" si="15"/>
        <v>99</v>
      </c>
      <c r="S181" s="2723" t="s">
        <v>4449</v>
      </c>
      <c r="T181" s="2739"/>
      <c r="U181" s="487">
        <v>16.649999999999999</v>
      </c>
      <c r="V181" s="443">
        <f t="shared" si="18"/>
        <v>333</v>
      </c>
    </row>
    <row r="182" spans="2:22" ht="16.05" customHeight="1">
      <c r="B182" s="2751" t="s">
        <v>4450</v>
      </c>
      <c r="C182" s="2752"/>
      <c r="D182" s="487">
        <v>0.02</v>
      </c>
      <c r="E182" s="2743"/>
      <c r="G182" s="2730" t="s">
        <v>4451</v>
      </c>
      <c r="H182" s="2731"/>
      <c r="I182" s="2731"/>
      <c r="J182" s="2731"/>
      <c r="K182" s="2732"/>
      <c r="M182" s="2719" t="s">
        <v>4452</v>
      </c>
      <c r="N182" s="2720"/>
      <c r="O182" s="2720"/>
      <c r="P182" s="486">
        <v>1</v>
      </c>
      <c r="Q182" s="442">
        <f t="shared" si="15"/>
        <v>20</v>
      </c>
      <c r="S182" s="2749" t="s">
        <v>4453</v>
      </c>
      <c r="T182" s="2750"/>
      <c r="U182" s="486">
        <v>24.65</v>
      </c>
      <c r="V182" s="442">
        <f t="shared" si="18"/>
        <v>493</v>
      </c>
    </row>
    <row r="183" spans="2:22" ht="16.05" customHeight="1">
      <c r="B183" s="2719" t="s">
        <v>4454</v>
      </c>
      <c r="C183" s="2725"/>
      <c r="D183" s="486">
        <v>1.25</v>
      </c>
      <c r="E183" s="2742"/>
      <c r="G183" s="2735" t="s">
        <v>1500</v>
      </c>
      <c r="H183" s="2755"/>
      <c r="I183" s="2755"/>
      <c r="J183" s="485" t="s">
        <v>3884</v>
      </c>
      <c r="K183" s="499" t="s">
        <v>4071</v>
      </c>
      <c r="M183" s="2723" t="s">
        <v>4455</v>
      </c>
      <c r="N183" s="2724"/>
      <c r="O183" s="2724"/>
      <c r="P183" s="487">
        <v>14.15</v>
      </c>
      <c r="Q183" s="443">
        <f t="shared" si="15"/>
        <v>283</v>
      </c>
      <c r="S183" s="2723" t="s">
        <v>4456</v>
      </c>
      <c r="T183" s="2739"/>
      <c r="U183" s="487">
        <v>34.450000000000003</v>
      </c>
      <c r="V183" s="443">
        <f t="shared" si="18"/>
        <v>689</v>
      </c>
    </row>
    <row r="184" spans="2:22" ht="16.05" customHeight="1">
      <c r="B184" s="2765" t="s">
        <v>4457</v>
      </c>
      <c r="C184" s="2766"/>
      <c r="D184" s="487">
        <v>0.02</v>
      </c>
      <c r="E184" s="443">
        <f>D184*20</f>
        <v>0.4</v>
      </c>
      <c r="F184" s="498"/>
      <c r="G184" s="2728" t="s">
        <v>4458</v>
      </c>
      <c r="H184" s="2760"/>
      <c r="I184" s="2760"/>
      <c r="J184" s="486">
        <v>25</v>
      </c>
      <c r="K184" s="442">
        <f>J184*20</f>
        <v>500</v>
      </c>
      <c r="M184" s="2719" t="s">
        <v>4459</v>
      </c>
      <c r="N184" s="2720"/>
      <c r="O184" s="2720"/>
      <c r="P184" s="486">
        <v>8.69</v>
      </c>
      <c r="Q184" s="442">
        <f t="shared" si="15"/>
        <v>173.79999999999998</v>
      </c>
      <c r="S184" s="2719" t="s">
        <v>4460</v>
      </c>
      <c r="T184" s="2725"/>
      <c r="U184" s="486">
        <v>13.85</v>
      </c>
      <c r="V184" s="442">
        <f t="shared" si="18"/>
        <v>277</v>
      </c>
    </row>
    <row r="185" spans="2:22" ht="16.05" customHeight="1">
      <c r="B185" s="2756" t="s">
        <v>4461</v>
      </c>
      <c r="C185" s="2757"/>
      <c r="D185" s="510" t="s">
        <v>825</v>
      </c>
      <c r="E185" s="442" t="s">
        <v>4462</v>
      </c>
      <c r="G185" s="2723" t="s">
        <v>4463</v>
      </c>
      <c r="H185" s="2724"/>
      <c r="I185" s="2724"/>
      <c r="J185" s="487">
        <v>25</v>
      </c>
      <c r="K185" s="443">
        <f t="shared" ref="K185:K198" si="24">J185*20</f>
        <v>500</v>
      </c>
      <c r="M185" s="2723" t="s">
        <v>4464</v>
      </c>
      <c r="N185" s="2724"/>
      <c r="O185" s="2724"/>
      <c r="P185" s="487">
        <v>0.3</v>
      </c>
      <c r="Q185" s="443">
        <f t="shared" si="15"/>
        <v>6</v>
      </c>
      <c r="S185" s="2767" t="s">
        <v>4465</v>
      </c>
      <c r="T185" s="2768"/>
      <c r="U185" s="470">
        <v>0.45</v>
      </c>
      <c r="V185" s="446">
        <f t="shared" si="18"/>
        <v>9</v>
      </c>
    </row>
    <row r="186" spans="2:22" ht="16.05" customHeight="1">
      <c r="B186" s="2758" t="s">
        <v>4466</v>
      </c>
      <c r="C186" s="2759"/>
      <c r="D186" s="487">
        <v>49.95</v>
      </c>
      <c r="E186" s="443" t="s">
        <v>4358</v>
      </c>
      <c r="G186" s="2719" t="s">
        <v>4467</v>
      </c>
      <c r="H186" s="2720"/>
      <c r="I186" s="2720"/>
      <c r="J186" s="486">
        <v>80</v>
      </c>
      <c r="K186" s="442">
        <f t="shared" si="24"/>
        <v>1600</v>
      </c>
      <c r="M186" s="2719" t="s">
        <v>4468</v>
      </c>
      <c r="N186" s="2720"/>
      <c r="O186" s="2720"/>
      <c r="P186" s="486">
        <v>3.25</v>
      </c>
      <c r="Q186" s="442">
        <f t="shared" si="15"/>
        <v>65</v>
      </c>
    </row>
    <row r="187" spans="2:22" ht="16.05" customHeight="1">
      <c r="B187" s="2756" t="s">
        <v>4469</v>
      </c>
      <c r="C187" s="2757"/>
      <c r="D187" s="486">
        <v>15.75</v>
      </c>
      <c r="E187" s="442">
        <f>D187*20</f>
        <v>315</v>
      </c>
      <c r="G187" s="2723" t="s">
        <v>4470</v>
      </c>
      <c r="H187" s="2724"/>
      <c r="I187" s="2724"/>
      <c r="J187" s="487" t="s">
        <v>532</v>
      </c>
      <c r="K187" s="512" t="s">
        <v>4471</v>
      </c>
      <c r="M187" s="2723" t="s">
        <v>4472</v>
      </c>
      <c r="N187" s="2724"/>
      <c r="O187" s="2724"/>
      <c r="P187" s="487">
        <v>2.95</v>
      </c>
      <c r="Q187" s="443">
        <f t="shared" si="15"/>
        <v>59</v>
      </c>
      <c r="S187" s="2730" t="s">
        <v>4473</v>
      </c>
      <c r="T187" s="2731"/>
      <c r="U187" s="2731"/>
      <c r="V187" s="2732"/>
    </row>
    <row r="188" spans="2:22" ht="16.05" customHeight="1">
      <c r="B188" s="2758" t="s">
        <v>4474</v>
      </c>
      <c r="C188" s="2759"/>
      <c r="D188" s="487">
        <v>1.25</v>
      </c>
      <c r="E188" s="443" t="s">
        <v>4358</v>
      </c>
      <c r="G188" s="2728" t="s">
        <v>4475</v>
      </c>
      <c r="H188" s="2760"/>
      <c r="I188" s="2760"/>
      <c r="J188" s="486">
        <v>199</v>
      </c>
      <c r="K188" s="442">
        <f t="shared" si="24"/>
        <v>3980</v>
      </c>
      <c r="M188" s="2740" t="s">
        <v>4476</v>
      </c>
      <c r="N188" s="2741"/>
      <c r="O188" s="2741"/>
      <c r="P188" s="482">
        <v>1.35</v>
      </c>
      <c r="Q188" s="460">
        <f t="shared" si="15"/>
        <v>27</v>
      </c>
      <c r="S188" s="2735" t="s">
        <v>1500</v>
      </c>
      <c r="T188" s="2736"/>
      <c r="U188" s="444" t="s">
        <v>3884</v>
      </c>
      <c r="V188" s="499" t="s">
        <v>4071</v>
      </c>
    </row>
    <row r="189" spans="2:22" ht="16.05" customHeight="1">
      <c r="B189" s="2761" t="s">
        <v>4477</v>
      </c>
      <c r="C189" s="2762"/>
      <c r="D189" s="482">
        <v>0.05</v>
      </c>
      <c r="E189" s="460">
        <f>D189*20</f>
        <v>1</v>
      </c>
      <c r="G189" s="2763" t="s">
        <v>4478</v>
      </c>
      <c r="H189" s="2764"/>
      <c r="I189" s="2764"/>
      <c r="J189" s="487">
        <v>295</v>
      </c>
      <c r="K189" s="443">
        <f t="shared" si="24"/>
        <v>5900</v>
      </c>
      <c r="M189" s="465"/>
      <c r="N189" s="465"/>
      <c r="O189" s="465"/>
      <c r="P189" s="465"/>
      <c r="Q189" s="465"/>
      <c r="S189" s="2719" t="s">
        <v>4479</v>
      </c>
      <c r="T189" s="2725"/>
      <c r="U189" s="486">
        <v>0.15</v>
      </c>
      <c r="V189" s="442">
        <f t="shared" ref="V189:V212" si="25">U189*20</f>
        <v>3</v>
      </c>
    </row>
    <row r="190" spans="2:22" ht="16.05" customHeight="1">
      <c r="G190" s="2753" t="s">
        <v>4480</v>
      </c>
      <c r="H190" s="2754"/>
      <c r="I190" s="2754"/>
      <c r="J190" s="509">
        <v>395</v>
      </c>
      <c r="K190" s="442">
        <f t="shared" si="24"/>
        <v>7900</v>
      </c>
      <c r="M190" s="2730" t="s">
        <v>4046</v>
      </c>
      <c r="N190" s="2731"/>
      <c r="O190" s="2731"/>
      <c r="P190" s="2731"/>
      <c r="Q190" s="2732"/>
      <c r="S190" s="2726" t="s">
        <v>4481</v>
      </c>
      <c r="T190" s="2727"/>
      <c r="U190" s="487">
        <v>0.33</v>
      </c>
      <c r="V190" s="443">
        <f t="shared" si="25"/>
        <v>6.6000000000000005</v>
      </c>
    </row>
    <row r="191" spans="2:22" ht="16.05" customHeight="1">
      <c r="G191" s="2746" t="s">
        <v>4482</v>
      </c>
      <c r="H191" s="2747"/>
      <c r="I191" s="2747"/>
      <c r="J191" s="2747"/>
      <c r="K191" s="2748"/>
      <c r="M191" s="2735" t="s">
        <v>1500</v>
      </c>
      <c r="N191" s="2755"/>
      <c r="O191" s="2755"/>
      <c r="P191" s="485" t="s">
        <v>3884</v>
      </c>
      <c r="Q191" s="499" t="s">
        <v>4071</v>
      </c>
      <c r="S191" s="2719" t="s">
        <v>4483</v>
      </c>
      <c r="T191" s="2725"/>
      <c r="U191" s="486">
        <v>5.45</v>
      </c>
      <c r="V191" s="442">
        <f t="shared" si="25"/>
        <v>109</v>
      </c>
    </row>
    <row r="192" spans="2:22" ht="16.05" customHeight="1">
      <c r="G192" s="2719" t="s">
        <v>4484</v>
      </c>
      <c r="H192" s="2720"/>
      <c r="I192" s="2720"/>
      <c r="J192" s="486">
        <v>10</v>
      </c>
      <c r="K192" s="442">
        <f t="shared" si="24"/>
        <v>200</v>
      </c>
      <c r="M192" s="2719" t="s">
        <v>4485</v>
      </c>
      <c r="N192" s="2720"/>
      <c r="O192" s="2720"/>
      <c r="P192" s="486">
        <v>0.15</v>
      </c>
      <c r="Q192" s="442">
        <f>P192*20</f>
        <v>3</v>
      </c>
      <c r="S192" s="2723" t="s">
        <v>4486</v>
      </c>
      <c r="T192" s="2739"/>
      <c r="U192" s="487">
        <v>1.3</v>
      </c>
      <c r="V192" s="443">
        <f t="shared" si="25"/>
        <v>26</v>
      </c>
    </row>
    <row r="193" spans="6:22" ht="16.05" customHeight="1">
      <c r="G193" s="2723" t="s">
        <v>4487</v>
      </c>
      <c r="H193" s="2724"/>
      <c r="I193" s="2724"/>
      <c r="J193" s="487">
        <v>19.95</v>
      </c>
      <c r="K193" s="443">
        <f t="shared" si="24"/>
        <v>399</v>
      </c>
      <c r="M193" s="2723" t="s">
        <v>4488</v>
      </c>
      <c r="N193" s="2724"/>
      <c r="O193" s="2724"/>
      <c r="P193" s="487">
        <v>0.05</v>
      </c>
      <c r="Q193" s="443">
        <f>P193*20</f>
        <v>1</v>
      </c>
      <c r="S193" s="2728" t="s">
        <v>4489</v>
      </c>
      <c r="T193" s="2729"/>
      <c r="U193" s="486">
        <v>14.1</v>
      </c>
      <c r="V193" s="442">
        <f t="shared" si="25"/>
        <v>282</v>
      </c>
    </row>
    <row r="194" spans="6:22" ht="16.05" customHeight="1">
      <c r="G194" s="2719" t="s">
        <v>4490</v>
      </c>
      <c r="H194" s="2720"/>
      <c r="I194" s="2720"/>
      <c r="J194" s="486">
        <v>5</v>
      </c>
      <c r="K194" s="442">
        <f t="shared" si="24"/>
        <v>100</v>
      </c>
      <c r="M194" s="2719" t="s">
        <v>4491</v>
      </c>
      <c r="N194" s="2720"/>
      <c r="O194" s="2720"/>
      <c r="P194" s="486">
        <v>1</v>
      </c>
      <c r="Q194" s="442">
        <f>P194*20</f>
        <v>20</v>
      </c>
      <c r="S194" s="2723" t="s">
        <v>4492</v>
      </c>
      <c r="T194" s="2739"/>
      <c r="U194" s="487">
        <v>0.55000000000000004</v>
      </c>
      <c r="V194" s="443">
        <f t="shared" si="25"/>
        <v>11</v>
      </c>
    </row>
    <row r="195" spans="6:22" ht="16.05" customHeight="1">
      <c r="G195" s="2723" t="s">
        <v>4493</v>
      </c>
      <c r="H195" s="2724"/>
      <c r="I195" s="2724"/>
      <c r="J195" s="487">
        <v>77</v>
      </c>
      <c r="K195" s="443">
        <f t="shared" si="24"/>
        <v>1540</v>
      </c>
      <c r="M195" s="2723" t="s">
        <v>4494</v>
      </c>
      <c r="N195" s="2724"/>
      <c r="O195" s="2724"/>
      <c r="P195" s="487">
        <v>4</v>
      </c>
      <c r="Q195" s="443">
        <f>P195*20</f>
        <v>80</v>
      </c>
      <c r="S195" s="2719" t="s">
        <v>4495</v>
      </c>
      <c r="T195" s="2725"/>
      <c r="U195" s="486">
        <v>6.75</v>
      </c>
      <c r="V195" s="442">
        <f t="shared" si="25"/>
        <v>135</v>
      </c>
    </row>
    <row r="196" spans="6:22" ht="16.05" customHeight="1">
      <c r="G196" s="2719" t="s">
        <v>4496</v>
      </c>
      <c r="H196" s="2720"/>
      <c r="I196" s="2720"/>
      <c r="J196" s="486">
        <v>49.5</v>
      </c>
      <c r="K196" s="442">
        <f t="shared" si="24"/>
        <v>990</v>
      </c>
      <c r="M196" s="2719" t="s">
        <v>4497</v>
      </c>
      <c r="N196" s="2720"/>
      <c r="O196" s="2720"/>
      <c r="P196" s="486">
        <v>10</v>
      </c>
      <c r="Q196" s="442">
        <f>P196*20</f>
        <v>200</v>
      </c>
      <c r="S196" s="2723" t="s">
        <v>4498</v>
      </c>
      <c r="T196" s="2739"/>
      <c r="U196" s="487">
        <v>4.1500000000000004</v>
      </c>
      <c r="V196" s="443">
        <f t="shared" si="25"/>
        <v>83</v>
      </c>
    </row>
    <row r="197" spans="6:22" ht="16.05" customHeight="1">
      <c r="G197" s="2723" t="s">
        <v>4499</v>
      </c>
      <c r="H197" s="2724"/>
      <c r="I197" s="2724"/>
      <c r="J197" s="487">
        <v>48</v>
      </c>
      <c r="K197" s="443">
        <f t="shared" si="24"/>
        <v>960</v>
      </c>
      <c r="M197" s="2746" t="s">
        <v>4500</v>
      </c>
      <c r="N197" s="2747"/>
      <c r="O197" s="2747"/>
      <c r="P197" s="2747"/>
      <c r="Q197" s="2748"/>
      <c r="S197" s="2719" t="s">
        <v>4501</v>
      </c>
      <c r="T197" s="2725"/>
      <c r="U197" s="486">
        <v>1.65</v>
      </c>
      <c r="V197" s="442">
        <f t="shared" si="25"/>
        <v>33</v>
      </c>
    </row>
    <row r="198" spans="6:22" ht="16.05" customHeight="1">
      <c r="G198" s="2740" t="s">
        <v>4502</v>
      </c>
      <c r="H198" s="2741"/>
      <c r="I198" s="2741"/>
      <c r="J198" s="482">
        <v>125</v>
      </c>
      <c r="K198" s="460">
        <f t="shared" si="24"/>
        <v>2500</v>
      </c>
      <c r="M198" s="2719" t="s">
        <v>4503</v>
      </c>
      <c r="N198" s="2720"/>
      <c r="O198" s="2720"/>
      <c r="P198" s="486">
        <v>98</v>
      </c>
      <c r="Q198" s="2744" t="s">
        <v>4358</v>
      </c>
      <c r="S198" s="2723" t="s">
        <v>4504</v>
      </c>
      <c r="T198" s="2739"/>
      <c r="U198" s="487">
        <v>4.82</v>
      </c>
      <c r="V198" s="443">
        <f t="shared" si="25"/>
        <v>96.4</v>
      </c>
    </row>
    <row r="199" spans="6:22" ht="16.05" customHeight="1">
      <c r="M199" s="2723" t="s">
        <v>4505</v>
      </c>
      <c r="N199" s="2724"/>
      <c r="O199" s="2724"/>
      <c r="P199" s="487">
        <v>0.75</v>
      </c>
      <c r="Q199" s="2745"/>
      <c r="S199" s="2728" t="s">
        <v>4506</v>
      </c>
      <c r="T199" s="2729"/>
      <c r="U199" s="486">
        <v>9.25</v>
      </c>
      <c r="V199" s="442">
        <f t="shared" si="25"/>
        <v>185</v>
      </c>
    </row>
    <row r="200" spans="6:22" ht="16.05" customHeight="1">
      <c r="G200" s="2730" t="s">
        <v>407</v>
      </c>
      <c r="H200" s="2731"/>
      <c r="I200" s="2731"/>
      <c r="J200" s="2731"/>
      <c r="K200" s="2732"/>
      <c r="M200" s="2719" t="s">
        <v>4507</v>
      </c>
      <c r="N200" s="2720"/>
      <c r="O200" s="2720"/>
      <c r="P200" s="494" t="s">
        <v>4508</v>
      </c>
      <c r="Q200" s="2744"/>
      <c r="S200" s="2733" t="s">
        <v>4509</v>
      </c>
      <c r="T200" s="2734"/>
      <c r="U200" s="487">
        <v>6.15</v>
      </c>
      <c r="V200" s="443">
        <f t="shared" si="25"/>
        <v>123</v>
      </c>
    </row>
    <row r="201" spans="6:22" ht="16.05" customHeight="1">
      <c r="G201" s="2735" t="s">
        <v>1500</v>
      </c>
      <c r="H201" s="2736"/>
      <c r="I201" s="2736"/>
      <c r="J201" s="444" t="s">
        <v>3884</v>
      </c>
      <c r="K201" s="499" t="s">
        <v>4071</v>
      </c>
      <c r="M201" s="2723" t="s">
        <v>4510</v>
      </c>
      <c r="N201" s="2724"/>
      <c r="O201" s="2724"/>
      <c r="P201" s="487">
        <v>0.38</v>
      </c>
      <c r="Q201" s="2745"/>
      <c r="S201" s="2737" t="s">
        <v>4511</v>
      </c>
      <c r="T201" s="2738"/>
      <c r="U201" s="486">
        <v>5.95</v>
      </c>
      <c r="V201" s="442">
        <f t="shared" si="25"/>
        <v>119</v>
      </c>
    </row>
    <row r="202" spans="6:22" ht="16.05" customHeight="1">
      <c r="G202" s="2719" t="s">
        <v>4512</v>
      </c>
      <c r="H202" s="2720"/>
      <c r="I202" s="2720"/>
      <c r="J202" s="486" t="s">
        <v>4513</v>
      </c>
      <c r="K202" s="520" t="s">
        <v>4514</v>
      </c>
      <c r="M202" s="2719" t="s">
        <v>4515</v>
      </c>
      <c r="N202" s="2720"/>
      <c r="O202" s="2720"/>
      <c r="P202" s="486">
        <v>4.95</v>
      </c>
      <c r="Q202" s="2744"/>
      <c r="S202" s="2723" t="s">
        <v>4516</v>
      </c>
      <c r="T202" s="2739"/>
      <c r="U202" s="487">
        <v>3.75</v>
      </c>
      <c r="V202" s="443">
        <f t="shared" si="25"/>
        <v>75</v>
      </c>
    </row>
    <row r="203" spans="6:22" ht="16.05" customHeight="1">
      <c r="G203" s="2723" t="s">
        <v>4517</v>
      </c>
      <c r="H203" s="2724"/>
      <c r="I203" s="2724"/>
      <c r="J203" s="487" t="s">
        <v>4518</v>
      </c>
      <c r="K203" s="512" t="s">
        <v>4519</v>
      </c>
      <c r="M203" s="2723" t="s">
        <v>4520</v>
      </c>
      <c r="N203" s="2724"/>
      <c r="O203" s="2724"/>
      <c r="P203" s="521" t="s">
        <v>4521</v>
      </c>
      <c r="Q203" s="2745"/>
      <c r="S203" s="2719" t="s">
        <v>4522</v>
      </c>
      <c r="T203" s="2725"/>
      <c r="U203" s="486">
        <v>1.68</v>
      </c>
      <c r="V203" s="442">
        <f t="shared" si="25"/>
        <v>33.6</v>
      </c>
    </row>
    <row r="204" spans="6:22" ht="16.05" customHeight="1">
      <c r="G204" s="2740" t="s">
        <v>4523</v>
      </c>
      <c r="H204" s="2741"/>
      <c r="I204" s="2741"/>
      <c r="J204" s="482">
        <v>30</v>
      </c>
      <c r="K204" s="460">
        <f t="shared" ref="K204" si="26">J204*20</f>
        <v>600</v>
      </c>
      <c r="M204" s="2719" t="s">
        <v>4524</v>
      </c>
      <c r="N204" s="2720"/>
      <c r="O204" s="2720"/>
      <c r="P204" s="486">
        <v>140</v>
      </c>
      <c r="Q204" s="2744"/>
      <c r="S204" s="2726" t="s">
        <v>4525</v>
      </c>
      <c r="T204" s="2727"/>
      <c r="U204" s="487">
        <v>7.4</v>
      </c>
      <c r="V204" s="443">
        <f t="shared" si="25"/>
        <v>148</v>
      </c>
    </row>
    <row r="205" spans="6:22" ht="16.05" customHeight="1">
      <c r="M205" s="2723" t="s">
        <v>4526</v>
      </c>
      <c r="N205" s="2724"/>
      <c r="O205" s="2724"/>
      <c r="P205" s="487">
        <v>335</v>
      </c>
      <c r="Q205" s="2745"/>
      <c r="S205" s="2719" t="s">
        <v>4527</v>
      </c>
      <c r="T205" s="2725"/>
      <c r="U205" s="486">
        <v>0.59</v>
      </c>
      <c r="V205" s="442">
        <f t="shared" si="25"/>
        <v>11.799999999999999</v>
      </c>
    </row>
    <row r="206" spans="6:22" ht="16.05" customHeight="1">
      <c r="M206" s="2719" t="s">
        <v>4528</v>
      </c>
      <c r="N206" s="2720"/>
      <c r="O206" s="2720"/>
      <c r="P206" s="486">
        <v>65</v>
      </c>
      <c r="Q206" s="2744"/>
      <c r="S206" s="2726" t="s">
        <v>4529</v>
      </c>
      <c r="T206" s="2727"/>
      <c r="U206" s="487">
        <v>0.98</v>
      </c>
      <c r="V206" s="443">
        <f t="shared" si="25"/>
        <v>19.600000000000001</v>
      </c>
    </row>
    <row r="207" spans="6:22" ht="16.05" customHeight="1">
      <c r="F207" s="501"/>
      <c r="G207" s="501"/>
      <c r="H207" s="501"/>
      <c r="I207" s="501"/>
      <c r="M207" s="2746" t="s">
        <v>1386</v>
      </c>
      <c r="N207" s="2747"/>
      <c r="O207" s="2747"/>
      <c r="P207" s="2747"/>
      <c r="Q207" s="2748"/>
      <c r="S207" s="2719" t="s">
        <v>4530</v>
      </c>
      <c r="T207" s="2725"/>
      <c r="U207" s="486">
        <v>0.59</v>
      </c>
      <c r="V207" s="442">
        <f t="shared" si="25"/>
        <v>11.799999999999999</v>
      </c>
    </row>
    <row r="208" spans="6:22" ht="16.05" customHeight="1">
      <c r="F208" s="501"/>
      <c r="G208" s="501"/>
      <c r="H208" s="501"/>
      <c r="I208" s="501"/>
      <c r="M208" s="2719" t="s">
        <v>4531</v>
      </c>
      <c r="N208" s="2720"/>
      <c r="O208" s="2720"/>
      <c r="P208" s="486">
        <v>7.45</v>
      </c>
      <c r="Q208" s="442">
        <f t="shared" ref="Q208:Q216" si="27">P208*20</f>
        <v>149</v>
      </c>
      <c r="S208" s="2723" t="s">
        <v>4532</v>
      </c>
      <c r="T208" s="2739"/>
      <c r="U208" s="487">
        <v>1.39</v>
      </c>
      <c r="V208" s="443">
        <f t="shared" si="25"/>
        <v>27.799999999999997</v>
      </c>
    </row>
    <row r="209" spans="6:22" ht="16.05" customHeight="1">
      <c r="F209" s="501"/>
      <c r="G209" s="501"/>
      <c r="H209" s="501"/>
      <c r="I209" s="501"/>
      <c r="L209" s="501"/>
      <c r="M209" s="2723" t="s">
        <v>4533</v>
      </c>
      <c r="N209" s="2724"/>
      <c r="O209" s="2724"/>
      <c r="P209" s="487">
        <v>69.75</v>
      </c>
      <c r="Q209" s="443">
        <f t="shared" si="27"/>
        <v>1395</v>
      </c>
      <c r="S209" s="2749" t="s">
        <v>4534</v>
      </c>
      <c r="T209" s="2750"/>
      <c r="U209" s="486">
        <v>23.95</v>
      </c>
      <c r="V209" s="442">
        <f t="shared" si="25"/>
        <v>479</v>
      </c>
    </row>
    <row r="210" spans="6:22" ht="16.05" customHeight="1">
      <c r="F210" s="501"/>
      <c r="G210" s="501"/>
      <c r="H210" s="498"/>
      <c r="I210" s="501"/>
      <c r="L210" s="501"/>
      <c r="M210" s="2719" t="s">
        <v>4535</v>
      </c>
      <c r="N210" s="2720"/>
      <c r="O210" s="2720"/>
      <c r="P210" s="486">
        <v>8.9499999999999993</v>
      </c>
      <c r="Q210" s="442">
        <f t="shared" si="27"/>
        <v>179</v>
      </c>
      <c r="S210" s="2751" t="s">
        <v>4536</v>
      </c>
      <c r="T210" s="2752"/>
      <c r="U210" s="487">
        <v>2.2999999999999998</v>
      </c>
      <c r="V210" s="443">
        <f t="shared" si="25"/>
        <v>46</v>
      </c>
    </row>
    <row r="211" spans="6:22" ht="16.05" customHeight="1">
      <c r="F211" s="501"/>
      <c r="G211" s="501"/>
      <c r="H211" s="501"/>
      <c r="I211" s="501"/>
      <c r="L211" s="501"/>
      <c r="M211" s="2723" t="s">
        <v>4537</v>
      </c>
      <c r="N211" s="2724"/>
      <c r="O211" s="2724"/>
      <c r="P211" s="487">
        <v>2.75</v>
      </c>
      <c r="Q211" s="443">
        <f t="shared" si="27"/>
        <v>55</v>
      </c>
      <c r="S211" s="2719" t="s">
        <v>4538</v>
      </c>
      <c r="T211" s="2725"/>
      <c r="U211" s="486">
        <v>1.99</v>
      </c>
      <c r="V211" s="442">
        <f t="shared" si="25"/>
        <v>39.799999999999997</v>
      </c>
    </row>
    <row r="212" spans="6:22" ht="16.05" customHeight="1">
      <c r="F212" s="501"/>
      <c r="G212" s="501"/>
      <c r="H212" s="501"/>
      <c r="I212" s="501"/>
      <c r="M212" s="2719" t="s">
        <v>4539</v>
      </c>
      <c r="N212" s="2720"/>
      <c r="O212" s="2720"/>
      <c r="P212" s="486">
        <v>9.9499999999999993</v>
      </c>
      <c r="Q212" s="442">
        <f t="shared" si="27"/>
        <v>199</v>
      </c>
      <c r="S212" s="2721" t="s">
        <v>4540</v>
      </c>
      <c r="T212" s="2722"/>
      <c r="U212" s="470">
        <v>1.8</v>
      </c>
      <c r="V212" s="446">
        <f t="shared" si="25"/>
        <v>36</v>
      </c>
    </row>
    <row r="213" spans="6:22" ht="16.05" customHeight="1">
      <c r="F213" s="501"/>
      <c r="G213" s="501"/>
      <c r="H213" s="501"/>
      <c r="I213" s="501"/>
      <c r="M213" s="2723" t="s">
        <v>4541</v>
      </c>
      <c r="N213" s="2724"/>
      <c r="O213" s="2724"/>
      <c r="P213" s="487">
        <v>14.95</v>
      </c>
      <c r="Q213" s="443">
        <f t="shared" si="27"/>
        <v>299</v>
      </c>
    </row>
    <row r="214" spans="6:22" ht="16.05" customHeight="1">
      <c r="M214" s="2719" t="s">
        <v>4542</v>
      </c>
      <c r="N214" s="2720"/>
      <c r="O214" s="2720"/>
      <c r="P214" s="486">
        <v>3.45</v>
      </c>
      <c r="Q214" s="442">
        <f t="shared" si="27"/>
        <v>69</v>
      </c>
    </row>
    <row r="215" spans="6:22" ht="16.05" customHeight="1">
      <c r="M215" s="2723" t="s">
        <v>4543</v>
      </c>
      <c r="N215" s="2724"/>
      <c r="O215" s="2724"/>
      <c r="P215" s="487">
        <v>127</v>
      </c>
      <c r="Q215" s="443">
        <f t="shared" si="27"/>
        <v>2540</v>
      </c>
    </row>
    <row r="216" spans="6:22" ht="16.05" customHeight="1">
      <c r="M216" s="2740" t="s">
        <v>4544</v>
      </c>
      <c r="N216" s="2741"/>
      <c r="O216" s="2741"/>
      <c r="P216" s="482">
        <v>447</v>
      </c>
      <c r="Q216" s="460">
        <f t="shared" si="27"/>
        <v>8940</v>
      </c>
    </row>
    <row r="217" spans="6:22" ht="16.05" customHeight="1"/>
    <row r="218" spans="6:22" ht="16.05" customHeight="1"/>
    <row r="219" spans="6:22" ht="16.05" customHeight="1"/>
    <row r="220" spans="6:22" ht="16.05" customHeight="1"/>
    <row r="221" spans="6:22" ht="16.05" customHeight="1"/>
    <row r="222" spans="6:22" ht="16.05" customHeight="1"/>
    <row r="223" spans="6:22" ht="16.05" customHeight="1"/>
    <row r="224" spans="6:22" ht="16.05" customHeight="1"/>
    <row r="225" spans="19:22" ht="16.05" customHeight="1"/>
    <row r="226" spans="19:22" ht="16.05" customHeight="1">
      <c r="S226" s="515"/>
      <c r="T226" s="515"/>
      <c r="U226" s="515"/>
      <c r="V226" s="465"/>
    </row>
    <row r="227" spans="19:22" ht="16.05" customHeight="1">
      <c r="S227" s="515"/>
      <c r="T227" s="515"/>
      <c r="U227" s="515"/>
      <c r="V227" s="465"/>
    </row>
    <row r="228" spans="19:22" ht="16.05" customHeight="1">
      <c r="S228" s="515"/>
      <c r="T228" s="515"/>
      <c r="U228" s="515"/>
      <c r="V228" s="465"/>
    </row>
    <row r="229" spans="19:22" ht="16.05" customHeight="1">
      <c r="S229" s="515"/>
      <c r="T229" s="515"/>
      <c r="U229" s="515"/>
      <c r="V229" s="465"/>
    </row>
    <row r="230" spans="19:22" ht="16.05" customHeight="1"/>
    <row r="231" spans="19:22" ht="16.05" customHeight="1"/>
    <row r="232" spans="19:22" ht="16.05" customHeight="1"/>
    <row r="233" spans="19:22" ht="16.05" customHeight="1"/>
    <row r="234" spans="19:22" ht="16.05" customHeight="1"/>
    <row r="235" spans="19:22" ht="16.05" customHeight="1"/>
  </sheetData>
  <sheetProtection password="D857" sheet="1" objects="1"/>
  <mergeCells count="815">
    <mergeCell ref="V5:AB5"/>
    <mergeCell ref="E6:K6"/>
    <mergeCell ref="M6:S6"/>
    <mergeCell ref="U6:AA6"/>
    <mergeCell ref="G7:H7"/>
    <mergeCell ref="I7:J7"/>
    <mergeCell ref="O7:P7"/>
    <mergeCell ref="Q7:R7"/>
    <mergeCell ref="W7:X7"/>
    <mergeCell ref="Y7:Z7"/>
    <mergeCell ref="G8:H8"/>
    <mergeCell ref="I8:J8"/>
    <mergeCell ref="O8:P8"/>
    <mergeCell ref="Q8:R8"/>
    <mergeCell ref="W8:X8"/>
    <mergeCell ref="Y8:Z8"/>
    <mergeCell ref="G9:H9"/>
    <mergeCell ref="I9:J9"/>
    <mergeCell ref="O9:P9"/>
    <mergeCell ref="Q9:R9"/>
    <mergeCell ref="W9:X9"/>
    <mergeCell ref="Y9:Z9"/>
    <mergeCell ref="G10:H10"/>
    <mergeCell ref="I10:J10"/>
    <mergeCell ref="O10:P10"/>
    <mergeCell ref="Q10:R10"/>
    <mergeCell ref="W10:X10"/>
    <mergeCell ref="Y10:Z10"/>
    <mergeCell ref="G11:H11"/>
    <mergeCell ref="I11:J11"/>
    <mergeCell ref="O11:P11"/>
    <mergeCell ref="Q11:R11"/>
    <mergeCell ref="W11:X11"/>
    <mergeCell ref="Y11:Z11"/>
    <mergeCell ref="G12:H12"/>
    <mergeCell ref="I12:J12"/>
    <mergeCell ref="O12:P12"/>
    <mergeCell ref="Q12:R12"/>
    <mergeCell ref="W12:X12"/>
    <mergeCell ref="Y12:Z12"/>
    <mergeCell ref="G13:H13"/>
    <mergeCell ref="I13:J13"/>
    <mergeCell ref="O13:P13"/>
    <mergeCell ref="Q13:R13"/>
    <mergeCell ref="W13:X13"/>
    <mergeCell ref="Y13:Z13"/>
    <mergeCell ref="E15:K15"/>
    <mergeCell ref="M15:S15"/>
    <mergeCell ref="U15:AA15"/>
    <mergeCell ref="G16:H16"/>
    <mergeCell ref="I16:J16"/>
    <mergeCell ref="O16:P16"/>
    <mergeCell ref="Q16:R16"/>
    <mergeCell ref="W16:X16"/>
    <mergeCell ref="Y16:Z16"/>
    <mergeCell ref="G17:H17"/>
    <mergeCell ref="I17:J17"/>
    <mergeCell ref="O17:P17"/>
    <mergeCell ref="Q17:R17"/>
    <mergeCell ref="W17:X17"/>
    <mergeCell ref="Y17:Z17"/>
    <mergeCell ref="G18:H18"/>
    <mergeCell ref="I18:J18"/>
    <mergeCell ref="O18:P18"/>
    <mergeCell ref="Q18:R18"/>
    <mergeCell ref="W18:X18"/>
    <mergeCell ref="Y18:Z18"/>
    <mergeCell ref="G19:H19"/>
    <mergeCell ref="I19:J19"/>
    <mergeCell ref="O19:P19"/>
    <mergeCell ref="Q19:R19"/>
    <mergeCell ref="W19:X19"/>
    <mergeCell ref="Y19:Z19"/>
    <mergeCell ref="G20:H20"/>
    <mergeCell ref="I20:J20"/>
    <mergeCell ref="O20:P20"/>
    <mergeCell ref="Q20:R20"/>
    <mergeCell ref="W20:X20"/>
    <mergeCell ref="Y20:Z20"/>
    <mergeCell ref="G21:H21"/>
    <mergeCell ref="I21:J21"/>
    <mergeCell ref="O21:P21"/>
    <mergeCell ref="Q21:R21"/>
    <mergeCell ref="W21:X21"/>
    <mergeCell ref="Y21:Z21"/>
    <mergeCell ref="G22:H22"/>
    <mergeCell ref="I22:J22"/>
    <mergeCell ref="O22:P22"/>
    <mergeCell ref="Q22:R22"/>
    <mergeCell ref="W22:X22"/>
    <mergeCell ref="Y22:Z22"/>
    <mergeCell ref="M23:S23"/>
    <mergeCell ref="F25:J25"/>
    <mergeCell ref="N25:R25"/>
    <mergeCell ref="F26:J26"/>
    <mergeCell ref="N26:R26"/>
    <mergeCell ref="F27:J27"/>
    <mergeCell ref="N27:R27"/>
    <mergeCell ref="F28:J28"/>
    <mergeCell ref="N28:R28"/>
    <mergeCell ref="F29:J29"/>
    <mergeCell ref="N29:R29"/>
    <mergeCell ref="F30:J30"/>
    <mergeCell ref="N30:R30"/>
    <mergeCell ref="F31:J31"/>
    <mergeCell ref="N31:R31"/>
    <mergeCell ref="F32:J32"/>
    <mergeCell ref="F33:J33"/>
    <mergeCell ref="F34:J34"/>
    <mergeCell ref="F35:J35"/>
    <mergeCell ref="N35:R35"/>
    <mergeCell ref="F36:J36"/>
    <mergeCell ref="N36:R36"/>
    <mergeCell ref="B42:AA42"/>
    <mergeCell ref="B43:E43"/>
    <mergeCell ref="G43:K43"/>
    <mergeCell ref="M43:P43"/>
    <mergeCell ref="R43:T43"/>
    <mergeCell ref="V43:AA43"/>
    <mergeCell ref="B44:D44"/>
    <mergeCell ref="G44:J44"/>
    <mergeCell ref="M44:O44"/>
    <mergeCell ref="R44:S44"/>
    <mergeCell ref="V44:Y44"/>
    <mergeCell ref="B45:D45"/>
    <mergeCell ref="G45:J45"/>
    <mergeCell ref="M45:O45"/>
    <mergeCell ref="R45:S45"/>
    <mergeCell ref="V45:Y45"/>
    <mergeCell ref="B46:D46"/>
    <mergeCell ref="G46:J46"/>
    <mergeCell ref="M46:O46"/>
    <mergeCell ref="R46:S46"/>
    <mergeCell ref="V46:Y46"/>
    <mergeCell ref="B47:D47"/>
    <mergeCell ref="G47:J47"/>
    <mergeCell ref="M47:O47"/>
    <mergeCell ref="R47:S47"/>
    <mergeCell ref="V47:Y47"/>
    <mergeCell ref="B48:D48"/>
    <mergeCell ref="G48:J48"/>
    <mergeCell ref="M48:O48"/>
    <mergeCell ref="R48:S48"/>
    <mergeCell ref="V48:Y48"/>
    <mergeCell ref="B49:D49"/>
    <mergeCell ref="G49:J49"/>
    <mergeCell ref="M49:O49"/>
    <mergeCell ref="R49:T49"/>
    <mergeCell ref="V49:Y49"/>
    <mergeCell ref="B50:D50"/>
    <mergeCell ref="G50:J50"/>
    <mergeCell ref="M50:O50"/>
    <mergeCell ref="R50:S50"/>
    <mergeCell ref="V50:Y50"/>
    <mergeCell ref="B51:D51"/>
    <mergeCell ref="G51:J51"/>
    <mergeCell ref="M51:O51"/>
    <mergeCell ref="R51:S51"/>
    <mergeCell ref="V51:Y51"/>
    <mergeCell ref="B52:D52"/>
    <mergeCell ref="G52:J52"/>
    <mergeCell ref="M52:O52"/>
    <mergeCell ref="R52:S52"/>
    <mergeCell ref="V52:Y52"/>
    <mergeCell ref="B53:D53"/>
    <mergeCell ref="G53:J53"/>
    <mergeCell ref="M53:O53"/>
    <mergeCell ref="R53:S53"/>
    <mergeCell ref="V53:Y53"/>
    <mergeCell ref="B54:D54"/>
    <mergeCell ref="G54:J54"/>
    <mergeCell ref="M54:O54"/>
    <mergeCell ref="R54:S54"/>
    <mergeCell ref="V54:Y54"/>
    <mergeCell ref="B55:D55"/>
    <mergeCell ref="M55:O55"/>
    <mergeCell ref="R55:S55"/>
    <mergeCell ref="V55:Y55"/>
    <mergeCell ref="B56:D56"/>
    <mergeCell ref="G56:K56"/>
    <mergeCell ref="M56:O56"/>
    <mergeCell ref="R56:S56"/>
    <mergeCell ref="V56:Y56"/>
    <mergeCell ref="B57:D57"/>
    <mergeCell ref="G57:J57"/>
    <mergeCell ref="M57:O57"/>
    <mergeCell ref="V57:Y57"/>
    <mergeCell ref="B58:D58"/>
    <mergeCell ref="G58:J58"/>
    <mergeCell ref="M58:O58"/>
    <mergeCell ref="R58:T58"/>
    <mergeCell ref="V58:Y58"/>
    <mergeCell ref="B59:D59"/>
    <mergeCell ref="G59:J59"/>
    <mergeCell ref="M59:O59"/>
    <mergeCell ref="R59:S59"/>
    <mergeCell ref="V59:Y59"/>
    <mergeCell ref="B60:D60"/>
    <mergeCell ref="G60:J60"/>
    <mergeCell ref="M60:O60"/>
    <mergeCell ref="R60:S60"/>
    <mergeCell ref="B61:D61"/>
    <mergeCell ref="G61:J61"/>
    <mergeCell ref="R61:S61"/>
    <mergeCell ref="V61:AA61"/>
    <mergeCell ref="B62:D62"/>
    <mergeCell ref="G62:J62"/>
    <mergeCell ref="M62:P62"/>
    <mergeCell ref="R62:S62"/>
    <mergeCell ref="V62:Y62"/>
    <mergeCell ref="Z62:AA62"/>
    <mergeCell ref="B63:C63"/>
    <mergeCell ref="G63:J63"/>
    <mergeCell ref="M63:O63"/>
    <mergeCell ref="R63:S63"/>
    <mergeCell ref="V63:Y63"/>
    <mergeCell ref="Z63:AA63"/>
    <mergeCell ref="B64:E64"/>
    <mergeCell ref="G64:J64"/>
    <mergeCell ref="M64:O64"/>
    <mergeCell ref="V64:Y64"/>
    <mergeCell ref="Z64:AA64"/>
    <mergeCell ref="B65:D65"/>
    <mergeCell ref="G65:J65"/>
    <mergeCell ref="M65:O65"/>
    <mergeCell ref="R65:T65"/>
    <mergeCell ref="V65:Y65"/>
    <mergeCell ref="Z65:AA65"/>
    <mergeCell ref="B66:D66"/>
    <mergeCell ref="G66:J66"/>
    <mergeCell ref="M66:O66"/>
    <mergeCell ref="R66:S66"/>
    <mergeCell ref="V66:Y66"/>
    <mergeCell ref="Z66:AA66"/>
    <mergeCell ref="B67:D67"/>
    <mergeCell ref="G67:J67"/>
    <mergeCell ref="R67:S67"/>
    <mergeCell ref="V67:Y67"/>
    <mergeCell ref="Z67:AA67"/>
    <mergeCell ref="B68:D68"/>
    <mergeCell ref="M68:P68"/>
    <mergeCell ref="R68:S68"/>
    <mergeCell ref="V68:Y68"/>
    <mergeCell ref="Z68:AA68"/>
    <mergeCell ref="B69:D69"/>
    <mergeCell ref="G69:K69"/>
    <mergeCell ref="M69:O69"/>
    <mergeCell ref="R69:S69"/>
    <mergeCell ref="V69:Y69"/>
    <mergeCell ref="Z69:AA69"/>
    <mergeCell ref="B70:D70"/>
    <mergeCell ref="G70:J70"/>
    <mergeCell ref="M70:O70"/>
    <mergeCell ref="R70:S70"/>
    <mergeCell ref="V70:Y70"/>
    <mergeCell ref="Z70:AA70"/>
    <mergeCell ref="B71:D71"/>
    <mergeCell ref="G71:J71"/>
    <mergeCell ref="M71:O71"/>
    <mergeCell ref="R71:S71"/>
    <mergeCell ref="V71:Y71"/>
    <mergeCell ref="Z71:AA71"/>
    <mergeCell ref="B72:D72"/>
    <mergeCell ref="G72:J72"/>
    <mergeCell ref="M72:O72"/>
    <mergeCell ref="R72:S72"/>
    <mergeCell ref="V72:Y72"/>
    <mergeCell ref="Z72:AA72"/>
    <mergeCell ref="B73:D73"/>
    <mergeCell ref="G73:J73"/>
    <mergeCell ref="M73:O73"/>
    <mergeCell ref="R73:S73"/>
    <mergeCell ref="V73:Y73"/>
    <mergeCell ref="Z73:AA73"/>
    <mergeCell ref="B74:D74"/>
    <mergeCell ref="G74:J74"/>
    <mergeCell ref="M74:O74"/>
    <mergeCell ref="R74:S74"/>
    <mergeCell ref="V74:Y74"/>
    <mergeCell ref="Z74:AA74"/>
    <mergeCell ref="B75:D75"/>
    <mergeCell ref="M75:O75"/>
    <mergeCell ref="R75:S75"/>
    <mergeCell ref="B76:D76"/>
    <mergeCell ref="G76:K76"/>
    <mergeCell ref="M76:O76"/>
    <mergeCell ref="R76:S76"/>
    <mergeCell ref="B77:D77"/>
    <mergeCell ref="G77:J77"/>
    <mergeCell ref="R77:S77"/>
    <mergeCell ref="B78:D78"/>
    <mergeCell ref="G78:J78"/>
    <mergeCell ref="M78:P78"/>
    <mergeCell ref="R78:S78"/>
    <mergeCell ref="B79:D79"/>
    <mergeCell ref="G79:J79"/>
    <mergeCell ref="M79:O79"/>
    <mergeCell ref="R79:S79"/>
    <mergeCell ref="B80:D80"/>
    <mergeCell ref="G80:J80"/>
    <mergeCell ref="M80:O80"/>
    <mergeCell ref="R80:S80"/>
    <mergeCell ref="B81:D81"/>
    <mergeCell ref="G81:J81"/>
    <mergeCell ref="M81:O81"/>
    <mergeCell ref="R81:S81"/>
    <mergeCell ref="B82:D82"/>
    <mergeCell ref="G82:J82"/>
    <mergeCell ref="M82:O82"/>
    <mergeCell ref="R82:S82"/>
    <mergeCell ref="M83:O83"/>
    <mergeCell ref="R83:S83"/>
    <mergeCell ref="M84:O84"/>
    <mergeCell ref="M85:O85"/>
    <mergeCell ref="B90:AA90"/>
    <mergeCell ref="B91:E91"/>
    <mergeCell ref="G91:K91"/>
    <mergeCell ref="M91:Q91"/>
    <mergeCell ref="S91:V91"/>
    <mergeCell ref="X91:AA91"/>
    <mergeCell ref="B92:C92"/>
    <mergeCell ref="G92:I92"/>
    <mergeCell ref="M92:O92"/>
    <mergeCell ref="S92:T92"/>
    <mergeCell ref="X92:Y92"/>
    <mergeCell ref="B93:C93"/>
    <mergeCell ref="G93:I93"/>
    <mergeCell ref="M93:O93"/>
    <mergeCell ref="S93:T93"/>
    <mergeCell ref="X93:Y93"/>
    <mergeCell ref="B94:C94"/>
    <mergeCell ref="G94:I94"/>
    <mergeCell ref="M94:O94"/>
    <mergeCell ref="S94:T94"/>
    <mergeCell ref="X94:Y94"/>
    <mergeCell ref="B95:C95"/>
    <mergeCell ref="G95:I95"/>
    <mergeCell ref="M95:O95"/>
    <mergeCell ref="S95:T95"/>
    <mergeCell ref="X95:Y95"/>
    <mergeCell ref="B96:C96"/>
    <mergeCell ref="G96:I96"/>
    <mergeCell ref="M96:O96"/>
    <mergeCell ref="S96:T96"/>
    <mergeCell ref="X96:Y96"/>
    <mergeCell ref="B97:C97"/>
    <mergeCell ref="G97:I97"/>
    <mergeCell ref="M97:O97"/>
    <mergeCell ref="S97:T97"/>
    <mergeCell ref="X97:Y97"/>
    <mergeCell ref="B98:C98"/>
    <mergeCell ref="G98:I98"/>
    <mergeCell ref="M98:O98"/>
    <mergeCell ref="S98:T98"/>
    <mergeCell ref="X98:Y98"/>
    <mergeCell ref="B99:C99"/>
    <mergeCell ref="G99:I99"/>
    <mergeCell ref="M99:O99"/>
    <mergeCell ref="X99:Y99"/>
    <mergeCell ref="B100:C100"/>
    <mergeCell ref="G100:I100"/>
    <mergeCell ref="M100:Q100"/>
    <mergeCell ref="S100:V100"/>
    <mergeCell ref="X100:Y100"/>
    <mergeCell ref="B101:C101"/>
    <mergeCell ref="G101:I101"/>
    <mergeCell ref="M101:O101"/>
    <mergeCell ref="S101:T101"/>
    <mergeCell ref="X101:Y101"/>
    <mergeCell ref="B102:C102"/>
    <mergeCell ref="G102:I102"/>
    <mergeCell ref="M102:O102"/>
    <mergeCell ref="S102:T102"/>
    <mergeCell ref="X102:Y102"/>
    <mergeCell ref="B103:C103"/>
    <mergeCell ref="G103:I103"/>
    <mergeCell ref="M103:O103"/>
    <mergeCell ref="S103:T103"/>
    <mergeCell ref="X103:Y103"/>
    <mergeCell ref="B104:C104"/>
    <mergeCell ref="G104:I104"/>
    <mergeCell ref="M104:O104"/>
    <mergeCell ref="S104:T104"/>
    <mergeCell ref="X104:Y104"/>
    <mergeCell ref="B105:C105"/>
    <mergeCell ref="G105:I105"/>
    <mergeCell ref="M105:O105"/>
    <mergeCell ref="S105:T105"/>
    <mergeCell ref="X105:Y105"/>
    <mergeCell ref="B106:C106"/>
    <mergeCell ref="G106:I106"/>
    <mergeCell ref="S106:T106"/>
    <mergeCell ref="X106:Y106"/>
    <mergeCell ref="B107:C107"/>
    <mergeCell ref="G107:I107"/>
    <mergeCell ref="M107:Q107"/>
    <mergeCell ref="S107:T107"/>
    <mergeCell ref="X107:Y107"/>
    <mergeCell ref="B108:C108"/>
    <mergeCell ref="G108:I108"/>
    <mergeCell ref="M108:O108"/>
    <mergeCell ref="S108:T108"/>
    <mergeCell ref="X108:Y108"/>
    <mergeCell ref="B109:C109"/>
    <mergeCell ref="G109:I109"/>
    <mergeCell ref="M109:O109"/>
    <mergeCell ref="S109:T109"/>
    <mergeCell ref="X109:Y109"/>
    <mergeCell ref="B110:C110"/>
    <mergeCell ref="G110:I110"/>
    <mergeCell ref="M110:O110"/>
    <mergeCell ref="S110:T110"/>
    <mergeCell ref="B111:C111"/>
    <mergeCell ref="G111:I111"/>
    <mergeCell ref="M111:O111"/>
    <mergeCell ref="S111:T111"/>
    <mergeCell ref="X111:AA111"/>
    <mergeCell ref="B112:C112"/>
    <mergeCell ref="G112:I112"/>
    <mergeCell ref="M112:O112"/>
    <mergeCell ref="S112:T112"/>
    <mergeCell ref="X112:Y112"/>
    <mergeCell ref="B113:C113"/>
    <mergeCell ref="G113:I113"/>
    <mergeCell ref="M113:O113"/>
    <mergeCell ref="S113:T113"/>
    <mergeCell ref="X113:Y113"/>
    <mergeCell ref="B114:C114"/>
    <mergeCell ref="G114:I114"/>
    <mergeCell ref="M114:O114"/>
    <mergeCell ref="S114:T114"/>
    <mergeCell ref="X114:Y114"/>
    <mergeCell ref="B115:C115"/>
    <mergeCell ref="G115:I115"/>
    <mergeCell ref="M115:O115"/>
    <mergeCell ref="S115:T115"/>
    <mergeCell ref="X115:Y115"/>
    <mergeCell ref="B116:C116"/>
    <mergeCell ref="G116:I116"/>
    <mergeCell ref="M116:O116"/>
    <mergeCell ref="S116:T116"/>
    <mergeCell ref="B117:C117"/>
    <mergeCell ref="G117:I117"/>
    <mergeCell ref="M117:O117"/>
    <mergeCell ref="S117:T117"/>
    <mergeCell ref="X117:AA117"/>
    <mergeCell ref="B118:C118"/>
    <mergeCell ref="G118:I118"/>
    <mergeCell ref="M118:O118"/>
    <mergeCell ref="S118:T118"/>
    <mergeCell ref="X118:Y118"/>
    <mergeCell ref="B119:C119"/>
    <mergeCell ref="G119:I119"/>
    <mergeCell ref="M119:O119"/>
    <mergeCell ref="S119:T119"/>
    <mergeCell ref="X119:Y119"/>
    <mergeCell ref="B120:C120"/>
    <mergeCell ref="G120:K120"/>
    <mergeCell ref="M120:O120"/>
    <mergeCell ref="S120:T120"/>
    <mergeCell ref="X120:Y120"/>
    <mergeCell ref="B121:C121"/>
    <mergeCell ref="G121:I121"/>
    <mergeCell ref="M121:O121"/>
    <mergeCell ref="S121:T121"/>
    <mergeCell ref="X121:Y121"/>
    <mergeCell ref="B122:C122"/>
    <mergeCell ref="G122:I122"/>
    <mergeCell ref="M122:O122"/>
    <mergeCell ref="X122:Y122"/>
    <mergeCell ref="B123:C123"/>
    <mergeCell ref="G123:I123"/>
    <mergeCell ref="M123:O123"/>
    <mergeCell ref="S123:V123"/>
    <mergeCell ref="X123:Y123"/>
    <mergeCell ref="B124:C124"/>
    <mergeCell ref="G124:K124"/>
    <mergeCell ref="M124:O124"/>
    <mergeCell ref="S124:T124"/>
    <mergeCell ref="X124:Y124"/>
    <mergeCell ref="B125:C125"/>
    <mergeCell ref="G125:I125"/>
    <mergeCell ref="M125:O125"/>
    <mergeCell ref="S125:T125"/>
    <mergeCell ref="X125:Y125"/>
    <mergeCell ref="G126:I126"/>
    <mergeCell ref="M126:O126"/>
    <mergeCell ref="S126:T126"/>
    <mergeCell ref="X126:Y126"/>
    <mergeCell ref="B127:E127"/>
    <mergeCell ref="G127:I127"/>
    <mergeCell ref="M127:O127"/>
    <mergeCell ref="S127:T127"/>
    <mergeCell ref="X127:Y127"/>
    <mergeCell ref="B128:C128"/>
    <mergeCell ref="G128:K128"/>
    <mergeCell ref="S128:T128"/>
    <mergeCell ref="B129:C129"/>
    <mergeCell ref="G129:I129"/>
    <mergeCell ref="M129:Q129"/>
    <mergeCell ref="X129:AA129"/>
    <mergeCell ref="B130:C130"/>
    <mergeCell ref="G130:I130"/>
    <mergeCell ref="M130:O130"/>
    <mergeCell ref="S130:V130"/>
    <mergeCell ref="X130:Z130"/>
    <mergeCell ref="B131:C131"/>
    <mergeCell ref="G131:I131"/>
    <mergeCell ref="M131:O131"/>
    <mergeCell ref="S131:T131"/>
    <mergeCell ref="X131:Z131"/>
    <mergeCell ref="B132:C132"/>
    <mergeCell ref="M132:O132"/>
    <mergeCell ref="S132:T132"/>
    <mergeCell ref="X132:Z132"/>
    <mergeCell ref="B133:C133"/>
    <mergeCell ref="G133:K133"/>
    <mergeCell ref="M133:O133"/>
    <mergeCell ref="S133:T133"/>
    <mergeCell ref="X133:Z133"/>
    <mergeCell ref="B134:C134"/>
    <mergeCell ref="G134:J134"/>
    <mergeCell ref="M134:O134"/>
    <mergeCell ref="S134:T134"/>
    <mergeCell ref="X134:Z134"/>
    <mergeCell ref="B135:C135"/>
    <mergeCell ref="G135:J135"/>
    <mergeCell ref="M135:O135"/>
    <mergeCell ref="S135:T135"/>
    <mergeCell ref="X135:Z135"/>
    <mergeCell ref="B136:C136"/>
    <mergeCell ref="G136:J136"/>
    <mergeCell ref="M136:O136"/>
    <mergeCell ref="S136:T136"/>
    <mergeCell ref="X136:Z136"/>
    <mergeCell ref="B137:C137"/>
    <mergeCell ref="G137:J137"/>
    <mergeCell ref="M137:O137"/>
    <mergeCell ref="S137:T137"/>
    <mergeCell ref="X137:Z137"/>
    <mergeCell ref="B138:C138"/>
    <mergeCell ref="G138:J138"/>
    <mergeCell ref="M138:O138"/>
    <mergeCell ref="S138:T138"/>
    <mergeCell ref="X138:Z138"/>
    <mergeCell ref="B139:C139"/>
    <mergeCell ref="G139:J139"/>
    <mergeCell ref="M139:O139"/>
    <mergeCell ref="S139:T139"/>
    <mergeCell ref="X139:Z139"/>
    <mergeCell ref="B140:C140"/>
    <mergeCell ref="G140:J140"/>
    <mergeCell ref="M140:O140"/>
    <mergeCell ref="S140:T140"/>
    <mergeCell ref="X140:Z140"/>
    <mergeCell ref="B141:C141"/>
    <mergeCell ref="G141:J141"/>
    <mergeCell ref="M141:O141"/>
    <mergeCell ref="S141:T141"/>
    <mergeCell ref="B142:C142"/>
    <mergeCell ref="G142:J142"/>
    <mergeCell ref="M142:O142"/>
    <mergeCell ref="S142:T142"/>
    <mergeCell ref="B143:C143"/>
    <mergeCell ref="G143:J143"/>
    <mergeCell ref="S143:T143"/>
    <mergeCell ref="B144:C144"/>
    <mergeCell ref="G144:J144"/>
    <mergeCell ref="M144:Q144"/>
    <mergeCell ref="S144:T144"/>
    <mergeCell ref="B145:C145"/>
    <mergeCell ref="G145:J145"/>
    <mergeCell ref="M145:O145"/>
    <mergeCell ref="S145:T145"/>
    <mergeCell ref="B146:C146"/>
    <mergeCell ref="G146:J146"/>
    <mergeCell ref="M146:O146"/>
    <mergeCell ref="S146:T146"/>
    <mergeCell ref="B147:C147"/>
    <mergeCell ref="G147:I147"/>
    <mergeCell ref="M147:O147"/>
    <mergeCell ref="S147:T147"/>
    <mergeCell ref="B148:C148"/>
    <mergeCell ref="G148:I148"/>
    <mergeCell ref="M148:O148"/>
    <mergeCell ref="S148:T148"/>
    <mergeCell ref="B149:C149"/>
    <mergeCell ref="G149:I149"/>
    <mergeCell ref="M149:O149"/>
    <mergeCell ref="B150:C150"/>
    <mergeCell ref="G150:I150"/>
    <mergeCell ref="M150:O150"/>
    <mergeCell ref="S150:V150"/>
    <mergeCell ref="B151:C151"/>
    <mergeCell ref="M151:O151"/>
    <mergeCell ref="S151:T151"/>
    <mergeCell ref="B152:C152"/>
    <mergeCell ref="G152:K152"/>
    <mergeCell ref="M152:O152"/>
    <mergeCell ref="S152:T152"/>
    <mergeCell ref="B153:C153"/>
    <mergeCell ref="G153:I153"/>
    <mergeCell ref="M153:O153"/>
    <mergeCell ref="S153:T153"/>
    <mergeCell ref="G154:I154"/>
    <mergeCell ref="M154:O154"/>
    <mergeCell ref="S154:T154"/>
    <mergeCell ref="B155:E155"/>
    <mergeCell ref="G155:I155"/>
    <mergeCell ref="M155:O155"/>
    <mergeCell ref="S155:T155"/>
    <mergeCell ref="B156:C156"/>
    <mergeCell ref="G156:I156"/>
    <mergeCell ref="M156:O156"/>
    <mergeCell ref="S156:T156"/>
    <mergeCell ref="B157:C157"/>
    <mergeCell ref="G157:I157"/>
    <mergeCell ref="M157:O157"/>
    <mergeCell ref="S157:T157"/>
    <mergeCell ref="B158:C158"/>
    <mergeCell ref="G158:I158"/>
    <mergeCell ref="M158:O158"/>
    <mergeCell ref="S158:T158"/>
    <mergeCell ref="B159:E159"/>
    <mergeCell ref="G159:K159"/>
    <mergeCell ref="M159:O159"/>
    <mergeCell ref="S159:T159"/>
    <mergeCell ref="B160:C160"/>
    <mergeCell ref="G160:I160"/>
    <mergeCell ref="M160:O160"/>
    <mergeCell ref="S160:T160"/>
    <mergeCell ref="B161:C161"/>
    <mergeCell ref="G161:I161"/>
    <mergeCell ref="M161:O161"/>
    <mergeCell ref="S161:T161"/>
    <mergeCell ref="B162:C162"/>
    <mergeCell ref="G162:I162"/>
    <mergeCell ref="M162:O162"/>
    <mergeCell ref="S162:T162"/>
    <mergeCell ref="B163:C163"/>
    <mergeCell ref="G163:I163"/>
    <mergeCell ref="M163:O163"/>
    <mergeCell ref="S163:T163"/>
    <mergeCell ref="B164:C164"/>
    <mergeCell ref="M164:O164"/>
    <mergeCell ref="S164:T164"/>
    <mergeCell ref="B165:C165"/>
    <mergeCell ref="G165:K165"/>
    <mergeCell ref="M165:O165"/>
    <mergeCell ref="S165:T165"/>
    <mergeCell ref="B166:C166"/>
    <mergeCell ref="G166:I166"/>
    <mergeCell ref="M166:O166"/>
    <mergeCell ref="S166:T166"/>
    <mergeCell ref="B167:C167"/>
    <mergeCell ref="G167:I167"/>
    <mergeCell ref="M167:O167"/>
    <mergeCell ref="S167:T167"/>
    <mergeCell ref="B168:C168"/>
    <mergeCell ref="G168:I168"/>
    <mergeCell ref="M168:O168"/>
    <mergeCell ref="S168:T168"/>
    <mergeCell ref="G169:I169"/>
    <mergeCell ref="M169:O169"/>
    <mergeCell ref="S169:T169"/>
    <mergeCell ref="B170:E170"/>
    <mergeCell ref="G170:I170"/>
    <mergeCell ref="M170:O170"/>
    <mergeCell ref="S170:T170"/>
    <mergeCell ref="B171:C171"/>
    <mergeCell ref="G171:I171"/>
    <mergeCell ref="M171:O171"/>
    <mergeCell ref="S171:T171"/>
    <mergeCell ref="B172:C172"/>
    <mergeCell ref="G172:I172"/>
    <mergeCell ref="M172:O172"/>
    <mergeCell ref="S172:T172"/>
    <mergeCell ref="B173:C173"/>
    <mergeCell ref="G173:I173"/>
    <mergeCell ref="M173:O173"/>
    <mergeCell ref="S173:T173"/>
    <mergeCell ref="B174:C174"/>
    <mergeCell ref="G174:K174"/>
    <mergeCell ref="M174:O174"/>
    <mergeCell ref="S174:T174"/>
    <mergeCell ref="B175:C175"/>
    <mergeCell ref="G175:I175"/>
    <mergeCell ref="M175:O175"/>
    <mergeCell ref="S175:T175"/>
    <mergeCell ref="B176:C176"/>
    <mergeCell ref="G176:I176"/>
    <mergeCell ref="M176:O176"/>
    <mergeCell ref="S176:T176"/>
    <mergeCell ref="B177:C177"/>
    <mergeCell ref="G177:I177"/>
    <mergeCell ref="M177:O177"/>
    <mergeCell ref="S177:T177"/>
    <mergeCell ref="G178:I178"/>
    <mergeCell ref="M178:Q178"/>
    <mergeCell ref="S178:T178"/>
    <mergeCell ref="B179:E179"/>
    <mergeCell ref="G179:I179"/>
    <mergeCell ref="M179:O179"/>
    <mergeCell ref="S179:T179"/>
    <mergeCell ref="B180:C180"/>
    <mergeCell ref="G180:I180"/>
    <mergeCell ref="M180:O180"/>
    <mergeCell ref="S180:T180"/>
    <mergeCell ref="B181:C181"/>
    <mergeCell ref="M181:O181"/>
    <mergeCell ref="S181:T181"/>
    <mergeCell ref="B182:C182"/>
    <mergeCell ref="G182:K182"/>
    <mergeCell ref="M182:O182"/>
    <mergeCell ref="S182:T182"/>
    <mergeCell ref="B183:C183"/>
    <mergeCell ref="G183:I183"/>
    <mergeCell ref="M183:O183"/>
    <mergeCell ref="S183:T183"/>
    <mergeCell ref="B184:C184"/>
    <mergeCell ref="G184:I184"/>
    <mergeCell ref="M184:O184"/>
    <mergeCell ref="S184:T184"/>
    <mergeCell ref="B185:C185"/>
    <mergeCell ref="G185:I185"/>
    <mergeCell ref="M185:O185"/>
    <mergeCell ref="S185:T185"/>
    <mergeCell ref="B186:C186"/>
    <mergeCell ref="G186:I186"/>
    <mergeCell ref="M186:O186"/>
    <mergeCell ref="B187:C187"/>
    <mergeCell ref="G187:I187"/>
    <mergeCell ref="M187:O187"/>
    <mergeCell ref="S187:V187"/>
    <mergeCell ref="B188:C188"/>
    <mergeCell ref="G188:I188"/>
    <mergeCell ref="M188:O188"/>
    <mergeCell ref="S188:T188"/>
    <mergeCell ref="B189:C189"/>
    <mergeCell ref="G189:I189"/>
    <mergeCell ref="S189:T189"/>
    <mergeCell ref="G190:I190"/>
    <mergeCell ref="M190:Q190"/>
    <mergeCell ref="S190:T190"/>
    <mergeCell ref="G191:K191"/>
    <mergeCell ref="M191:O191"/>
    <mergeCell ref="S191:T191"/>
    <mergeCell ref="G192:I192"/>
    <mergeCell ref="M192:O192"/>
    <mergeCell ref="S192:T192"/>
    <mergeCell ref="M196:O196"/>
    <mergeCell ref="S196:T196"/>
    <mergeCell ref="G197:I197"/>
    <mergeCell ref="M197:Q197"/>
    <mergeCell ref="S197:T197"/>
    <mergeCell ref="G198:I198"/>
    <mergeCell ref="M198:O198"/>
    <mergeCell ref="S198:T198"/>
    <mergeCell ref="G193:I193"/>
    <mergeCell ref="M193:O193"/>
    <mergeCell ref="S193:T193"/>
    <mergeCell ref="G194:I194"/>
    <mergeCell ref="M194:O194"/>
    <mergeCell ref="S194:T194"/>
    <mergeCell ref="G195:I195"/>
    <mergeCell ref="M195:O195"/>
    <mergeCell ref="S195:T195"/>
    <mergeCell ref="M214:O214"/>
    <mergeCell ref="M215:O215"/>
    <mergeCell ref="M216:O216"/>
    <mergeCell ref="E181:E183"/>
    <mergeCell ref="Q198:Q206"/>
    <mergeCell ref="A12:D13"/>
    <mergeCell ref="B87:AA89"/>
    <mergeCell ref="M207:Q207"/>
    <mergeCell ref="S207:T207"/>
    <mergeCell ref="M208:O208"/>
    <mergeCell ref="S208:T208"/>
    <mergeCell ref="M209:O209"/>
    <mergeCell ref="S209:T209"/>
    <mergeCell ref="M210:O210"/>
    <mergeCell ref="S210:T210"/>
    <mergeCell ref="M211:O211"/>
    <mergeCell ref="S211:T211"/>
    <mergeCell ref="G203:I203"/>
    <mergeCell ref="M203:O203"/>
    <mergeCell ref="S203:T203"/>
    <mergeCell ref="G204:I204"/>
    <mergeCell ref="M204:O204"/>
    <mergeCell ref="S204:T204"/>
    <mergeCell ref="M205:O205"/>
    <mergeCell ref="A9:D10"/>
    <mergeCell ref="A6:D8"/>
    <mergeCell ref="B2:AA4"/>
    <mergeCell ref="N32:R34"/>
    <mergeCell ref="X141:AA146"/>
    <mergeCell ref="B39:AA41"/>
    <mergeCell ref="M212:O212"/>
    <mergeCell ref="S212:T212"/>
    <mergeCell ref="M213:O213"/>
    <mergeCell ref="S205:T205"/>
    <mergeCell ref="M206:O206"/>
    <mergeCell ref="S206:T206"/>
    <mergeCell ref="M199:O199"/>
    <mergeCell ref="S199:T199"/>
    <mergeCell ref="G200:K200"/>
    <mergeCell ref="M200:O200"/>
    <mergeCell ref="S200:T200"/>
    <mergeCell ref="G201:I201"/>
    <mergeCell ref="M201:O201"/>
    <mergeCell ref="S201:T201"/>
    <mergeCell ref="G202:I202"/>
    <mergeCell ref="M202:O202"/>
    <mergeCell ref="S202:T202"/>
    <mergeCell ref="G196:I196"/>
  </mergeCells>
  <phoneticPr fontId="188" type="noConversion"/>
  <dataValidations count="7">
    <dataValidation allowBlank="1" showInputMessage="1" showErrorMessage="1" promptTitle="注" prompt="价格在$3000 以下的，准确射程不到 200 码" sqref="X139:Z139" xr:uid="{00000000-0002-0000-0800-000000000000}"/>
    <dataValidation allowBlank="1" showInputMessage="1" showErrorMessage="1" promptTitle="注" prompt="不知道为什么，物价表的信号枪价值100美元。_x000a_武器列表的信号枪却价值75美元了。_x000a_我觉得可能是求生和军用的区别吧？" sqref="P60" xr:uid="{00000000-0002-0000-0800-000001000000}"/>
    <dataValidation allowBlank="1" showInputMessage="1" showErrorMessage="1" promptTitle="注" prompt="和信号枪一样_x000a_这个价格也和武器表不一样_x000a_嘛，主要看dm怎么觉定啦" sqref="AA67" xr:uid="{00000000-0002-0000-0800-000002000000}"/>
    <dataValidation allowBlank="1" showInputMessage="1" showErrorMessage="1" promptTitle="注" prompt="和信号枪一样_x000a_价格跟武器表不一样_x000a_嘛，看kp啦" sqref="Z66:AA66" xr:uid="{00000000-0002-0000-0800-000003000000}"/>
    <dataValidation allowBlank="1" showInputMessage="1" showErrorMessage="1" promptTitle="注" prompt="悬停25秒" sqref="X138:Z138" xr:uid="{00000000-0002-0000-0800-000004000000}"/>
    <dataValidation allowBlank="1" showInputMessage="1" showErrorMessage="1" promptTitle="注" prompt="哑弹率30%" sqref="X137:Z137" xr:uid="{00000000-0002-0000-0800-000005000000}"/>
    <dataValidation allowBlank="1" showInputMessage="1" showErrorMessage="1" promptTitle="注" prompt="50% 哑弹率" sqref="X140:Z140" xr:uid="{00000000-0002-0000-0800-000006000000}"/>
  </dataValidations>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13</vt:i4>
      </vt:variant>
      <vt:variant>
        <vt:lpstr>命名范围</vt:lpstr>
      </vt:variant>
      <vt:variant>
        <vt:i4>10</vt:i4>
      </vt:variant>
    </vt:vector>
  </HeadingPairs>
  <TitlesOfParts>
    <vt:vector size="23" baseType="lpstr">
      <vt:lpstr>人物卡</vt:lpstr>
      <vt:lpstr>简化卡 骰娘导入</vt:lpstr>
      <vt:lpstr>职业列表</vt:lpstr>
      <vt:lpstr>成长表（测试）</vt:lpstr>
      <vt:lpstr>本职技能</vt:lpstr>
      <vt:lpstr>附表</vt:lpstr>
      <vt:lpstr>技能注释</vt:lpstr>
      <vt:lpstr>属性注释</vt:lpstr>
      <vt:lpstr>资产及物价参考</vt:lpstr>
      <vt:lpstr>武器列表 战斗</vt:lpstr>
      <vt:lpstr>防具表 载具表</vt:lpstr>
      <vt:lpstr>疯狂表</vt:lpstr>
      <vt:lpstr>更新说明</vt:lpstr>
      <vt:lpstr>APP</vt:lpstr>
      <vt:lpstr>CON</vt:lpstr>
      <vt:lpstr>DEX</vt:lpstr>
      <vt:lpstr>EDU</vt:lpstr>
      <vt:lpstr>INT</vt:lpstr>
      <vt:lpstr>Luck</vt:lpstr>
      <vt:lpstr>MP</vt:lpstr>
      <vt:lpstr>POW</vt:lpstr>
      <vt:lpstr>SIZ</vt:lpstr>
      <vt:lpstr>STR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COC七版规则人物卡</dc:title>
  <dc:creator>秋叶EXODUS、咕咕、贝尔sama喵</dc:creator>
  <cp:lastModifiedBy>杨家禹</cp:lastModifiedBy>
  <dcterms:created xsi:type="dcterms:W3CDTF">2018-08-01T05:00:00Z</dcterms:created>
  <dcterms:modified xsi:type="dcterms:W3CDTF">2022-01-18T14:40:34Z</dcterms:modified>
  <cp:category>1.18.9.2</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2052-11.1.0.10578</vt:lpwstr>
  </property>
  <property fmtid="{D5CDD505-2E9C-101B-9397-08002B2CF9AE}" pid="3" name="ICV">
    <vt:lpwstr>746846FA8A4147D9B8E025A6930C712A</vt:lpwstr>
  </property>
</Properties>
</file>