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yste\Documents\Masteroppgave\"/>
    </mc:Choice>
  </mc:AlternateContent>
  <xr:revisionPtr revIDLastSave="0" documentId="13_ncr:1_{7961748D-11F4-495B-BFD2-5098069CCAAD}" xr6:coauthVersionLast="45" xr6:coauthVersionMax="45" xr10:uidLastSave="{00000000-0000-0000-0000-000000000000}"/>
  <bookViews>
    <workbookView xWindow="-108" yWindow="-108" windowWidth="23256" windowHeight="12576" xr2:uid="{A1B7EC4E-B536-4F30-A5EA-E8C07AF799B2}"/>
  </bookViews>
  <sheets>
    <sheet name="Sheet1" sheetId="1" r:id="rId1"/>
  </sheets>
  <definedNames>
    <definedName name="_0.35">Sheet1!$B$6</definedName>
    <definedName name="_R1">Sheet1!$K$26</definedName>
    <definedName name="_R1_temp">Sheet1!$O$26</definedName>
    <definedName name="_R2">Sheet1!$K$24</definedName>
    <definedName name="_R4">Sheet1!$K$29</definedName>
    <definedName name="_R45_R25">Sheet1!$B$49</definedName>
    <definedName name="_V_out">Sheet1!$X$13</definedName>
    <definedName name="B_25_100">Sheet1!$B$50</definedName>
    <definedName name="G_E">Sheet1!$G$8</definedName>
    <definedName name="G_F">Sheet1!$G$5</definedName>
    <definedName name="G_H">Sheet1!$G$6</definedName>
    <definedName name="G_W">Sheet1!$G$7</definedName>
    <definedName name="GE">Sheet1!$K$5</definedName>
    <definedName name="I_max">Sheet1!$B$6</definedName>
    <definedName name="I_max1">Sheet1!$B$6</definedName>
    <definedName name="I_max2">Sheet1!$B$7</definedName>
    <definedName name="I_out_12V">Sheet1!$B$30</definedName>
    <definedName name="I_out_6V">Sheet1!$B$29</definedName>
    <definedName name="K_ISET">Sheet1!$B$31</definedName>
    <definedName name="KVBUS_DPM">Sheet1!$B$25</definedName>
    <definedName name="R_1">Sheet1!#REF!</definedName>
    <definedName name="R_2">Sheet1!$X$14</definedName>
    <definedName name="R_S_F_12V">Sheet1!$I$11</definedName>
    <definedName name="R_S_F_6V">Sheet1!$I$11</definedName>
    <definedName name="RS1_50">Sheet1!#REF!</definedName>
    <definedName name="RS2_50">Sheet1!#REF!</definedName>
    <definedName name="RTH_45C">Sheet1!$B$36</definedName>
    <definedName name="V_FB">Sheet1!$K$25</definedName>
    <definedName name="V_in">Sheet1!$X$12</definedName>
    <definedName name="V_INMIN">Sheet1!$K$28</definedName>
    <definedName name="V_os_E">Sheet1!$S$8</definedName>
    <definedName name="V_os_F">Sheet1!$S$5</definedName>
    <definedName name="V_os_H">Sheet1!$S$6</definedName>
    <definedName name="V_os_W">Sheet1!$S$7</definedName>
    <definedName name="V_out">Sheet1!$K$23</definedName>
    <definedName name="V_s_E">Sheet1!$O$8</definedName>
    <definedName name="V_s_F">Sheet1!$O$5</definedName>
    <definedName name="V_s_H">Sheet1!$O$6</definedName>
    <definedName name="V_s_W">Sheet1!$O$7</definedName>
    <definedName name="V_UVLO">Sheet1!$K$30</definedName>
    <definedName name="V45C">Sheet1!$B$35</definedName>
    <definedName name="Vbus_DPM">Sheet1!$B$23</definedName>
    <definedName name="Vbus_DPM_1">Sheet1!$B$24</definedName>
    <definedName name="Vdd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0" i="1" l="1"/>
  <c r="B5" i="1"/>
  <c r="B33" i="1" l="1"/>
  <c r="B37" i="1"/>
  <c r="K31" i="1"/>
  <c r="N31" i="1"/>
  <c r="B32" i="1"/>
  <c r="B26" i="1"/>
  <c r="O8" i="1" l="1"/>
  <c r="B15" i="1" s="1"/>
  <c r="K26" i="1" l="1"/>
  <c r="X15" i="1"/>
  <c r="O6" i="1"/>
  <c r="O5" i="1"/>
  <c r="I11" i="1" s="1"/>
  <c r="O7" i="1"/>
  <c r="B14" i="1" s="1"/>
  <c r="I14" i="1"/>
  <c r="M14" i="1"/>
  <c r="C15" i="1"/>
  <c r="D15" i="1" s="1"/>
  <c r="Q12" i="1" l="1"/>
  <c r="B12" i="1"/>
  <c r="C12" i="1"/>
  <c r="K16" i="1"/>
  <c r="M11" i="1"/>
  <c r="Q13" i="1" s="1"/>
  <c r="I16" i="1"/>
  <c r="M16" i="1"/>
  <c r="B13" i="1"/>
  <c r="I12" i="1"/>
  <c r="C14" i="1"/>
  <c r="D14" i="1" s="1"/>
  <c r="I13" i="1"/>
  <c r="C13" i="1"/>
  <c r="M12" i="1"/>
  <c r="M13" i="1"/>
  <c r="D12" i="1" l="1"/>
  <c r="D13" i="1"/>
</calcChain>
</file>

<file path=xl/sharedStrings.xml><?xml version="1.0" encoding="utf-8"?>
<sst xmlns="http://schemas.openxmlformats.org/spreadsheetml/2006/main" count="136" uniqueCount="90">
  <si>
    <t>Vdd</t>
  </si>
  <si>
    <t>Unit</t>
  </si>
  <si>
    <t>V</t>
  </si>
  <si>
    <t>MAX44284</t>
  </si>
  <si>
    <t>Gain</t>
  </si>
  <si>
    <t>G_F</t>
  </si>
  <si>
    <t>G_H</t>
  </si>
  <si>
    <t>G_W</t>
  </si>
  <si>
    <t>G_E</t>
  </si>
  <si>
    <t>V/V</t>
  </si>
  <si>
    <t>mA</t>
  </si>
  <si>
    <t>V_s_F</t>
  </si>
  <si>
    <t>V_s_H</t>
  </si>
  <si>
    <t>V_s_W</t>
  </si>
  <si>
    <t>V_s_E</t>
  </si>
  <si>
    <t>mV</t>
  </si>
  <si>
    <t>Gain error typical</t>
  </si>
  <si>
    <t>%</t>
  </si>
  <si>
    <t>GE</t>
  </si>
  <si>
    <t>V_out_F</t>
  </si>
  <si>
    <t>V_out_H</t>
  </si>
  <si>
    <t>V_out_W</t>
  </si>
  <si>
    <t>V_out_E</t>
  </si>
  <si>
    <t>Min</t>
  </si>
  <si>
    <t>Max</t>
  </si>
  <si>
    <t xml:space="preserve">Voltage offset </t>
  </si>
  <si>
    <t>V_os_F</t>
  </si>
  <si>
    <t>V_os_H</t>
  </si>
  <si>
    <t>V_os_W</t>
  </si>
  <si>
    <t>V_os_E</t>
  </si>
  <si>
    <t>uV</t>
  </si>
  <si>
    <t>Max error</t>
  </si>
  <si>
    <t>V_sense = Vdd/Gain</t>
  </si>
  <si>
    <t>R_S_F</t>
  </si>
  <si>
    <t>R_S_H</t>
  </si>
  <si>
    <t>R_S_W</t>
  </si>
  <si>
    <t>R_S_E</t>
  </si>
  <si>
    <t>Ohm</t>
  </si>
  <si>
    <t>I_max1</t>
  </si>
  <si>
    <t>I_max2</t>
  </si>
  <si>
    <t>BQ24210</t>
  </si>
  <si>
    <t>Vbus_DPM_1</t>
  </si>
  <si>
    <t>Vbus_DPM</t>
  </si>
  <si>
    <t>Desired input voltage regulation voltage threshold</t>
  </si>
  <si>
    <t>built in offset threshold</t>
  </si>
  <si>
    <t>KVBUS_DPM</t>
  </si>
  <si>
    <t>V/kOhm</t>
  </si>
  <si>
    <t>Value</t>
  </si>
  <si>
    <t>Comment</t>
  </si>
  <si>
    <t>Gain constant from datasheet, typ value</t>
  </si>
  <si>
    <t>R_VDPM</t>
  </si>
  <si>
    <t>kOhm</t>
  </si>
  <si>
    <t>I_out_6V</t>
  </si>
  <si>
    <t>I_out_12V</t>
  </si>
  <si>
    <t>Aohm</t>
  </si>
  <si>
    <t>K_ISET</t>
  </si>
  <si>
    <t>R_ISET_6V</t>
  </si>
  <si>
    <t>R_ISET_12V</t>
  </si>
  <si>
    <t>ohm</t>
  </si>
  <si>
    <t>R2</t>
  </si>
  <si>
    <t>V_out</t>
  </si>
  <si>
    <t>V_FB</t>
  </si>
  <si>
    <t>R1</t>
  </si>
  <si>
    <t>R1_temp</t>
  </si>
  <si>
    <t>Reverse calc: Shunt -&gt; V_sense</t>
  </si>
  <si>
    <t>V1_sense_50</t>
  </si>
  <si>
    <t>V2_sense_50</t>
  </si>
  <si>
    <t xml:space="preserve">POWER: </t>
  </si>
  <si>
    <t>mW</t>
  </si>
  <si>
    <t>R4</t>
  </si>
  <si>
    <t>V_INMIN</t>
  </si>
  <si>
    <t>Voltage divider with R3</t>
  </si>
  <si>
    <t>Voltage divider with R1</t>
  </si>
  <si>
    <t>V_UVLO</t>
  </si>
  <si>
    <t>R3</t>
  </si>
  <si>
    <t>Mohm</t>
  </si>
  <si>
    <t>kohm</t>
  </si>
  <si>
    <t>V45C</t>
  </si>
  <si>
    <t>From datasheet</t>
  </si>
  <si>
    <t>%VTSB</t>
  </si>
  <si>
    <t>RTH(45C)</t>
  </si>
  <si>
    <t>RT1</t>
  </si>
  <si>
    <t>Resistance of thermistor at 45 degrees C</t>
  </si>
  <si>
    <t>Voltage division</t>
  </si>
  <si>
    <t>V_in</t>
  </si>
  <si>
    <t>Shunt resistor2 6V</t>
  </si>
  <si>
    <t>Shunt resistor1 12V</t>
  </si>
  <si>
    <t>Voltage output with typ error 12V</t>
  </si>
  <si>
    <t>Fixed output</t>
  </si>
  <si>
    <t>TPS6101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</si>
</sst>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/>
    </xf>
    <xf numFmtId="0" fontId="0" fillId="0" borderId="0" xfId="0" applyNumberFormat="1" applyAlignment="1"/>
    <xf numFmtId="0" fontId="3" fillId="0" borderId="0" xfId="0" applyNumberFormat="1" applyFont="1" applyAlignment="1">
      <alignment horizontal="center"/>
    </xf>
    <xf numFmtId="0" fontId="6" fillId="0" borderId="0" xfId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/>
    <xf numFmtId="0" fontId="1" fillId="2" borderId="0" xfId="0" applyFont="1" applyFill="1"/>
    <xf numFmtId="0" fontId="0" fillId="2" borderId="0" xfId="0" applyFill="1"/>
    <xf numFmtId="0" fontId="7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F704-F7EC-4153-B4A6-AAFFBD6E7FF7}">
  <dimension ref="A1:Z61"/>
  <sheetViews>
    <sheetView tabSelected="1" workbookViewId="0">
      <selection activeCell="K16" sqref="K16"/>
    </sheetView>
  </sheetViews>
  <sheetFormatPr defaultRowHeight="14.4" x14ac:dyDescent="0.3"/>
  <cols>
    <col min="1" max="1" width="13" customWidth="1"/>
    <col min="2" max="3" width="9.109375" style="1"/>
    <col min="4" max="4" width="10.44140625" customWidth="1"/>
    <col min="11" max="11" width="9.88671875" customWidth="1"/>
    <col min="15" max="15" width="11.33203125" customWidth="1"/>
    <col min="16" max="16" width="13" customWidth="1"/>
    <col min="19" max="19" width="11.109375" customWidth="1"/>
  </cols>
  <sheetData>
    <row r="1" spans="1:25" x14ac:dyDescent="0.3">
      <c r="A1" s="31" t="s">
        <v>3</v>
      </c>
      <c r="B1" s="31"/>
      <c r="C1" s="31"/>
      <c r="D1" s="31"/>
      <c r="E1" s="31"/>
    </row>
    <row r="2" spans="1:25" x14ac:dyDescent="0.3">
      <c r="A2" s="31"/>
      <c r="B2" s="31"/>
      <c r="C2" s="31"/>
      <c r="D2" s="31"/>
      <c r="E2" s="31"/>
    </row>
    <row r="3" spans="1:25" x14ac:dyDescent="0.3">
      <c r="A3" s="31"/>
      <c r="B3" s="31"/>
      <c r="C3" s="31"/>
      <c r="D3" s="31"/>
      <c r="E3" s="31"/>
    </row>
    <row r="4" spans="1:25" x14ac:dyDescent="0.3">
      <c r="A4" s="2"/>
      <c r="B4" s="3"/>
      <c r="C4" s="3"/>
      <c r="F4" s="28" t="s">
        <v>4</v>
      </c>
      <c r="G4" s="28"/>
      <c r="H4" s="5" t="s">
        <v>1</v>
      </c>
      <c r="I4" s="4"/>
      <c r="J4" s="28" t="s">
        <v>16</v>
      </c>
      <c r="K4" s="28"/>
      <c r="L4" s="2" t="s">
        <v>1</v>
      </c>
      <c r="N4" s="28" t="s">
        <v>32</v>
      </c>
      <c r="O4" s="28"/>
      <c r="P4" s="5" t="s">
        <v>1</v>
      </c>
      <c r="R4" s="28" t="s">
        <v>25</v>
      </c>
      <c r="S4" s="28"/>
      <c r="T4" s="2" t="s">
        <v>1</v>
      </c>
    </row>
    <row r="5" spans="1:25" ht="18" x14ac:dyDescent="0.35">
      <c r="A5" s="6" t="s">
        <v>0</v>
      </c>
      <c r="B5" s="17">
        <f>V_out</f>
        <v>3.3</v>
      </c>
      <c r="C5" s="7" t="s">
        <v>2</v>
      </c>
      <c r="F5" t="s">
        <v>5</v>
      </c>
      <c r="G5">
        <v>50</v>
      </c>
      <c r="H5" s="27" t="s">
        <v>9</v>
      </c>
      <c r="J5" s="27" t="s">
        <v>18</v>
      </c>
      <c r="K5" s="27">
        <v>0.05</v>
      </c>
      <c r="L5" s="27" t="s">
        <v>17</v>
      </c>
      <c r="N5" t="s">
        <v>11</v>
      </c>
      <c r="O5">
        <f>Vdd*1000/G_F</f>
        <v>66</v>
      </c>
      <c r="P5" s="27" t="s">
        <v>15</v>
      </c>
      <c r="R5" t="s">
        <v>26</v>
      </c>
      <c r="S5">
        <v>2</v>
      </c>
      <c r="T5" s="27" t="s">
        <v>30</v>
      </c>
    </row>
    <row r="6" spans="1:25" ht="18" x14ac:dyDescent="0.35">
      <c r="A6" s="6" t="s">
        <v>38</v>
      </c>
      <c r="B6" s="7">
        <v>350</v>
      </c>
      <c r="C6" s="7" t="s">
        <v>10</v>
      </c>
      <c r="F6" t="s">
        <v>6</v>
      </c>
      <c r="G6">
        <v>100</v>
      </c>
      <c r="H6" s="27"/>
      <c r="J6" s="27"/>
      <c r="K6" s="27"/>
      <c r="L6" s="27"/>
      <c r="N6" t="s">
        <v>12</v>
      </c>
      <c r="O6">
        <f>Vdd*1000/G_H</f>
        <v>33</v>
      </c>
      <c r="P6" s="27"/>
      <c r="R6" t="s">
        <v>27</v>
      </c>
      <c r="S6">
        <v>2</v>
      </c>
      <c r="T6" s="27"/>
    </row>
    <row r="7" spans="1:25" ht="18" x14ac:dyDescent="0.35">
      <c r="A7" s="6" t="s">
        <v>39</v>
      </c>
      <c r="B7" s="7">
        <v>330</v>
      </c>
      <c r="C7" s="7" t="s">
        <v>10</v>
      </c>
      <c r="F7" t="s">
        <v>7</v>
      </c>
      <c r="G7">
        <v>200</v>
      </c>
      <c r="H7" s="27"/>
      <c r="J7" s="27"/>
      <c r="K7" s="27"/>
      <c r="L7" s="27"/>
      <c r="N7" t="s">
        <v>13</v>
      </c>
      <c r="O7">
        <f>Vdd*1000/G_W</f>
        <v>16.5</v>
      </c>
      <c r="P7" s="27"/>
      <c r="R7" t="s">
        <v>28</v>
      </c>
      <c r="S7">
        <v>10</v>
      </c>
      <c r="T7" s="27"/>
    </row>
    <row r="8" spans="1:25" x14ac:dyDescent="0.3">
      <c r="F8" t="s">
        <v>8</v>
      </c>
      <c r="G8">
        <v>500</v>
      </c>
      <c r="H8" s="27"/>
      <c r="J8" s="27"/>
      <c r="K8" s="27"/>
      <c r="L8" s="27"/>
      <c r="N8" t="s">
        <v>14</v>
      </c>
      <c r="O8">
        <f>Vdd*1000/G_E</f>
        <v>6.6</v>
      </c>
      <c r="P8" s="27"/>
      <c r="R8" t="s">
        <v>29</v>
      </c>
      <c r="S8">
        <v>15</v>
      </c>
      <c r="T8" s="27"/>
    </row>
    <row r="10" spans="1:25" x14ac:dyDescent="0.3">
      <c r="A10" s="28" t="s">
        <v>87</v>
      </c>
      <c r="B10" s="28"/>
      <c r="C10" s="28"/>
      <c r="E10" s="2" t="s">
        <v>1</v>
      </c>
      <c r="H10" s="28" t="s">
        <v>86</v>
      </c>
      <c r="I10" s="28"/>
      <c r="J10" s="2" t="s">
        <v>1</v>
      </c>
      <c r="L10" s="28" t="s">
        <v>85</v>
      </c>
      <c r="M10" s="28"/>
      <c r="N10" s="2" t="s">
        <v>1</v>
      </c>
      <c r="P10" s="30" t="s">
        <v>64</v>
      </c>
      <c r="Q10" s="30"/>
      <c r="R10" s="30"/>
      <c r="S10" s="30"/>
      <c r="W10" s="29" t="s">
        <v>83</v>
      </c>
      <c r="X10" s="29"/>
      <c r="Y10" s="29"/>
    </row>
    <row r="11" spans="1:25" x14ac:dyDescent="0.3">
      <c r="B11" s="2" t="s">
        <v>23</v>
      </c>
      <c r="C11" s="2" t="s">
        <v>24</v>
      </c>
      <c r="D11" s="2" t="s">
        <v>31</v>
      </c>
      <c r="H11" t="s">
        <v>33</v>
      </c>
      <c r="I11">
        <f>FLOOR(V_s_F/I_max,0.01)</f>
        <v>0.18</v>
      </c>
      <c r="J11" s="27" t="s">
        <v>58</v>
      </c>
      <c r="L11" t="s">
        <v>33</v>
      </c>
      <c r="M11">
        <f>FLOOR(V_s_F/I_max2,0.01)</f>
        <v>0.2</v>
      </c>
      <c r="N11" s="27" t="s">
        <v>37</v>
      </c>
      <c r="W11" s="29"/>
      <c r="X11" s="29"/>
      <c r="Y11" s="29"/>
    </row>
    <row r="12" spans="1:25" x14ac:dyDescent="0.3">
      <c r="A12" s="2" t="s">
        <v>19</v>
      </c>
      <c r="B12">
        <f>(G_F-GE*10^-2*G_F)*R_S_F_12V*I_max2-(G_F*V_os_F*10^-6)</f>
        <v>2968.5148999999997</v>
      </c>
      <c r="C12">
        <f>(G_F+GE*10^-2*G_F)*R_S_F_12V*I_max2+(G_F*V_os_F*10^-6)</f>
        <v>2971.4851000000003</v>
      </c>
      <c r="D12">
        <f>(C12-B12)/2</f>
        <v>1.4851000000003296</v>
      </c>
      <c r="E12" s="27" t="s">
        <v>15</v>
      </c>
      <c r="H12" t="s">
        <v>34</v>
      </c>
      <c r="I12">
        <f>V_s_H/I_max</f>
        <v>9.4285714285714292E-2</v>
      </c>
      <c r="J12" s="27"/>
      <c r="L12" t="s">
        <v>34</v>
      </c>
      <c r="M12">
        <f>V_s_H/I_max2</f>
        <v>0.1</v>
      </c>
      <c r="N12" s="27"/>
      <c r="P12" t="s">
        <v>65</v>
      </c>
      <c r="Q12">
        <f>I11*I_max1</f>
        <v>63</v>
      </c>
      <c r="R12" t="s">
        <v>15</v>
      </c>
      <c r="W12" t="s">
        <v>84</v>
      </c>
      <c r="X12">
        <v>4.2</v>
      </c>
      <c r="Y12" t="s">
        <v>2</v>
      </c>
    </row>
    <row r="13" spans="1:25" x14ac:dyDescent="0.3">
      <c r="A13" s="22" t="s">
        <v>20</v>
      </c>
      <c r="B13" s="23">
        <f>(G_H-GE*10^-2*G_H)*V_s_H-(G_H*V_os_H*10^-6)</f>
        <v>3298.3498</v>
      </c>
      <c r="C13" s="23">
        <f>(G_H+GE*10^-2*G_H)*V_s_H+(G_H*V_os_H*10^-6)</f>
        <v>3301.6502</v>
      </c>
      <c r="D13" s="23">
        <f t="shared" ref="D13:D15" si="0">(C13-B13)/2</f>
        <v>1.6502000000000407</v>
      </c>
      <c r="E13" s="27"/>
      <c r="H13" t="s">
        <v>35</v>
      </c>
      <c r="I13">
        <f>V_s_W/I_max</f>
        <v>4.7142857142857146E-2</v>
      </c>
      <c r="J13" s="27"/>
      <c r="L13" t="s">
        <v>35</v>
      </c>
      <c r="M13">
        <f>V_s_W/I_max2</f>
        <v>0.05</v>
      </c>
      <c r="N13" s="27"/>
      <c r="P13" t="s">
        <v>66</v>
      </c>
      <c r="Q13">
        <f>M11*I_max2</f>
        <v>66</v>
      </c>
      <c r="W13" t="s">
        <v>60</v>
      </c>
      <c r="X13" s="8">
        <v>3.3</v>
      </c>
      <c r="Y13" t="s">
        <v>2</v>
      </c>
    </row>
    <row r="14" spans="1:25" x14ac:dyDescent="0.3">
      <c r="A14" s="22" t="s">
        <v>21</v>
      </c>
      <c r="B14" s="23">
        <f>(G_W-GE*10^-2*G_W)*V_s_W-(G_W*V_os_W*10^-6)</f>
        <v>3298.348</v>
      </c>
      <c r="C14" s="23">
        <f>(G_W+GE*10^-2*G_W)*V_s_W+(G_W*V_os_W*10^-6)</f>
        <v>3301.652</v>
      </c>
      <c r="D14" s="23">
        <f t="shared" si="0"/>
        <v>1.6520000000000437</v>
      </c>
      <c r="E14" s="27"/>
      <c r="H14" t="s">
        <v>36</v>
      </c>
      <c r="I14">
        <f>V_s_E/I_max</f>
        <v>1.8857142857142857E-2</v>
      </c>
      <c r="J14" s="27"/>
      <c r="L14" t="s">
        <v>36</v>
      </c>
      <c r="M14">
        <f>V_s_E/I_max2</f>
        <v>0.02</v>
      </c>
      <c r="N14" s="27"/>
      <c r="W14" t="s">
        <v>59</v>
      </c>
      <c r="X14">
        <v>150</v>
      </c>
      <c r="Y14" t="s">
        <v>76</v>
      </c>
    </row>
    <row r="15" spans="1:25" x14ac:dyDescent="0.3">
      <c r="A15" s="22" t="s">
        <v>22</v>
      </c>
      <c r="B15" s="23">
        <f>(G_E-GE*10^-2*G_E)*V_s_E-(G_E*V_os_E*10^-6)</f>
        <v>3298.3424999999997</v>
      </c>
      <c r="C15" s="23">
        <f>(G_E+GE*10^-2*G_E)*V_s_E+(G_E*V_os_E*10^-6)</f>
        <v>3301.6574999999998</v>
      </c>
      <c r="D15" s="23">
        <f t="shared" si="0"/>
        <v>1.6575000000000273</v>
      </c>
      <c r="E15" s="27"/>
      <c r="W15" s="19" t="s">
        <v>62</v>
      </c>
      <c r="X15">
        <f>R_2*((V_in/_V_out) - 1)</f>
        <v>40.909090909090942</v>
      </c>
      <c r="Y15" t="s">
        <v>76</v>
      </c>
    </row>
    <row r="16" spans="1:25" x14ac:dyDescent="0.3">
      <c r="H16" t="s">
        <v>67</v>
      </c>
      <c r="I16">
        <f>I11*(_0.35*10^-3)*_0.35</f>
        <v>22.05</v>
      </c>
      <c r="J16" t="s">
        <v>68</v>
      </c>
      <c r="K16">
        <f>V_s_F/I_max</f>
        <v>0.18857142857142858</v>
      </c>
      <c r="M16">
        <f>V_s_F/I_max2</f>
        <v>0.2</v>
      </c>
    </row>
    <row r="17" spans="1:25" x14ac:dyDescent="0.3">
      <c r="W17" t="s">
        <v>84</v>
      </c>
      <c r="X17">
        <v>4.2</v>
      </c>
      <c r="Y17" t="s">
        <v>2</v>
      </c>
    </row>
    <row r="18" spans="1:25" x14ac:dyDescent="0.3">
      <c r="A18" s="31" t="s">
        <v>40</v>
      </c>
      <c r="B18" s="31"/>
      <c r="C18" s="31"/>
      <c r="D18" s="31"/>
      <c r="E18" s="31"/>
      <c r="J18" s="31" t="s">
        <v>89</v>
      </c>
      <c r="K18" s="31"/>
      <c r="L18" s="31"/>
      <c r="M18" s="31"/>
      <c r="N18" s="31"/>
      <c r="W18" t="s">
        <v>59</v>
      </c>
      <c r="X18">
        <v>150</v>
      </c>
      <c r="Y18" t="s">
        <v>76</v>
      </c>
    </row>
    <row r="19" spans="1:25" x14ac:dyDescent="0.3">
      <c r="A19" s="31"/>
      <c r="B19" s="31"/>
      <c r="C19" s="31"/>
      <c r="D19" s="31"/>
      <c r="E19" s="31"/>
      <c r="J19" s="31"/>
      <c r="K19" s="31"/>
      <c r="L19" s="31"/>
      <c r="M19" s="31"/>
      <c r="N19" s="31"/>
      <c r="W19" t="s">
        <v>62</v>
      </c>
      <c r="X19">
        <v>41.2</v>
      </c>
      <c r="Y19" t="s">
        <v>76</v>
      </c>
    </row>
    <row r="20" spans="1:25" x14ac:dyDescent="0.3">
      <c r="A20" s="31"/>
      <c r="B20" s="31"/>
      <c r="C20" s="31"/>
      <c r="D20" s="31"/>
      <c r="E20" s="31"/>
      <c r="J20" s="31"/>
      <c r="K20" s="31"/>
      <c r="L20" s="31"/>
      <c r="M20" s="31"/>
      <c r="N20" s="31"/>
      <c r="W20" s="19" t="s">
        <v>60</v>
      </c>
      <c r="X20">
        <f>X17*X18/(X19+X18)</f>
        <v>3.2949790794979084</v>
      </c>
    </row>
    <row r="21" spans="1:25" x14ac:dyDescent="0.3">
      <c r="A21" s="31"/>
      <c r="B21" s="31"/>
      <c r="C21" s="31"/>
      <c r="D21" s="31"/>
      <c r="E21" s="31"/>
      <c r="J21" s="31"/>
      <c r="K21" s="31"/>
      <c r="L21" s="31"/>
      <c r="M21" s="31"/>
      <c r="N21" s="31"/>
    </row>
    <row r="22" spans="1:25" x14ac:dyDescent="0.3">
      <c r="A22" s="8"/>
      <c r="B22" s="10" t="s">
        <v>47</v>
      </c>
      <c r="C22" s="10" t="s">
        <v>1</v>
      </c>
      <c r="D22" s="11" t="s">
        <v>48</v>
      </c>
      <c r="E22" s="8"/>
      <c r="F22" s="8"/>
      <c r="G22" s="8"/>
      <c r="H22" s="8"/>
      <c r="I22" s="8"/>
      <c r="J22" s="9"/>
      <c r="K22" s="10" t="s">
        <v>47</v>
      </c>
      <c r="L22" s="10" t="s">
        <v>1</v>
      </c>
      <c r="M22" s="10" t="s">
        <v>48</v>
      </c>
      <c r="N22" s="9"/>
      <c r="O22" s="9"/>
      <c r="P22" s="9"/>
      <c r="Q22" s="9"/>
      <c r="R22" s="9"/>
      <c r="S22" s="9"/>
      <c r="T22" s="1"/>
    </row>
    <row r="23" spans="1:25" x14ac:dyDescent="0.3">
      <c r="A23" s="8" t="s">
        <v>42</v>
      </c>
      <c r="B23" s="9">
        <v>4.3</v>
      </c>
      <c r="C23" s="9" t="s">
        <v>2</v>
      </c>
      <c r="D23" s="8" t="s">
        <v>43</v>
      </c>
      <c r="E23" s="8"/>
      <c r="F23" s="8"/>
      <c r="G23" s="8"/>
      <c r="H23" s="8"/>
      <c r="I23" s="8"/>
      <c r="J23" s="1" t="s">
        <v>60</v>
      </c>
      <c r="K23" s="1">
        <v>3.3</v>
      </c>
      <c r="L23" s="1" t="s">
        <v>2</v>
      </c>
      <c r="M23" s="16" t="s">
        <v>88</v>
      </c>
      <c r="N23" s="9"/>
      <c r="O23" s="9"/>
      <c r="P23" s="9"/>
      <c r="Q23" s="9"/>
      <c r="R23" s="9"/>
      <c r="S23" s="9"/>
      <c r="T23" s="1"/>
    </row>
    <row r="24" spans="1:25" x14ac:dyDescent="0.3">
      <c r="A24" s="8" t="s">
        <v>41</v>
      </c>
      <c r="B24" s="9">
        <v>3.5</v>
      </c>
      <c r="C24" s="9" t="s">
        <v>2</v>
      </c>
      <c r="D24" s="8" t="s">
        <v>44</v>
      </c>
      <c r="E24" s="8"/>
      <c r="F24" s="8"/>
      <c r="G24" s="8"/>
      <c r="H24" s="8"/>
      <c r="I24" s="8"/>
      <c r="J24" s="24" t="s">
        <v>59</v>
      </c>
      <c r="K24" s="24">
        <v>180</v>
      </c>
      <c r="L24" s="24" t="s">
        <v>76</v>
      </c>
      <c r="M24" s="25" t="s">
        <v>72</v>
      </c>
      <c r="N24" s="9"/>
      <c r="O24" s="9"/>
      <c r="P24" s="9"/>
      <c r="Q24" s="9"/>
      <c r="R24" s="9"/>
      <c r="S24" s="9"/>
      <c r="T24" s="1"/>
    </row>
    <row r="25" spans="1:25" x14ac:dyDescent="0.3">
      <c r="A25" s="8" t="s">
        <v>45</v>
      </c>
      <c r="B25" s="9">
        <v>0.15</v>
      </c>
      <c r="C25" s="9" t="s">
        <v>46</v>
      </c>
      <c r="D25" s="8" t="s">
        <v>49</v>
      </c>
      <c r="E25" s="8"/>
      <c r="F25" s="8"/>
      <c r="G25" s="8"/>
      <c r="H25" s="8"/>
      <c r="I25" s="8"/>
      <c r="J25" s="24" t="s">
        <v>61</v>
      </c>
      <c r="K25" s="24">
        <v>500</v>
      </c>
      <c r="L25" s="24" t="s">
        <v>15</v>
      </c>
      <c r="M25" s="25"/>
      <c r="N25" s="9"/>
      <c r="O25" s="9"/>
      <c r="P25" s="9"/>
      <c r="Q25" s="9"/>
      <c r="R25" s="9"/>
      <c r="S25" s="9"/>
      <c r="T25" s="1"/>
    </row>
    <row r="26" spans="1:25" x14ac:dyDescent="0.3">
      <c r="A26" s="12" t="s">
        <v>50</v>
      </c>
      <c r="B26" s="9">
        <f>(Vbus_DPM - Vbus_DPM_1)/KVBUS_DPM</f>
        <v>5.3333333333333321</v>
      </c>
      <c r="C26" s="9" t="s">
        <v>51</v>
      </c>
      <c r="D26" s="8"/>
      <c r="E26" s="8"/>
      <c r="F26" s="8"/>
      <c r="G26" s="8"/>
      <c r="H26" s="8"/>
      <c r="I26" s="8"/>
      <c r="J26" s="26" t="s">
        <v>62</v>
      </c>
      <c r="K26" s="24">
        <f>(_R2)*((V_out/(V_FB*10^-3))-1)</f>
        <v>1007.9999999999999</v>
      </c>
      <c r="L26" s="24" t="s">
        <v>76</v>
      </c>
      <c r="M26" s="25"/>
      <c r="N26" s="24" t="s">
        <v>63</v>
      </c>
      <c r="O26" s="24">
        <v>1000</v>
      </c>
      <c r="P26" s="24" t="s">
        <v>51</v>
      </c>
      <c r="Q26" s="9"/>
      <c r="R26" s="9"/>
      <c r="S26" s="9"/>
      <c r="T26" s="1"/>
    </row>
    <row r="27" spans="1:25" x14ac:dyDescent="0.3">
      <c r="A27" s="1"/>
      <c r="D27" s="9"/>
      <c r="E27" s="9"/>
      <c r="F27" s="9"/>
      <c r="G27" s="9"/>
      <c r="H27" s="9"/>
      <c r="I27" s="9"/>
      <c r="J27" s="9"/>
      <c r="K27" s="9"/>
      <c r="L27" s="9"/>
      <c r="M27" s="16"/>
      <c r="N27" s="9"/>
      <c r="O27" s="9"/>
      <c r="P27" s="9"/>
      <c r="Q27" s="9"/>
      <c r="R27" s="9"/>
      <c r="S27" s="9"/>
      <c r="T27" s="1"/>
    </row>
    <row r="28" spans="1:25" x14ac:dyDescent="0.3">
      <c r="A28" s="1"/>
      <c r="D28" s="9"/>
      <c r="E28" s="9"/>
      <c r="F28" s="9"/>
      <c r="G28" s="9"/>
      <c r="H28" s="9"/>
      <c r="I28" s="9"/>
      <c r="J28" s="9" t="s">
        <v>70</v>
      </c>
      <c r="K28">
        <v>2.52</v>
      </c>
      <c r="L28" s="9" t="s">
        <v>2</v>
      </c>
      <c r="M28" s="16"/>
      <c r="N28" s="9"/>
      <c r="O28" s="9"/>
      <c r="P28" s="9"/>
      <c r="Q28" s="9"/>
      <c r="R28" s="9"/>
      <c r="S28" s="9"/>
      <c r="T28" s="1"/>
    </row>
    <row r="29" spans="1:25" x14ac:dyDescent="0.3">
      <c r="A29" s="14" t="s">
        <v>52</v>
      </c>
      <c r="B29" s="9">
        <v>333</v>
      </c>
      <c r="C29" s="9" t="s">
        <v>10</v>
      </c>
      <c r="D29" s="9"/>
      <c r="E29" s="9"/>
      <c r="F29" s="9"/>
      <c r="G29" s="9"/>
      <c r="H29" s="9"/>
      <c r="I29" s="9"/>
      <c r="J29" s="9" t="s">
        <v>69</v>
      </c>
      <c r="K29" s="9">
        <v>249</v>
      </c>
      <c r="L29" s="9" t="s">
        <v>76</v>
      </c>
      <c r="M29" s="16" t="s">
        <v>71</v>
      </c>
      <c r="N29" s="9"/>
      <c r="O29" s="9"/>
      <c r="P29" s="9"/>
      <c r="Q29" s="9"/>
      <c r="R29" s="9"/>
      <c r="S29" s="9"/>
      <c r="T29" s="1"/>
    </row>
    <row r="30" spans="1:25" x14ac:dyDescent="0.3">
      <c r="A30" s="14" t="s">
        <v>53</v>
      </c>
      <c r="B30" s="9">
        <v>350</v>
      </c>
      <c r="C30" s="9" t="s">
        <v>10</v>
      </c>
      <c r="D30" s="10"/>
      <c r="E30" s="9"/>
      <c r="F30" s="9"/>
      <c r="G30" s="9"/>
      <c r="H30" s="9"/>
      <c r="I30" s="9"/>
      <c r="J30" s="9" t="s">
        <v>73</v>
      </c>
      <c r="K30" s="9">
        <v>250</v>
      </c>
      <c r="L30" s="9" t="s">
        <v>15</v>
      </c>
      <c r="M30" s="16"/>
      <c r="N30" s="9"/>
      <c r="O30" s="9"/>
      <c r="P30" s="9"/>
      <c r="Q30" s="9"/>
      <c r="R30" s="9"/>
      <c r="S30" s="9"/>
      <c r="T30" s="1"/>
    </row>
    <row r="31" spans="1:25" x14ac:dyDescent="0.3">
      <c r="A31" s="14" t="s">
        <v>55</v>
      </c>
      <c r="B31" s="1">
        <v>395</v>
      </c>
      <c r="C31" s="1" t="s">
        <v>54</v>
      </c>
      <c r="D31" s="1"/>
      <c r="E31" s="9"/>
      <c r="F31" s="9"/>
      <c r="G31" s="9"/>
      <c r="H31" s="9"/>
      <c r="I31" s="9"/>
      <c r="J31" s="13" t="s">
        <v>74</v>
      </c>
      <c r="K31" s="9">
        <f>FLOOR(_R4*((V_INMIN/(V_UVLO*10^-3))-1)*10^-3,0.01)</f>
        <v>2.2600000000000002</v>
      </c>
      <c r="L31" s="9" t="s">
        <v>75</v>
      </c>
      <c r="M31" s="16"/>
      <c r="N31" s="24">
        <f>((_R1_temp/_R2)+1)*V_FB*10^-3</f>
        <v>3.2777777777777777</v>
      </c>
      <c r="O31" s="9"/>
      <c r="P31" s="9"/>
      <c r="Q31" s="9"/>
      <c r="R31" s="9"/>
      <c r="S31" s="9"/>
      <c r="T31" s="1"/>
    </row>
    <row r="32" spans="1:25" x14ac:dyDescent="0.3">
      <c r="A32" s="15" t="s">
        <v>56</v>
      </c>
      <c r="B32" s="1">
        <f>K_ISET/(I_out_6V*10^-3)</f>
        <v>1186.1861861861862</v>
      </c>
      <c r="C32" s="1" t="s">
        <v>58</v>
      </c>
      <c r="D32" s="1"/>
      <c r="E32" s="9"/>
      <c r="F32" s="9"/>
      <c r="G32" s="9"/>
      <c r="H32" s="9"/>
      <c r="I32" s="9"/>
      <c r="J32" s="9"/>
      <c r="K32" s="9"/>
      <c r="L32" s="9"/>
      <c r="M32" s="16"/>
      <c r="N32" s="9"/>
      <c r="O32" s="9"/>
      <c r="P32" s="9"/>
      <c r="Q32" s="9"/>
      <c r="R32" s="9"/>
      <c r="S32" s="9"/>
      <c r="T32" s="1"/>
    </row>
    <row r="33" spans="1:26" x14ac:dyDescent="0.3">
      <c r="A33" s="15" t="s">
        <v>57</v>
      </c>
      <c r="B33" s="9">
        <f>K_ISET/(I_out_12V*10^-3)</f>
        <v>1128.5714285714284</v>
      </c>
      <c r="C33" s="9" t="s">
        <v>58</v>
      </c>
      <c r="D33" s="9"/>
      <c r="E33" s="9"/>
      <c r="F33" s="9"/>
      <c r="G33" s="9"/>
      <c r="H33" s="9"/>
      <c r="I33" s="9"/>
      <c r="J33" s="9"/>
      <c r="K33" s="9"/>
      <c r="L33" s="9"/>
      <c r="M33" s="16"/>
      <c r="N33" s="9"/>
      <c r="O33" s="9"/>
      <c r="P33" s="9"/>
      <c r="Q33" s="9"/>
      <c r="R33" s="9"/>
      <c r="S33" s="9"/>
      <c r="T33" s="1"/>
    </row>
    <row r="34" spans="1:26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6"/>
      <c r="N34" s="9"/>
      <c r="O34" s="9"/>
      <c r="P34" s="9"/>
      <c r="Q34" s="9"/>
      <c r="R34" s="9"/>
      <c r="S34" s="9"/>
      <c r="T34" s="1"/>
    </row>
    <row r="35" spans="1:26" x14ac:dyDescent="0.3">
      <c r="A35" s="9" t="s">
        <v>77</v>
      </c>
      <c r="B35" s="9">
        <v>18.600000000000001</v>
      </c>
      <c r="C35" s="1" t="s">
        <v>79</v>
      </c>
      <c r="D35" s="14" t="s">
        <v>78</v>
      </c>
      <c r="E35" s="9"/>
      <c r="F35" s="9"/>
      <c r="G35" s="9"/>
      <c r="H35" s="9"/>
      <c r="I35" s="9"/>
      <c r="J35" s="9"/>
      <c r="K35" s="9"/>
      <c r="L35" s="9"/>
      <c r="M35" s="16"/>
      <c r="N35" s="9"/>
      <c r="O35" s="9"/>
      <c r="P35" s="9"/>
      <c r="Q35" s="9"/>
      <c r="R35" s="9"/>
      <c r="S35" s="9"/>
      <c r="T35" s="1"/>
    </row>
    <row r="36" spans="1:26" x14ac:dyDescent="0.3">
      <c r="A36" s="9" t="s">
        <v>80</v>
      </c>
      <c r="B36" s="9">
        <v>4036</v>
      </c>
      <c r="C36" s="9" t="s">
        <v>58</v>
      </c>
      <c r="D36" s="14" t="s">
        <v>82</v>
      </c>
      <c r="E36" s="9"/>
      <c r="F36" s="9"/>
      <c r="G36" s="9"/>
      <c r="H36" s="9"/>
      <c r="I36" s="9"/>
      <c r="J36" s="9"/>
      <c r="K36" s="9"/>
      <c r="L36" s="9"/>
      <c r="M36" s="16"/>
      <c r="N36" s="9"/>
      <c r="O36" s="9"/>
      <c r="P36" s="9"/>
      <c r="Q36" s="9"/>
      <c r="R36" s="9"/>
      <c r="S36" s="9"/>
      <c r="T36" s="1"/>
    </row>
    <row r="37" spans="1:26" x14ac:dyDescent="0.3">
      <c r="A37" s="9" t="s">
        <v>81</v>
      </c>
      <c r="B37" s="1">
        <f>(RTH_45C/(V45C*10^-2))-RTH_45C</f>
        <v>17662.924731182793</v>
      </c>
      <c r="C37" s="1" t="s">
        <v>58</v>
      </c>
      <c r="K37" s="9"/>
      <c r="L37" s="9"/>
      <c r="M37" s="16"/>
      <c r="N37" s="9"/>
      <c r="O37" s="9"/>
      <c r="P37" s="8"/>
      <c r="Q37" s="8"/>
      <c r="R37" s="8"/>
      <c r="S37" s="8"/>
    </row>
    <row r="38" spans="1:26" x14ac:dyDescent="0.3">
      <c r="K38" s="9"/>
      <c r="L38" s="9"/>
      <c r="M38" s="16"/>
      <c r="N38" s="9"/>
      <c r="O38" s="9"/>
      <c r="P38" s="8"/>
      <c r="Q38" s="8"/>
      <c r="R38" s="8"/>
      <c r="S38" s="8"/>
    </row>
    <row r="39" spans="1:26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8"/>
      <c r="Q39" s="8"/>
      <c r="R39" s="8"/>
      <c r="S39" s="8"/>
    </row>
    <row r="40" spans="1:26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8"/>
      <c r="T40" s="9"/>
      <c r="U40" s="9"/>
      <c r="V40" s="9"/>
      <c r="W40" s="9"/>
      <c r="X40" s="9"/>
      <c r="Y40" s="9"/>
      <c r="Z40" s="9"/>
    </row>
    <row r="41" spans="1:26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8"/>
      <c r="S41" s="18"/>
      <c r="T41" s="9"/>
      <c r="U41" s="9"/>
      <c r="V41" s="9"/>
      <c r="W41" s="9"/>
      <c r="X41" s="9"/>
      <c r="Y41" s="9"/>
      <c r="Z41" s="9"/>
    </row>
    <row r="42" spans="1:26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8"/>
      <c r="Q42" s="8"/>
      <c r="R42" s="8"/>
      <c r="S42" s="8"/>
    </row>
    <row r="43" spans="1:26" ht="15" customHeight="1" x14ac:dyDescent="0.85">
      <c r="A43" s="21"/>
      <c r="B43" s="21"/>
      <c r="C43" s="21"/>
      <c r="D43" s="21"/>
      <c r="E43" s="21"/>
      <c r="F43" s="9"/>
      <c r="G43" s="9"/>
      <c r="H43" s="9"/>
      <c r="I43" s="9"/>
      <c r="J43" s="9"/>
      <c r="K43" s="9"/>
      <c r="L43" s="9"/>
      <c r="M43" s="9"/>
      <c r="N43" s="9"/>
      <c r="O43" s="9"/>
      <c r="P43" s="8"/>
      <c r="Q43" s="8"/>
      <c r="R43" s="8"/>
      <c r="S43" s="8"/>
    </row>
    <row r="44" spans="1:26" ht="15" customHeight="1" x14ac:dyDescent="0.85">
      <c r="A44" s="21"/>
      <c r="B44" s="21"/>
      <c r="C44" s="21"/>
      <c r="D44" s="21"/>
      <c r="E44" s="21"/>
      <c r="F44" s="9"/>
      <c r="G44" s="9"/>
      <c r="H44" s="9"/>
      <c r="I44" s="9"/>
      <c r="J44" s="9"/>
      <c r="K44" s="9"/>
      <c r="L44" s="9"/>
      <c r="M44" s="9"/>
      <c r="N44" s="9"/>
      <c r="O44" s="9"/>
      <c r="P44" s="8"/>
      <c r="Q44" s="8"/>
      <c r="R44" s="8"/>
      <c r="S44" s="8"/>
    </row>
    <row r="45" spans="1:26" ht="15" customHeight="1" x14ac:dyDescent="0.85">
      <c r="A45" s="21"/>
      <c r="B45" s="21"/>
      <c r="C45" s="21"/>
      <c r="D45" s="21"/>
      <c r="E45" s="21"/>
      <c r="F45" s="9"/>
      <c r="G45" s="9"/>
      <c r="H45" s="9"/>
      <c r="I45" s="9"/>
      <c r="J45" s="9"/>
      <c r="K45" s="9"/>
      <c r="L45" s="9"/>
      <c r="M45" s="9"/>
      <c r="N45" s="9"/>
      <c r="O45" s="9"/>
      <c r="P45" s="8"/>
      <c r="Q45" s="8"/>
      <c r="R45" s="8"/>
      <c r="S45" s="8"/>
    </row>
    <row r="46" spans="1:26" ht="15" customHeight="1" x14ac:dyDescent="0.85">
      <c r="A46" s="21"/>
      <c r="B46" s="21"/>
      <c r="C46" s="21"/>
      <c r="D46" s="21"/>
      <c r="E46" s="21"/>
      <c r="F46" s="9"/>
      <c r="G46" s="9"/>
      <c r="H46" s="9"/>
      <c r="I46" s="9"/>
      <c r="J46" s="9"/>
      <c r="K46" s="9"/>
      <c r="L46" s="9"/>
      <c r="M46" s="9"/>
      <c r="N46" s="9"/>
      <c r="O46" s="9"/>
      <c r="P46" s="8"/>
      <c r="Q46" s="8"/>
      <c r="R46" s="8"/>
      <c r="S46" s="8"/>
    </row>
    <row r="47" spans="1:2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8"/>
    </row>
    <row r="48" spans="1:26" x14ac:dyDescent="0.3">
      <c r="A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8"/>
    </row>
    <row r="49" spans="1:16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8"/>
    </row>
    <row r="50" spans="1:16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8"/>
    </row>
    <row r="51" spans="1:16" x14ac:dyDescent="0.3">
      <c r="A51" s="20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8"/>
    </row>
    <row r="52" spans="1:16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8"/>
    </row>
    <row r="53" spans="1:16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8"/>
    </row>
    <row r="54" spans="1:16" x14ac:dyDescent="0.3">
      <c r="A54" s="8"/>
      <c r="B54" s="9"/>
      <c r="C54" s="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3">
      <c r="A55" s="8"/>
      <c r="B55" s="9"/>
      <c r="C55" s="9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3">
      <c r="A56" s="8"/>
      <c r="B56" s="9"/>
      <c r="C56" s="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x14ac:dyDescent="0.3">
      <c r="A57" s="8"/>
      <c r="B57" s="9"/>
      <c r="C57" s="9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3">
      <c r="A58" s="8"/>
      <c r="B58" s="9"/>
      <c r="C58" s="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3">
      <c r="A59" s="8"/>
      <c r="B59" s="9"/>
      <c r="C59" s="9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3">
      <c r="A60" s="8"/>
      <c r="B60" s="9"/>
      <c r="C60" s="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3">
      <c r="A61" s="8"/>
      <c r="B61" s="9"/>
      <c r="C61" s="9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</sheetData>
  <mergeCells count="21">
    <mergeCell ref="W10:Y11"/>
    <mergeCell ref="P10:S10"/>
    <mergeCell ref="A18:E21"/>
    <mergeCell ref="J18:N21"/>
    <mergeCell ref="A1:E3"/>
    <mergeCell ref="F4:G4"/>
    <mergeCell ref="H5:H8"/>
    <mergeCell ref="N4:O4"/>
    <mergeCell ref="P5:P8"/>
    <mergeCell ref="J4:K4"/>
    <mergeCell ref="K5:K8"/>
    <mergeCell ref="L5:L8"/>
    <mergeCell ref="J5:J8"/>
    <mergeCell ref="A10:C10"/>
    <mergeCell ref="R4:S4"/>
    <mergeCell ref="T5:T8"/>
    <mergeCell ref="E12:E15"/>
    <mergeCell ref="H10:I10"/>
    <mergeCell ref="J11:J14"/>
    <mergeCell ref="L10:M10"/>
    <mergeCell ref="N11:N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_0.35</vt:lpstr>
      <vt:lpstr>_R1</vt:lpstr>
      <vt:lpstr>_R1_temp</vt:lpstr>
      <vt:lpstr>_R2</vt:lpstr>
      <vt:lpstr>_R4</vt:lpstr>
      <vt:lpstr>_R45_R25</vt:lpstr>
      <vt:lpstr>_V_out</vt:lpstr>
      <vt:lpstr>B_25_100</vt:lpstr>
      <vt:lpstr>G_E</vt:lpstr>
      <vt:lpstr>G_F</vt:lpstr>
      <vt:lpstr>G_H</vt:lpstr>
      <vt:lpstr>G_W</vt:lpstr>
      <vt:lpstr>GE</vt:lpstr>
      <vt:lpstr>I_max</vt:lpstr>
      <vt:lpstr>I_max1</vt:lpstr>
      <vt:lpstr>I_max2</vt:lpstr>
      <vt:lpstr>I_out_12V</vt:lpstr>
      <vt:lpstr>I_out_6V</vt:lpstr>
      <vt:lpstr>K_ISET</vt:lpstr>
      <vt:lpstr>KVBUS_DPM</vt:lpstr>
      <vt:lpstr>R_2</vt:lpstr>
      <vt:lpstr>R_S_F_12V</vt:lpstr>
      <vt:lpstr>R_S_F_6V</vt:lpstr>
      <vt:lpstr>RTH_45C</vt:lpstr>
      <vt:lpstr>V_FB</vt:lpstr>
      <vt:lpstr>V_in</vt:lpstr>
      <vt:lpstr>V_INMIN</vt:lpstr>
      <vt:lpstr>V_os_E</vt:lpstr>
      <vt:lpstr>V_os_F</vt:lpstr>
      <vt:lpstr>V_os_H</vt:lpstr>
      <vt:lpstr>V_os_W</vt:lpstr>
      <vt:lpstr>V_out</vt:lpstr>
      <vt:lpstr>V_s_E</vt:lpstr>
      <vt:lpstr>V_s_F</vt:lpstr>
      <vt:lpstr>V_s_H</vt:lpstr>
      <vt:lpstr>V_s_W</vt:lpstr>
      <vt:lpstr>V_UVLO</vt:lpstr>
      <vt:lpstr>V45C</vt:lpstr>
      <vt:lpstr>Vbus_DPM</vt:lpstr>
      <vt:lpstr>Vbus_DPM_1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Øystein Molvik</dc:creator>
  <cp:lastModifiedBy>Øystein Molvik</cp:lastModifiedBy>
  <dcterms:created xsi:type="dcterms:W3CDTF">2020-02-18T11:35:05Z</dcterms:created>
  <dcterms:modified xsi:type="dcterms:W3CDTF">2020-04-09T13:38:15Z</dcterms:modified>
</cp:coreProperties>
</file>