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 banks" sheetId="1" r:id="rId4"/>
    <sheet state="visible" name="Stock" sheetId="2" r:id="rId5"/>
    <sheet state="visible" name="Sources" sheetId="3" r:id="rId6"/>
  </sheets>
  <definedNames/>
  <calcPr/>
</workbook>
</file>

<file path=xl/sharedStrings.xml><?xml version="1.0" encoding="utf-8"?>
<sst xmlns="http://schemas.openxmlformats.org/spreadsheetml/2006/main" count="368" uniqueCount="101">
  <si>
    <t>Species</t>
  </si>
  <si>
    <t>ID</t>
  </si>
  <si>
    <t>Source</t>
  </si>
  <si>
    <t>Healthy</t>
  </si>
  <si>
    <t>Partially bleached</t>
  </si>
  <si>
    <t>Bleached</t>
  </si>
  <si>
    <t>Algal overgrowth</t>
  </si>
  <si>
    <t>Perc. survival</t>
  </si>
  <si>
    <t>Perc. healthy</t>
  </si>
  <si>
    <t>Notes</t>
  </si>
  <si>
    <t>A. cervicornis</t>
  </si>
  <si>
    <t>ACER1</t>
  </si>
  <si>
    <t>ACER2</t>
  </si>
  <si>
    <t>ACER3</t>
  </si>
  <si>
    <t>ACER4</t>
  </si>
  <si>
    <t>ACER5</t>
  </si>
  <si>
    <t>ACER6</t>
  </si>
  <si>
    <t>ACER7</t>
  </si>
  <si>
    <t>ACER8</t>
  </si>
  <si>
    <t>ACER9</t>
  </si>
  <si>
    <t>A. prolifera</t>
  </si>
  <si>
    <t>APRO1</t>
  </si>
  <si>
    <t>APRO2</t>
  </si>
  <si>
    <t>APRO3</t>
  </si>
  <si>
    <t>APRO4</t>
  </si>
  <si>
    <t>APRO5</t>
  </si>
  <si>
    <t>APRO6</t>
  </si>
  <si>
    <t>APRO7</t>
  </si>
  <si>
    <t>A. palmata</t>
  </si>
  <si>
    <t>APAL1</t>
  </si>
  <si>
    <t>APAL2</t>
  </si>
  <si>
    <t>APAL3</t>
  </si>
  <si>
    <t>APAL4</t>
  </si>
  <si>
    <t>APAL5</t>
  </si>
  <si>
    <t>APAL7</t>
  </si>
  <si>
    <t>All blems - accidental?</t>
  </si>
  <si>
    <t>APAL6</t>
  </si>
  <si>
    <t>Labelled APAL8</t>
  </si>
  <si>
    <t>APAL8</t>
  </si>
  <si>
    <t>Labelled ACER26</t>
  </si>
  <si>
    <t>APAL9</t>
  </si>
  <si>
    <t>APAL10</t>
  </si>
  <si>
    <t>APAL11</t>
  </si>
  <si>
    <t>APAL12</t>
  </si>
  <si>
    <t>APAL13</t>
  </si>
  <si>
    <t>APAL14</t>
  </si>
  <si>
    <t>APAL15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</si>
  <si>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</si>
  <si>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</si>
  <si>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</si>
  <si>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</si>
  <si>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</si>
  <si>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</si>
  <si>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</si>
  <si>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</si>
  <si>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Structure</t>
  </si>
  <si>
    <t>Total frags</t>
  </si>
  <si>
    <t>tree</t>
  </si>
  <si>
    <t>Currently labelled APAL8</t>
  </si>
  <si>
    <t>Currently labelled APAL6</t>
  </si>
  <si>
    <t>Didn't re-frag at nursery because most was already bleached in the bag</t>
  </si>
  <si>
    <t>rope</t>
  </si>
  <si>
    <t>MEDIAN</t>
  </si>
  <si>
    <t>MEAN</t>
  </si>
  <si>
    <t>Date</t>
  </si>
  <si>
    <t>Collector</t>
  </si>
  <si>
    <t>Site</t>
  </si>
  <si>
    <t>GPS</t>
  </si>
  <si>
    <t>Marker</t>
  </si>
  <si>
    <t>Lat</t>
  </si>
  <si>
    <t>Long</t>
  </si>
  <si>
    <t>ID number</t>
  </si>
  <si>
    <t>Method</t>
  </si>
  <si>
    <t>Errors in GPS marking</t>
  </si>
  <si>
    <t>Lat (original)</t>
  </si>
  <si>
    <t>Long (original)</t>
  </si>
  <si>
    <t>GRB</t>
  </si>
  <si>
    <t>Exchange Bay</t>
  </si>
  <si>
    <t>Mixed</t>
  </si>
  <si>
    <t>MB</t>
  </si>
  <si>
    <t>Cervi Heaven</t>
  </si>
  <si>
    <t>Opportunity</t>
  </si>
  <si>
    <t>Little Bird Channel</t>
  </si>
  <si>
    <t>Ranndom pt north of green</t>
  </si>
  <si>
    <t>Yacht basin</t>
  </si>
  <si>
    <t>Great Bird</t>
  </si>
  <si>
    <t>Hells Gate</t>
  </si>
  <si>
    <t>Stuck on area around APRO3</t>
  </si>
  <si>
    <t>Man of War</t>
  </si>
  <si>
    <t>Frag</t>
  </si>
  <si>
    <t>Stuck on area around LBC</t>
  </si>
  <si>
    <t>Friar's Head</t>
  </si>
  <si>
    <t>Stuck on area around APRO5</t>
  </si>
  <si>
    <t>York Island</t>
  </si>
  <si>
    <t>MWW</t>
  </si>
  <si>
    <t>North Green</t>
  </si>
  <si>
    <t>-61.72319?</t>
  </si>
  <si>
    <t>Hard to read GPS</t>
  </si>
  <si>
    <t>-61.7?</t>
  </si>
  <si>
    <t>ACER26 - Did he mean we are missing APAL8</t>
  </si>
  <si>
    <t>Stuck on area around APRO4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</si>
</sst>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0000"/>
    <numFmt numFmtId="166" formatCode="m/d/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b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9" xfId="0" applyFont="1" applyNumberFormat="1"/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9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2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3" max="3" width="18.14"/>
    <col customWidth="1" min="4" max="4" width="9.14"/>
    <col customWidth="1" min="5" max="5" width="11.29"/>
    <col customWidth="1" min="6" max="6" width="10.57"/>
    <col customWidth="1" min="7" max="7" width="11.71"/>
    <col customWidth="1" min="8" max="8" width="10.43"/>
    <col customWidth="1" min="9" max="9" width="10.14"/>
    <col customWidth="1" min="10" max="10" width="4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tr">
        <f>LOOKUP(B2,Sources!$H$2:$H$50,Sources!$C$2:$C$50)</f>
        <v>Exchange Bay</v>
      </c>
      <c r="D2" s="2">
        <v>4.0</v>
      </c>
      <c r="E2" s="2">
        <v>0.0</v>
      </c>
      <c r="F2" s="2">
        <v>0.0</v>
      </c>
      <c r="G2" s="2">
        <v>0.0</v>
      </c>
      <c r="H2" s="3">
        <f t="shared" ref="H2:H40" si="1">(4-G2)/4</f>
        <v>1</v>
      </c>
      <c r="I2" s="3">
        <f t="shared" ref="I2:I40" si="2">D2/4</f>
        <v>1</v>
      </c>
    </row>
    <row r="3">
      <c r="A3" s="2" t="s">
        <v>10</v>
      </c>
      <c r="B3" s="2" t="s">
        <v>12</v>
      </c>
      <c r="C3" s="2" t="str">
        <f>LOOKUP(B3,Sources!$H$2:$H$50,Sources!$C$2:$C$50)</f>
        <v>Cervi Heaven</v>
      </c>
      <c r="D3" s="2">
        <v>4.0</v>
      </c>
      <c r="E3" s="2">
        <v>0.0</v>
      </c>
      <c r="F3" s="2">
        <v>0.0</v>
      </c>
      <c r="G3" s="2">
        <v>0.0</v>
      </c>
      <c r="H3" s="3">
        <f t="shared" si="1"/>
        <v>1</v>
      </c>
      <c r="I3" s="3">
        <f t="shared" si="2"/>
        <v>1</v>
      </c>
    </row>
    <row r="4">
      <c r="A4" s="2" t="s">
        <v>10</v>
      </c>
      <c r="B4" s="2" t="s">
        <v>13</v>
      </c>
      <c r="C4" s="2" t="str">
        <f>LOOKUP(B4,Sources!$H$2:$H$50,Sources!$C$2:$C$50)</f>
        <v>Little Bird Channel</v>
      </c>
      <c r="D4" s="2">
        <v>3.0</v>
      </c>
      <c r="E4" s="2">
        <v>0.0</v>
      </c>
      <c r="F4" s="2">
        <v>0.0</v>
      </c>
      <c r="G4" s="2">
        <v>1.0</v>
      </c>
      <c r="H4" s="3">
        <f t="shared" si="1"/>
        <v>0.75</v>
      </c>
      <c r="I4" s="3">
        <f t="shared" si="2"/>
        <v>0.75</v>
      </c>
    </row>
    <row r="5">
      <c r="A5" s="2" t="s">
        <v>10</v>
      </c>
      <c r="B5" s="2" t="s">
        <v>14</v>
      </c>
      <c r="C5" s="2" t="str">
        <f>LOOKUP(B5,Sources!$H$2:$H$50,Sources!$C$2:$C$50)</f>
        <v>Little Bird Channel</v>
      </c>
      <c r="D5" s="2">
        <v>3.0</v>
      </c>
      <c r="E5" s="2">
        <v>0.0</v>
      </c>
      <c r="F5" s="2">
        <v>0.0</v>
      </c>
      <c r="G5" s="2">
        <v>1.0</v>
      </c>
      <c r="H5" s="3">
        <f t="shared" si="1"/>
        <v>0.75</v>
      </c>
      <c r="I5" s="3">
        <f t="shared" si="2"/>
        <v>0.75</v>
      </c>
    </row>
    <row r="6">
      <c r="A6" s="2" t="s">
        <v>10</v>
      </c>
      <c r="B6" s="2" t="s">
        <v>15</v>
      </c>
      <c r="C6" s="2" t="str">
        <f>LOOKUP(B6,Sources!$H$2:$H$50,Sources!$C$2:$C$50)</f>
        <v>Little Bird Channel</v>
      </c>
      <c r="D6" s="2">
        <v>2.0</v>
      </c>
      <c r="E6" s="2">
        <v>0.0</v>
      </c>
      <c r="F6" s="2">
        <v>0.0</v>
      </c>
      <c r="G6" s="2">
        <v>2.0</v>
      </c>
      <c r="H6" s="3">
        <f t="shared" si="1"/>
        <v>0.5</v>
      </c>
      <c r="I6" s="3">
        <f t="shared" si="2"/>
        <v>0.5</v>
      </c>
    </row>
    <row r="7">
      <c r="A7" s="2" t="s">
        <v>10</v>
      </c>
      <c r="B7" s="2" t="s">
        <v>16</v>
      </c>
      <c r="C7" s="2" t="str">
        <f>LOOKUP(B7,Sources!$H$2:$H$50,Sources!$C$2:$C$50)</f>
        <v>Great Bird</v>
      </c>
      <c r="D7" s="2">
        <v>1.0</v>
      </c>
      <c r="E7" s="2">
        <v>0.0</v>
      </c>
      <c r="F7" s="2">
        <v>0.0</v>
      </c>
      <c r="G7" s="2">
        <v>3.0</v>
      </c>
      <c r="H7" s="3">
        <f t="shared" si="1"/>
        <v>0.25</v>
      </c>
      <c r="I7" s="3">
        <f t="shared" si="2"/>
        <v>0.25</v>
      </c>
    </row>
    <row r="8">
      <c r="A8" s="2" t="s">
        <v>10</v>
      </c>
      <c r="B8" s="2" t="s">
        <v>17</v>
      </c>
      <c r="C8" s="2" t="str">
        <f>LOOKUP(B8,Sources!$H$2:$H$50,Sources!$C$2:$C$50)</f>
        <v>Hells Gate</v>
      </c>
      <c r="D8" s="2">
        <v>4.0</v>
      </c>
      <c r="E8" s="2">
        <v>0.0</v>
      </c>
      <c r="F8" s="2">
        <v>0.0</v>
      </c>
      <c r="G8" s="2">
        <v>0.0</v>
      </c>
      <c r="H8" s="3">
        <f t="shared" si="1"/>
        <v>1</v>
      </c>
      <c r="I8" s="3">
        <f t="shared" si="2"/>
        <v>1</v>
      </c>
    </row>
    <row r="9">
      <c r="A9" s="2" t="s">
        <v>10</v>
      </c>
      <c r="B9" s="2" t="s">
        <v>18</v>
      </c>
      <c r="C9" s="2" t="str">
        <f>LOOKUP(B9,Sources!$H$2:$H$50,Sources!$C$2:$C$50)</f>
        <v>Man of War</v>
      </c>
      <c r="D9" s="2">
        <v>2.0</v>
      </c>
      <c r="E9" s="2">
        <v>0.0</v>
      </c>
      <c r="F9" s="2">
        <v>0.0</v>
      </c>
      <c r="G9" s="2">
        <v>2.0</v>
      </c>
      <c r="H9" s="3">
        <f t="shared" si="1"/>
        <v>0.5</v>
      </c>
      <c r="I9" s="3">
        <f t="shared" si="2"/>
        <v>0.5</v>
      </c>
    </row>
    <row r="10">
      <c r="A10" s="2" t="s">
        <v>10</v>
      </c>
      <c r="B10" s="2" t="s">
        <v>19</v>
      </c>
      <c r="C10" s="2" t="str">
        <f>LOOKUP(B10,Sources!$H$2:$H$50,Sources!$C$2:$C$50)</f>
        <v>Hells Gate</v>
      </c>
      <c r="D10" s="2">
        <v>2.0</v>
      </c>
      <c r="E10" s="2">
        <v>2.0</v>
      </c>
      <c r="F10" s="2">
        <v>0.0</v>
      </c>
      <c r="G10" s="2">
        <v>0.0</v>
      </c>
      <c r="H10" s="3">
        <f t="shared" si="1"/>
        <v>1</v>
      </c>
      <c r="I10" s="3">
        <f t="shared" si="2"/>
        <v>0.5</v>
      </c>
    </row>
    <row r="11">
      <c r="A11" s="2" t="s">
        <v>20</v>
      </c>
      <c r="B11" s="2" t="s">
        <v>21</v>
      </c>
      <c r="C11" s="2" t="str">
        <f>LOOKUP(B11,Sources!$H$2:$H$50,Sources!$C$2:$C$50)</f>
        <v>North Green</v>
      </c>
      <c r="D11" s="2">
        <v>2.0</v>
      </c>
      <c r="E11" s="2">
        <v>0.0</v>
      </c>
      <c r="F11" s="2">
        <v>0.0</v>
      </c>
      <c r="G11" s="2">
        <v>2.0</v>
      </c>
      <c r="H11" s="3">
        <f t="shared" si="1"/>
        <v>0.5</v>
      </c>
      <c r="I11" s="3">
        <f t="shared" si="2"/>
        <v>0.5</v>
      </c>
    </row>
    <row r="12">
      <c r="A12" s="2" t="s">
        <v>20</v>
      </c>
      <c r="B12" s="2" t="s">
        <v>22</v>
      </c>
      <c r="C12" s="2" t="str">
        <f>LOOKUP(B12,Sources!$H$2:$H$50,Sources!$C$2:$C$50)</f>
        <v>Little Bird Channel</v>
      </c>
      <c r="D12" s="2">
        <v>0.0</v>
      </c>
      <c r="E12" s="2">
        <v>0.0</v>
      </c>
      <c r="F12" s="2">
        <v>0.0</v>
      </c>
      <c r="G12" s="2">
        <v>4.0</v>
      </c>
      <c r="H12" s="3">
        <f t="shared" si="1"/>
        <v>0</v>
      </c>
      <c r="I12" s="3">
        <f t="shared" si="2"/>
        <v>0</v>
      </c>
    </row>
    <row r="13">
      <c r="A13" s="2" t="s">
        <v>20</v>
      </c>
      <c r="B13" s="2" t="s">
        <v>23</v>
      </c>
      <c r="C13" s="2" t="str">
        <f>LOOKUP(B13,Sources!$H$2:$H$50,Sources!$C$2:$C$50)</f>
        <v>Hells Gate</v>
      </c>
      <c r="D13" s="2">
        <v>4.0</v>
      </c>
      <c r="E13" s="2">
        <v>0.0</v>
      </c>
      <c r="F13" s="2">
        <v>0.0</v>
      </c>
      <c r="G13" s="2">
        <v>0.0</v>
      </c>
      <c r="H13" s="3">
        <f t="shared" si="1"/>
        <v>1</v>
      </c>
      <c r="I13" s="3">
        <f t="shared" si="2"/>
        <v>1</v>
      </c>
    </row>
    <row r="14">
      <c r="A14" s="2" t="s">
        <v>20</v>
      </c>
      <c r="B14" s="2" t="s">
        <v>24</v>
      </c>
      <c r="C14" s="2" t="str">
        <f>LOOKUP(B14,Sources!$H$2:$H$50,Sources!$C$2:$C$50)</f>
        <v>Hells Gate</v>
      </c>
      <c r="D14" s="2">
        <v>4.0</v>
      </c>
      <c r="E14" s="2">
        <v>0.0</v>
      </c>
      <c r="F14" s="2">
        <v>0.0</v>
      </c>
      <c r="G14" s="2">
        <v>0.0</v>
      </c>
      <c r="H14" s="3">
        <f t="shared" si="1"/>
        <v>1</v>
      </c>
      <c r="I14" s="3">
        <f t="shared" si="2"/>
        <v>1</v>
      </c>
    </row>
    <row r="15">
      <c r="A15" s="2" t="s">
        <v>20</v>
      </c>
      <c r="B15" s="2" t="s">
        <v>25</v>
      </c>
      <c r="C15" s="2" t="str">
        <f>LOOKUP(B15,Sources!$H$2:$H$50,Sources!$C$2:$C$50)</f>
        <v>Man of War</v>
      </c>
      <c r="D15" s="2">
        <v>4.0</v>
      </c>
      <c r="E15" s="2">
        <v>0.0</v>
      </c>
      <c r="F15" s="2">
        <v>0.0</v>
      </c>
      <c r="G15" s="2">
        <v>0.0</v>
      </c>
      <c r="H15" s="3">
        <f t="shared" si="1"/>
        <v>1</v>
      </c>
      <c r="I15" s="3">
        <f t="shared" si="2"/>
        <v>1</v>
      </c>
    </row>
    <row r="16">
      <c r="A16" s="2" t="s">
        <v>20</v>
      </c>
      <c r="B16" s="2" t="s">
        <v>26</v>
      </c>
      <c r="C16" s="2" t="str">
        <f>LOOKUP(B16,Sources!$H$2:$H$50,Sources!$C$2:$C$50)</f>
        <v>Hells Gate</v>
      </c>
      <c r="D16" s="2">
        <v>3.0</v>
      </c>
      <c r="E16" s="2">
        <v>1.0</v>
      </c>
      <c r="F16" s="2">
        <v>0.0</v>
      </c>
      <c r="G16" s="2">
        <v>0.0</v>
      </c>
      <c r="H16" s="3">
        <f t="shared" si="1"/>
        <v>1</v>
      </c>
      <c r="I16" s="3">
        <f t="shared" si="2"/>
        <v>0.75</v>
      </c>
    </row>
    <row r="17">
      <c r="A17" s="2" t="s">
        <v>20</v>
      </c>
      <c r="B17" s="2" t="s">
        <v>27</v>
      </c>
      <c r="C17" s="2" t="str">
        <f>LOOKUP(B17,Sources!$H$2:$H$50,Sources!$C$2:$C$50)</f>
        <v>Great Bird</v>
      </c>
      <c r="D17" s="2">
        <v>4.0</v>
      </c>
      <c r="E17" s="2">
        <v>0.0</v>
      </c>
      <c r="F17" s="2">
        <v>0.0</v>
      </c>
      <c r="G17" s="2">
        <v>0.0</v>
      </c>
      <c r="H17" s="3">
        <f t="shared" si="1"/>
        <v>1</v>
      </c>
      <c r="I17" s="3">
        <f t="shared" si="2"/>
        <v>1</v>
      </c>
    </row>
    <row r="18">
      <c r="A18" s="2" t="s">
        <v>28</v>
      </c>
      <c r="B18" s="2" t="s">
        <v>29</v>
      </c>
      <c r="C18" s="2" t="str">
        <f>LOOKUP(B18,Sources!$H$2:$H$50,Sources!$C$2:$C$50)</f>
        <v>Friar's Head</v>
      </c>
      <c r="D18" s="2">
        <v>4.0</v>
      </c>
      <c r="E18" s="2">
        <v>0.0</v>
      </c>
      <c r="F18" s="2">
        <v>0.0</v>
      </c>
      <c r="G18" s="2">
        <v>0.0</v>
      </c>
      <c r="H18" s="3">
        <f t="shared" si="1"/>
        <v>1</v>
      </c>
      <c r="I18" s="3">
        <f t="shared" si="2"/>
        <v>1</v>
      </c>
    </row>
    <row r="19">
      <c r="A19" s="2" t="s">
        <v>28</v>
      </c>
      <c r="B19" s="2" t="s">
        <v>30</v>
      </c>
      <c r="C19" s="2" t="str">
        <f>LOOKUP(B19,Sources!$H$2:$H$50,Sources!$C$2:$C$50)</f>
        <v>North Green</v>
      </c>
      <c r="D19" s="2">
        <v>3.0</v>
      </c>
      <c r="E19" s="2">
        <v>1.0</v>
      </c>
      <c r="F19" s="2">
        <v>0.0</v>
      </c>
      <c r="G19" s="2">
        <v>0.0</v>
      </c>
      <c r="H19" s="3">
        <f t="shared" si="1"/>
        <v>1</v>
      </c>
      <c r="I19" s="3">
        <f t="shared" si="2"/>
        <v>0.75</v>
      </c>
    </row>
    <row r="20">
      <c r="A20" s="2" t="s">
        <v>28</v>
      </c>
      <c r="B20" s="2" t="s">
        <v>31</v>
      </c>
      <c r="C20" s="2" t="str">
        <f>LOOKUP(B20,Sources!$H$2:$H$50,Sources!$C$2:$C$50)</f>
        <v>North Green</v>
      </c>
      <c r="D20" s="2">
        <v>4.0</v>
      </c>
      <c r="E20" s="2">
        <v>0.0</v>
      </c>
      <c r="F20" s="2">
        <v>0.0</v>
      </c>
      <c r="G20" s="2">
        <v>0.0</v>
      </c>
      <c r="H20" s="3">
        <f t="shared" si="1"/>
        <v>1</v>
      </c>
      <c r="I20" s="3">
        <f t="shared" si="2"/>
        <v>1</v>
      </c>
    </row>
    <row r="21">
      <c r="A21" s="2" t="s">
        <v>28</v>
      </c>
      <c r="B21" s="2" t="s">
        <v>32</v>
      </c>
      <c r="C21" s="2" t="str">
        <f>LOOKUP(B21,Sources!$H$2:$H$50,Sources!$C$2:$C$50)</f>
        <v>North Green</v>
      </c>
      <c r="D21" s="2">
        <v>3.0</v>
      </c>
      <c r="E21" s="2">
        <v>1.0</v>
      </c>
      <c r="F21" s="2">
        <v>0.0</v>
      </c>
      <c r="G21" s="2">
        <v>0.0</v>
      </c>
      <c r="H21" s="3">
        <f t="shared" si="1"/>
        <v>1</v>
      </c>
      <c r="I21" s="3">
        <f t="shared" si="2"/>
        <v>0.75</v>
      </c>
    </row>
    <row r="22">
      <c r="A22" s="2" t="s">
        <v>28</v>
      </c>
      <c r="B22" s="2" t="s">
        <v>33</v>
      </c>
      <c r="C22" s="2" t="str">
        <f>LOOKUP(B22,Sources!$H$2:$H$50,Sources!$C$2:$C$50)</f>
        <v>North Green</v>
      </c>
      <c r="D22" s="2">
        <v>1.0</v>
      </c>
      <c r="E22" s="2">
        <v>0.0</v>
      </c>
      <c r="F22" s="2">
        <v>0.0</v>
      </c>
      <c r="G22" s="2">
        <v>3.0</v>
      </c>
      <c r="H22" s="3">
        <f t="shared" si="1"/>
        <v>0.25</v>
      </c>
      <c r="I22" s="3">
        <f t="shared" si="2"/>
        <v>0.25</v>
      </c>
    </row>
    <row r="23">
      <c r="A23" s="2" t="s">
        <v>28</v>
      </c>
      <c r="B23" s="2" t="s">
        <v>34</v>
      </c>
      <c r="C23" s="2" t="str">
        <f>LOOKUP(B23,Sources!$H$2:$H$50,Sources!$C$2:$C$50)</f>
        <v>North Green</v>
      </c>
      <c r="D23" s="2">
        <v>4.0</v>
      </c>
      <c r="E23" s="2">
        <v>0.0</v>
      </c>
      <c r="F23" s="2">
        <v>0.0</v>
      </c>
      <c r="G23" s="2">
        <v>0.0</v>
      </c>
      <c r="H23" s="3">
        <f t="shared" si="1"/>
        <v>1</v>
      </c>
      <c r="I23" s="3">
        <f t="shared" si="2"/>
        <v>1</v>
      </c>
      <c r="J23" s="2" t="s">
        <v>35</v>
      </c>
    </row>
    <row r="24">
      <c r="A24" s="2" t="s">
        <v>28</v>
      </c>
      <c r="B24" s="2" t="s">
        <v>36</v>
      </c>
      <c r="C24" s="2" t="str">
        <f>LOOKUP(B24,Sources!$H$2:$H$50,Sources!$C$2:$C$50)</f>
        <v>North Green</v>
      </c>
      <c r="D24" s="2">
        <v>0.0</v>
      </c>
      <c r="E24" s="2">
        <v>0.0</v>
      </c>
      <c r="F24" s="2">
        <v>0.0</v>
      </c>
      <c r="G24" s="2">
        <v>4.0</v>
      </c>
      <c r="H24" s="3">
        <f t="shared" si="1"/>
        <v>0</v>
      </c>
      <c r="I24" s="3">
        <f t="shared" si="2"/>
        <v>0</v>
      </c>
      <c r="J24" s="2" t="s">
        <v>37</v>
      </c>
    </row>
    <row r="25">
      <c r="A25" s="2" t="s">
        <v>28</v>
      </c>
      <c r="B25" s="2" t="s">
        <v>38</v>
      </c>
      <c r="C25" s="2" t="str">
        <f>LOOKUP(B25,Sources!$H$2:$H$50,Sources!$C$2:$C$50)</f>
        <v>Little Bird Channel</v>
      </c>
      <c r="D25" s="2">
        <v>4.0</v>
      </c>
      <c r="E25" s="2">
        <v>0.0</v>
      </c>
      <c r="F25" s="2">
        <v>0.0</v>
      </c>
      <c r="G25" s="2">
        <v>0.0</v>
      </c>
      <c r="H25" s="3">
        <f t="shared" si="1"/>
        <v>1</v>
      </c>
      <c r="I25" s="3">
        <f t="shared" si="2"/>
        <v>1</v>
      </c>
      <c r="J25" s="2" t="s">
        <v>39</v>
      </c>
    </row>
    <row r="26">
      <c r="A26" s="2" t="s">
        <v>28</v>
      </c>
      <c r="B26" s="2" t="s">
        <v>40</v>
      </c>
      <c r="C26" s="2" t="str">
        <f>LOOKUP(B26,Sources!$H$2:$H$50,Sources!$C$2:$C$50)</f>
        <v>Little Bird Channel</v>
      </c>
      <c r="D26" s="2">
        <v>3.0</v>
      </c>
      <c r="E26" s="2">
        <v>0.0</v>
      </c>
      <c r="F26" s="2">
        <v>0.0</v>
      </c>
      <c r="G26" s="2">
        <v>1.0</v>
      </c>
      <c r="H26" s="3">
        <f t="shared" si="1"/>
        <v>0.75</v>
      </c>
      <c r="I26" s="3">
        <f t="shared" si="2"/>
        <v>0.75</v>
      </c>
    </row>
    <row r="27">
      <c r="A27" s="2" t="s">
        <v>28</v>
      </c>
      <c r="B27" s="2" t="s">
        <v>41</v>
      </c>
      <c r="C27" s="2" t="str">
        <f>LOOKUP(B27,Sources!$H$2:$H$50,Sources!$C$2:$C$50)</f>
        <v>Great Bird</v>
      </c>
      <c r="D27" s="2">
        <v>4.0</v>
      </c>
      <c r="E27" s="2">
        <v>0.0</v>
      </c>
      <c r="F27" s="2">
        <v>0.0</v>
      </c>
      <c r="G27" s="2">
        <v>0.0</v>
      </c>
      <c r="H27" s="3">
        <f t="shared" si="1"/>
        <v>1</v>
      </c>
      <c r="I27" s="3">
        <f t="shared" si="2"/>
        <v>1</v>
      </c>
    </row>
    <row r="28">
      <c r="A28" s="2" t="s">
        <v>28</v>
      </c>
      <c r="B28" s="2" t="s">
        <v>42</v>
      </c>
      <c r="C28" s="2" t="str">
        <f>LOOKUP(B28,Sources!$H$2:$H$50,Sources!$C$2:$C$50)</f>
        <v>Hells Gate</v>
      </c>
      <c r="D28" s="2">
        <v>2.0</v>
      </c>
      <c r="E28" s="2">
        <v>0.0</v>
      </c>
      <c r="F28" s="2">
        <v>0.0</v>
      </c>
      <c r="G28" s="2">
        <v>2.0</v>
      </c>
      <c r="H28" s="3">
        <f t="shared" si="1"/>
        <v>0.5</v>
      </c>
      <c r="I28" s="3">
        <f t="shared" si="2"/>
        <v>0.5</v>
      </c>
    </row>
    <row r="29">
      <c r="A29" s="2" t="s">
        <v>28</v>
      </c>
      <c r="B29" s="2" t="s">
        <v>43</v>
      </c>
      <c r="C29" s="2" t="str">
        <f>LOOKUP(B29,Sources!$H$2:$H$50,Sources!$C$2:$C$50)</f>
        <v>Hells Gate</v>
      </c>
      <c r="D29" s="2">
        <v>2.0</v>
      </c>
      <c r="E29" s="2">
        <v>0.0</v>
      </c>
      <c r="F29" s="2">
        <v>0.0</v>
      </c>
      <c r="G29" s="2">
        <v>2.0</v>
      </c>
      <c r="H29" s="3">
        <f t="shared" si="1"/>
        <v>0.5</v>
      </c>
      <c r="I29" s="3">
        <f t="shared" si="2"/>
        <v>0.5</v>
      </c>
    </row>
    <row r="30">
      <c r="A30" s="2" t="s">
        <v>28</v>
      </c>
      <c r="B30" s="2" t="s">
        <v>44</v>
      </c>
      <c r="C30" s="2" t="str">
        <f>LOOKUP(B30,Sources!$H$2:$H$50,Sources!$C$2:$C$50)</f>
        <v>Man of War</v>
      </c>
      <c r="D30" s="2">
        <v>4.0</v>
      </c>
      <c r="E30" s="2">
        <v>0.0</v>
      </c>
      <c r="F30" s="2">
        <v>0.0</v>
      </c>
      <c r="G30" s="2">
        <v>0.0</v>
      </c>
      <c r="H30" s="3">
        <f t="shared" si="1"/>
        <v>1</v>
      </c>
      <c r="I30" s="3">
        <f t="shared" si="2"/>
        <v>1</v>
      </c>
    </row>
    <row r="31">
      <c r="A31" s="2" t="s">
        <v>28</v>
      </c>
      <c r="B31" s="2" t="s">
        <v>45</v>
      </c>
      <c r="C31" s="2" t="str">
        <f>LOOKUP(B31,Sources!$H$2:$H$50,Sources!$C$2:$C$50)</f>
        <v>Man of War</v>
      </c>
      <c r="D31" s="2">
        <v>2.0</v>
      </c>
      <c r="E31" s="2">
        <v>1.0</v>
      </c>
      <c r="F31" s="2">
        <v>0.0</v>
      </c>
      <c r="G31" s="2">
        <v>1.0</v>
      </c>
      <c r="H31" s="3">
        <f t="shared" si="1"/>
        <v>0.75</v>
      </c>
      <c r="I31" s="3">
        <f t="shared" si="2"/>
        <v>0.5</v>
      </c>
    </row>
    <row r="32">
      <c r="A32" s="2" t="s">
        <v>28</v>
      </c>
      <c r="B32" s="2" t="s">
        <v>46</v>
      </c>
      <c r="C32" s="2" t="str">
        <f>LOOKUP(B32,Sources!$H$2:$H$50,Sources!$C$2:$C$50)</f>
        <v>York Island</v>
      </c>
      <c r="D32" s="2">
        <v>4.0</v>
      </c>
      <c r="E32" s="2">
        <v>0.0</v>
      </c>
      <c r="F32" s="2">
        <v>0.0</v>
      </c>
      <c r="G32" s="2">
        <v>0.0</v>
      </c>
      <c r="H32" s="3">
        <f t="shared" si="1"/>
        <v>1</v>
      </c>
      <c r="I32" s="3">
        <f t="shared" si="2"/>
        <v>1</v>
      </c>
    </row>
    <row r="33">
      <c r="A33" s="2" t="s">
        <v>28</v>
      </c>
      <c r="B33" s="2" t="s">
        <v>47</v>
      </c>
      <c r="C33" s="2" t="str">
        <f>LOOKUP(B33,Sources!$H$2:$H$50,Sources!$C$2:$C$50)</f>
        <v>York Island</v>
      </c>
      <c r="D33" s="2">
        <v>2.0</v>
      </c>
      <c r="E33" s="2">
        <v>2.0</v>
      </c>
      <c r="F33" s="2">
        <v>0.0</v>
      </c>
      <c r="G33" s="2">
        <v>0.0</v>
      </c>
      <c r="H33" s="3">
        <f t="shared" si="1"/>
        <v>1</v>
      </c>
      <c r="I33" s="3">
        <f t="shared" si="2"/>
        <v>0.5</v>
      </c>
    </row>
    <row r="34">
      <c r="A34" s="2" t="s">
        <v>28</v>
      </c>
      <c r="B34" s="2" t="s">
        <v>48</v>
      </c>
      <c r="C34" s="2" t="str">
        <f>LOOKUP(B34,Sources!$H$2:$H$50,Sources!$C$2:$C$50)</f>
        <v>Hells Gate</v>
      </c>
      <c r="D34" s="2">
        <v>1.0</v>
      </c>
      <c r="E34" s="2">
        <v>2.0</v>
      </c>
      <c r="F34" s="2">
        <v>1.0</v>
      </c>
      <c r="G34" s="2">
        <v>0.0</v>
      </c>
      <c r="H34" s="3">
        <f t="shared" si="1"/>
        <v>1</v>
      </c>
      <c r="I34" s="3">
        <f t="shared" si="2"/>
        <v>0.25</v>
      </c>
    </row>
    <row r="35">
      <c r="A35" s="2" t="s">
        <v>28</v>
      </c>
      <c r="B35" s="2" t="s">
        <v>49</v>
      </c>
      <c r="C35" s="2" t="str">
        <f>LOOKUP(B35,Sources!$H$2:$H$50,Sources!$C$2:$C$50)</f>
        <v>Hells Gate</v>
      </c>
      <c r="D35" s="2">
        <v>3.0</v>
      </c>
      <c r="E35" s="2">
        <v>1.0</v>
      </c>
      <c r="F35" s="2">
        <v>0.0</v>
      </c>
      <c r="G35" s="2">
        <v>0.0</v>
      </c>
      <c r="H35" s="3">
        <f t="shared" si="1"/>
        <v>1</v>
      </c>
      <c r="I35" s="3">
        <f t="shared" si="2"/>
        <v>0.75</v>
      </c>
    </row>
    <row r="36">
      <c r="A36" s="2" t="s">
        <v>28</v>
      </c>
      <c r="B36" s="2" t="s">
        <v>50</v>
      </c>
      <c r="C36" s="2" t="str">
        <f>LOOKUP(B36,Sources!$H$2:$H$50,Sources!$C$2:$C$50)</f>
        <v>Hells Gate</v>
      </c>
      <c r="D36" s="2">
        <v>1.0</v>
      </c>
      <c r="E36" s="2">
        <v>3.0</v>
      </c>
      <c r="F36" s="2">
        <v>0.0</v>
      </c>
      <c r="G36" s="2">
        <v>0.0</v>
      </c>
      <c r="H36" s="3">
        <f t="shared" si="1"/>
        <v>1</v>
      </c>
      <c r="I36" s="3">
        <f t="shared" si="2"/>
        <v>0.25</v>
      </c>
    </row>
    <row r="37">
      <c r="A37" s="2" t="s">
        <v>28</v>
      </c>
      <c r="B37" s="2" t="s">
        <v>51</v>
      </c>
      <c r="C37" s="2" t="str">
        <f>LOOKUP(B37,Sources!$H$2:$H$50,Sources!$C$2:$C$50)</f>
        <v>Hells Gate</v>
      </c>
      <c r="D37" s="2">
        <v>3.0</v>
      </c>
      <c r="E37" s="2">
        <v>0.0</v>
      </c>
      <c r="F37" s="2">
        <v>1.0</v>
      </c>
      <c r="G37" s="2">
        <v>0.0</v>
      </c>
      <c r="H37" s="3">
        <f t="shared" si="1"/>
        <v>1</v>
      </c>
      <c r="I37" s="3">
        <f t="shared" si="2"/>
        <v>0.75</v>
      </c>
    </row>
    <row r="38">
      <c r="A38" s="2" t="s">
        <v>28</v>
      </c>
      <c r="B38" s="2" t="s">
        <v>52</v>
      </c>
      <c r="C38" s="2" t="str">
        <f>LOOKUP(B38,Sources!$H$2:$H$50,Sources!$C$2:$C$50)</f>
        <v>Great Bird</v>
      </c>
      <c r="D38" s="2">
        <v>0.0</v>
      </c>
      <c r="E38" s="2">
        <v>4.0</v>
      </c>
      <c r="F38" s="2">
        <v>0.0</v>
      </c>
      <c r="G38" s="2">
        <v>0.0</v>
      </c>
      <c r="H38" s="3">
        <f t="shared" si="1"/>
        <v>1</v>
      </c>
      <c r="I38" s="3">
        <f t="shared" si="2"/>
        <v>0</v>
      </c>
    </row>
    <row r="39">
      <c r="A39" s="2" t="s">
        <v>28</v>
      </c>
      <c r="B39" s="2" t="s">
        <v>53</v>
      </c>
      <c r="C39" s="2" t="str">
        <f>LOOKUP(B39,Sources!$H$2:$H$50,Sources!$C$2:$C$50)</f>
        <v>Great Bird</v>
      </c>
      <c r="D39" s="2">
        <v>0.0</v>
      </c>
      <c r="E39" s="2">
        <v>4.0</v>
      </c>
      <c r="F39" s="2">
        <v>0.0</v>
      </c>
      <c r="G39" s="2">
        <v>0.0</v>
      </c>
      <c r="H39" s="3">
        <f t="shared" si="1"/>
        <v>1</v>
      </c>
      <c r="I39" s="3">
        <f t="shared" si="2"/>
        <v>0</v>
      </c>
    </row>
    <row r="40">
      <c r="A40" s="2" t="s">
        <v>28</v>
      </c>
      <c r="B40" s="2" t="s">
        <v>54</v>
      </c>
      <c r="C40" s="2" t="str">
        <f>LOOKUP(B40,Sources!$H$2:$H$50,Sources!$C$2:$C$50)</f>
        <v>Great Bird</v>
      </c>
      <c r="D40" s="2">
        <v>4.0</v>
      </c>
      <c r="E40" s="2">
        <v>0.0</v>
      </c>
      <c r="F40" s="2">
        <v>0.0</v>
      </c>
      <c r="G40" s="2">
        <v>0.0</v>
      </c>
      <c r="H40" s="3">
        <f t="shared" si="1"/>
        <v>1</v>
      </c>
      <c r="I40" s="3">
        <f t="shared" si="2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3" max="3" width="10.0"/>
    <col customWidth="1" min="4" max="4" width="9.14"/>
    <col customWidth="1" min="5" max="5" width="9.57"/>
    <col customWidth="1" min="6" max="6" width="9.71"/>
    <col customWidth="1" min="7" max="7" width="11.57"/>
    <col customWidth="1" min="8" max="8" width="10.14"/>
    <col customWidth="1" min="9" max="9" width="11.0"/>
    <col customWidth="1" min="10" max="10" width="10.71"/>
    <col customWidth="1" min="11" max="11" width="85.29"/>
  </cols>
  <sheetData>
    <row r="1">
      <c r="A1" s="4" t="s">
        <v>1</v>
      </c>
      <c r="B1" s="4" t="s">
        <v>2</v>
      </c>
      <c r="C1" s="4" t="s">
        <v>55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56</v>
      </c>
      <c r="I1" s="4" t="s">
        <v>7</v>
      </c>
      <c r="J1" s="4" t="s">
        <v>8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2" t="s">
        <v>36</v>
      </c>
      <c r="B2" s="2" t="str">
        <f>LOOKUP(A2,Sources!$H$2:$H$50,Sources!$C$2:$C$50)</f>
        <v>North Green</v>
      </c>
      <c r="C2" s="2" t="s">
        <v>57</v>
      </c>
      <c r="D2" s="2">
        <v>3.0</v>
      </c>
      <c r="E2" s="2">
        <v>1.0</v>
      </c>
      <c r="F2" s="2">
        <v>0.0</v>
      </c>
      <c r="G2" s="2">
        <v>36.0</v>
      </c>
      <c r="H2" s="6">
        <f t="shared" ref="H2:H40" si="1">SUM(D2:G2)</f>
        <v>40</v>
      </c>
      <c r="I2" s="3">
        <f t="shared" ref="I2:I40" si="2">SUM(D2:F2)/H2</f>
        <v>0.1</v>
      </c>
      <c r="J2" s="3">
        <f t="shared" ref="J2:J40" si="3">D2/H2</f>
        <v>0.075</v>
      </c>
      <c r="K2" s="2" t="s">
        <v>58</v>
      </c>
    </row>
    <row r="3">
      <c r="A3" s="2" t="s">
        <v>38</v>
      </c>
      <c r="B3" s="2" t="str">
        <f>LOOKUP(A3,Sources!$H$2:$H$50,Sources!$C$2:$C$50)</f>
        <v>Little Bird Channel</v>
      </c>
      <c r="C3" s="2" t="s">
        <v>57</v>
      </c>
      <c r="D3" s="2">
        <v>47.0</v>
      </c>
      <c r="E3" s="2">
        <v>7.0</v>
      </c>
      <c r="F3" s="2">
        <v>0.0</v>
      </c>
      <c r="G3" s="2">
        <v>1.0</v>
      </c>
      <c r="H3" s="6">
        <f t="shared" si="1"/>
        <v>55</v>
      </c>
      <c r="I3" s="3">
        <f t="shared" si="2"/>
        <v>0.9818181818</v>
      </c>
      <c r="J3" s="3">
        <f t="shared" si="3"/>
        <v>0.8545454545</v>
      </c>
      <c r="K3" s="2" t="s">
        <v>59</v>
      </c>
    </row>
    <row r="4">
      <c r="A4" s="2" t="s">
        <v>40</v>
      </c>
      <c r="B4" s="2" t="str">
        <f>LOOKUP(A4,Sources!$H$2:$H$50,Sources!$C$2:$C$50)</f>
        <v>Little Bird Channel</v>
      </c>
      <c r="C4" s="2" t="s">
        <v>57</v>
      </c>
      <c r="D4" s="2">
        <v>23.0</v>
      </c>
      <c r="E4" s="2">
        <v>9.0</v>
      </c>
      <c r="F4" s="2">
        <v>1.0</v>
      </c>
      <c r="G4" s="2">
        <v>15.0</v>
      </c>
      <c r="H4" s="6">
        <f t="shared" si="1"/>
        <v>48</v>
      </c>
      <c r="I4" s="3">
        <f t="shared" si="2"/>
        <v>0.6875</v>
      </c>
      <c r="J4" s="3">
        <f t="shared" si="3"/>
        <v>0.4791666667</v>
      </c>
    </row>
    <row r="5">
      <c r="A5" s="2" t="s">
        <v>41</v>
      </c>
      <c r="B5" s="2" t="str">
        <f>LOOKUP(A5,Sources!$H$2:$H$50,Sources!$C$2:$C$50)</f>
        <v>Great Bird</v>
      </c>
      <c r="C5" s="2" t="s">
        <v>57</v>
      </c>
      <c r="D5" s="2">
        <v>57.0</v>
      </c>
      <c r="E5" s="2">
        <v>0.0</v>
      </c>
      <c r="F5" s="2">
        <v>2.0</v>
      </c>
      <c r="G5" s="2">
        <v>3.0</v>
      </c>
      <c r="H5" s="6">
        <f t="shared" si="1"/>
        <v>62</v>
      </c>
      <c r="I5" s="3">
        <f t="shared" si="2"/>
        <v>0.9516129032</v>
      </c>
      <c r="J5" s="3">
        <f t="shared" si="3"/>
        <v>0.9193548387</v>
      </c>
    </row>
    <row r="6">
      <c r="A6" s="2" t="s">
        <v>42</v>
      </c>
      <c r="B6" s="2" t="str">
        <f>LOOKUP(A6,Sources!$H$2:$H$50,Sources!$C$2:$C$50)</f>
        <v>Hells Gate</v>
      </c>
      <c r="C6" s="2" t="s">
        <v>57</v>
      </c>
      <c r="D6" s="2">
        <v>23.0</v>
      </c>
      <c r="E6" s="2">
        <v>4.0</v>
      </c>
      <c r="F6" s="2">
        <v>2.0</v>
      </c>
      <c r="G6" s="2">
        <v>26.0</v>
      </c>
      <c r="H6" s="6">
        <f t="shared" si="1"/>
        <v>55</v>
      </c>
      <c r="I6" s="3">
        <f t="shared" si="2"/>
        <v>0.5272727273</v>
      </c>
      <c r="J6" s="3">
        <f t="shared" si="3"/>
        <v>0.4181818182</v>
      </c>
    </row>
    <row r="7">
      <c r="A7" s="2" t="s">
        <v>43</v>
      </c>
      <c r="B7" s="2" t="str">
        <f>LOOKUP(A7,Sources!$H$2:$H$50,Sources!$C$2:$C$50)</f>
        <v>Hells Gate</v>
      </c>
      <c r="C7" s="2" t="s">
        <v>57</v>
      </c>
      <c r="D7" s="2">
        <v>16.0</v>
      </c>
      <c r="E7" s="2">
        <v>11.0</v>
      </c>
      <c r="F7" s="2">
        <v>2.0</v>
      </c>
      <c r="G7" s="2">
        <v>18.0</v>
      </c>
      <c r="H7" s="6">
        <f t="shared" si="1"/>
        <v>47</v>
      </c>
      <c r="I7" s="3">
        <f t="shared" si="2"/>
        <v>0.6170212766</v>
      </c>
      <c r="J7" s="3">
        <f t="shared" si="3"/>
        <v>0.3404255319</v>
      </c>
    </row>
    <row r="8">
      <c r="A8" s="2" t="s">
        <v>44</v>
      </c>
      <c r="B8" s="2" t="str">
        <f>LOOKUP(A8,Sources!$H$2:$H$50,Sources!$C$2:$C$50)</f>
        <v>Man of War</v>
      </c>
      <c r="C8" s="2" t="s">
        <v>57</v>
      </c>
      <c r="D8" s="2">
        <v>40.0</v>
      </c>
      <c r="E8" s="2">
        <v>0.0</v>
      </c>
      <c r="F8" s="2">
        <v>1.0</v>
      </c>
      <c r="G8" s="2">
        <v>0.0</v>
      </c>
      <c r="H8" s="6">
        <f t="shared" si="1"/>
        <v>41</v>
      </c>
      <c r="I8" s="3">
        <f t="shared" si="2"/>
        <v>1</v>
      </c>
      <c r="J8" s="3">
        <f t="shared" si="3"/>
        <v>0.9756097561</v>
      </c>
    </row>
    <row r="9">
      <c r="A9" s="2" t="s">
        <v>45</v>
      </c>
      <c r="B9" s="2" t="str">
        <f>LOOKUP(A9,Sources!$H$2:$H$50,Sources!$C$2:$C$50)</f>
        <v>Man of War</v>
      </c>
      <c r="C9" s="2" t="s">
        <v>57</v>
      </c>
      <c r="D9" s="2">
        <v>40.0</v>
      </c>
      <c r="E9" s="2">
        <v>3.0</v>
      </c>
      <c r="F9" s="2">
        <v>2.0</v>
      </c>
      <c r="G9" s="2">
        <v>3.0</v>
      </c>
      <c r="H9" s="6">
        <f t="shared" si="1"/>
        <v>48</v>
      </c>
      <c r="I9" s="3">
        <f t="shared" si="2"/>
        <v>0.9375</v>
      </c>
      <c r="J9" s="3">
        <f t="shared" si="3"/>
        <v>0.8333333333</v>
      </c>
    </row>
    <row r="10">
      <c r="A10" s="2" t="s">
        <v>46</v>
      </c>
      <c r="B10" s="2" t="str">
        <f>LOOKUP(A10,Sources!$H$2:$H$50,Sources!$C$2:$C$50)</f>
        <v>York Island</v>
      </c>
      <c r="C10" s="2" t="s">
        <v>57</v>
      </c>
      <c r="D10" s="2">
        <v>41.0</v>
      </c>
      <c r="E10" s="2">
        <v>7.0</v>
      </c>
      <c r="F10" s="2">
        <v>0.0</v>
      </c>
      <c r="G10" s="2">
        <v>0.0</v>
      </c>
      <c r="H10" s="6">
        <f t="shared" si="1"/>
        <v>48</v>
      </c>
      <c r="I10" s="3">
        <f t="shared" si="2"/>
        <v>1</v>
      </c>
      <c r="J10" s="3">
        <f t="shared" si="3"/>
        <v>0.8541666667</v>
      </c>
    </row>
    <row r="11">
      <c r="A11" s="2" t="s">
        <v>47</v>
      </c>
      <c r="B11" s="2" t="str">
        <f>LOOKUP(A11,Sources!$H$2:$H$50,Sources!$C$2:$C$50)</f>
        <v>York Island</v>
      </c>
      <c r="C11" s="2" t="s">
        <v>57</v>
      </c>
      <c r="D11" s="2">
        <v>25.0</v>
      </c>
      <c r="E11" s="2">
        <v>4.0</v>
      </c>
      <c r="F11" s="2">
        <v>0.0</v>
      </c>
      <c r="G11" s="2">
        <v>0.0</v>
      </c>
      <c r="H11" s="6">
        <f t="shared" si="1"/>
        <v>29</v>
      </c>
      <c r="I11" s="3">
        <f t="shared" si="2"/>
        <v>1</v>
      </c>
      <c r="J11" s="3">
        <f t="shared" si="3"/>
        <v>0.8620689655</v>
      </c>
    </row>
    <row r="12">
      <c r="A12" s="2" t="s">
        <v>48</v>
      </c>
      <c r="B12" s="2" t="str">
        <f>LOOKUP(A12,Sources!$H$2:$H$50,Sources!$C$2:$C$50)</f>
        <v>Hells Gate</v>
      </c>
      <c r="C12" s="2" t="s">
        <v>57</v>
      </c>
      <c r="D12" s="2">
        <v>3.0</v>
      </c>
      <c r="E12" s="2">
        <v>3.0</v>
      </c>
      <c r="F12" s="2">
        <v>0.0</v>
      </c>
      <c r="G12" s="2">
        <v>7.0</v>
      </c>
      <c r="H12" s="6">
        <f t="shared" si="1"/>
        <v>13</v>
      </c>
      <c r="I12" s="3">
        <f t="shared" si="2"/>
        <v>0.4615384615</v>
      </c>
      <c r="J12" s="3">
        <f t="shared" si="3"/>
        <v>0.2307692308</v>
      </c>
      <c r="K12" s="2" t="s">
        <v>60</v>
      </c>
    </row>
    <row r="13">
      <c r="A13" s="2" t="s">
        <v>49</v>
      </c>
      <c r="B13" s="2" t="str">
        <f>LOOKUP(A13,Sources!$H$2:$H$50,Sources!$C$2:$C$50)</f>
        <v>Hells Gate</v>
      </c>
      <c r="C13" s="2" t="s">
        <v>57</v>
      </c>
      <c r="D13" s="2">
        <v>33.0</v>
      </c>
      <c r="E13" s="2">
        <v>14.0</v>
      </c>
      <c r="F13" s="2">
        <v>2.0</v>
      </c>
      <c r="G13" s="2">
        <v>16.0</v>
      </c>
      <c r="H13" s="6">
        <f t="shared" si="1"/>
        <v>65</v>
      </c>
      <c r="I13" s="3">
        <f t="shared" si="2"/>
        <v>0.7538461538</v>
      </c>
      <c r="J13" s="3">
        <f t="shared" si="3"/>
        <v>0.5076923077</v>
      </c>
    </row>
    <row r="14">
      <c r="A14" s="2" t="s">
        <v>11</v>
      </c>
      <c r="B14" s="2" t="str">
        <f>LOOKUP(A14,Sources!$H$2:$H$50,Sources!$C$2:$C$50)</f>
        <v>Exchange Bay</v>
      </c>
      <c r="C14" s="2" t="s">
        <v>61</v>
      </c>
      <c r="D14" s="2">
        <v>29.0</v>
      </c>
      <c r="E14" s="2">
        <v>3.0</v>
      </c>
      <c r="F14" s="2">
        <v>0.0</v>
      </c>
      <c r="G14" s="2">
        <v>0.0</v>
      </c>
      <c r="H14" s="6">
        <f t="shared" si="1"/>
        <v>32</v>
      </c>
      <c r="I14" s="3">
        <f t="shared" si="2"/>
        <v>1</v>
      </c>
      <c r="J14" s="3">
        <f t="shared" si="3"/>
        <v>0.90625</v>
      </c>
    </row>
    <row r="15">
      <c r="A15" s="2" t="s">
        <v>12</v>
      </c>
      <c r="B15" s="2" t="str">
        <f>LOOKUP(A15,Sources!$H$2:$H$50,Sources!$C$2:$C$50)</f>
        <v>Cervi Heaven</v>
      </c>
      <c r="C15" s="2" t="s">
        <v>61</v>
      </c>
      <c r="D15" s="2">
        <v>40.0</v>
      </c>
      <c r="E15" s="2">
        <v>0.0</v>
      </c>
      <c r="F15" s="2">
        <v>0.0</v>
      </c>
      <c r="G15" s="2">
        <v>0.0</v>
      </c>
      <c r="H15" s="6">
        <f t="shared" si="1"/>
        <v>40</v>
      </c>
      <c r="I15" s="3">
        <f t="shared" si="2"/>
        <v>1</v>
      </c>
      <c r="J15" s="3">
        <f t="shared" si="3"/>
        <v>1</v>
      </c>
    </row>
    <row r="16">
      <c r="A16" s="2" t="s">
        <v>13</v>
      </c>
      <c r="B16" s="2" t="str">
        <f>LOOKUP(A16,Sources!$H$2:$H$50,Sources!$C$2:$C$50)</f>
        <v>Little Bird Channel</v>
      </c>
      <c r="C16" s="2" t="s">
        <v>61</v>
      </c>
      <c r="D16" s="2">
        <v>25.0</v>
      </c>
      <c r="E16" s="2">
        <v>2.0</v>
      </c>
      <c r="F16" s="2">
        <v>1.0</v>
      </c>
      <c r="G16" s="2">
        <v>10.0</v>
      </c>
      <c r="H16" s="6">
        <f t="shared" si="1"/>
        <v>38</v>
      </c>
      <c r="I16" s="3">
        <f t="shared" si="2"/>
        <v>0.7368421053</v>
      </c>
      <c r="J16" s="3">
        <f t="shared" si="3"/>
        <v>0.6578947368</v>
      </c>
    </row>
    <row r="17">
      <c r="A17" s="2" t="s">
        <v>14</v>
      </c>
      <c r="B17" s="2" t="str">
        <f>LOOKUP(A17,Sources!$H$2:$H$50,Sources!$C$2:$C$50)</f>
        <v>Little Bird Channel</v>
      </c>
      <c r="C17" s="2" t="s">
        <v>61</v>
      </c>
      <c r="D17" s="2">
        <v>14.0</v>
      </c>
      <c r="E17" s="2">
        <v>3.0</v>
      </c>
      <c r="F17" s="2">
        <v>6.0</v>
      </c>
      <c r="G17" s="2">
        <v>17.0</v>
      </c>
      <c r="H17" s="6">
        <f t="shared" si="1"/>
        <v>40</v>
      </c>
      <c r="I17" s="3">
        <f t="shared" si="2"/>
        <v>0.575</v>
      </c>
      <c r="J17" s="3">
        <f t="shared" si="3"/>
        <v>0.35</v>
      </c>
    </row>
    <row r="18">
      <c r="A18" s="2" t="s">
        <v>15</v>
      </c>
      <c r="B18" s="2" t="str">
        <f>LOOKUP(A18,Sources!$H$2:$H$50,Sources!$C$2:$C$50)</f>
        <v>Little Bird Channel</v>
      </c>
      <c r="C18" s="2" t="s">
        <v>61</v>
      </c>
      <c r="D18" s="2">
        <v>1.0</v>
      </c>
      <c r="E18" s="2">
        <v>1.0</v>
      </c>
      <c r="F18" s="2">
        <v>0.0</v>
      </c>
      <c r="G18" s="2">
        <v>46.0</v>
      </c>
      <c r="H18" s="6">
        <f t="shared" si="1"/>
        <v>48</v>
      </c>
      <c r="I18" s="3">
        <f t="shared" si="2"/>
        <v>0.04166666667</v>
      </c>
      <c r="J18" s="3">
        <f t="shared" si="3"/>
        <v>0.02083333333</v>
      </c>
    </row>
    <row r="19">
      <c r="A19" s="2" t="s">
        <v>16</v>
      </c>
      <c r="B19" s="2" t="str">
        <f>LOOKUP(A19,Sources!$H$2:$H$50,Sources!$C$2:$C$50)</f>
        <v>Great Bird</v>
      </c>
      <c r="C19" s="2" t="s">
        <v>61</v>
      </c>
      <c r="D19" s="2">
        <v>11.0</v>
      </c>
      <c r="E19" s="2">
        <v>4.0</v>
      </c>
      <c r="F19" s="2">
        <v>2.0</v>
      </c>
      <c r="G19" s="2">
        <v>23.0</v>
      </c>
      <c r="H19" s="6">
        <f t="shared" si="1"/>
        <v>40</v>
      </c>
      <c r="I19" s="3">
        <f t="shared" si="2"/>
        <v>0.425</v>
      </c>
      <c r="J19" s="3">
        <f t="shared" si="3"/>
        <v>0.275</v>
      </c>
    </row>
    <row r="20">
      <c r="A20" s="2" t="s">
        <v>27</v>
      </c>
      <c r="B20" s="2" t="str">
        <f>LOOKUP(A20,Sources!$H$2:$H$50,Sources!$C$2:$C$50)</f>
        <v>Great Bird</v>
      </c>
      <c r="C20" s="2" t="s">
        <v>61</v>
      </c>
      <c r="D20" s="2">
        <v>19.0</v>
      </c>
      <c r="E20" s="2">
        <v>3.0</v>
      </c>
      <c r="F20" s="2">
        <v>0.0</v>
      </c>
      <c r="G20" s="2">
        <v>1.0</v>
      </c>
      <c r="H20" s="6">
        <f t="shared" si="1"/>
        <v>23</v>
      </c>
      <c r="I20" s="3">
        <f t="shared" si="2"/>
        <v>0.9565217391</v>
      </c>
      <c r="J20" s="3">
        <f t="shared" si="3"/>
        <v>0.8260869565</v>
      </c>
    </row>
    <row r="21">
      <c r="A21" s="2" t="s">
        <v>25</v>
      </c>
      <c r="B21" s="2" t="str">
        <f>LOOKUP(A21,Sources!$H$2:$H$50,Sources!$C$2:$C$50)</f>
        <v>Man of War</v>
      </c>
      <c r="C21" s="2" t="s">
        <v>61</v>
      </c>
      <c r="D21" s="2">
        <v>18.0</v>
      </c>
      <c r="E21" s="2">
        <v>3.0</v>
      </c>
      <c r="F21" s="2">
        <v>0.0</v>
      </c>
      <c r="G21" s="2">
        <v>11.0</v>
      </c>
      <c r="H21" s="6">
        <f t="shared" si="1"/>
        <v>32</v>
      </c>
      <c r="I21" s="3">
        <f t="shared" si="2"/>
        <v>0.65625</v>
      </c>
      <c r="J21" s="3">
        <f t="shared" si="3"/>
        <v>0.5625</v>
      </c>
    </row>
    <row r="22">
      <c r="A22" s="2" t="s">
        <v>24</v>
      </c>
      <c r="B22" s="2" t="str">
        <f>LOOKUP(A22,Sources!$H$2:$H$50,Sources!$C$2:$C$50)</f>
        <v>Hells Gate</v>
      </c>
      <c r="C22" s="2" t="s">
        <v>61</v>
      </c>
      <c r="D22" s="2">
        <v>23.0</v>
      </c>
      <c r="E22" s="2">
        <v>2.0</v>
      </c>
      <c r="F22" s="2">
        <v>0.0</v>
      </c>
      <c r="G22" s="2">
        <v>4.0</v>
      </c>
      <c r="H22" s="6">
        <f t="shared" si="1"/>
        <v>29</v>
      </c>
      <c r="I22" s="3">
        <f t="shared" si="2"/>
        <v>0.8620689655</v>
      </c>
      <c r="J22" s="3">
        <f t="shared" si="3"/>
        <v>0.7931034483</v>
      </c>
    </row>
    <row r="23">
      <c r="A23" s="2" t="s">
        <v>23</v>
      </c>
      <c r="B23" s="2" t="str">
        <f>LOOKUP(A23,Sources!$H$2:$H$50,Sources!$C$2:$C$50)</f>
        <v>Hells Gate</v>
      </c>
      <c r="C23" s="2" t="s">
        <v>61</v>
      </c>
      <c r="D23" s="2">
        <v>29.0</v>
      </c>
      <c r="E23" s="2">
        <v>3.0</v>
      </c>
      <c r="F23" s="2">
        <v>0.0</v>
      </c>
      <c r="G23" s="2">
        <v>1.0</v>
      </c>
      <c r="H23" s="6">
        <f t="shared" si="1"/>
        <v>33</v>
      </c>
      <c r="I23" s="3">
        <f t="shared" si="2"/>
        <v>0.9696969697</v>
      </c>
      <c r="J23" s="3">
        <f t="shared" si="3"/>
        <v>0.8787878788</v>
      </c>
    </row>
    <row r="24">
      <c r="A24" s="2" t="s">
        <v>19</v>
      </c>
      <c r="B24" s="2" t="str">
        <f>LOOKUP(A24,Sources!$H$2:$H$50,Sources!$C$2:$C$50)</f>
        <v>Hells Gate</v>
      </c>
      <c r="C24" s="2" t="s">
        <v>61</v>
      </c>
      <c r="D24" s="2">
        <v>30.0</v>
      </c>
      <c r="E24" s="2">
        <v>7.0</v>
      </c>
      <c r="F24" s="2">
        <v>0.0</v>
      </c>
      <c r="G24" s="2">
        <v>0.0</v>
      </c>
      <c r="H24" s="6">
        <f t="shared" si="1"/>
        <v>37</v>
      </c>
      <c r="I24" s="3">
        <f t="shared" si="2"/>
        <v>1</v>
      </c>
      <c r="J24" s="3">
        <f t="shared" si="3"/>
        <v>0.8108108108</v>
      </c>
    </row>
    <row r="25">
      <c r="A25" s="2" t="s">
        <v>22</v>
      </c>
      <c r="B25" s="2" t="str">
        <f>LOOKUP(A25,Sources!$H$2:$H$50,Sources!$C$2:$C$50)</f>
        <v>Little Bird Channel</v>
      </c>
      <c r="C25" s="2" t="s">
        <v>61</v>
      </c>
      <c r="D25" s="2">
        <v>2.0</v>
      </c>
      <c r="E25" s="2">
        <v>0.0</v>
      </c>
      <c r="F25" s="2">
        <v>0.0</v>
      </c>
      <c r="G25" s="2">
        <v>28.0</v>
      </c>
      <c r="H25" s="6">
        <f t="shared" si="1"/>
        <v>30</v>
      </c>
      <c r="I25" s="3">
        <f t="shared" si="2"/>
        <v>0.06666666667</v>
      </c>
      <c r="J25" s="3">
        <f t="shared" si="3"/>
        <v>0.06666666667</v>
      </c>
    </row>
    <row r="26">
      <c r="A26" s="2" t="s">
        <v>18</v>
      </c>
      <c r="B26" s="2" t="str">
        <f>LOOKUP(A26,Sources!$H$2:$H$50,Sources!$C$2:$C$50)</f>
        <v>Man of War</v>
      </c>
      <c r="C26" s="2" t="s">
        <v>61</v>
      </c>
      <c r="D26" s="2">
        <v>13.0</v>
      </c>
      <c r="E26" s="2">
        <v>1.0</v>
      </c>
      <c r="F26" s="2">
        <v>1.0</v>
      </c>
      <c r="G26" s="2">
        <v>18.0</v>
      </c>
      <c r="H26" s="6">
        <f t="shared" si="1"/>
        <v>33</v>
      </c>
      <c r="I26" s="3">
        <f t="shared" si="2"/>
        <v>0.4545454545</v>
      </c>
      <c r="J26" s="3">
        <f t="shared" si="3"/>
        <v>0.3939393939</v>
      </c>
    </row>
    <row r="27">
      <c r="A27" s="2" t="s">
        <v>17</v>
      </c>
      <c r="B27" s="2" t="str">
        <f>LOOKUP(A27,Sources!$H$2:$H$50,Sources!$C$2:$C$50)</f>
        <v>Hells Gate</v>
      </c>
      <c r="C27" s="2" t="s">
        <v>61</v>
      </c>
      <c r="D27" s="2">
        <v>32.0</v>
      </c>
      <c r="E27" s="2">
        <v>1.0</v>
      </c>
      <c r="F27" s="2">
        <v>1.0</v>
      </c>
      <c r="G27" s="2">
        <v>8.0</v>
      </c>
      <c r="H27" s="6">
        <f t="shared" si="1"/>
        <v>42</v>
      </c>
      <c r="I27" s="3">
        <f t="shared" si="2"/>
        <v>0.8095238095</v>
      </c>
      <c r="J27" s="3">
        <f t="shared" si="3"/>
        <v>0.7619047619</v>
      </c>
    </row>
    <row r="28">
      <c r="A28" s="2" t="s">
        <v>26</v>
      </c>
      <c r="B28" s="2" t="str">
        <f>LOOKUP(A28,Sources!$H$2:$H$50,Sources!$C$2:$C$50)</f>
        <v>Hells Gate</v>
      </c>
      <c r="C28" s="2" t="s">
        <v>61</v>
      </c>
      <c r="D28" s="2">
        <v>25.0</v>
      </c>
      <c r="E28" s="2">
        <v>7.0</v>
      </c>
      <c r="F28" s="2">
        <v>0.0</v>
      </c>
      <c r="G28" s="2">
        <v>0.0</v>
      </c>
      <c r="H28" s="6">
        <f t="shared" si="1"/>
        <v>32</v>
      </c>
      <c r="I28" s="3">
        <f t="shared" si="2"/>
        <v>1</v>
      </c>
      <c r="J28" s="3">
        <f t="shared" si="3"/>
        <v>0.78125</v>
      </c>
    </row>
    <row r="29">
      <c r="A29" s="2" t="s">
        <v>54</v>
      </c>
      <c r="B29" s="2" t="str">
        <f>LOOKUP(A29,Sources!$H$2:$H$50,Sources!$C$2:$C$50)</f>
        <v>Great Bird</v>
      </c>
      <c r="C29" s="2" t="s">
        <v>61</v>
      </c>
      <c r="D29" s="2">
        <v>29.0</v>
      </c>
      <c r="E29" s="2">
        <v>5.0</v>
      </c>
      <c r="F29" s="2">
        <v>0.0</v>
      </c>
      <c r="G29" s="2">
        <v>0.0</v>
      </c>
      <c r="H29" s="6">
        <f t="shared" si="1"/>
        <v>34</v>
      </c>
      <c r="I29" s="3">
        <f t="shared" si="2"/>
        <v>1</v>
      </c>
      <c r="J29" s="3">
        <f t="shared" si="3"/>
        <v>0.8529411765</v>
      </c>
    </row>
    <row r="30">
      <c r="A30" s="2" t="s">
        <v>53</v>
      </c>
      <c r="B30" s="2" t="str">
        <f>LOOKUP(A30,Sources!$H$2:$H$50,Sources!$C$2:$C$50)</f>
        <v>Great Bird</v>
      </c>
      <c r="C30" s="2" t="s">
        <v>61</v>
      </c>
      <c r="D30" s="2">
        <v>7.0</v>
      </c>
      <c r="E30" s="2">
        <v>25.0</v>
      </c>
      <c r="F30" s="2">
        <v>1.0</v>
      </c>
      <c r="G30" s="2">
        <v>2.0</v>
      </c>
      <c r="H30" s="6">
        <f t="shared" si="1"/>
        <v>35</v>
      </c>
      <c r="I30" s="3">
        <f t="shared" si="2"/>
        <v>0.9428571429</v>
      </c>
      <c r="J30" s="3">
        <f t="shared" si="3"/>
        <v>0.2</v>
      </c>
    </row>
    <row r="31">
      <c r="A31" s="2" t="s">
        <v>52</v>
      </c>
      <c r="B31" s="2" t="str">
        <f>LOOKUP(A31,Sources!$H$2:$H$50,Sources!$C$2:$C$50)</f>
        <v>Great Bird</v>
      </c>
      <c r="C31" s="2" t="s">
        <v>61</v>
      </c>
      <c r="D31" s="2">
        <v>16.0</v>
      </c>
      <c r="E31" s="2">
        <v>17.0</v>
      </c>
      <c r="F31" s="2">
        <v>0.0</v>
      </c>
      <c r="G31" s="2">
        <v>0.0</v>
      </c>
      <c r="H31" s="6">
        <f t="shared" si="1"/>
        <v>33</v>
      </c>
      <c r="I31" s="3">
        <f t="shared" si="2"/>
        <v>1</v>
      </c>
      <c r="J31" s="3">
        <f t="shared" si="3"/>
        <v>0.4848484848</v>
      </c>
    </row>
    <row r="32">
      <c r="A32" s="2" t="s">
        <v>50</v>
      </c>
      <c r="B32" s="2" t="str">
        <f>LOOKUP(A32,Sources!$H$2:$H$50,Sources!$C$2:$C$50)</f>
        <v>Hells Gate</v>
      </c>
      <c r="C32" s="2" t="s">
        <v>61</v>
      </c>
      <c r="D32" s="2">
        <v>10.0</v>
      </c>
      <c r="E32" s="2">
        <v>8.0</v>
      </c>
      <c r="F32" s="2">
        <v>1.0</v>
      </c>
      <c r="G32" s="2">
        <v>1.0</v>
      </c>
      <c r="H32" s="6">
        <f t="shared" si="1"/>
        <v>20</v>
      </c>
      <c r="I32" s="3">
        <f t="shared" si="2"/>
        <v>0.95</v>
      </c>
      <c r="J32" s="3">
        <f t="shared" si="3"/>
        <v>0.5</v>
      </c>
    </row>
    <row r="33">
      <c r="A33" s="2" t="s">
        <v>51</v>
      </c>
      <c r="B33" s="2" t="str">
        <f>LOOKUP(A33,Sources!$H$2:$H$50,Sources!$C$2:$C$50)</f>
        <v>Hells Gate</v>
      </c>
      <c r="C33" s="2" t="s">
        <v>61</v>
      </c>
      <c r="D33" s="2">
        <v>26.0</v>
      </c>
      <c r="E33" s="2">
        <v>7.0</v>
      </c>
      <c r="F33" s="2">
        <v>1.0</v>
      </c>
      <c r="G33" s="2">
        <v>0.0</v>
      </c>
      <c r="H33" s="6">
        <f t="shared" si="1"/>
        <v>34</v>
      </c>
      <c r="I33" s="3">
        <f t="shared" si="2"/>
        <v>1</v>
      </c>
      <c r="J33" s="3">
        <f t="shared" si="3"/>
        <v>0.7647058824</v>
      </c>
    </row>
    <row r="34">
      <c r="A34" s="2" t="s">
        <v>29</v>
      </c>
      <c r="B34" s="2" t="str">
        <f>LOOKUP(A34,Sources!$H$2:$H$50,Sources!$C$2:$C$50)</f>
        <v>Friar's Head</v>
      </c>
      <c r="C34" s="2" t="s">
        <v>61</v>
      </c>
      <c r="D34" s="2">
        <v>22.0</v>
      </c>
      <c r="E34" s="2">
        <v>5.0</v>
      </c>
      <c r="F34" s="2">
        <v>3.0</v>
      </c>
      <c r="G34" s="2">
        <v>0.0</v>
      </c>
      <c r="H34" s="6">
        <f t="shared" si="1"/>
        <v>30</v>
      </c>
      <c r="I34" s="3">
        <f t="shared" si="2"/>
        <v>1</v>
      </c>
      <c r="J34" s="3">
        <f t="shared" si="3"/>
        <v>0.7333333333</v>
      </c>
    </row>
    <row r="35">
      <c r="A35" s="2" t="s">
        <v>30</v>
      </c>
      <c r="B35" s="2" t="str">
        <f>LOOKUP(A35,Sources!$H$2:$H$50,Sources!$C$2:$C$50)</f>
        <v>North Green</v>
      </c>
      <c r="C35" s="2" t="s">
        <v>61</v>
      </c>
      <c r="D35" s="2">
        <v>10.0</v>
      </c>
      <c r="E35" s="2">
        <v>5.0</v>
      </c>
      <c r="F35" s="2">
        <v>0.0</v>
      </c>
      <c r="G35" s="2">
        <v>16.0</v>
      </c>
      <c r="H35" s="6">
        <f t="shared" si="1"/>
        <v>31</v>
      </c>
      <c r="I35" s="3">
        <f t="shared" si="2"/>
        <v>0.4838709677</v>
      </c>
      <c r="J35" s="3">
        <f t="shared" si="3"/>
        <v>0.3225806452</v>
      </c>
    </row>
    <row r="36">
      <c r="A36" s="2" t="s">
        <v>31</v>
      </c>
      <c r="B36" s="2" t="str">
        <f>LOOKUP(A36,Sources!$H$2:$H$50,Sources!$C$2:$C$50)</f>
        <v>North Green</v>
      </c>
      <c r="C36" s="2" t="s">
        <v>61</v>
      </c>
      <c r="D36" s="2">
        <v>20.0</v>
      </c>
      <c r="E36" s="2">
        <v>10.0</v>
      </c>
      <c r="F36" s="2">
        <v>1.0</v>
      </c>
      <c r="G36" s="2">
        <v>2.0</v>
      </c>
      <c r="H36" s="6">
        <f t="shared" si="1"/>
        <v>33</v>
      </c>
      <c r="I36" s="3">
        <f t="shared" si="2"/>
        <v>0.9393939394</v>
      </c>
      <c r="J36" s="3">
        <f t="shared" si="3"/>
        <v>0.6060606061</v>
      </c>
    </row>
    <row r="37">
      <c r="A37" s="2" t="s">
        <v>32</v>
      </c>
      <c r="B37" s="2" t="str">
        <f>LOOKUP(A37,Sources!$H$2:$H$50,Sources!$C$2:$C$50)</f>
        <v>North Green</v>
      </c>
      <c r="C37" s="2" t="s">
        <v>61</v>
      </c>
      <c r="D37" s="2">
        <v>14.0</v>
      </c>
      <c r="E37" s="2">
        <v>17.0</v>
      </c>
      <c r="F37" s="2">
        <v>0.0</v>
      </c>
      <c r="G37" s="2">
        <v>0.0</v>
      </c>
      <c r="H37" s="6">
        <f t="shared" si="1"/>
        <v>31</v>
      </c>
      <c r="I37" s="3">
        <f t="shared" si="2"/>
        <v>1</v>
      </c>
      <c r="J37" s="3">
        <f t="shared" si="3"/>
        <v>0.4516129032</v>
      </c>
    </row>
    <row r="38">
      <c r="A38" s="2" t="s">
        <v>33</v>
      </c>
      <c r="B38" s="2" t="str">
        <f>LOOKUP(A38,Sources!$H$2:$H$50,Sources!$C$2:$C$50)</f>
        <v>North Green</v>
      </c>
      <c r="C38" s="2" t="s">
        <v>61</v>
      </c>
      <c r="D38" s="2">
        <v>10.0</v>
      </c>
      <c r="E38" s="2">
        <v>1.0</v>
      </c>
      <c r="F38" s="2">
        <v>2.0</v>
      </c>
      <c r="G38" s="2">
        <v>19.0</v>
      </c>
      <c r="H38" s="6">
        <f t="shared" si="1"/>
        <v>32</v>
      </c>
      <c r="I38" s="3">
        <f t="shared" si="2"/>
        <v>0.40625</v>
      </c>
      <c r="J38" s="3">
        <f t="shared" si="3"/>
        <v>0.3125</v>
      </c>
    </row>
    <row r="39">
      <c r="A39" s="2" t="s">
        <v>34</v>
      </c>
      <c r="B39" s="2" t="str">
        <f>LOOKUP(A39,Sources!$H$2:$H$50,Sources!$C$2:$C$50)</f>
        <v>North Green</v>
      </c>
      <c r="C39" s="2" t="s">
        <v>61</v>
      </c>
      <c r="D39" s="2">
        <v>22.0</v>
      </c>
      <c r="E39" s="2">
        <v>8.0</v>
      </c>
      <c r="F39" s="2">
        <v>0.0</v>
      </c>
      <c r="G39" s="2">
        <v>0.0</v>
      </c>
      <c r="H39" s="6">
        <f t="shared" si="1"/>
        <v>30</v>
      </c>
      <c r="I39" s="3">
        <f t="shared" si="2"/>
        <v>1</v>
      </c>
      <c r="J39" s="3">
        <f t="shared" si="3"/>
        <v>0.7333333333</v>
      </c>
    </row>
    <row r="40">
      <c r="A40" s="2" t="s">
        <v>21</v>
      </c>
      <c r="B40" s="2" t="str">
        <f>LOOKUP(A40,Sources!$H$2:$H$50,Sources!$C$2:$C$50)</f>
        <v>North Green</v>
      </c>
      <c r="C40" s="2" t="s">
        <v>61</v>
      </c>
      <c r="D40" s="2">
        <v>15.0</v>
      </c>
      <c r="E40" s="2">
        <v>0.0</v>
      </c>
      <c r="F40" s="2">
        <v>1.0</v>
      </c>
      <c r="G40" s="2">
        <v>14.0</v>
      </c>
      <c r="H40" s="6">
        <f t="shared" si="1"/>
        <v>30</v>
      </c>
      <c r="I40" s="3">
        <f t="shared" si="2"/>
        <v>0.5333333333</v>
      </c>
      <c r="J40" s="3">
        <f t="shared" si="3"/>
        <v>0.5</v>
      </c>
    </row>
    <row r="41">
      <c r="H41" s="7" t="s">
        <v>62</v>
      </c>
      <c r="I41" s="8">
        <f t="shared" ref="I41:J41" si="4">MEDIAN(I2:I40)</f>
        <v>0.9393939394</v>
      </c>
      <c r="J41" s="8">
        <f t="shared" si="4"/>
        <v>0.6060606061</v>
      </c>
    </row>
    <row r="42">
      <c r="H42" s="7" t="s">
        <v>63</v>
      </c>
      <c r="I42" s="8">
        <f>sum(D2:F40)/sum(H2:H40)</f>
        <v>0.761871989</v>
      </c>
      <c r="J42" s="8">
        <f>sum(D2:D40)/sum(H2:H40)</f>
        <v>0.593943565</v>
      </c>
    </row>
    <row r="43">
      <c r="I43" s="3"/>
      <c r="J4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64</v>
      </c>
      <c r="B1" s="10" t="s">
        <v>65</v>
      </c>
      <c r="C1" s="10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11" t="s">
        <v>72</v>
      </c>
      <c r="J1" s="11" t="s">
        <v>9</v>
      </c>
      <c r="K1" s="11" t="s">
        <v>73</v>
      </c>
      <c r="L1" s="11" t="s">
        <v>74</v>
      </c>
      <c r="M1" s="11" t="s">
        <v>75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44396.0</v>
      </c>
      <c r="B2" s="14" t="s">
        <v>76</v>
      </c>
      <c r="C2" s="15" t="s">
        <v>77</v>
      </c>
      <c r="D2" s="16">
        <v>1.0</v>
      </c>
      <c r="E2" s="16">
        <v>1.0</v>
      </c>
      <c r="F2" s="17">
        <v>17.0423</v>
      </c>
      <c r="G2" s="17">
        <v>-61.68254</v>
      </c>
      <c r="H2" s="14" t="s">
        <v>11</v>
      </c>
      <c r="I2" s="14" t="s">
        <v>78</v>
      </c>
      <c r="J2" s="14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44397.0</v>
      </c>
      <c r="B3" s="14" t="s">
        <v>79</v>
      </c>
      <c r="C3" s="15" t="s">
        <v>80</v>
      </c>
      <c r="D3" s="16">
        <v>2.0</v>
      </c>
      <c r="E3" s="16">
        <v>7.0</v>
      </c>
      <c r="F3" s="18">
        <f>17+4.533/60</f>
        <v>17.07555</v>
      </c>
      <c r="G3" s="18">
        <f>-61-40.068/60</f>
        <v>-61.6678</v>
      </c>
      <c r="H3" s="14" t="s">
        <v>12</v>
      </c>
      <c r="I3" s="14" t="s">
        <v>81</v>
      </c>
      <c r="J3" s="1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9">
        <v>44398.0</v>
      </c>
      <c r="B4" s="20" t="s">
        <v>76</v>
      </c>
      <c r="C4" s="21" t="s">
        <v>82</v>
      </c>
      <c r="D4" s="22">
        <v>1.0</v>
      </c>
      <c r="E4" s="22">
        <v>4.0</v>
      </c>
      <c r="F4" s="23">
        <v>17.16702</v>
      </c>
      <c r="G4" s="23">
        <v>-61.72996</v>
      </c>
      <c r="H4" s="20" t="s">
        <v>13</v>
      </c>
      <c r="I4" s="20" t="s">
        <v>78</v>
      </c>
      <c r="J4" s="20"/>
      <c r="K4" s="20" t="s">
        <v>83</v>
      </c>
      <c r="L4" s="24">
        <v>17.09094</v>
      </c>
      <c r="M4" s="24">
        <v>-61.666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9">
        <v>44398.0</v>
      </c>
      <c r="B5" s="20" t="s">
        <v>79</v>
      </c>
      <c r="C5" s="21" t="s">
        <v>82</v>
      </c>
      <c r="D5" s="22">
        <v>2.0</v>
      </c>
      <c r="E5" s="22">
        <v>8.0</v>
      </c>
      <c r="F5" s="23">
        <v>17.16514</v>
      </c>
      <c r="G5" s="26">
        <v>-61.73107</v>
      </c>
      <c r="H5" s="20" t="s">
        <v>14</v>
      </c>
      <c r="I5" s="20" t="s">
        <v>81</v>
      </c>
      <c r="J5" s="20"/>
      <c r="K5" s="20" t="s">
        <v>84</v>
      </c>
      <c r="L5" s="24">
        <v>17.067984</v>
      </c>
      <c r="M5" s="27">
        <v>-61.686341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3">
        <v>44398.0</v>
      </c>
      <c r="B6" s="14" t="s">
        <v>79</v>
      </c>
      <c r="C6" s="21" t="s">
        <v>82</v>
      </c>
      <c r="D6" s="16">
        <v>2.0</v>
      </c>
      <c r="E6" s="16">
        <v>11.0</v>
      </c>
      <c r="F6" s="28">
        <v>17.16578</v>
      </c>
      <c r="G6" s="28">
        <v>-61.73129</v>
      </c>
      <c r="H6" s="14" t="s">
        <v>15</v>
      </c>
      <c r="I6" s="14" t="s">
        <v>78</v>
      </c>
      <c r="J6" s="1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44398.0</v>
      </c>
      <c r="B7" s="14" t="s">
        <v>76</v>
      </c>
      <c r="C7" s="15" t="s">
        <v>85</v>
      </c>
      <c r="D7" s="16">
        <v>2.0</v>
      </c>
      <c r="E7" s="16">
        <v>13.0</v>
      </c>
      <c r="F7" s="28">
        <v>17.14907</v>
      </c>
      <c r="G7" s="28">
        <v>-61.72346</v>
      </c>
      <c r="H7" s="14" t="s">
        <v>16</v>
      </c>
      <c r="I7" s="14" t="s">
        <v>78</v>
      </c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44398.0</v>
      </c>
      <c r="B8" s="14" t="s">
        <v>79</v>
      </c>
      <c r="C8" s="15" t="s">
        <v>86</v>
      </c>
      <c r="D8" s="16">
        <v>2.0</v>
      </c>
      <c r="E8" s="16">
        <v>16.0</v>
      </c>
      <c r="F8" s="23">
        <v>17.13977</v>
      </c>
      <c r="G8" s="23">
        <v>-61.72128</v>
      </c>
      <c r="H8" s="14" t="s">
        <v>17</v>
      </c>
      <c r="I8" s="14" t="s">
        <v>81</v>
      </c>
      <c r="J8" s="14"/>
      <c r="K8" s="14" t="s">
        <v>87</v>
      </c>
      <c r="L8" s="28">
        <v>17.14179</v>
      </c>
      <c r="M8" s="28">
        <v>-61.72194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44399.0</v>
      </c>
      <c r="B9" s="14" t="s">
        <v>79</v>
      </c>
      <c r="C9" s="15" t="s">
        <v>88</v>
      </c>
      <c r="D9" s="16">
        <v>1.0</v>
      </c>
      <c r="E9" s="16">
        <v>6.0</v>
      </c>
      <c r="F9" s="23">
        <v>17.0655</v>
      </c>
      <c r="G9" s="23">
        <v>-61.66287</v>
      </c>
      <c r="H9" s="14" t="s">
        <v>18</v>
      </c>
      <c r="I9" s="14" t="s">
        <v>89</v>
      </c>
      <c r="J9" s="12"/>
      <c r="K9" s="14" t="s">
        <v>90</v>
      </c>
      <c r="L9" s="28">
        <v>17.16322</v>
      </c>
      <c r="M9" s="28">
        <v>-61.73152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9">
        <v>44404.0</v>
      </c>
      <c r="B10" s="14" t="s">
        <v>76</v>
      </c>
      <c r="C10" s="15" t="s">
        <v>86</v>
      </c>
      <c r="D10" s="16">
        <v>1.0</v>
      </c>
      <c r="E10" s="16">
        <v>14.0</v>
      </c>
      <c r="F10" s="16">
        <v>17.14007</v>
      </c>
      <c r="G10" s="16">
        <v>-61.7209</v>
      </c>
      <c r="H10" s="14" t="s">
        <v>19</v>
      </c>
      <c r="I10" s="14" t="s">
        <v>78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44396.0</v>
      </c>
      <c r="B11" s="14" t="s">
        <v>76</v>
      </c>
      <c r="C11" s="15" t="s">
        <v>91</v>
      </c>
      <c r="D11" s="16">
        <v>1.0</v>
      </c>
      <c r="E11" s="16">
        <v>2.0</v>
      </c>
      <c r="F11" s="17">
        <v>17.04817</v>
      </c>
      <c r="G11" s="17">
        <v>-61.67191</v>
      </c>
      <c r="H11" s="14" t="s">
        <v>29</v>
      </c>
      <c r="I11" s="14" t="s">
        <v>89</v>
      </c>
      <c r="J11" s="14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44398.0</v>
      </c>
      <c r="B12" s="14" t="s">
        <v>76</v>
      </c>
      <c r="C12" s="15" t="s">
        <v>85</v>
      </c>
      <c r="D12" s="16">
        <v>2.0</v>
      </c>
      <c r="E12" s="16">
        <v>12.0</v>
      </c>
      <c r="F12" s="28">
        <v>17.14898</v>
      </c>
      <c r="G12" s="28">
        <v>-61.72344</v>
      </c>
      <c r="H12" s="14" t="s">
        <v>41</v>
      </c>
      <c r="I12" s="14" t="s">
        <v>78</v>
      </c>
      <c r="J12" s="14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44398.0</v>
      </c>
      <c r="B13" s="14" t="s">
        <v>79</v>
      </c>
      <c r="C13" s="15" t="s">
        <v>86</v>
      </c>
      <c r="D13" s="16">
        <v>2.0</v>
      </c>
      <c r="E13" s="16">
        <v>14.0</v>
      </c>
      <c r="F13" s="28">
        <v>17.14121</v>
      </c>
      <c r="G13" s="16">
        <v>-61.7214</v>
      </c>
      <c r="H13" s="14" t="s">
        <v>42</v>
      </c>
      <c r="I13" s="14" t="s">
        <v>78</v>
      </c>
      <c r="J13" s="30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44398.0</v>
      </c>
      <c r="B14" s="14" t="s">
        <v>79</v>
      </c>
      <c r="C14" s="15" t="s">
        <v>86</v>
      </c>
      <c r="D14" s="16">
        <v>2.0</v>
      </c>
      <c r="E14" s="16">
        <v>18.0</v>
      </c>
      <c r="F14" s="26">
        <v>17.13962</v>
      </c>
      <c r="G14" s="26">
        <v>-61.72119</v>
      </c>
      <c r="H14" s="14" t="s">
        <v>43</v>
      </c>
      <c r="I14" s="14" t="s">
        <v>89</v>
      </c>
      <c r="J14" s="14"/>
      <c r="K14" s="14" t="s">
        <v>92</v>
      </c>
      <c r="L14" s="16">
        <v>17.14179</v>
      </c>
      <c r="M14" s="16">
        <v>-61.72194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44399.0</v>
      </c>
      <c r="B15" s="14" t="s">
        <v>79</v>
      </c>
      <c r="C15" s="15" t="s">
        <v>88</v>
      </c>
      <c r="D15" s="16">
        <v>1.0</v>
      </c>
      <c r="E15" s="16">
        <v>7.0</v>
      </c>
      <c r="F15" s="23">
        <v>17.06564</v>
      </c>
      <c r="G15" s="26">
        <v>-61.66257</v>
      </c>
      <c r="H15" s="14" t="s">
        <v>44</v>
      </c>
      <c r="I15" s="14" t="s">
        <v>89</v>
      </c>
      <c r="J15" s="12"/>
      <c r="K15" s="14" t="s">
        <v>90</v>
      </c>
      <c r="L15" s="28">
        <v>17.16322</v>
      </c>
      <c r="M15" s="28">
        <v>-61.73152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>
        <v>44399.0</v>
      </c>
      <c r="B16" s="14" t="s">
        <v>79</v>
      </c>
      <c r="C16" s="15" t="s">
        <v>88</v>
      </c>
      <c r="D16" s="16">
        <v>1.0</v>
      </c>
      <c r="E16" s="16">
        <v>9.0</v>
      </c>
      <c r="F16" s="23">
        <v>17.06577</v>
      </c>
      <c r="G16" s="26">
        <v>-61.66278</v>
      </c>
      <c r="H16" s="14" t="s">
        <v>45</v>
      </c>
      <c r="I16" s="14" t="s">
        <v>89</v>
      </c>
      <c r="J16" s="12"/>
      <c r="K16" s="14" t="s">
        <v>90</v>
      </c>
      <c r="L16" s="28">
        <v>17.16322</v>
      </c>
      <c r="M16" s="28">
        <v>-61.73152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9">
        <v>44404.0</v>
      </c>
      <c r="B17" s="14" t="s">
        <v>79</v>
      </c>
      <c r="C17" s="15" t="s">
        <v>93</v>
      </c>
      <c r="D17" s="16">
        <v>1.0</v>
      </c>
      <c r="E17" s="16">
        <v>10.0</v>
      </c>
      <c r="F17" s="16">
        <v>17.05256</v>
      </c>
      <c r="G17" s="16">
        <v>-61.66769</v>
      </c>
      <c r="H17" s="14" t="s">
        <v>46</v>
      </c>
      <c r="I17" s="14" t="s">
        <v>89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9">
        <v>44404.0</v>
      </c>
      <c r="B18" s="14" t="s">
        <v>79</v>
      </c>
      <c r="C18" s="15" t="s">
        <v>93</v>
      </c>
      <c r="D18" s="16">
        <v>1.0</v>
      </c>
      <c r="E18" s="16">
        <v>11.0</v>
      </c>
      <c r="F18" s="16">
        <v>17.05228</v>
      </c>
      <c r="G18" s="16">
        <v>-61.66991</v>
      </c>
      <c r="H18" s="14" t="s">
        <v>47</v>
      </c>
      <c r="I18" s="14" t="s">
        <v>89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9">
        <v>44404.0</v>
      </c>
      <c r="B19" s="14" t="s">
        <v>76</v>
      </c>
      <c r="C19" s="15" t="s">
        <v>86</v>
      </c>
      <c r="D19" s="16">
        <v>1.0</v>
      </c>
      <c r="E19" s="16">
        <v>12.0</v>
      </c>
      <c r="F19" s="16">
        <v>17.14219</v>
      </c>
      <c r="G19" s="16">
        <v>-61.7216</v>
      </c>
      <c r="H19" s="14" t="s">
        <v>48</v>
      </c>
      <c r="I19" s="14" t="s">
        <v>89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9">
        <v>44404.0</v>
      </c>
      <c r="B20" s="14" t="s">
        <v>76</v>
      </c>
      <c r="C20" s="15" t="s">
        <v>86</v>
      </c>
      <c r="D20" s="16">
        <v>1.0</v>
      </c>
      <c r="E20" s="16">
        <v>13.0</v>
      </c>
      <c r="F20" s="16">
        <v>17.1406</v>
      </c>
      <c r="G20" s="16">
        <v>-61.7211</v>
      </c>
      <c r="H20" s="14" t="s">
        <v>49</v>
      </c>
      <c r="I20" s="14" t="s">
        <v>89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9">
        <v>44404.0</v>
      </c>
      <c r="B21" s="14" t="s">
        <v>76</v>
      </c>
      <c r="C21" s="15" t="s">
        <v>86</v>
      </c>
      <c r="D21" s="16">
        <v>1.0</v>
      </c>
      <c r="E21" s="16">
        <v>16.0</v>
      </c>
      <c r="F21" s="16">
        <v>17.13997</v>
      </c>
      <c r="G21" s="16">
        <v>-61.72181</v>
      </c>
      <c r="H21" s="14" t="s">
        <v>50</v>
      </c>
      <c r="I21" s="14" t="s">
        <v>78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44397.0</v>
      </c>
      <c r="B22" s="14" t="s">
        <v>94</v>
      </c>
      <c r="C22" s="15" t="s">
        <v>95</v>
      </c>
      <c r="D22" s="16">
        <v>1.0</v>
      </c>
      <c r="E22" s="16">
        <v>3.0</v>
      </c>
      <c r="F22" s="17">
        <v>17.08215</v>
      </c>
      <c r="G22" s="17">
        <v>-61.66522</v>
      </c>
      <c r="H22" s="14" t="s">
        <v>30</v>
      </c>
      <c r="I22" s="14" t="s">
        <v>81</v>
      </c>
      <c r="J22" s="14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9">
        <v>44404.0</v>
      </c>
      <c r="B23" s="14" t="s">
        <v>76</v>
      </c>
      <c r="C23" s="15" t="s">
        <v>86</v>
      </c>
      <c r="D23" s="16">
        <v>1.0</v>
      </c>
      <c r="E23" s="16">
        <v>17.0</v>
      </c>
      <c r="F23" s="16">
        <v>17.13969</v>
      </c>
      <c r="G23" s="16">
        <v>-61.72385</v>
      </c>
      <c r="H23" s="14" t="s">
        <v>51</v>
      </c>
      <c r="I23" s="14" t="s">
        <v>78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9">
        <v>44404.0</v>
      </c>
      <c r="B24" s="14" t="s">
        <v>76</v>
      </c>
      <c r="C24" s="15" t="s">
        <v>85</v>
      </c>
      <c r="D24" s="16">
        <v>1.0</v>
      </c>
      <c r="E24" s="16">
        <v>18.0</v>
      </c>
      <c r="F24" s="16">
        <v>17.14823</v>
      </c>
      <c r="G24" s="14" t="s">
        <v>96</v>
      </c>
      <c r="H24" s="14" t="s">
        <v>52</v>
      </c>
      <c r="I24" s="14" t="s">
        <v>89</v>
      </c>
      <c r="J24" s="12"/>
      <c r="K24" s="14" t="s">
        <v>97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9">
        <v>44404.0</v>
      </c>
      <c r="B25" s="14" t="s">
        <v>76</v>
      </c>
      <c r="C25" s="15" t="s">
        <v>85</v>
      </c>
      <c r="D25" s="16">
        <v>1.0</v>
      </c>
      <c r="E25" s="16">
        <v>19.0</v>
      </c>
      <c r="F25" s="16">
        <v>17.1479</v>
      </c>
      <c r="G25" s="14" t="s">
        <v>98</v>
      </c>
      <c r="H25" s="14" t="s">
        <v>53</v>
      </c>
      <c r="I25" s="14" t="s">
        <v>89</v>
      </c>
      <c r="J25" s="12"/>
      <c r="K25" s="14" t="s">
        <v>97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9">
        <v>44404.0</v>
      </c>
      <c r="B26" s="14" t="s">
        <v>76</v>
      </c>
      <c r="C26" s="15" t="s">
        <v>85</v>
      </c>
      <c r="D26" s="16">
        <v>1.0</v>
      </c>
      <c r="E26" s="16">
        <v>21.0</v>
      </c>
      <c r="F26" s="16">
        <v>17.14703</v>
      </c>
      <c r="G26" s="16">
        <v>-61.72286</v>
      </c>
      <c r="H26" s="14" t="s">
        <v>54</v>
      </c>
      <c r="I26" s="14" t="s">
        <v>89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44397.0</v>
      </c>
      <c r="B27" s="14" t="s">
        <v>94</v>
      </c>
      <c r="C27" s="15" t="s">
        <v>95</v>
      </c>
      <c r="D27" s="16">
        <v>2.0</v>
      </c>
      <c r="E27" s="16">
        <v>1.0</v>
      </c>
      <c r="F27" s="17">
        <f>17+4.917/60</f>
        <v>17.08195</v>
      </c>
      <c r="G27" s="18">
        <f>-61-39.912/60</f>
        <v>-61.6652</v>
      </c>
      <c r="H27" s="14" t="s">
        <v>31</v>
      </c>
      <c r="I27" s="14" t="s">
        <v>81</v>
      </c>
      <c r="J27" s="14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>
        <v>44397.0</v>
      </c>
      <c r="B28" s="14" t="s">
        <v>94</v>
      </c>
      <c r="C28" s="15" t="s">
        <v>95</v>
      </c>
      <c r="D28" s="16">
        <v>2.0</v>
      </c>
      <c r="E28" s="16">
        <v>2.0</v>
      </c>
      <c r="F28" s="18">
        <f>17+4.61/60</f>
        <v>17.07683333</v>
      </c>
      <c r="G28" s="17">
        <f>-61-39.815/60</f>
        <v>-61.66358333</v>
      </c>
      <c r="H28" s="14" t="s">
        <v>32</v>
      </c>
      <c r="I28" s="14" t="s">
        <v>81</v>
      </c>
      <c r="J28" s="14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>
        <v>44397.0</v>
      </c>
      <c r="B29" s="14" t="s">
        <v>94</v>
      </c>
      <c r="C29" s="15" t="s">
        <v>95</v>
      </c>
      <c r="D29" s="16">
        <v>2.0</v>
      </c>
      <c r="E29" s="16">
        <v>3.0</v>
      </c>
      <c r="F29" s="18">
        <f>17+4.598/60</f>
        <v>17.07663333</v>
      </c>
      <c r="G29" s="18">
        <f>-61-39.762/60</f>
        <v>-61.6627</v>
      </c>
      <c r="H29" s="14" t="s">
        <v>33</v>
      </c>
      <c r="I29" s="14" t="s">
        <v>78</v>
      </c>
      <c r="J29" s="14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>
        <v>44397.0</v>
      </c>
      <c r="B30" s="14" t="s">
        <v>94</v>
      </c>
      <c r="C30" s="15" t="s">
        <v>95</v>
      </c>
      <c r="D30" s="16">
        <v>2.0</v>
      </c>
      <c r="E30" s="16">
        <v>4.0</v>
      </c>
      <c r="F30" s="18">
        <f>17+4.51/60</f>
        <v>17.07516667</v>
      </c>
      <c r="G30" s="18">
        <f>-61-39.883/60</f>
        <v>-61.66471667</v>
      </c>
      <c r="H30" s="14" t="s">
        <v>36</v>
      </c>
      <c r="I30" s="14" t="s">
        <v>81</v>
      </c>
      <c r="J30" s="14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>
        <v>44397.0</v>
      </c>
      <c r="B31" s="14" t="s">
        <v>79</v>
      </c>
      <c r="C31" s="15" t="s">
        <v>95</v>
      </c>
      <c r="D31" s="16">
        <v>2.0</v>
      </c>
      <c r="E31" s="16">
        <v>6.0</v>
      </c>
      <c r="F31" s="18">
        <f>17+4.478/60</f>
        <v>17.07463333</v>
      </c>
      <c r="G31" s="18">
        <f>-61-39.898/60</f>
        <v>-61.66496667</v>
      </c>
      <c r="H31" s="14" t="s">
        <v>34</v>
      </c>
      <c r="I31" s="14" t="s">
        <v>81</v>
      </c>
      <c r="J31" s="14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>
        <v>44398.0</v>
      </c>
      <c r="B32" s="14" t="s">
        <v>76</v>
      </c>
      <c r="C32" s="21" t="s">
        <v>82</v>
      </c>
      <c r="D32" s="16">
        <v>1.0</v>
      </c>
      <c r="E32" s="16">
        <v>5.0</v>
      </c>
      <c r="F32" s="17">
        <v>17.166993</v>
      </c>
      <c r="G32" s="18">
        <v>-61.730005</v>
      </c>
      <c r="H32" s="15" t="s">
        <v>38</v>
      </c>
      <c r="I32" s="14" t="s">
        <v>78</v>
      </c>
      <c r="J32" s="31" t="s">
        <v>99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3">
        <v>44398.0</v>
      </c>
      <c r="B33" s="14" t="s">
        <v>79</v>
      </c>
      <c r="C33" s="21" t="s">
        <v>82</v>
      </c>
      <c r="D33" s="16">
        <v>2.0</v>
      </c>
      <c r="E33" s="16">
        <v>9.0</v>
      </c>
      <c r="F33" s="28">
        <v>17.16488</v>
      </c>
      <c r="G33" s="28">
        <v>-61.73041</v>
      </c>
      <c r="H33" s="14" t="s">
        <v>40</v>
      </c>
      <c r="I33" s="14" t="s">
        <v>81</v>
      </c>
      <c r="J33" s="1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3">
        <v>44397.0</v>
      </c>
      <c r="B34" s="14" t="s">
        <v>79</v>
      </c>
      <c r="C34" s="15" t="s">
        <v>95</v>
      </c>
      <c r="D34" s="16">
        <v>2.0</v>
      </c>
      <c r="E34" s="16">
        <v>5.0</v>
      </c>
      <c r="F34" s="18">
        <f>17+4.48/60</f>
        <v>17.07466667</v>
      </c>
      <c r="G34" s="17">
        <f>-61-39.892/60</f>
        <v>-61.66486667</v>
      </c>
      <c r="H34" s="14" t="s">
        <v>21</v>
      </c>
      <c r="I34" s="14" t="s">
        <v>81</v>
      </c>
      <c r="J34" s="14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3">
        <v>44398.0</v>
      </c>
      <c r="B35" s="14" t="s">
        <v>79</v>
      </c>
      <c r="C35" s="21" t="s">
        <v>82</v>
      </c>
      <c r="D35" s="16">
        <v>2.0</v>
      </c>
      <c r="E35" s="16">
        <v>10.0</v>
      </c>
      <c r="F35" s="28">
        <v>17.16483</v>
      </c>
      <c r="G35" s="28">
        <v>-61.73036</v>
      </c>
      <c r="H35" s="14" t="s">
        <v>22</v>
      </c>
      <c r="I35" s="14" t="s">
        <v>89</v>
      </c>
      <c r="J35" s="1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>
        <v>44398.0</v>
      </c>
      <c r="B36" s="14" t="s">
        <v>79</v>
      </c>
      <c r="C36" s="15" t="s">
        <v>86</v>
      </c>
      <c r="D36" s="16">
        <v>2.0</v>
      </c>
      <c r="E36" s="16">
        <v>15.0</v>
      </c>
      <c r="F36" s="28">
        <v>17.14175</v>
      </c>
      <c r="G36" s="28">
        <v>-61.72192</v>
      </c>
      <c r="H36" s="14" t="s">
        <v>23</v>
      </c>
      <c r="I36" s="14" t="s">
        <v>81</v>
      </c>
      <c r="J36" s="1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3">
        <v>44398.0</v>
      </c>
      <c r="B37" s="14" t="s">
        <v>79</v>
      </c>
      <c r="C37" s="15" t="s">
        <v>86</v>
      </c>
      <c r="D37" s="16">
        <v>2.0</v>
      </c>
      <c r="E37" s="16">
        <v>17.0</v>
      </c>
      <c r="F37" s="23">
        <v>17.13977</v>
      </c>
      <c r="G37" s="23">
        <v>-61.72119</v>
      </c>
      <c r="H37" s="14" t="s">
        <v>24</v>
      </c>
      <c r="I37" s="14" t="s">
        <v>81</v>
      </c>
      <c r="J37" s="14"/>
      <c r="K37" s="14" t="s">
        <v>100</v>
      </c>
      <c r="L37" s="28">
        <v>17.14179</v>
      </c>
      <c r="M37" s="16">
        <v>-61.72194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3">
        <v>44399.0</v>
      </c>
      <c r="B38" s="14" t="s">
        <v>79</v>
      </c>
      <c r="C38" s="15" t="s">
        <v>88</v>
      </c>
      <c r="D38" s="16">
        <v>1.0</v>
      </c>
      <c r="E38" s="16">
        <v>8.0</v>
      </c>
      <c r="F38" s="26">
        <v>17.06586</v>
      </c>
      <c r="G38" s="23">
        <v>-61.6627</v>
      </c>
      <c r="H38" s="14" t="s">
        <v>25</v>
      </c>
      <c r="I38" s="14" t="s">
        <v>78</v>
      </c>
      <c r="J38" s="12"/>
      <c r="K38" s="14" t="s">
        <v>90</v>
      </c>
      <c r="L38" s="28">
        <v>17.16322</v>
      </c>
      <c r="M38" s="28">
        <v>-61.73152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9">
        <v>44404.0</v>
      </c>
      <c r="B39" s="14" t="s">
        <v>76</v>
      </c>
      <c r="C39" s="15" t="s">
        <v>86</v>
      </c>
      <c r="D39" s="16">
        <v>1.0</v>
      </c>
      <c r="E39" s="16">
        <v>15.0</v>
      </c>
      <c r="F39" s="16">
        <v>17.14029</v>
      </c>
      <c r="G39" s="16">
        <v>-61.72078</v>
      </c>
      <c r="H39" s="14" t="s">
        <v>26</v>
      </c>
      <c r="I39" s="14" t="s">
        <v>78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9">
        <v>44404.0</v>
      </c>
      <c r="B40" s="14" t="s">
        <v>76</v>
      </c>
      <c r="C40" s="15" t="s">
        <v>85</v>
      </c>
      <c r="D40" s="16">
        <v>1.0</v>
      </c>
      <c r="E40" s="16">
        <v>20.0</v>
      </c>
      <c r="F40" s="16">
        <v>17.14704</v>
      </c>
      <c r="G40" s="16">
        <v>-61.72285</v>
      </c>
      <c r="H40" s="14" t="s">
        <v>27</v>
      </c>
      <c r="I40" s="14" t="s">
        <v>78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</sheetData>
  <drawing r:id="rId1"/>
</worksheet>
</file>