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\Documents\DOCUMENT\Desktop\SONY REPORT\"/>
    </mc:Choice>
  </mc:AlternateContent>
  <bookViews>
    <workbookView xWindow="0" yWindow="120" windowWidth="19200" windowHeight="8496" firstSheet="1" activeTab="7"/>
  </bookViews>
  <sheets>
    <sheet name="2015" sheetId="1" r:id="rId1"/>
    <sheet name="2016" sheetId="2" r:id="rId2"/>
    <sheet name="2016 status" sheetId="7" r:id="rId3"/>
    <sheet name="2017 " sheetId="3" r:id="rId4"/>
    <sheet name="2018" sheetId="9" r:id="rId5"/>
    <sheet name="2019" sheetId="10" r:id="rId6"/>
    <sheet name="2020" sheetId="11" r:id="rId7"/>
    <sheet name="2021" sheetId="12" r:id="rId8"/>
    <sheet name="developments" sheetId="6" r:id="rId9"/>
  </sheets>
  <definedNames>
    <definedName name="_xlnm._FilterDatabase" localSheetId="0" hidden="1">'2015'!$A$1:$B$1</definedName>
    <definedName name="_xlnm._FilterDatabase" localSheetId="1" hidden="1">'2016'!$A$1:$B$1</definedName>
    <definedName name="_xlnm._FilterDatabase" localSheetId="2" hidden="1">'2016 status'!$A$1:$B$41</definedName>
    <definedName name="_xlnm._FilterDatabase" localSheetId="3" hidden="1">'2017 '!$A$2:$B$42</definedName>
    <definedName name="_xlnm._FilterDatabase" localSheetId="4" hidden="1">'2018'!$A$2:$B$42</definedName>
    <definedName name="_xlnm._FilterDatabase" localSheetId="5" hidden="1">'2019'!$A$2:$B$42</definedName>
    <definedName name="_xlnm._FilterDatabase" localSheetId="6" hidden="1">'2020'!$A$2:$B$42</definedName>
    <definedName name="_xlnm._FilterDatabase" localSheetId="7" hidden="1">'2021'!$A$2:$B$42</definedName>
    <definedName name="_xlnm._FilterDatabase" localSheetId="8" hidden="1">developments!$A$2:$C$42</definedName>
  </definedNames>
  <calcPr calcId="152511"/>
</workbook>
</file>

<file path=xl/calcChain.xml><?xml version="1.0" encoding="utf-8"?>
<calcChain xmlns="http://schemas.openxmlformats.org/spreadsheetml/2006/main">
  <c r="O22" i="11" l="1"/>
  <c r="O21" i="11"/>
  <c r="N21" i="11"/>
  <c r="D22" i="11"/>
  <c r="D21" i="11"/>
  <c r="O17" i="11"/>
  <c r="O16" i="11"/>
  <c r="M17" i="11"/>
  <c r="M16" i="11"/>
  <c r="L16" i="11"/>
  <c r="E17" i="11"/>
  <c r="E16" i="11"/>
  <c r="J27" i="12" l="1"/>
  <c r="J26" i="12"/>
  <c r="I27" i="12"/>
  <c r="I26" i="12"/>
  <c r="J22" i="12"/>
  <c r="J21" i="12"/>
  <c r="I22" i="12"/>
  <c r="I21" i="12"/>
  <c r="G22" i="12"/>
  <c r="G21" i="12"/>
  <c r="H22" i="12"/>
  <c r="H21" i="12"/>
  <c r="F22" i="12"/>
  <c r="F21" i="12"/>
  <c r="E22" i="12"/>
  <c r="E21" i="12"/>
  <c r="D22" i="12"/>
  <c r="D21" i="12"/>
  <c r="J17" i="12"/>
  <c r="J16" i="12"/>
  <c r="I17" i="12"/>
  <c r="I16" i="12"/>
  <c r="AC28" i="6" l="1"/>
  <c r="AF28" i="6" s="1"/>
  <c r="AC29" i="6"/>
  <c r="AF29" i="6" s="1"/>
  <c r="AC30" i="6"/>
  <c r="AF30" i="6" s="1"/>
  <c r="AC31" i="6"/>
  <c r="AC32" i="6"/>
  <c r="AD32" i="6"/>
  <c r="AF32" i="6"/>
  <c r="AD31" i="6"/>
  <c r="AE31" i="6" s="1"/>
  <c r="AF31" i="6"/>
  <c r="AD30" i="6"/>
  <c r="AD29" i="6"/>
  <c r="AD28" i="6"/>
  <c r="Y32" i="6"/>
  <c r="X32" i="6"/>
  <c r="AA32" i="6" s="1"/>
  <c r="Y31" i="6"/>
  <c r="Z31" i="6" s="1"/>
  <c r="X31" i="6"/>
  <c r="AA31" i="6" s="1"/>
  <c r="Y30" i="6"/>
  <c r="X30" i="6"/>
  <c r="AA30" i="6" s="1"/>
  <c r="Y29" i="6"/>
  <c r="X29" i="6"/>
  <c r="AA29" i="6" s="1"/>
  <c r="Y28" i="6"/>
  <c r="X28" i="6"/>
  <c r="AA28" i="6" s="1"/>
  <c r="T32" i="6"/>
  <c r="U32" i="6" s="1"/>
  <c r="S32" i="6"/>
  <c r="V32" i="6" s="1"/>
  <c r="T31" i="6"/>
  <c r="S31" i="6"/>
  <c r="V31" i="6" s="1"/>
  <c r="T30" i="6"/>
  <c r="S30" i="6"/>
  <c r="V30" i="6" s="1"/>
  <c r="T29" i="6"/>
  <c r="S29" i="6"/>
  <c r="V29" i="6" s="1"/>
  <c r="T28" i="6"/>
  <c r="U28" i="6" s="1"/>
  <c r="S28" i="6"/>
  <c r="V28" i="6" s="1"/>
  <c r="Z28" i="6" l="1"/>
  <c r="Z32" i="6"/>
  <c r="AE29" i="6"/>
  <c r="Z30" i="6"/>
  <c r="AE32" i="6"/>
  <c r="U30" i="6"/>
  <c r="U31" i="6"/>
  <c r="AE28" i="6"/>
  <c r="U29" i="6"/>
  <c r="Z29" i="6"/>
  <c r="AE30" i="6"/>
  <c r="P42" i="12"/>
  <c r="P41" i="12"/>
  <c r="AD41" i="6" s="1"/>
  <c r="O40" i="12"/>
  <c r="N40" i="12"/>
  <c r="M40" i="12"/>
  <c r="L40" i="12"/>
  <c r="K40" i="12"/>
  <c r="J40" i="12"/>
  <c r="I40" i="12"/>
  <c r="H40" i="12"/>
  <c r="G40" i="12"/>
  <c r="F40" i="12"/>
  <c r="E40" i="12"/>
  <c r="O39" i="12"/>
  <c r="N39" i="12"/>
  <c r="M39" i="12"/>
  <c r="L39" i="12"/>
  <c r="K39" i="12"/>
  <c r="J39" i="12"/>
  <c r="I39" i="12"/>
  <c r="H39" i="12"/>
  <c r="G39" i="12"/>
  <c r="F39" i="12"/>
  <c r="E39" i="12"/>
  <c r="P38" i="12"/>
  <c r="P37" i="12"/>
  <c r="P36" i="12"/>
  <c r="AD36" i="6" s="1"/>
  <c r="O35" i="12"/>
  <c r="N35" i="12"/>
  <c r="M35" i="12"/>
  <c r="L35" i="12"/>
  <c r="K35" i="12"/>
  <c r="J35" i="12"/>
  <c r="I35" i="12"/>
  <c r="H35" i="12"/>
  <c r="G35" i="12"/>
  <c r="F35" i="12"/>
  <c r="E35" i="12"/>
  <c r="D35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3" i="12"/>
  <c r="AD33" i="6" s="1"/>
  <c r="S32" i="12"/>
  <c r="R32" i="12"/>
  <c r="O30" i="12"/>
  <c r="N30" i="12"/>
  <c r="M30" i="12"/>
  <c r="L30" i="12"/>
  <c r="K30" i="12"/>
  <c r="J30" i="12"/>
  <c r="I30" i="12"/>
  <c r="H30" i="12"/>
  <c r="G30" i="12"/>
  <c r="F30" i="12"/>
  <c r="E30" i="12"/>
  <c r="O29" i="12"/>
  <c r="N29" i="12"/>
  <c r="M29" i="12"/>
  <c r="L29" i="12"/>
  <c r="K29" i="12"/>
  <c r="J29" i="12"/>
  <c r="I29" i="12"/>
  <c r="H29" i="12"/>
  <c r="G29" i="12"/>
  <c r="F29" i="12"/>
  <c r="E29" i="12"/>
  <c r="P27" i="12"/>
  <c r="P26" i="12"/>
  <c r="AD26" i="6" s="1"/>
  <c r="O25" i="12"/>
  <c r="N25" i="12"/>
  <c r="M25" i="12"/>
  <c r="L25" i="12"/>
  <c r="K25" i="12"/>
  <c r="J25" i="12"/>
  <c r="I25" i="12"/>
  <c r="H25" i="12"/>
  <c r="G25" i="12"/>
  <c r="F25" i="12"/>
  <c r="E25" i="12"/>
  <c r="D25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P23" i="12"/>
  <c r="AD23" i="6" s="1"/>
  <c r="P22" i="12"/>
  <c r="P21" i="12"/>
  <c r="AD21" i="6" s="1"/>
  <c r="O20" i="12"/>
  <c r="M20" i="12"/>
  <c r="L20" i="12"/>
  <c r="K20" i="12"/>
  <c r="J20" i="12"/>
  <c r="I20" i="12"/>
  <c r="H20" i="12"/>
  <c r="G20" i="12"/>
  <c r="F20" i="12"/>
  <c r="E20" i="12"/>
  <c r="D20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P18" i="12"/>
  <c r="N20" i="12"/>
  <c r="P17" i="12"/>
  <c r="P16" i="12"/>
  <c r="AD16" i="6" s="1"/>
  <c r="O15" i="12"/>
  <c r="N15" i="12"/>
  <c r="M15" i="12"/>
  <c r="L15" i="12"/>
  <c r="K15" i="12"/>
  <c r="J15" i="12"/>
  <c r="I15" i="12"/>
  <c r="G15" i="12"/>
  <c r="F15" i="12"/>
  <c r="E15" i="12"/>
  <c r="D15" i="12"/>
  <c r="O14" i="12"/>
  <c r="N14" i="12"/>
  <c r="M14" i="12"/>
  <c r="L14" i="12"/>
  <c r="K14" i="12"/>
  <c r="J14" i="12"/>
  <c r="I14" i="12"/>
  <c r="G14" i="12"/>
  <c r="F14" i="12"/>
  <c r="E14" i="12"/>
  <c r="D14" i="12"/>
  <c r="P12" i="12"/>
  <c r="R8" i="12" s="1"/>
  <c r="P11" i="12"/>
  <c r="AD11" i="6" s="1"/>
  <c r="O10" i="12"/>
  <c r="N10" i="12"/>
  <c r="M10" i="12"/>
  <c r="L10" i="12"/>
  <c r="K10" i="12"/>
  <c r="J10" i="12"/>
  <c r="I10" i="12"/>
  <c r="H10" i="12"/>
  <c r="G10" i="12"/>
  <c r="F10" i="12"/>
  <c r="E10" i="12"/>
  <c r="D10" i="12"/>
  <c r="O9" i="12"/>
  <c r="N9" i="12"/>
  <c r="M9" i="12"/>
  <c r="L9" i="12"/>
  <c r="K9" i="12"/>
  <c r="J9" i="12"/>
  <c r="I9" i="12"/>
  <c r="H9" i="12"/>
  <c r="G9" i="12"/>
  <c r="F9" i="12"/>
  <c r="E9" i="12"/>
  <c r="D9" i="12"/>
  <c r="P8" i="12"/>
  <c r="O7" i="12"/>
  <c r="N7" i="12"/>
  <c r="M7" i="12"/>
  <c r="L7" i="12"/>
  <c r="K7" i="12"/>
  <c r="J7" i="12"/>
  <c r="I7" i="12"/>
  <c r="H7" i="12"/>
  <c r="G7" i="12"/>
  <c r="F7" i="12"/>
  <c r="E7" i="12"/>
  <c r="D7" i="12"/>
  <c r="O6" i="12"/>
  <c r="N6" i="12"/>
  <c r="M6" i="12"/>
  <c r="L6" i="12"/>
  <c r="K6" i="12"/>
  <c r="J6" i="12"/>
  <c r="I6" i="12"/>
  <c r="H6" i="12"/>
  <c r="G6" i="12"/>
  <c r="F6" i="12"/>
  <c r="E6" i="12"/>
  <c r="D6" i="12"/>
  <c r="O3" i="12"/>
  <c r="N3" i="12"/>
  <c r="M3" i="12"/>
  <c r="L3" i="12"/>
  <c r="L5" i="12" s="1"/>
  <c r="K3" i="12"/>
  <c r="K5" i="12" s="1"/>
  <c r="J3" i="12"/>
  <c r="I3" i="12"/>
  <c r="G3" i="12"/>
  <c r="F3" i="12"/>
  <c r="E3" i="12"/>
  <c r="D3" i="12"/>
  <c r="P42" i="11"/>
  <c r="P41" i="11"/>
  <c r="O40" i="11"/>
  <c r="N40" i="11"/>
  <c r="M40" i="11"/>
  <c r="L40" i="11"/>
  <c r="K40" i="11"/>
  <c r="J40" i="11"/>
  <c r="I40" i="11"/>
  <c r="H40" i="11"/>
  <c r="G40" i="11"/>
  <c r="F40" i="11"/>
  <c r="E40" i="11"/>
  <c r="O39" i="11"/>
  <c r="N39" i="11"/>
  <c r="M39" i="11"/>
  <c r="L39" i="11"/>
  <c r="K39" i="11"/>
  <c r="J39" i="11"/>
  <c r="I39" i="11"/>
  <c r="H39" i="11"/>
  <c r="G39" i="11"/>
  <c r="F39" i="11"/>
  <c r="E39" i="11"/>
  <c r="P38" i="11"/>
  <c r="P37" i="11"/>
  <c r="P36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P33" i="11"/>
  <c r="S32" i="11"/>
  <c r="R32" i="11"/>
  <c r="O30" i="11"/>
  <c r="N30" i="11"/>
  <c r="M30" i="11"/>
  <c r="L30" i="11"/>
  <c r="K30" i="11"/>
  <c r="J30" i="11"/>
  <c r="I30" i="11"/>
  <c r="H30" i="11"/>
  <c r="G30" i="11"/>
  <c r="F30" i="11"/>
  <c r="E30" i="11"/>
  <c r="O29" i="11"/>
  <c r="N29" i="11"/>
  <c r="M29" i="11"/>
  <c r="L29" i="11"/>
  <c r="K29" i="11"/>
  <c r="J29" i="11"/>
  <c r="I29" i="11"/>
  <c r="H29" i="11"/>
  <c r="G29" i="11"/>
  <c r="F29" i="11"/>
  <c r="E29" i="11"/>
  <c r="P27" i="11"/>
  <c r="P26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P23" i="11"/>
  <c r="P22" i="11"/>
  <c r="P21" i="11"/>
  <c r="O20" i="11"/>
  <c r="M20" i="11"/>
  <c r="L20" i="11"/>
  <c r="K20" i="11"/>
  <c r="J20" i="11"/>
  <c r="I20" i="11"/>
  <c r="H20" i="11"/>
  <c r="G20" i="11"/>
  <c r="F20" i="11"/>
  <c r="E20" i="11"/>
  <c r="D20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P18" i="11"/>
  <c r="N20" i="11"/>
  <c r="P17" i="11"/>
  <c r="P16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P13" i="11"/>
  <c r="P12" i="11"/>
  <c r="R8" i="11" s="1"/>
  <c r="P11" i="11"/>
  <c r="O10" i="11"/>
  <c r="N10" i="11"/>
  <c r="M10" i="11"/>
  <c r="L10" i="11"/>
  <c r="K10" i="11"/>
  <c r="I10" i="11"/>
  <c r="H10" i="11"/>
  <c r="G10" i="11"/>
  <c r="F10" i="11"/>
  <c r="E10" i="11"/>
  <c r="D10" i="11"/>
  <c r="O9" i="11"/>
  <c r="N9" i="11"/>
  <c r="M9" i="11"/>
  <c r="L9" i="11"/>
  <c r="K9" i="11"/>
  <c r="J9" i="11"/>
  <c r="I9" i="11"/>
  <c r="H9" i="11"/>
  <c r="G9" i="11"/>
  <c r="F9" i="11"/>
  <c r="E9" i="11"/>
  <c r="D9" i="11"/>
  <c r="P8" i="11"/>
  <c r="J10" i="11"/>
  <c r="O7" i="11"/>
  <c r="N7" i="11"/>
  <c r="M7" i="11"/>
  <c r="L7" i="11"/>
  <c r="K7" i="11"/>
  <c r="J7" i="11"/>
  <c r="I7" i="11"/>
  <c r="H7" i="11"/>
  <c r="G7" i="11"/>
  <c r="F7" i="11"/>
  <c r="E7" i="11"/>
  <c r="D7" i="11"/>
  <c r="O6" i="11"/>
  <c r="N6" i="11"/>
  <c r="M6" i="11"/>
  <c r="L6" i="11"/>
  <c r="K6" i="11"/>
  <c r="J6" i="11"/>
  <c r="I6" i="11"/>
  <c r="H6" i="11"/>
  <c r="G6" i="11"/>
  <c r="F6" i="11"/>
  <c r="E6" i="11"/>
  <c r="D6" i="11"/>
  <c r="O3" i="11"/>
  <c r="N3" i="11"/>
  <c r="M3" i="11"/>
  <c r="L3" i="11"/>
  <c r="K3" i="11"/>
  <c r="J3" i="11"/>
  <c r="J5" i="11" s="1"/>
  <c r="I3" i="11"/>
  <c r="I5" i="11" s="1"/>
  <c r="G3" i="11"/>
  <c r="G5" i="11" s="1"/>
  <c r="F3" i="11"/>
  <c r="E3" i="11"/>
  <c r="D3" i="11"/>
  <c r="N5" i="12" l="1"/>
  <c r="O4" i="12"/>
  <c r="M5" i="12"/>
  <c r="P39" i="11"/>
  <c r="Y41" i="6"/>
  <c r="AC41" i="6"/>
  <c r="AF41" i="6" s="1"/>
  <c r="P40" i="11"/>
  <c r="Y38" i="6"/>
  <c r="AC38" i="6"/>
  <c r="AF38" i="6" s="1"/>
  <c r="S42" i="11"/>
  <c r="AC42" i="6"/>
  <c r="AF42" i="6" s="1"/>
  <c r="Y42" i="6"/>
  <c r="S37" i="12"/>
  <c r="AD37" i="6"/>
  <c r="P40" i="12"/>
  <c r="AD40" i="6" s="1"/>
  <c r="AD38" i="6"/>
  <c r="AE38" i="6" s="1"/>
  <c r="S42" i="12"/>
  <c r="AD42" i="6"/>
  <c r="P9" i="11"/>
  <c r="AC8" i="6"/>
  <c r="AF8" i="6" s="1"/>
  <c r="Y8" i="6"/>
  <c r="Y11" i="6"/>
  <c r="AC11" i="6"/>
  <c r="AF11" i="6" s="1"/>
  <c r="P9" i="12"/>
  <c r="AD9" i="6" s="1"/>
  <c r="AD8" i="6"/>
  <c r="AE8" i="6" s="1"/>
  <c r="Y33" i="6"/>
  <c r="AC33" i="6"/>
  <c r="AF33" i="6" s="1"/>
  <c r="S37" i="11"/>
  <c r="AC37" i="6"/>
  <c r="AF37" i="6" s="1"/>
  <c r="Y37" i="6"/>
  <c r="P34" i="11"/>
  <c r="AC36" i="6"/>
  <c r="AF36" i="6" s="1"/>
  <c r="Y36" i="6"/>
  <c r="S12" i="12"/>
  <c r="AD12" i="6"/>
  <c r="AC26" i="6"/>
  <c r="AE26" i="6" s="1"/>
  <c r="AF26" i="6" s="1"/>
  <c r="Y26" i="6"/>
  <c r="S27" i="11"/>
  <c r="Y27" i="6"/>
  <c r="AC27" i="6"/>
  <c r="K5" i="11"/>
  <c r="O4" i="11"/>
  <c r="S12" i="11"/>
  <c r="Y12" i="6"/>
  <c r="AC12" i="6"/>
  <c r="J5" i="12"/>
  <c r="E5" i="12"/>
  <c r="P24" i="11"/>
  <c r="AC23" i="6"/>
  <c r="AE23" i="6" s="1"/>
  <c r="AF23" i="6" s="1"/>
  <c r="Y23" i="6"/>
  <c r="P19" i="11"/>
  <c r="AC19" i="6" s="1"/>
  <c r="AC18" i="6"/>
  <c r="Y18" i="6"/>
  <c r="S22" i="11"/>
  <c r="AC22" i="6"/>
  <c r="Y22" i="6"/>
  <c r="Y21" i="6"/>
  <c r="AC21" i="6"/>
  <c r="AE21" i="6" s="1"/>
  <c r="AF21" i="6" s="1"/>
  <c r="L5" i="11"/>
  <c r="AC13" i="6"/>
  <c r="Y13" i="6"/>
  <c r="S17" i="11"/>
  <c r="AC17" i="6"/>
  <c r="Y17" i="6"/>
  <c r="Y16" i="6"/>
  <c r="AC16" i="6"/>
  <c r="AE16" i="6" s="1"/>
  <c r="AF16" i="6" s="1"/>
  <c r="R27" i="12"/>
  <c r="AD27" i="6"/>
  <c r="P19" i="12"/>
  <c r="AD19" i="6" s="1"/>
  <c r="AD18" i="6"/>
  <c r="R22" i="12"/>
  <c r="AD22" i="6"/>
  <c r="S17" i="12"/>
  <c r="AD17" i="6"/>
  <c r="D5" i="12"/>
  <c r="R37" i="11"/>
  <c r="P35" i="11"/>
  <c r="I5" i="12"/>
  <c r="P24" i="12"/>
  <c r="AD24" i="6" s="1"/>
  <c r="G4" i="12"/>
  <c r="R27" i="11"/>
  <c r="F4" i="12"/>
  <c r="N5" i="11"/>
  <c r="D5" i="11"/>
  <c r="R22" i="11"/>
  <c r="F5" i="11"/>
  <c r="P7" i="12"/>
  <c r="AD7" i="6" s="1"/>
  <c r="P6" i="11"/>
  <c r="P15" i="11"/>
  <c r="M5" i="11"/>
  <c r="E5" i="11"/>
  <c r="P6" i="12"/>
  <c r="R37" i="12"/>
  <c r="F5" i="12"/>
  <c r="E4" i="12"/>
  <c r="J4" i="12"/>
  <c r="N4" i="12"/>
  <c r="P10" i="12"/>
  <c r="AD10" i="6" s="1"/>
  <c r="P20" i="12"/>
  <c r="AD20" i="6" s="1"/>
  <c r="S22" i="12"/>
  <c r="P25" i="12"/>
  <c r="AD25" i="6" s="1"/>
  <c r="S27" i="12"/>
  <c r="P34" i="12"/>
  <c r="AD34" i="6" s="1"/>
  <c r="K4" i="12"/>
  <c r="O5" i="12"/>
  <c r="P35" i="12"/>
  <c r="AD35" i="6" s="1"/>
  <c r="L4" i="12"/>
  <c r="G5" i="12"/>
  <c r="R17" i="12"/>
  <c r="R42" i="12"/>
  <c r="D4" i="12"/>
  <c r="I4" i="12"/>
  <c r="M4" i="12"/>
  <c r="P39" i="12"/>
  <c r="AD39" i="6" s="1"/>
  <c r="E4" i="11"/>
  <c r="J4" i="11"/>
  <c r="N4" i="11"/>
  <c r="P10" i="11"/>
  <c r="P20" i="11"/>
  <c r="P25" i="11"/>
  <c r="F4" i="11"/>
  <c r="O5" i="11"/>
  <c r="K4" i="11"/>
  <c r="P3" i="11"/>
  <c r="G4" i="11"/>
  <c r="L4" i="11"/>
  <c r="P7" i="11"/>
  <c r="P14" i="11"/>
  <c r="R17" i="11"/>
  <c r="R42" i="11"/>
  <c r="D4" i="11"/>
  <c r="I4" i="11"/>
  <c r="M4" i="11"/>
  <c r="O20" i="10"/>
  <c r="O19" i="10"/>
  <c r="N18" i="10"/>
  <c r="N20" i="10" s="1"/>
  <c r="O15" i="10"/>
  <c r="N15" i="10"/>
  <c r="O14" i="10"/>
  <c r="N14" i="10"/>
  <c r="AE11" i="6" l="1"/>
  <c r="AE42" i="6"/>
  <c r="AC9" i="6"/>
  <c r="AF9" i="6" s="1"/>
  <c r="Y9" i="6"/>
  <c r="AC35" i="6"/>
  <c r="AF35" i="6" s="1"/>
  <c r="Y35" i="6"/>
  <c r="AE9" i="6"/>
  <c r="AC34" i="6"/>
  <c r="AF34" i="6" s="1"/>
  <c r="Y34" i="6"/>
  <c r="AE36" i="6"/>
  <c r="AE41" i="6"/>
  <c r="Y40" i="6"/>
  <c r="AC40" i="6"/>
  <c r="AF40" i="6" s="1"/>
  <c r="AE33" i="6"/>
  <c r="AE40" i="6"/>
  <c r="AE37" i="6"/>
  <c r="Y39" i="6"/>
  <c r="AC39" i="6"/>
  <c r="AF39" i="6" s="1"/>
  <c r="AE27" i="6"/>
  <c r="AF27" i="6" s="1"/>
  <c r="AC10" i="6"/>
  <c r="Y10" i="6"/>
  <c r="AE12" i="6"/>
  <c r="AF12" i="6"/>
  <c r="AC25" i="6"/>
  <c r="AE25" i="6" s="1"/>
  <c r="AF25" i="6" s="1"/>
  <c r="Y25" i="6"/>
  <c r="AC24" i="6"/>
  <c r="AE24" i="6" s="1"/>
  <c r="AF24" i="6" s="1"/>
  <c r="Y24" i="6"/>
  <c r="Y19" i="6"/>
  <c r="AE18" i="6"/>
  <c r="AF18" i="6" s="1"/>
  <c r="AE19" i="6"/>
  <c r="AF19" i="6" s="1"/>
  <c r="Y20" i="6"/>
  <c r="AC20" i="6"/>
  <c r="AE20" i="6" s="1"/>
  <c r="AF20" i="6" s="1"/>
  <c r="AE22" i="6"/>
  <c r="AF22" i="6" s="1"/>
  <c r="Q23" i="11"/>
  <c r="AC3" i="6"/>
  <c r="Y3" i="6"/>
  <c r="AC7" i="6"/>
  <c r="AE7" i="6" s="1"/>
  <c r="AF7" i="6" s="1"/>
  <c r="Y7" i="6"/>
  <c r="Y15" i="6"/>
  <c r="AC15" i="6"/>
  <c r="AE17" i="6"/>
  <c r="AF17" i="6" s="1"/>
  <c r="Y14" i="6"/>
  <c r="AC14" i="6"/>
  <c r="S6" i="11"/>
  <c r="Y6" i="6"/>
  <c r="AC6" i="6"/>
  <c r="R6" i="12"/>
  <c r="AD6" i="6"/>
  <c r="R6" i="11"/>
  <c r="S6" i="12"/>
  <c r="Q38" i="11"/>
  <c r="Q33" i="11"/>
  <c r="Q13" i="11"/>
  <c r="Q8" i="11"/>
  <c r="P5" i="11"/>
  <c r="P4" i="11"/>
  <c r="Q28" i="11"/>
  <c r="Q18" i="11"/>
  <c r="N19" i="10"/>
  <c r="M20" i="10"/>
  <c r="L20" i="10"/>
  <c r="M19" i="10"/>
  <c r="L19" i="10"/>
  <c r="M15" i="10"/>
  <c r="L15" i="10"/>
  <c r="M14" i="10"/>
  <c r="L14" i="10"/>
  <c r="O10" i="10"/>
  <c r="N10" i="10"/>
  <c r="M10" i="10"/>
  <c r="L10" i="10"/>
  <c r="O9" i="10"/>
  <c r="N9" i="10"/>
  <c r="M9" i="10"/>
  <c r="L9" i="10"/>
  <c r="AE34" i="6" l="1"/>
  <c r="AE35" i="6"/>
  <c r="AE39" i="6"/>
  <c r="AF10" i="6"/>
  <c r="AE10" i="6"/>
  <c r="AE6" i="6"/>
  <c r="AF6" i="6" s="1"/>
  <c r="Y5" i="6"/>
  <c r="AC5" i="6"/>
  <c r="Y4" i="6"/>
  <c r="AC4" i="6"/>
  <c r="J8" i="10"/>
  <c r="E19" i="10" l="1"/>
  <c r="D35" i="10" l="1"/>
  <c r="D25" i="10"/>
  <c r="D24" i="10"/>
  <c r="D20" i="10"/>
  <c r="D19" i="10"/>
  <c r="D15" i="10"/>
  <c r="D14" i="10"/>
  <c r="D10" i="10"/>
  <c r="D9" i="10"/>
  <c r="D34" i="10" l="1"/>
  <c r="O42" i="6" l="1"/>
  <c r="O41" i="6"/>
  <c r="O38" i="6"/>
  <c r="O37" i="6"/>
  <c r="O36" i="6"/>
  <c r="O33" i="6"/>
  <c r="O32" i="6"/>
  <c r="O31" i="6"/>
  <c r="O28" i="6"/>
  <c r="O27" i="6"/>
  <c r="O26" i="6"/>
  <c r="O23" i="6"/>
  <c r="O22" i="6"/>
  <c r="O21" i="6"/>
  <c r="O18" i="6"/>
  <c r="O17" i="6"/>
  <c r="O16" i="6"/>
  <c r="O13" i="6"/>
  <c r="O12" i="6"/>
  <c r="O11" i="6"/>
  <c r="O8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G40" i="10" l="1"/>
  <c r="F40" i="10"/>
  <c r="E40" i="10"/>
  <c r="G39" i="10"/>
  <c r="F39" i="10"/>
  <c r="E39" i="10"/>
  <c r="G35" i="10"/>
  <c r="F35" i="10"/>
  <c r="E35" i="10"/>
  <c r="G34" i="10"/>
  <c r="F34" i="10"/>
  <c r="E34" i="10"/>
  <c r="G30" i="10"/>
  <c r="F30" i="10"/>
  <c r="E30" i="10"/>
  <c r="G29" i="10"/>
  <c r="F29" i="10"/>
  <c r="E29" i="10"/>
  <c r="G25" i="10"/>
  <c r="F25" i="10"/>
  <c r="E25" i="10"/>
  <c r="G24" i="10"/>
  <c r="F24" i="10"/>
  <c r="E24" i="10"/>
  <c r="G20" i="10"/>
  <c r="F20" i="10"/>
  <c r="E20" i="10"/>
  <c r="G19" i="10"/>
  <c r="F19" i="10"/>
  <c r="G15" i="10"/>
  <c r="F15" i="10"/>
  <c r="E15" i="10"/>
  <c r="G14" i="10"/>
  <c r="F14" i="10"/>
  <c r="E14" i="10"/>
  <c r="G10" i="10"/>
  <c r="F10" i="10"/>
  <c r="E10" i="10"/>
  <c r="G9" i="10"/>
  <c r="F9" i="10"/>
  <c r="E9" i="10"/>
  <c r="G7" i="10"/>
  <c r="F7" i="10"/>
  <c r="E7" i="10"/>
  <c r="D7" i="10"/>
  <c r="G6" i="10"/>
  <c r="F6" i="10"/>
  <c r="E6" i="10"/>
  <c r="D6" i="10"/>
  <c r="G3" i="10"/>
  <c r="F3" i="10"/>
  <c r="E3" i="10"/>
  <c r="D3" i="10"/>
  <c r="D5" i="10" s="1"/>
  <c r="F4" i="10" l="1"/>
  <c r="G5" i="10"/>
  <c r="F5" i="10"/>
  <c r="E5" i="10"/>
  <c r="D4" i="10"/>
  <c r="E4" i="10"/>
  <c r="G4" i="10"/>
  <c r="E9" i="9" l="1"/>
  <c r="P42" i="10"/>
  <c r="P41" i="10"/>
  <c r="O40" i="10"/>
  <c r="N40" i="10"/>
  <c r="M40" i="10"/>
  <c r="L40" i="10"/>
  <c r="K40" i="10"/>
  <c r="J40" i="10"/>
  <c r="I40" i="10"/>
  <c r="H40" i="10"/>
  <c r="O39" i="10"/>
  <c r="N39" i="10"/>
  <c r="M39" i="10"/>
  <c r="L39" i="10"/>
  <c r="K39" i="10"/>
  <c r="J39" i="10"/>
  <c r="I39" i="10"/>
  <c r="H39" i="10"/>
  <c r="P38" i="10"/>
  <c r="P37" i="10"/>
  <c r="P36" i="10"/>
  <c r="O35" i="10"/>
  <c r="N35" i="10"/>
  <c r="M35" i="10"/>
  <c r="L35" i="10"/>
  <c r="K35" i="10"/>
  <c r="J35" i="10"/>
  <c r="I35" i="10"/>
  <c r="H35" i="10"/>
  <c r="O34" i="10"/>
  <c r="N34" i="10"/>
  <c r="M34" i="10"/>
  <c r="L34" i="10"/>
  <c r="K34" i="10"/>
  <c r="J34" i="10"/>
  <c r="I34" i="10"/>
  <c r="H34" i="10"/>
  <c r="P33" i="10"/>
  <c r="S32" i="10"/>
  <c r="R32" i="10"/>
  <c r="O30" i="10"/>
  <c r="N30" i="10"/>
  <c r="M30" i="10"/>
  <c r="L30" i="10"/>
  <c r="K30" i="10"/>
  <c r="J30" i="10"/>
  <c r="I30" i="10"/>
  <c r="H30" i="10"/>
  <c r="O29" i="10"/>
  <c r="N29" i="10"/>
  <c r="M29" i="10"/>
  <c r="L29" i="10"/>
  <c r="K29" i="10"/>
  <c r="J29" i="10"/>
  <c r="I29" i="10"/>
  <c r="H29" i="10"/>
  <c r="P27" i="10"/>
  <c r="P26" i="10"/>
  <c r="O25" i="10"/>
  <c r="N25" i="10"/>
  <c r="M25" i="10"/>
  <c r="L25" i="10"/>
  <c r="K25" i="10"/>
  <c r="J25" i="10"/>
  <c r="I25" i="10"/>
  <c r="H25" i="10"/>
  <c r="O24" i="10"/>
  <c r="N24" i="10"/>
  <c r="M24" i="10"/>
  <c r="L24" i="10"/>
  <c r="K24" i="10"/>
  <c r="J24" i="10"/>
  <c r="I24" i="10"/>
  <c r="H24" i="10"/>
  <c r="P23" i="10"/>
  <c r="P22" i="10"/>
  <c r="P21" i="10"/>
  <c r="K20" i="10"/>
  <c r="J20" i="10"/>
  <c r="I20" i="10"/>
  <c r="H20" i="10"/>
  <c r="K19" i="10"/>
  <c r="J19" i="10"/>
  <c r="I19" i="10"/>
  <c r="H19" i="10"/>
  <c r="P18" i="10"/>
  <c r="P17" i="10"/>
  <c r="P16" i="10"/>
  <c r="K15" i="10"/>
  <c r="J15" i="10"/>
  <c r="I15" i="10"/>
  <c r="H15" i="10"/>
  <c r="K14" i="10"/>
  <c r="J14" i="10"/>
  <c r="I14" i="10"/>
  <c r="H14" i="10"/>
  <c r="P12" i="10"/>
  <c r="P11" i="10"/>
  <c r="K10" i="10"/>
  <c r="J10" i="10"/>
  <c r="I10" i="10"/>
  <c r="H10" i="10"/>
  <c r="K9" i="10"/>
  <c r="J9" i="10"/>
  <c r="I9" i="10"/>
  <c r="H9" i="10"/>
  <c r="P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3" i="10"/>
  <c r="N3" i="10"/>
  <c r="L3" i="10"/>
  <c r="K3" i="10"/>
  <c r="J3" i="10"/>
  <c r="I3" i="10"/>
  <c r="X18" i="6" l="1"/>
  <c r="Z18" i="6" s="1"/>
  <c r="AA18" i="6" s="1"/>
  <c r="T18" i="6"/>
  <c r="X33" i="6"/>
  <c r="Z33" i="6" s="1"/>
  <c r="AA33" i="6" s="1"/>
  <c r="T33" i="6"/>
  <c r="X36" i="6"/>
  <c r="T36" i="6"/>
  <c r="S22" i="10"/>
  <c r="X22" i="6"/>
  <c r="Z22" i="6" s="1"/>
  <c r="AA22" i="6" s="1"/>
  <c r="T22" i="6"/>
  <c r="S37" i="10"/>
  <c r="X37" i="6"/>
  <c r="T37" i="6"/>
  <c r="T8" i="6"/>
  <c r="X8" i="6"/>
  <c r="P25" i="10"/>
  <c r="X23" i="6"/>
  <c r="T23" i="6"/>
  <c r="T38" i="6"/>
  <c r="X38" i="6"/>
  <c r="Z38" i="6" s="1"/>
  <c r="AA38" i="6" s="1"/>
  <c r="X11" i="6"/>
  <c r="T11" i="6"/>
  <c r="T26" i="6"/>
  <c r="X26" i="6"/>
  <c r="X41" i="6"/>
  <c r="T41" i="6"/>
  <c r="X21" i="6"/>
  <c r="Z21" i="6" s="1"/>
  <c r="AA21" i="6" s="1"/>
  <c r="T21" i="6"/>
  <c r="S12" i="10"/>
  <c r="X12" i="6"/>
  <c r="Z12" i="6" s="1"/>
  <c r="AA12" i="6" s="1"/>
  <c r="T12" i="6"/>
  <c r="S27" i="10"/>
  <c r="T27" i="6"/>
  <c r="X27" i="6"/>
  <c r="R42" i="10"/>
  <c r="T42" i="6"/>
  <c r="X42" i="6"/>
  <c r="R17" i="10"/>
  <c r="X17" i="6"/>
  <c r="Z17" i="6" s="1"/>
  <c r="AA17" i="6" s="1"/>
  <c r="T17" i="6"/>
  <c r="T16" i="6"/>
  <c r="X16" i="6"/>
  <c r="Z16" i="6" s="1"/>
  <c r="AA16" i="6" s="1"/>
  <c r="N5" i="10"/>
  <c r="O5" i="10"/>
  <c r="J5" i="10"/>
  <c r="I5" i="10"/>
  <c r="P35" i="10"/>
  <c r="R37" i="10"/>
  <c r="S17" i="10"/>
  <c r="L5" i="10"/>
  <c r="P40" i="10"/>
  <c r="P20" i="10"/>
  <c r="R22" i="10"/>
  <c r="K5" i="10"/>
  <c r="S42" i="10"/>
  <c r="R27" i="10"/>
  <c r="P6" i="10"/>
  <c r="J4" i="10"/>
  <c r="M3" i="10"/>
  <c r="I4" i="10"/>
  <c r="P13" i="10"/>
  <c r="P19" i="10"/>
  <c r="P39" i="10"/>
  <c r="N4" i="10"/>
  <c r="L4" i="10"/>
  <c r="P7" i="10"/>
  <c r="R8" i="10"/>
  <c r="P9" i="10"/>
  <c r="P10" i="10"/>
  <c r="K4" i="10"/>
  <c r="O4" i="10"/>
  <c r="P24" i="10"/>
  <c r="P34" i="10"/>
  <c r="T24" i="6" l="1"/>
  <c r="X24" i="6"/>
  <c r="X25" i="6"/>
  <c r="T25" i="6"/>
  <c r="S6" i="10"/>
  <c r="T6" i="6"/>
  <c r="X6" i="6"/>
  <c r="Z6" i="6" s="1"/>
  <c r="AA6" i="6" s="1"/>
  <c r="AA8" i="6"/>
  <c r="Z8" i="6"/>
  <c r="Z36" i="6"/>
  <c r="AA36" i="6" s="1"/>
  <c r="AA26" i="6"/>
  <c r="Z26" i="6"/>
  <c r="X39" i="6"/>
  <c r="Z39" i="6" s="1"/>
  <c r="AA39" i="6" s="1"/>
  <c r="T39" i="6"/>
  <c r="X10" i="6"/>
  <c r="Z10" i="6" s="1"/>
  <c r="AA10" i="6" s="1"/>
  <c r="T10" i="6"/>
  <c r="Z42" i="6"/>
  <c r="AA42" i="6" s="1"/>
  <c r="Z11" i="6"/>
  <c r="AA11" i="6" s="1"/>
  <c r="X34" i="6"/>
  <c r="Z34" i="6" s="1"/>
  <c r="AA34" i="6" s="1"/>
  <c r="T34" i="6"/>
  <c r="AA23" i="6"/>
  <c r="Z23" i="6"/>
  <c r="P3" i="10"/>
  <c r="Q38" i="10" s="1"/>
  <c r="X13" i="6"/>
  <c r="Z13" i="6" s="1"/>
  <c r="AA13" i="6" s="1"/>
  <c r="T13" i="6"/>
  <c r="X9" i="6"/>
  <c r="Z9" i="6" s="1"/>
  <c r="AA9" i="6" s="1"/>
  <c r="T9" i="6"/>
  <c r="X20" i="6"/>
  <c r="Z20" i="6" s="1"/>
  <c r="AA20" i="6" s="1"/>
  <c r="T20" i="6"/>
  <c r="Z37" i="6"/>
  <c r="AA37" i="6" s="1"/>
  <c r="X35" i="6"/>
  <c r="Z35" i="6" s="1"/>
  <c r="AA35" i="6" s="1"/>
  <c r="T35" i="6"/>
  <c r="X19" i="6"/>
  <c r="Z19" i="6" s="1"/>
  <c r="AA19" i="6" s="1"/>
  <c r="T19" i="6"/>
  <c r="T40" i="6"/>
  <c r="X40" i="6"/>
  <c r="Z41" i="6"/>
  <c r="AA41" i="6" s="1"/>
  <c r="X7" i="6"/>
  <c r="Z7" i="6" s="1"/>
  <c r="AA7" i="6" s="1"/>
  <c r="T7" i="6"/>
  <c r="AA27" i="6"/>
  <c r="Z27" i="6"/>
  <c r="R6" i="10"/>
  <c r="P15" i="10"/>
  <c r="P14" i="10"/>
  <c r="M5" i="10"/>
  <c r="M4" i="10"/>
  <c r="Q23" i="10" l="1"/>
  <c r="Q18" i="10"/>
  <c r="P5" i="10"/>
  <c r="Q28" i="10"/>
  <c r="P4" i="10"/>
  <c r="X4" i="6" s="1"/>
  <c r="Z4" i="6" s="1"/>
  <c r="AA4" i="6" s="1"/>
  <c r="Q13" i="10"/>
  <c r="Q33" i="10"/>
  <c r="X15" i="6"/>
  <c r="Z15" i="6" s="1"/>
  <c r="AA15" i="6" s="1"/>
  <c r="T15" i="6"/>
  <c r="Z40" i="6"/>
  <c r="AA40" i="6" s="1"/>
  <c r="X5" i="6"/>
  <c r="Z5" i="6" s="1"/>
  <c r="AA5" i="6" s="1"/>
  <c r="T5" i="6"/>
  <c r="AA25" i="6"/>
  <c r="Z25" i="6"/>
  <c r="T14" i="6"/>
  <c r="X14" i="6"/>
  <c r="Z14" i="6" s="1"/>
  <c r="AA14" i="6" s="1"/>
  <c r="Q8" i="10"/>
  <c r="X3" i="6"/>
  <c r="Z3" i="6" s="1"/>
  <c r="AA3" i="6" s="1"/>
  <c r="T3" i="6"/>
  <c r="AA24" i="6"/>
  <c r="Z24" i="6"/>
  <c r="M33" i="9"/>
  <c r="T4" i="6" l="1"/>
  <c r="M13" i="9"/>
  <c r="M15" i="9" s="1"/>
  <c r="M8" i="9"/>
  <c r="M10" i="9" s="1"/>
  <c r="O19" i="9"/>
  <c r="O19" i="6" s="1"/>
  <c r="P18" i="9"/>
  <c r="S18" i="6" s="1"/>
  <c r="U18" i="6" s="1"/>
  <c r="V18" i="6" s="1"/>
  <c r="P42" i="9"/>
  <c r="P41" i="9"/>
  <c r="S41" i="6" s="1"/>
  <c r="U41" i="6" s="1"/>
  <c r="V41" i="6" s="1"/>
  <c r="O40" i="9"/>
  <c r="O40" i="6" s="1"/>
  <c r="N40" i="9"/>
  <c r="M40" i="9"/>
  <c r="L40" i="9"/>
  <c r="K40" i="9"/>
  <c r="J40" i="9"/>
  <c r="I40" i="9"/>
  <c r="H40" i="9"/>
  <c r="G40" i="9"/>
  <c r="F40" i="9"/>
  <c r="E40" i="9"/>
  <c r="O39" i="9"/>
  <c r="O39" i="6" s="1"/>
  <c r="N39" i="9"/>
  <c r="M39" i="9"/>
  <c r="L39" i="9"/>
  <c r="K39" i="9"/>
  <c r="J39" i="9"/>
  <c r="I39" i="9"/>
  <c r="H39" i="9"/>
  <c r="G39" i="9"/>
  <c r="F39" i="9"/>
  <c r="E39" i="9"/>
  <c r="P38" i="9"/>
  <c r="S38" i="6" s="1"/>
  <c r="P37" i="9"/>
  <c r="P36" i="9"/>
  <c r="S36" i="6" s="1"/>
  <c r="U36" i="6" s="1"/>
  <c r="V36" i="6" s="1"/>
  <c r="O35" i="9"/>
  <c r="O35" i="6" s="1"/>
  <c r="N35" i="9"/>
  <c r="M35" i="9"/>
  <c r="L35" i="9"/>
  <c r="K35" i="9"/>
  <c r="J35" i="9"/>
  <c r="I35" i="9"/>
  <c r="H35" i="9"/>
  <c r="G35" i="9"/>
  <c r="F35" i="9"/>
  <c r="E35" i="9"/>
  <c r="O34" i="9"/>
  <c r="O34" i="6" s="1"/>
  <c r="N34" i="9"/>
  <c r="M34" i="9"/>
  <c r="L34" i="9"/>
  <c r="K34" i="9"/>
  <c r="J34" i="9"/>
  <c r="I34" i="9"/>
  <c r="H34" i="9"/>
  <c r="G34" i="9"/>
  <c r="F34" i="9"/>
  <c r="E34" i="9"/>
  <c r="P33" i="9"/>
  <c r="S33" i="6" s="1"/>
  <c r="U33" i="6" s="1"/>
  <c r="V33" i="6" s="1"/>
  <c r="S32" i="9"/>
  <c r="R32" i="9"/>
  <c r="O30" i="9"/>
  <c r="O30" i="6" s="1"/>
  <c r="N30" i="9"/>
  <c r="M30" i="9"/>
  <c r="L30" i="9"/>
  <c r="K30" i="9"/>
  <c r="J30" i="9"/>
  <c r="I30" i="9"/>
  <c r="H30" i="9"/>
  <c r="G30" i="9"/>
  <c r="F30" i="9"/>
  <c r="E30" i="9"/>
  <c r="O29" i="9"/>
  <c r="O29" i="6" s="1"/>
  <c r="N29" i="9"/>
  <c r="M29" i="9"/>
  <c r="L29" i="9"/>
  <c r="K29" i="9"/>
  <c r="J29" i="9"/>
  <c r="I29" i="9"/>
  <c r="H29" i="9"/>
  <c r="G29" i="9"/>
  <c r="F29" i="9"/>
  <c r="E29" i="9"/>
  <c r="P27" i="9"/>
  <c r="P26" i="9"/>
  <c r="S26" i="6" s="1"/>
  <c r="U26" i="6" s="1"/>
  <c r="V26" i="6" s="1"/>
  <c r="O25" i="9"/>
  <c r="O25" i="6" s="1"/>
  <c r="N25" i="9"/>
  <c r="M25" i="9"/>
  <c r="L25" i="9"/>
  <c r="K25" i="9"/>
  <c r="J25" i="9"/>
  <c r="I25" i="9"/>
  <c r="H25" i="9"/>
  <c r="G25" i="9"/>
  <c r="F25" i="9"/>
  <c r="E25" i="9"/>
  <c r="O24" i="9"/>
  <c r="O24" i="6" s="1"/>
  <c r="N24" i="9"/>
  <c r="M24" i="9"/>
  <c r="L24" i="9"/>
  <c r="K24" i="9"/>
  <c r="J24" i="9"/>
  <c r="I24" i="9"/>
  <c r="H24" i="9"/>
  <c r="G24" i="9"/>
  <c r="F24" i="9"/>
  <c r="E24" i="9"/>
  <c r="P23" i="9"/>
  <c r="S23" i="6" s="1"/>
  <c r="U23" i="6" s="1"/>
  <c r="V23" i="6" s="1"/>
  <c r="P22" i="9"/>
  <c r="P21" i="9"/>
  <c r="S21" i="6" s="1"/>
  <c r="U21" i="6" s="1"/>
  <c r="V21" i="6" s="1"/>
  <c r="O20" i="9"/>
  <c r="O20" i="6" s="1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P17" i="9"/>
  <c r="P16" i="9"/>
  <c r="S16" i="6" s="1"/>
  <c r="O15" i="9"/>
  <c r="O15" i="6" s="1"/>
  <c r="N15" i="9"/>
  <c r="L15" i="9"/>
  <c r="K15" i="9"/>
  <c r="J15" i="9"/>
  <c r="I15" i="9"/>
  <c r="H15" i="9"/>
  <c r="G15" i="9"/>
  <c r="F15" i="9"/>
  <c r="E15" i="9"/>
  <c r="O14" i="9"/>
  <c r="O14" i="6" s="1"/>
  <c r="N14" i="9"/>
  <c r="M14" i="9"/>
  <c r="L14" i="9"/>
  <c r="K14" i="9"/>
  <c r="J14" i="9"/>
  <c r="I14" i="9"/>
  <c r="H14" i="9"/>
  <c r="G14" i="9"/>
  <c r="F14" i="9"/>
  <c r="E14" i="9"/>
  <c r="P12" i="9"/>
  <c r="P11" i="9"/>
  <c r="S11" i="6" s="1"/>
  <c r="U11" i="6" s="1"/>
  <c r="V11" i="6" s="1"/>
  <c r="O10" i="9"/>
  <c r="O10" i="6" s="1"/>
  <c r="N10" i="9"/>
  <c r="L10" i="9"/>
  <c r="K10" i="9"/>
  <c r="J10" i="9"/>
  <c r="I10" i="9"/>
  <c r="H10" i="9"/>
  <c r="G10" i="9"/>
  <c r="F10" i="9"/>
  <c r="E10" i="9"/>
  <c r="O9" i="9"/>
  <c r="O9" i="6" s="1"/>
  <c r="N9" i="9"/>
  <c r="L9" i="9"/>
  <c r="K9" i="9"/>
  <c r="J9" i="9"/>
  <c r="I9" i="9"/>
  <c r="H9" i="9"/>
  <c r="G9" i="9"/>
  <c r="F9" i="9"/>
  <c r="O7" i="9"/>
  <c r="O7" i="6" s="1"/>
  <c r="N7" i="9"/>
  <c r="M7" i="9"/>
  <c r="L7" i="9"/>
  <c r="K7" i="9"/>
  <c r="J7" i="9"/>
  <c r="I7" i="9"/>
  <c r="H7" i="9"/>
  <c r="G7" i="9"/>
  <c r="F7" i="9"/>
  <c r="E7" i="9"/>
  <c r="D7" i="9"/>
  <c r="O6" i="9"/>
  <c r="O6" i="6" s="1"/>
  <c r="N6" i="9"/>
  <c r="M6" i="9"/>
  <c r="L6" i="9"/>
  <c r="K6" i="9"/>
  <c r="J6" i="9"/>
  <c r="I6" i="9"/>
  <c r="H6" i="9"/>
  <c r="G6" i="9"/>
  <c r="F6" i="9"/>
  <c r="E6" i="9"/>
  <c r="D6" i="9"/>
  <c r="O3" i="9"/>
  <c r="O3" i="6" s="1"/>
  <c r="N3" i="9"/>
  <c r="L3" i="9"/>
  <c r="K3" i="9"/>
  <c r="J3" i="9"/>
  <c r="I3" i="9"/>
  <c r="G3" i="9"/>
  <c r="F3" i="9"/>
  <c r="E3" i="9"/>
  <c r="D3" i="9"/>
  <c r="U16" i="6" l="1"/>
  <c r="V16" i="6" s="1"/>
  <c r="S22" i="9"/>
  <c r="S22" i="6"/>
  <c r="U22" i="6" s="1"/>
  <c r="V22" i="6" s="1"/>
  <c r="R17" i="9"/>
  <c r="S17" i="6"/>
  <c r="R27" i="9"/>
  <c r="S27" i="6"/>
  <c r="U27" i="6" s="1"/>
  <c r="V27" i="6" s="1"/>
  <c r="R8" i="9"/>
  <c r="S12" i="6"/>
  <c r="S37" i="9"/>
  <c r="S37" i="6"/>
  <c r="U37" i="6" s="1"/>
  <c r="V37" i="6" s="1"/>
  <c r="U38" i="6"/>
  <c r="V38" i="6" s="1"/>
  <c r="S42" i="9"/>
  <c r="S42" i="6"/>
  <c r="J5" i="9"/>
  <c r="K5" i="9"/>
  <c r="R22" i="9"/>
  <c r="P40" i="9"/>
  <c r="S40" i="6" s="1"/>
  <c r="U40" i="6" s="1"/>
  <c r="V40" i="6" s="1"/>
  <c r="R42" i="9"/>
  <c r="P39" i="9"/>
  <c r="S39" i="6" s="1"/>
  <c r="P35" i="9"/>
  <c r="S35" i="6" s="1"/>
  <c r="N5" i="9"/>
  <c r="R37" i="9"/>
  <c r="E5" i="9"/>
  <c r="F5" i="9"/>
  <c r="L5" i="9"/>
  <c r="D5" i="9"/>
  <c r="G5" i="9"/>
  <c r="I5" i="9"/>
  <c r="P24" i="9"/>
  <c r="S24" i="6" s="1"/>
  <c r="P6" i="9"/>
  <c r="S12" i="9"/>
  <c r="P13" i="9"/>
  <c r="M3" i="9"/>
  <c r="M4" i="9" s="1"/>
  <c r="M9" i="9"/>
  <c r="P8" i="9"/>
  <c r="P20" i="9"/>
  <c r="S20" i="6" s="1"/>
  <c r="P19" i="9"/>
  <c r="S19" i="6" s="1"/>
  <c r="U19" i="6" s="1"/>
  <c r="V19" i="6" s="1"/>
  <c r="O5" i="9"/>
  <c r="O5" i="6" s="1"/>
  <c r="E4" i="9"/>
  <c r="J4" i="9"/>
  <c r="N4" i="9"/>
  <c r="D4" i="9"/>
  <c r="I4" i="9"/>
  <c r="G4" i="9"/>
  <c r="L4" i="9"/>
  <c r="P7" i="9"/>
  <c r="S7" i="6" s="1"/>
  <c r="U7" i="6" s="1"/>
  <c r="V7" i="6" s="1"/>
  <c r="S17" i="9"/>
  <c r="P25" i="9"/>
  <c r="S25" i="6" s="1"/>
  <c r="U25" i="6" s="1"/>
  <c r="V25" i="6" s="1"/>
  <c r="S27" i="9"/>
  <c r="F4" i="9"/>
  <c r="K4" i="9"/>
  <c r="O4" i="9"/>
  <c r="O4" i="6" s="1"/>
  <c r="P34" i="9"/>
  <c r="S34" i="6" s="1"/>
  <c r="U24" i="6" l="1"/>
  <c r="V24" i="6" s="1"/>
  <c r="U20" i="6"/>
  <c r="V20" i="6" s="1"/>
  <c r="U35" i="6"/>
  <c r="V35" i="6" s="1"/>
  <c r="U42" i="6"/>
  <c r="V42" i="6" s="1"/>
  <c r="P10" i="9"/>
  <c r="S10" i="6" s="1"/>
  <c r="U10" i="6" s="1"/>
  <c r="V10" i="6" s="1"/>
  <c r="S8" i="6"/>
  <c r="U8" i="6" s="1"/>
  <c r="V8" i="6" s="1"/>
  <c r="U39" i="6"/>
  <c r="V39" i="6" s="1"/>
  <c r="U17" i="6"/>
  <c r="V17" i="6" s="1"/>
  <c r="S6" i="9"/>
  <c r="S6" i="6"/>
  <c r="U6" i="6" s="1"/>
  <c r="V6" i="6" s="1"/>
  <c r="P14" i="9"/>
  <c r="S14" i="6" s="1"/>
  <c r="U14" i="6" s="1"/>
  <c r="V14" i="6" s="1"/>
  <c r="S13" i="6"/>
  <c r="U34" i="6"/>
  <c r="V34" i="6" s="1"/>
  <c r="U12" i="6"/>
  <c r="V12" i="6" s="1"/>
  <c r="R6" i="9"/>
  <c r="M5" i="9"/>
  <c r="P15" i="9"/>
  <c r="S15" i="6" s="1"/>
  <c r="U15" i="6" s="1"/>
  <c r="V15" i="6" s="1"/>
  <c r="P3" i="9"/>
  <c r="P9" i="9"/>
  <c r="S9" i="6" s="1"/>
  <c r="U9" i="6" s="1"/>
  <c r="V9" i="6" s="1"/>
  <c r="Q33" i="9" l="1"/>
  <c r="S3" i="6"/>
  <c r="U3" i="6" s="1"/>
  <c r="V3" i="6" s="1"/>
  <c r="U13" i="6"/>
  <c r="V13" i="6" s="1"/>
  <c r="Q18" i="9"/>
  <c r="Q13" i="9"/>
  <c r="Q28" i="9"/>
  <c r="Q8" i="9"/>
  <c r="P4" i="9"/>
  <c r="S4" i="6" s="1"/>
  <c r="U4" i="6" s="1"/>
  <c r="V4" i="6" s="1"/>
  <c r="P5" i="9"/>
  <c r="S5" i="6" s="1"/>
  <c r="U5" i="6" s="1"/>
  <c r="V5" i="6" s="1"/>
  <c r="Q38" i="9"/>
  <c r="Q23" i="9"/>
  <c r="D33" i="6" l="1"/>
  <c r="G33" i="6" s="1"/>
  <c r="D34" i="6"/>
  <c r="G34" i="6" s="1"/>
  <c r="D35" i="6"/>
  <c r="G35" i="6" s="1"/>
  <c r="D36" i="6"/>
  <c r="G36" i="6" s="1"/>
  <c r="D37" i="6"/>
  <c r="G37" i="6" s="1"/>
  <c r="D38" i="6"/>
  <c r="G38" i="6" s="1"/>
  <c r="E38" i="6"/>
  <c r="D39" i="6"/>
  <c r="G39" i="6" s="1"/>
  <c r="E39" i="6"/>
  <c r="D40" i="6"/>
  <c r="G40" i="6" s="1"/>
  <c r="E40" i="6"/>
  <c r="D41" i="6"/>
  <c r="G41" i="6" s="1"/>
  <c r="E41" i="6"/>
  <c r="D42" i="6"/>
  <c r="G42" i="6" s="1"/>
  <c r="E42" i="6"/>
  <c r="J28" i="6"/>
  <c r="J29" i="6"/>
  <c r="J30" i="6"/>
  <c r="J31" i="6"/>
  <c r="J32" i="6"/>
  <c r="P8" i="6"/>
  <c r="Q8" i="6" s="1"/>
  <c r="P13" i="6"/>
  <c r="Q13" i="6" s="1"/>
  <c r="Q28" i="6"/>
  <c r="P28" i="6"/>
  <c r="P29" i="6"/>
  <c r="Q29" i="6"/>
  <c r="P30" i="6"/>
  <c r="Q30" i="6"/>
  <c r="Q31" i="6"/>
  <c r="Q32" i="6"/>
  <c r="P33" i="6"/>
  <c r="Q33" i="6" s="1"/>
  <c r="P38" i="6"/>
  <c r="Q38" i="6" s="1"/>
  <c r="P36" i="6"/>
  <c r="Q36" i="6" s="1"/>
  <c r="P12" i="6"/>
  <c r="Q12" i="6" s="1"/>
  <c r="P18" i="6"/>
  <c r="Q18" i="6" s="1"/>
  <c r="P17" i="6"/>
  <c r="P42" i="6"/>
  <c r="Q42" i="6" s="1"/>
  <c r="D3" i="3"/>
  <c r="E3" i="3"/>
  <c r="F3" i="3"/>
  <c r="G3" i="3"/>
  <c r="D6" i="3"/>
  <c r="E6" i="3"/>
  <c r="F6" i="3"/>
  <c r="G6" i="3"/>
  <c r="D7" i="3"/>
  <c r="E7" i="3"/>
  <c r="F7" i="3"/>
  <c r="G7" i="3"/>
  <c r="P11" i="3"/>
  <c r="J11" i="6" s="1"/>
  <c r="P16" i="3"/>
  <c r="J16" i="6" s="1"/>
  <c r="P21" i="3"/>
  <c r="J21" i="6" s="1"/>
  <c r="P26" i="3"/>
  <c r="J26" i="6" s="1"/>
  <c r="P36" i="3"/>
  <c r="J36" i="6" s="1"/>
  <c r="P41" i="3"/>
  <c r="J41" i="6" s="1"/>
  <c r="E9" i="3"/>
  <c r="F9" i="3"/>
  <c r="G9" i="3"/>
  <c r="E10" i="3"/>
  <c r="F10" i="3"/>
  <c r="G10" i="3"/>
  <c r="I9" i="3"/>
  <c r="J9" i="3"/>
  <c r="K9" i="3"/>
  <c r="L9" i="3"/>
  <c r="M9" i="3"/>
  <c r="N9" i="3"/>
  <c r="I10" i="3"/>
  <c r="J10" i="3"/>
  <c r="K10" i="3"/>
  <c r="L10" i="3"/>
  <c r="M10" i="3"/>
  <c r="N10" i="3"/>
  <c r="P12" i="3"/>
  <c r="R8" i="3" s="1"/>
  <c r="P13" i="3"/>
  <c r="J13" i="6" s="1"/>
  <c r="P8" i="3"/>
  <c r="P18" i="3"/>
  <c r="P23" i="3"/>
  <c r="J23" i="6" s="1"/>
  <c r="P33" i="3"/>
  <c r="J33" i="6" s="1"/>
  <c r="P38" i="3"/>
  <c r="D14" i="3"/>
  <c r="E14" i="3"/>
  <c r="F14" i="3"/>
  <c r="G14" i="3"/>
  <c r="D15" i="3"/>
  <c r="E15" i="3"/>
  <c r="F15" i="3"/>
  <c r="G15" i="3"/>
  <c r="K14" i="3"/>
  <c r="L14" i="3"/>
  <c r="M14" i="3"/>
  <c r="N14" i="3"/>
  <c r="K15" i="3"/>
  <c r="L15" i="3"/>
  <c r="M15" i="3"/>
  <c r="N15" i="3"/>
  <c r="P17" i="3"/>
  <c r="J17" i="6" s="1"/>
  <c r="D19" i="3"/>
  <c r="E19" i="3"/>
  <c r="F19" i="3"/>
  <c r="G19" i="3"/>
  <c r="D20" i="3"/>
  <c r="E20" i="3"/>
  <c r="F20" i="3"/>
  <c r="G20" i="3"/>
  <c r="N19" i="3"/>
  <c r="N20" i="3"/>
  <c r="P22" i="3"/>
  <c r="F24" i="3"/>
  <c r="G24" i="3"/>
  <c r="F25" i="3"/>
  <c r="G25" i="3"/>
  <c r="I24" i="3"/>
  <c r="J24" i="3"/>
  <c r="K24" i="3"/>
  <c r="L24" i="3"/>
  <c r="M24" i="3"/>
  <c r="N24" i="3"/>
  <c r="I25" i="3"/>
  <c r="J25" i="3"/>
  <c r="K25" i="3"/>
  <c r="L25" i="3"/>
  <c r="M25" i="3"/>
  <c r="N25" i="3"/>
  <c r="I3" i="3"/>
  <c r="J3" i="3"/>
  <c r="K3" i="3"/>
  <c r="L3" i="3"/>
  <c r="M3" i="3"/>
  <c r="N3" i="3"/>
  <c r="O3" i="3"/>
  <c r="I6" i="3"/>
  <c r="J6" i="3"/>
  <c r="K6" i="3"/>
  <c r="L6" i="3"/>
  <c r="M6" i="3"/>
  <c r="N6" i="3"/>
  <c r="O6" i="3"/>
  <c r="N6" i="6" s="1"/>
  <c r="I7" i="3"/>
  <c r="J7" i="3"/>
  <c r="K7" i="3"/>
  <c r="L7" i="3"/>
  <c r="M7" i="3"/>
  <c r="N7" i="3"/>
  <c r="O7" i="3"/>
  <c r="N7" i="6" s="1"/>
  <c r="P27" i="3"/>
  <c r="P37" i="3"/>
  <c r="P42" i="3"/>
  <c r="J42" i="6" s="1"/>
  <c r="H6" i="3"/>
  <c r="H7" i="3"/>
  <c r="R32" i="3"/>
  <c r="S32" i="3"/>
  <c r="E34" i="3"/>
  <c r="F34" i="3"/>
  <c r="G34" i="3"/>
  <c r="E35" i="3"/>
  <c r="F35" i="3"/>
  <c r="G35" i="3"/>
  <c r="J34" i="3"/>
  <c r="J35" i="3"/>
  <c r="L34" i="3"/>
  <c r="L35" i="3"/>
  <c r="N34" i="3"/>
  <c r="N35" i="3"/>
  <c r="J39" i="3"/>
  <c r="K39" i="3"/>
  <c r="L39" i="3"/>
  <c r="J40" i="3"/>
  <c r="K40" i="3"/>
  <c r="L40" i="3"/>
  <c r="F39" i="3"/>
  <c r="F40" i="3"/>
  <c r="N39" i="3"/>
  <c r="N40" i="3"/>
  <c r="C2" i="7"/>
  <c r="D2" i="7"/>
  <c r="E2" i="7"/>
  <c r="F2" i="7"/>
  <c r="G2" i="7"/>
  <c r="H2" i="7"/>
  <c r="I2" i="7"/>
  <c r="J2" i="7"/>
  <c r="K2" i="7"/>
  <c r="L2" i="7"/>
  <c r="M2" i="7"/>
  <c r="C4" i="7"/>
  <c r="D4" i="7"/>
  <c r="E4" i="7"/>
  <c r="F4" i="7"/>
  <c r="G4" i="7"/>
  <c r="G6" i="7" s="1"/>
  <c r="H4" i="7"/>
  <c r="H6" i="7" s="1"/>
  <c r="I4" i="7"/>
  <c r="J4" i="7"/>
  <c r="K4" i="7"/>
  <c r="L4" i="7"/>
  <c r="M4" i="7"/>
  <c r="M3" i="7" s="1"/>
  <c r="C5" i="7"/>
  <c r="D5" i="7"/>
  <c r="E5" i="7"/>
  <c r="F5" i="7"/>
  <c r="G5" i="7"/>
  <c r="H5" i="7"/>
  <c r="I5" i="7"/>
  <c r="J5" i="7"/>
  <c r="J6" i="7" s="1"/>
  <c r="K5" i="7"/>
  <c r="L5" i="7"/>
  <c r="M5" i="7"/>
  <c r="O10" i="7"/>
  <c r="Q10" i="7" s="1"/>
  <c r="O15" i="7"/>
  <c r="Q15" i="7" s="1"/>
  <c r="O20" i="7"/>
  <c r="I22" i="6" s="1"/>
  <c r="O30" i="7"/>
  <c r="I32" i="6" s="1"/>
  <c r="K32" i="6" s="1"/>
  <c r="O35" i="7"/>
  <c r="O40" i="7"/>
  <c r="I42" i="6" s="1"/>
  <c r="O9" i="7"/>
  <c r="O14" i="7"/>
  <c r="I13" i="6" s="1"/>
  <c r="O19" i="7"/>
  <c r="I18" i="6" s="1"/>
  <c r="O29" i="7"/>
  <c r="O34" i="7"/>
  <c r="O39" i="7"/>
  <c r="R20" i="7"/>
  <c r="O24" i="7"/>
  <c r="O25" i="7"/>
  <c r="I27" i="6" s="1"/>
  <c r="L27" i="6" s="1"/>
  <c r="R25" i="7"/>
  <c r="O7" i="7"/>
  <c r="I11" i="6" s="1"/>
  <c r="O12" i="7"/>
  <c r="O17" i="7"/>
  <c r="I21" i="6" s="1"/>
  <c r="O27" i="7"/>
  <c r="I31" i="6" s="1"/>
  <c r="O32" i="7"/>
  <c r="I36" i="6" s="1"/>
  <c r="O37" i="7"/>
  <c r="I41" i="6" s="1"/>
  <c r="O22" i="7"/>
  <c r="I26" i="6" s="1"/>
  <c r="L26" i="6" s="1"/>
  <c r="O10" i="2"/>
  <c r="E12" i="6" s="1"/>
  <c r="O15" i="2"/>
  <c r="O20" i="2"/>
  <c r="O30" i="2"/>
  <c r="E27" i="6" s="1"/>
  <c r="O35" i="2"/>
  <c r="E32" i="6" s="1"/>
  <c r="O40" i="2"/>
  <c r="R40" i="2" s="1"/>
  <c r="C8" i="2"/>
  <c r="D8" i="2"/>
  <c r="E8" i="2"/>
  <c r="F8" i="2"/>
  <c r="G8" i="2"/>
  <c r="H8" i="2"/>
  <c r="I8" i="2"/>
  <c r="J8" i="2"/>
  <c r="K8" i="2"/>
  <c r="L8" i="2"/>
  <c r="M8" i="2"/>
  <c r="N8" i="2"/>
  <c r="O9" i="2"/>
  <c r="O14" i="2"/>
  <c r="O19" i="2"/>
  <c r="E18" i="6" s="1"/>
  <c r="O29" i="2"/>
  <c r="E23" i="6" s="1"/>
  <c r="O34" i="2"/>
  <c r="E28" i="6" s="1"/>
  <c r="O39" i="2"/>
  <c r="C11" i="2"/>
  <c r="D11" i="2"/>
  <c r="E11" i="2"/>
  <c r="F11" i="2"/>
  <c r="G11" i="2"/>
  <c r="H11" i="2"/>
  <c r="I11" i="2"/>
  <c r="J11" i="2"/>
  <c r="K11" i="2"/>
  <c r="L11" i="2"/>
  <c r="M11" i="2"/>
  <c r="N11" i="2"/>
  <c r="C13" i="2"/>
  <c r="D13" i="2"/>
  <c r="E13" i="2"/>
  <c r="F13" i="2"/>
  <c r="G13" i="2"/>
  <c r="H13" i="2"/>
  <c r="I13" i="2"/>
  <c r="J13" i="2"/>
  <c r="K13" i="2"/>
  <c r="L13" i="2"/>
  <c r="M13" i="2"/>
  <c r="N13" i="2"/>
  <c r="C16" i="2"/>
  <c r="D16" i="2"/>
  <c r="E16" i="2"/>
  <c r="F16" i="2"/>
  <c r="G16" i="2"/>
  <c r="H16" i="2"/>
  <c r="I16" i="2"/>
  <c r="J16" i="2"/>
  <c r="K16" i="2"/>
  <c r="L16" i="2"/>
  <c r="M16" i="2"/>
  <c r="N16" i="2"/>
  <c r="C18" i="2"/>
  <c r="D18" i="2"/>
  <c r="E18" i="2"/>
  <c r="F18" i="2"/>
  <c r="G18" i="2"/>
  <c r="H18" i="2"/>
  <c r="I18" i="2"/>
  <c r="J18" i="2"/>
  <c r="K18" i="2"/>
  <c r="L18" i="2"/>
  <c r="M18" i="2"/>
  <c r="N18" i="2"/>
  <c r="C21" i="2"/>
  <c r="D21" i="2"/>
  <c r="E21" i="2"/>
  <c r="F21" i="2"/>
  <c r="G21" i="2"/>
  <c r="H21" i="2"/>
  <c r="I21" i="2"/>
  <c r="J21" i="2"/>
  <c r="K21" i="2"/>
  <c r="L21" i="2"/>
  <c r="M21" i="2"/>
  <c r="N21" i="2"/>
  <c r="O24" i="2"/>
  <c r="O23" i="2" s="1"/>
  <c r="O25" i="2"/>
  <c r="Q25" i="2" s="1"/>
  <c r="C28" i="2"/>
  <c r="D28" i="2"/>
  <c r="E28" i="2"/>
  <c r="F28" i="2"/>
  <c r="G28" i="2"/>
  <c r="H28" i="2"/>
  <c r="I28" i="2"/>
  <c r="J28" i="2"/>
  <c r="K28" i="2"/>
  <c r="L28" i="2"/>
  <c r="M28" i="2"/>
  <c r="N28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C33" i="2"/>
  <c r="D33" i="2"/>
  <c r="E33" i="2"/>
  <c r="F33" i="2"/>
  <c r="G33" i="2"/>
  <c r="H33" i="2"/>
  <c r="I33" i="2"/>
  <c r="J33" i="2"/>
  <c r="K33" i="2"/>
  <c r="L33" i="2"/>
  <c r="M33" i="2"/>
  <c r="N33" i="2"/>
  <c r="C36" i="2"/>
  <c r="D36" i="2"/>
  <c r="E36" i="2"/>
  <c r="F36" i="2"/>
  <c r="G36" i="2"/>
  <c r="H36" i="2"/>
  <c r="I36" i="2"/>
  <c r="J36" i="2"/>
  <c r="K36" i="2"/>
  <c r="L36" i="2"/>
  <c r="M36" i="2"/>
  <c r="N36" i="2"/>
  <c r="C38" i="2"/>
  <c r="D38" i="2"/>
  <c r="E38" i="2"/>
  <c r="F38" i="2"/>
  <c r="G38" i="2"/>
  <c r="H38" i="2"/>
  <c r="I38" i="2"/>
  <c r="J38" i="2"/>
  <c r="K38" i="2"/>
  <c r="L38" i="2"/>
  <c r="M38" i="2"/>
  <c r="N38" i="2"/>
  <c r="C2" i="2"/>
  <c r="D2" i="2"/>
  <c r="E2" i="2"/>
  <c r="F2" i="2"/>
  <c r="G2" i="2"/>
  <c r="H2" i="2"/>
  <c r="I2" i="2"/>
  <c r="J2" i="2"/>
  <c r="K2" i="2"/>
  <c r="L2" i="2"/>
  <c r="M2" i="2"/>
  <c r="N2" i="2"/>
  <c r="O7" i="2"/>
  <c r="O12" i="2"/>
  <c r="E16" i="6" s="1"/>
  <c r="O17" i="2"/>
  <c r="E21" i="6" s="1"/>
  <c r="O27" i="2"/>
  <c r="E26" i="6" s="1"/>
  <c r="O32" i="2"/>
  <c r="E31" i="6" s="1"/>
  <c r="O37" i="2"/>
  <c r="E36" i="6" s="1"/>
  <c r="C4" i="2"/>
  <c r="D4" i="2"/>
  <c r="E4" i="2"/>
  <c r="F4" i="2"/>
  <c r="G4" i="2"/>
  <c r="G6" i="2" s="1"/>
  <c r="H4" i="2"/>
  <c r="H3" i="2" s="1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O22" i="2"/>
  <c r="C41" i="2"/>
  <c r="D41" i="2"/>
  <c r="E41" i="2"/>
  <c r="F41" i="2"/>
  <c r="G41" i="2"/>
  <c r="H41" i="2"/>
  <c r="I41" i="2"/>
  <c r="J41" i="2"/>
  <c r="K41" i="2"/>
  <c r="L41" i="2"/>
  <c r="M41" i="2"/>
  <c r="N41" i="2"/>
  <c r="O10" i="1"/>
  <c r="D12" i="6" s="1"/>
  <c r="O15" i="1"/>
  <c r="D17" i="6" s="1"/>
  <c r="O20" i="1"/>
  <c r="O25" i="1"/>
  <c r="O30" i="1"/>
  <c r="D32" i="6" s="1"/>
  <c r="C8" i="1"/>
  <c r="D8" i="1"/>
  <c r="E8" i="1"/>
  <c r="F8" i="1"/>
  <c r="G8" i="1"/>
  <c r="H8" i="1"/>
  <c r="I8" i="1"/>
  <c r="J8" i="1"/>
  <c r="K8" i="1"/>
  <c r="L8" i="1"/>
  <c r="M8" i="1"/>
  <c r="N8" i="1"/>
  <c r="O9" i="1"/>
  <c r="D8" i="6" s="1"/>
  <c r="O14" i="1"/>
  <c r="D13" i="6" s="1"/>
  <c r="O19" i="1"/>
  <c r="O24" i="1"/>
  <c r="O29" i="1"/>
  <c r="D28" i="6" s="1"/>
  <c r="C11" i="1"/>
  <c r="D11" i="1"/>
  <c r="E11" i="1"/>
  <c r="F11" i="1"/>
  <c r="G11" i="1"/>
  <c r="H11" i="1"/>
  <c r="I11" i="1"/>
  <c r="J11" i="1"/>
  <c r="K11" i="1"/>
  <c r="L11" i="1"/>
  <c r="M11" i="1"/>
  <c r="N11" i="1"/>
  <c r="C16" i="1"/>
  <c r="D16" i="1"/>
  <c r="E16" i="1"/>
  <c r="F16" i="1"/>
  <c r="G16" i="1"/>
  <c r="H16" i="1"/>
  <c r="I16" i="1"/>
  <c r="J16" i="1"/>
  <c r="K16" i="1"/>
  <c r="L16" i="1"/>
  <c r="M16" i="1"/>
  <c r="N16" i="1"/>
  <c r="C18" i="1"/>
  <c r="D18" i="1"/>
  <c r="E18" i="1"/>
  <c r="F18" i="1"/>
  <c r="G18" i="1"/>
  <c r="H18" i="1"/>
  <c r="I18" i="1"/>
  <c r="J18" i="1"/>
  <c r="K18" i="1"/>
  <c r="L18" i="1"/>
  <c r="M18" i="1"/>
  <c r="N18" i="1"/>
  <c r="C21" i="1"/>
  <c r="D21" i="1"/>
  <c r="E21" i="1"/>
  <c r="F21" i="1"/>
  <c r="G21" i="1"/>
  <c r="H21" i="1"/>
  <c r="I21" i="1"/>
  <c r="J21" i="1"/>
  <c r="K21" i="1"/>
  <c r="L21" i="1"/>
  <c r="M21" i="1"/>
  <c r="N21" i="1"/>
  <c r="C23" i="1"/>
  <c r="D23" i="1"/>
  <c r="E23" i="1"/>
  <c r="F23" i="1"/>
  <c r="G23" i="1"/>
  <c r="H23" i="1"/>
  <c r="I23" i="1"/>
  <c r="J23" i="1"/>
  <c r="K23" i="1"/>
  <c r="L23" i="1"/>
  <c r="M23" i="1"/>
  <c r="N23" i="1"/>
  <c r="C26" i="1"/>
  <c r="D26" i="1"/>
  <c r="E26" i="1"/>
  <c r="F26" i="1"/>
  <c r="G26" i="1"/>
  <c r="H26" i="1"/>
  <c r="I26" i="1"/>
  <c r="J26" i="1"/>
  <c r="K26" i="1"/>
  <c r="L26" i="1"/>
  <c r="M26" i="1"/>
  <c r="N26" i="1"/>
  <c r="C28" i="1"/>
  <c r="D28" i="1"/>
  <c r="E28" i="1"/>
  <c r="F28" i="1"/>
  <c r="G28" i="1"/>
  <c r="H28" i="1"/>
  <c r="I28" i="1"/>
  <c r="J28" i="1"/>
  <c r="K28" i="1"/>
  <c r="L28" i="1"/>
  <c r="M28" i="1"/>
  <c r="N28" i="1"/>
  <c r="C2" i="1"/>
  <c r="D2" i="1"/>
  <c r="E2" i="1"/>
  <c r="F2" i="1"/>
  <c r="G2" i="1"/>
  <c r="H2" i="1"/>
  <c r="I2" i="1"/>
  <c r="J2" i="1"/>
  <c r="K2" i="1"/>
  <c r="L2" i="1"/>
  <c r="M2" i="1"/>
  <c r="N2" i="1"/>
  <c r="O7" i="1"/>
  <c r="O12" i="1"/>
  <c r="D16" i="6" s="1"/>
  <c r="O17" i="1"/>
  <c r="D21" i="6" s="1"/>
  <c r="O22" i="1"/>
  <c r="D26" i="6" s="1"/>
  <c r="O27" i="1"/>
  <c r="D31" i="6" s="1"/>
  <c r="C4" i="1"/>
  <c r="C3" i="1" s="1"/>
  <c r="D4" i="1"/>
  <c r="E4" i="1"/>
  <c r="F4" i="1"/>
  <c r="G4" i="1"/>
  <c r="G6" i="1" s="1"/>
  <c r="H4" i="1"/>
  <c r="H3" i="1" s="1"/>
  <c r="I4" i="1"/>
  <c r="J4" i="1"/>
  <c r="K4" i="1"/>
  <c r="K6" i="1" s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31" i="1"/>
  <c r="D31" i="1"/>
  <c r="E31" i="1"/>
  <c r="F31" i="1"/>
  <c r="G31" i="1"/>
  <c r="H31" i="1"/>
  <c r="I31" i="1"/>
  <c r="J31" i="1"/>
  <c r="K31" i="1"/>
  <c r="L31" i="1"/>
  <c r="M31" i="1"/>
  <c r="N31" i="1"/>
  <c r="Q10" i="2" l="1"/>
  <c r="K4" i="3"/>
  <c r="K5" i="3"/>
  <c r="L3" i="7"/>
  <c r="D3" i="7"/>
  <c r="R17" i="3"/>
  <c r="F42" i="6"/>
  <c r="F40" i="6"/>
  <c r="F38" i="6"/>
  <c r="F36" i="6"/>
  <c r="G4" i="3"/>
  <c r="I3" i="1"/>
  <c r="K3" i="7"/>
  <c r="N5" i="3"/>
  <c r="P15" i="3"/>
  <c r="J15" i="6" s="1"/>
  <c r="Q30" i="1"/>
  <c r="M6" i="1"/>
  <c r="K3" i="1"/>
  <c r="O26" i="2"/>
  <c r="L3" i="2"/>
  <c r="O16" i="2"/>
  <c r="E15" i="6" s="1"/>
  <c r="O38" i="7"/>
  <c r="I39" i="6" s="1"/>
  <c r="I3" i="7"/>
  <c r="I4" i="3"/>
  <c r="Q40" i="7"/>
  <c r="J5" i="3"/>
  <c r="D4" i="3"/>
  <c r="O18" i="1"/>
  <c r="D19" i="6" s="1"/>
  <c r="E3" i="1"/>
  <c r="R10" i="1"/>
  <c r="C6" i="2"/>
  <c r="M3" i="2"/>
  <c r="F39" i="6"/>
  <c r="K31" i="6"/>
  <c r="L31" i="6" s="1"/>
  <c r="O31" i="1"/>
  <c r="D30" i="6" s="1"/>
  <c r="O13" i="1"/>
  <c r="D14" i="6" s="1"/>
  <c r="M3" i="1"/>
  <c r="G3" i="1"/>
  <c r="G3" i="2"/>
  <c r="R30" i="2"/>
  <c r="L6" i="7"/>
  <c r="H3" i="7"/>
  <c r="S17" i="3"/>
  <c r="L6" i="1"/>
  <c r="J3" i="7"/>
  <c r="S42" i="3"/>
  <c r="G5" i="3"/>
  <c r="E3" i="2"/>
  <c r="O5" i="2"/>
  <c r="E7" i="6" s="1"/>
  <c r="F6" i="7"/>
  <c r="P34" i="3"/>
  <c r="J34" i="6" s="1"/>
  <c r="D3" i="1"/>
  <c r="Q10" i="1"/>
  <c r="K6" i="2"/>
  <c r="D3" i="2"/>
  <c r="P24" i="3"/>
  <c r="J24" i="6" s="1"/>
  <c r="I5" i="3"/>
  <c r="E5" i="3"/>
  <c r="I6" i="2"/>
  <c r="O21" i="7"/>
  <c r="I20" i="6" s="1"/>
  <c r="K6" i="7"/>
  <c r="C3" i="7"/>
  <c r="O5" i="3"/>
  <c r="N5" i="6" s="1"/>
  <c r="N3" i="6"/>
  <c r="O16" i="1"/>
  <c r="D15" i="6" s="1"/>
  <c r="P3" i="3"/>
  <c r="Q28" i="3" s="1"/>
  <c r="C6" i="1"/>
  <c r="R15" i="1"/>
  <c r="O11" i="1"/>
  <c r="D10" i="6" s="1"/>
  <c r="O8" i="1"/>
  <c r="D9" i="6" s="1"/>
  <c r="H6" i="2"/>
  <c r="K3" i="2"/>
  <c r="C3" i="2"/>
  <c r="R25" i="2"/>
  <c r="R15" i="2"/>
  <c r="O2" i="7"/>
  <c r="I6" i="6" s="1"/>
  <c r="R30" i="7"/>
  <c r="G3" i="7"/>
  <c r="P14" i="3"/>
  <c r="J14" i="6" s="1"/>
  <c r="K11" i="6"/>
  <c r="L11" i="6" s="1"/>
  <c r="Q15" i="1"/>
  <c r="R30" i="1"/>
  <c r="E6" i="1"/>
  <c r="O31" i="2"/>
  <c r="E25" i="6" s="1"/>
  <c r="M6" i="2"/>
  <c r="F26" i="6"/>
  <c r="G26" i="6" s="1"/>
  <c r="Q35" i="2"/>
  <c r="R10" i="2"/>
  <c r="Q30" i="7"/>
  <c r="P9" i="3"/>
  <c r="J9" i="6" s="1"/>
  <c r="J4" i="3"/>
  <c r="E4" i="3"/>
  <c r="O28" i="1"/>
  <c r="D29" i="6" s="1"/>
  <c r="H6" i="1"/>
  <c r="I6" i="1"/>
  <c r="Q25" i="7"/>
  <c r="D6" i="7"/>
  <c r="E6" i="7"/>
  <c r="R42" i="3"/>
  <c r="O4" i="3"/>
  <c r="N4" i="6" s="1"/>
  <c r="I38" i="6"/>
  <c r="E6" i="2"/>
  <c r="K36" i="6"/>
  <c r="L36" i="6" s="1"/>
  <c r="F41" i="6"/>
  <c r="D6" i="1"/>
  <c r="O18" i="2"/>
  <c r="E19" i="6" s="1"/>
  <c r="I3" i="2"/>
  <c r="I6" i="7"/>
  <c r="N4" i="3"/>
  <c r="L3" i="1"/>
  <c r="F3" i="7"/>
  <c r="O8" i="7"/>
  <c r="I9" i="6" s="1"/>
  <c r="Q20" i="7"/>
  <c r="L4" i="3"/>
  <c r="F31" i="6"/>
  <c r="F28" i="6"/>
  <c r="G28" i="6" s="1"/>
  <c r="F16" i="6"/>
  <c r="G16" i="6" s="1"/>
  <c r="F32" i="6"/>
  <c r="G32" i="6" s="1"/>
  <c r="F12" i="6"/>
  <c r="G12" i="6" s="1"/>
  <c r="K26" i="6"/>
  <c r="P34" i="6"/>
  <c r="Q34" i="6" s="1"/>
  <c r="P19" i="6"/>
  <c r="Q19" i="6" s="1"/>
  <c r="P15" i="6"/>
  <c r="Q15" i="6" s="1"/>
  <c r="E11" i="6"/>
  <c r="O2" i="2"/>
  <c r="E6" i="6" s="1"/>
  <c r="I33" i="6"/>
  <c r="K33" i="6" s="1"/>
  <c r="O33" i="7"/>
  <c r="I34" i="6" s="1"/>
  <c r="N3" i="1"/>
  <c r="N6" i="1"/>
  <c r="F3" i="1"/>
  <c r="F6" i="1"/>
  <c r="D23" i="6"/>
  <c r="F23" i="6" s="1"/>
  <c r="O23" i="1"/>
  <c r="D24" i="6" s="1"/>
  <c r="D22" i="6"/>
  <c r="O5" i="1"/>
  <c r="Q20" i="1"/>
  <c r="E8" i="6"/>
  <c r="F8" i="6" s="1"/>
  <c r="G8" i="6" s="1"/>
  <c r="O4" i="2"/>
  <c r="P34" i="2" s="1"/>
  <c r="O11" i="2"/>
  <c r="E10" i="6" s="1"/>
  <c r="I23" i="6"/>
  <c r="O23" i="7"/>
  <c r="I24" i="6" s="1"/>
  <c r="L24" i="6" s="1"/>
  <c r="I8" i="6"/>
  <c r="O4" i="7"/>
  <c r="P24" i="7" s="1"/>
  <c r="J37" i="6"/>
  <c r="R37" i="3"/>
  <c r="S37" i="3"/>
  <c r="P26" i="6"/>
  <c r="Q26" i="6" s="1"/>
  <c r="P24" i="6"/>
  <c r="Q24" i="6" s="1"/>
  <c r="R20" i="1"/>
  <c r="D18" i="6"/>
  <c r="O21" i="1"/>
  <c r="D20" i="6" s="1"/>
  <c r="O4" i="1"/>
  <c r="P19" i="1" s="1"/>
  <c r="O36" i="2"/>
  <c r="E30" i="6" s="1"/>
  <c r="O8" i="2"/>
  <c r="E9" i="6" s="1"/>
  <c r="N3" i="2"/>
  <c r="N6" i="2"/>
  <c r="F3" i="2"/>
  <c r="F6" i="2"/>
  <c r="E22" i="6"/>
  <c r="Q20" i="2"/>
  <c r="O21" i="2"/>
  <c r="E20" i="6" s="1"/>
  <c r="R20" i="2"/>
  <c r="O36" i="7"/>
  <c r="I35" i="6" s="1"/>
  <c r="I28" i="6"/>
  <c r="O31" i="7"/>
  <c r="I30" i="6" s="1"/>
  <c r="C6" i="7"/>
  <c r="J27" i="6"/>
  <c r="K27" i="6" s="1"/>
  <c r="S27" i="3"/>
  <c r="P25" i="3"/>
  <c r="J25" i="6" s="1"/>
  <c r="P7" i="3"/>
  <c r="J7" i="6" s="1"/>
  <c r="R27" i="3"/>
  <c r="M4" i="3"/>
  <c r="M5" i="3"/>
  <c r="J18" i="6"/>
  <c r="K18" i="6" s="1"/>
  <c r="L18" i="6" s="1"/>
  <c r="P20" i="3"/>
  <c r="J20" i="6" s="1"/>
  <c r="P27" i="6"/>
  <c r="Q27" i="6" s="1"/>
  <c r="P25" i="6"/>
  <c r="Q25" i="6" s="1"/>
  <c r="J3" i="1"/>
  <c r="J6" i="1"/>
  <c r="G31" i="6"/>
  <c r="D11" i="6"/>
  <c r="O2" i="1"/>
  <c r="D6" i="6" s="1"/>
  <c r="O33" i="2"/>
  <c r="E29" i="6" s="1"/>
  <c r="E37" i="6"/>
  <c r="F37" i="6" s="1"/>
  <c r="Q40" i="2"/>
  <c r="E17" i="6"/>
  <c r="F17" i="6" s="1"/>
  <c r="G17" i="6" s="1"/>
  <c r="Q15" i="2"/>
  <c r="O28" i="7"/>
  <c r="I29" i="6" s="1"/>
  <c r="O18" i="7"/>
  <c r="I19" i="6" s="1"/>
  <c r="I16" i="6"/>
  <c r="K16" i="6" s="1"/>
  <c r="O13" i="7"/>
  <c r="I14" i="6" s="1"/>
  <c r="P34" i="7"/>
  <c r="R40" i="7"/>
  <c r="O41" i="7"/>
  <c r="I40" i="6" s="1"/>
  <c r="I17" i="6"/>
  <c r="O16" i="7"/>
  <c r="I15" i="6" s="1"/>
  <c r="M6" i="7"/>
  <c r="P35" i="3"/>
  <c r="J35" i="6" s="1"/>
  <c r="J38" i="6"/>
  <c r="P39" i="3"/>
  <c r="J39" i="6" s="1"/>
  <c r="P40" i="3"/>
  <c r="J40" i="6" s="1"/>
  <c r="J8" i="6"/>
  <c r="P10" i="3"/>
  <c r="J10" i="6" s="1"/>
  <c r="Q8" i="3"/>
  <c r="K21" i="6"/>
  <c r="L21" i="6" s="1"/>
  <c r="P35" i="6"/>
  <c r="Q35" i="6" s="1"/>
  <c r="O26" i="1"/>
  <c r="D25" i="6" s="1"/>
  <c r="F25" i="6" s="1"/>
  <c r="D27" i="6"/>
  <c r="Q25" i="1"/>
  <c r="R25" i="1"/>
  <c r="O41" i="2"/>
  <c r="E35" i="6" s="1"/>
  <c r="F35" i="6" s="1"/>
  <c r="L6" i="2"/>
  <c r="D6" i="2"/>
  <c r="J3" i="2"/>
  <c r="J6" i="2"/>
  <c r="E33" i="6"/>
  <c r="F33" i="6" s="1"/>
  <c r="O38" i="2"/>
  <c r="E34" i="6" s="1"/>
  <c r="F34" i="6" s="1"/>
  <c r="P39" i="2"/>
  <c r="E13" i="6"/>
  <c r="F13" i="6" s="1"/>
  <c r="G13" i="6" s="1"/>
  <c r="O13" i="2"/>
  <c r="E14" i="6" s="1"/>
  <c r="O26" i="7"/>
  <c r="I25" i="6" s="1"/>
  <c r="L25" i="6" s="1"/>
  <c r="O11" i="7"/>
  <c r="I10" i="6" s="1"/>
  <c r="R15" i="7"/>
  <c r="I37" i="6"/>
  <c r="Q35" i="7"/>
  <c r="R35" i="7"/>
  <c r="I12" i="6"/>
  <c r="O5" i="7"/>
  <c r="R10" i="7"/>
  <c r="E3" i="7"/>
  <c r="P19" i="3"/>
  <c r="J19" i="6" s="1"/>
  <c r="L5" i="3"/>
  <c r="K41" i="6"/>
  <c r="L41" i="6" s="1"/>
  <c r="P11" i="6"/>
  <c r="Q11" i="6" s="1"/>
  <c r="P32" i="6"/>
  <c r="P21" i="6"/>
  <c r="Q21" i="6" s="1"/>
  <c r="Q17" i="6"/>
  <c r="J22" i="6"/>
  <c r="K22" i="6" s="1"/>
  <c r="L22" i="6" s="1"/>
  <c r="R22" i="3"/>
  <c r="S22" i="3"/>
  <c r="P22" i="6"/>
  <c r="Q22" i="6" s="1"/>
  <c r="P20" i="6"/>
  <c r="Q20" i="6" s="1"/>
  <c r="P39" i="6"/>
  <c r="Q39" i="6" s="1"/>
  <c r="P40" i="6"/>
  <c r="Q40" i="6" s="1"/>
  <c r="P9" i="6"/>
  <c r="Q9" i="6" s="1"/>
  <c r="P10" i="6"/>
  <c r="Q10" i="6" s="1"/>
  <c r="L32" i="6"/>
  <c r="O28" i="2"/>
  <c r="E24" i="6" s="1"/>
  <c r="F21" i="6"/>
  <c r="G21" i="6" s="1"/>
  <c r="R35" i="2"/>
  <c r="K42" i="6"/>
  <c r="L42" i="6" s="1"/>
  <c r="J12" i="6"/>
  <c r="S12" i="3"/>
  <c r="P6" i="3"/>
  <c r="F4" i="3"/>
  <c r="F5" i="3"/>
  <c r="P37" i="6"/>
  <c r="Q37" i="6" s="1"/>
  <c r="P14" i="6"/>
  <c r="Q14" i="6" s="1"/>
  <c r="P41" i="6"/>
  <c r="Q41" i="6" s="1"/>
  <c r="P16" i="6"/>
  <c r="Q16" i="6" s="1"/>
  <c r="P31" i="6"/>
  <c r="P23" i="6"/>
  <c r="Q23" i="6" s="1"/>
  <c r="K13" i="6"/>
  <c r="L13" i="6" s="1"/>
  <c r="D5" i="3"/>
  <c r="P7" i="6"/>
  <c r="Q7" i="6" s="1"/>
  <c r="F19" i="6" l="1"/>
  <c r="G19" i="6" s="1"/>
  <c r="P19" i="7"/>
  <c r="F30" i="6"/>
  <c r="G30" i="6" s="1"/>
  <c r="R5" i="2"/>
  <c r="K39" i="6"/>
  <c r="L39" i="6" s="1"/>
  <c r="F15" i="6"/>
  <c r="K38" i="6"/>
  <c r="L38" i="6" s="1"/>
  <c r="F29" i="6"/>
  <c r="G29" i="6" s="1"/>
  <c r="F10" i="6"/>
  <c r="G10" i="6" s="1"/>
  <c r="Q13" i="3"/>
  <c r="J3" i="6"/>
  <c r="K14" i="6"/>
  <c r="L14" i="6" s="1"/>
  <c r="P9" i="7"/>
  <c r="Q18" i="3"/>
  <c r="P4" i="3"/>
  <c r="J4" i="6" s="1"/>
  <c r="Q23" i="3"/>
  <c r="K34" i="6"/>
  <c r="L34" i="6" s="1"/>
  <c r="K9" i="6"/>
  <c r="L9" i="6" s="1"/>
  <c r="F24" i="6"/>
  <c r="G24" i="6" s="1"/>
  <c r="Q38" i="3"/>
  <c r="Q33" i="3"/>
  <c r="P29" i="7"/>
  <c r="F9" i="6"/>
  <c r="G9" i="6" s="1"/>
  <c r="G15" i="6"/>
  <c r="K24" i="6"/>
  <c r="Q5" i="2"/>
  <c r="K40" i="6"/>
  <c r="L40" i="6" s="1"/>
  <c r="K20" i="6"/>
  <c r="L20" i="6" s="1"/>
  <c r="F14" i="6"/>
  <c r="G14" i="6" s="1"/>
  <c r="P14" i="2"/>
  <c r="F22" i="6"/>
  <c r="G22" i="6" s="1"/>
  <c r="P9" i="2"/>
  <c r="K8" i="6"/>
  <c r="L8" i="6" s="1"/>
  <c r="P5" i="3"/>
  <c r="J5" i="6" s="1"/>
  <c r="K10" i="6"/>
  <c r="L10" i="6" s="1"/>
  <c r="F20" i="6"/>
  <c r="G20" i="6" s="1"/>
  <c r="K37" i="6"/>
  <c r="L37" i="6" s="1"/>
  <c r="P3" i="6"/>
  <c r="Q3" i="6" s="1"/>
  <c r="K15" i="6"/>
  <c r="L15" i="6" s="1"/>
  <c r="K12" i="6"/>
  <c r="L12" i="6" s="1"/>
  <c r="F18" i="6"/>
  <c r="G18" i="6" s="1"/>
  <c r="D7" i="6"/>
  <c r="F7" i="6" s="1"/>
  <c r="Q5" i="1"/>
  <c r="R5" i="1"/>
  <c r="G25" i="6"/>
  <c r="K29" i="6"/>
  <c r="L29" i="6" s="1"/>
  <c r="J6" i="6"/>
  <c r="K6" i="6" s="1"/>
  <c r="L6" i="6" s="1"/>
  <c r="S6" i="3"/>
  <c r="R6" i="3"/>
  <c r="F27" i="6"/>
  <c r="G27" i="6" s="1"/>
  <c r="K19" i="6"/>
  <c r="L19" i="6" s="1"/>
  <c r="I7" i="6"/>
  <c r="K7" i="6" s="1"/>
  <c r="Q5" i="7"/>
  <c r="R5" i="7"/>
  <c r="K25" i="6"/>
  <c r="K30" i="6"/>
  <c r="L30" i="6" s="1"/>
  <c r="F11" i="6"/>
  <c r="G11" i="6" s="1"/>
  <c r="L16" i="6"/>
  <c r="G23" i="6"/>
  <c r="P4" i="6"/>
  <c r="Q4" i="6" s="1"/>
  <c r="P5" i="6"/>
  <c r="Q5" i="6" s="1"/>
  <c r="P6" i="6"/>
  <c r="Q6" i="6" s="1"/>
  <c r="K17" i="6"/>
  <c r="L17" i="6" s="1"/>
  <c r="K28" i="6"/>
  <c r="L28" i="6" s="1"/>
  <c r="L33" i="6"/>
  <c r="K35" i="6"/>
  <c r="L35" i="6" s="1"/>
  <c r="D3" i="6"/>
  <c r="P14" i="1"/>
  <c r="O3" i="1"/>
  <c r="D4" i="6" s="1"/>
  <c r="P29" i="1"/>
  <c r="P9" i="1"/>
  <c r="O6" i="1"/>
  <c r="D5" i="6" s="1"/>
  <c r="P24" i="1"/>
  <c r="I3" i="6"/>
  <c r="O3" i="7"/>
  <c r="I4" i="6" s="1"/>
  <c r="P14" i="7"/>
  <c r="O6" i="7"/>
  <c r="I5" i="6" s="1"/>
  <c r="P39" i="7"/>
  <c r="L23" i="6"/>
  <c r="K23" i="6"/>
  <c r="E3" i="6"/>
  <c r="O3" i="2"/>
  <c r="E4" i="6" s="1"/>
  <c r="P19" i="2"/>
  <c r="O6" i="2"/>
  <c r="E5" i="6" s="1"/>
  <c r="P24" i="2"/>
  <c r="P29" i="2"/>
  <c r="F6" i="6"/>
  <c r="G6" i="6" s="1"/>
  <c r="K3" i="6" l="1"/>
  <c r="K4" i="6"/>
  <c r="F5" i="6"/>
  <c r="G5" i="6" s="1"/>
  <c r="F3" i="6"/>
  <c r="G3" i="6" s="1"/>
  <c r="L4" i="6"/>
  <c r="K5" i="6"/>
  <c r="L5" i="6" s="1"/>
  <c r="F4" i="6"/>
  <c r="G4" i="6" s="1"/>
  <c r="L3" i="6"/>
  <c r="L7" i="6"/>
  <c r="G7" i="6"/>
  <c r="H15" i="12"/>
  <c r="H14" i="12"/>
  <c r="P13" i="12"/>
  <c r="P15" i="12" l="1"/>
  <c r="AD15" i="6" s="1"/>
  <c r="AE15" i="6" s="1"/>
  <c r="AF15" i="6" s="1"/>
  <c r="AD13" i="6"/>
  <c r="AE13" i="6" s="1"/>
  <c r="AF13" i="6" s="1"/>
  <c r="P3" i="12"/>
  <c r="P14" i="12"/>
  <c r="AD14" i="6" s="1"/>
  <c r="AE14" i="6" s="1"/>
  <c r="AF14" i="6" s="1"/>
  <c r="Q13" i="12" l="1"/>
  <c r="AD3" i="6"/>
  <c r="AE3" i="6" s="1"/>
  <c r="AF3" i="6" s="1"/>
  <c r="P5" i="12"/>
  <c r="AD5" i="6" s="1"/>
  <c r="AE5" i="6" s="1"/>
  <c r="AF5" i="6" s="1"/>
  <c r="Q18" i="12"/>
  <c r="Q33" i="12"/>
  <c r="Q28" i="12"/>
  <c r="Q23" i="12"/>
  <c r="Q8" i="12"/>
  <c r="P4" i="12"/>
  <c r="AD4" i="6" s="1"/>
  <c r="AE4" i="6" s="1"/>
  <c r="AF4" i="6" s="1"/>
  <c r="Q38" i="12"/>
</calcChain>
</file>

<file path=xl/sharedStrings.xml><?xml version="1.0" encoding="utf-8"?>
<sst xmlns="http://schemas.openxmlformats.org/spreadsheetml/2006/main" count="662" uniqueCount="60">
  <si>
    <t>GERMANY</t>
  </si>
  <si>
    <t>Avg Room Rev</t>
  </si>
  <si>
    <t>Room Rev</t>
  </si>
  <si>
    <t>bed nights</t>
  </si>
  <si>
    <t>room nights</t>
  </si>
  <si>
    <t>Avg bed Rev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</si>
  <si>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</si>
  <si>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</si>
  <si>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</si>
  <si>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</si>
  <si>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</si>
  <si>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</si>
  <si>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</si>
  <si>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</si>
  <si>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</si>
  <si>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</si>
  <si>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</si>
  <si>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</si>
  <si>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</t>
  </si>
  <si>
    <t>production in passengers</t>
  </si>
  <si>
    <t>Pos-
ition</t>
  </si>
  <si>
    <t>2017
status</t>
  </si>
  <si>
    <t>Knightsbridge</t>
  </si>
  <si>
    <t>Expedia</t>
  </si>
  <si>
    <t>Booking.com</t>
  </si>
  <si>
    <t>agoda.com</t>
  </si>
  <si>
    <t>Jovago</t>
  </si>
  <si>
    <t>Nightsbridge</t>
  </si>
  <si>
    <t>Jovago.com</t>
  </si>
  <si>
    <t>Jumia Travel</t>
  </si>
  <si>
    <t>Hotelbeds</t>
  </si>
  <si>
    <t>Agoda.com</t>
  </si>
  <si>
    <t>Hotelsbeds.com</t>
  </si>
  <si>
    <t>Revenue</t>
  </si>
  <si>
    <t>ONLINE TOTAL</t>
  </si>
  <si>
    <t>developement 2015 &gt;&gt; 2016</t>
  </si>
  <si>
    <t>2015
final</t>
  </si>
  <si>
    <t>2016
final</t>
  </si>
  <si>
    <t xml:space="preserve">developement
</t>
  </si>
  <si>
    <t>2017
final</t>
  </si>
  <si>
    <t>per room</t>
  </si>
  <si>
    <t>per bed</t>
  </si>
  <si>
    <t>nights</t>
  </si>
  <si>
    <t>room</t>
  </si>
  <si>
    <t>bed</t>
  </si>
  <si>
    <t>2018
status</t>
  </si>
  <si>
    <t>developement 2016 &gt;&gt; 2017</t>
  </si>
  <si>
    <t>NOT IN USE ANY LONGER &gt;&gt; NOW JUMIA</t>
  </si>
  <si>
    <t>Note
N2: needs to be adapted every year
02: goes on the TTL 2018 and must not be changed</t>
  </si>
  <si>
    <r>
      <t xml:space="preserve">developement
</t>
    </r>
    <r>
      <rPr>
        <b/>
        <sz val="10"/>
        <color rgb="FFFF0000"/>
        <rFont val="Calibri Light"/>
        <family val="2"/>
        <scheme val="major"/>
      </rPr>
      <t>until AUGUST 2018</t>
    </r>
  </si>
  <si>
    <t>developemeOt 2017 &gt;&gt; 2018
STATUS DECEMBER 2018</t>
  </si>
  <si>
    <t>2019
status</t>
  </si>
  <si>
    <t>development</t>
  </si>
  <si>
    <t>developement 2018 &gt;&gt; 2019</t>
  </si>
  <si>
    <t>developement 2019 &gt;&gt; 2020</t>
  </si>
  <si>
    <t>2019
final</t>
  </si>
  <si>
    <t>2020
final</t>
  </si>
  <si>
    <t>developement 2020 &gt;&gt; 2021</t>
  </si>
  <si>
    <t>2021
status</t>
  </si>
  <si>
    <t>development until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</si>
</sst>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-2]\ * #,##0.00_);_([$€-2]\ * \(#,##0.00\);_([$€-2]\ * &quot;-&quot;??_);_(@_)"/>
    <numFmt numFmtId="165" formatCode="#,##0\ [$€-1007]"/>
    <numFmt numFmtId="166" formatCode="0.0"/>
    <numFmt numFmtId="167" formatCode="#,##0\ &quot;€&quot;"/>
    <numFmt numFmtId="168" formatCode="0.0%"/>
  </numFmts>
  <fonts count="1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 Light"/>
      <family val="2"/>
      <scheme val="major"/>
    </font>
    <font>
      <b/>
      <sz val="10"/>
      <color indexed="8"/>
      <name val="Calibri Light"/>
      <family val="2"/>
      <scheme val="major"/>
    </font>
    <font>
      <b/>
      <u/>
      <sz val="1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indexed="8"/>
      <name val="Perpetua"/>
      <family val="1"/>
    </font>
    <font>
      <sz val="10"/>
      <color indexed="8"/>
      <name val="Arial"/>
      <family val="2"/>
    </font>
    <font>
      <b/>
      <sz val="10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0"/>
      <color rgb="FF002060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>
      <alignment vertical="top"/>
    </xf>
    <xf numFmtId="0" fontId="2" fillId="0" borderId="0"/>
    <xf numFmtId="9" fontId="9" fillId="0" borderId="0" applyFont="0" applyFill="0" applyBorder="0" applyAlignment="0" applyProtection="0"/>
    <xf numFmtId="0" fontId="1" fillId="0" borderId="0"/>
  </cellStyleXfs>
  <cellXfs count="237">
    <xf numFmtId="0" fontId="0" fillId="0" borderId="0" xfId="0">
      <alignment vertical="top"/>
    </xf>
    <xf numFmtId="0" fontId="3" fillId="0" borderId="0" xfId="0" applyFont="1" applyFill="1">
      <alignment vertical="top"/>
    </xf>
    <xf numFmtId="0" fontId="4" fillId="0" borderId="0" xfId="0" applyFont="1" applyFill="1">
      <alignment vertical="top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2" borderId="6" xfId="0" applyFont="1" applyFill="1" applyBorder="1">
      <alignment vertical="top"/>
    </xf>
    <xf numFmtId="165" fontId="7" fillId="2" borderId="6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vertical="top"/>
    </xf>
    <xf numFmtId="1" fontId="3" fillId="0" borderId="8" xfId="0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left" vertical="top"/>
    </xf>
    <xf numFmtId="165" fontId="3" fillId="0" borderId="8" xfId="0" applyNumberFormat="1" applyFont="1" applyFill="1" applyBorder="1" applyAlignment="1">
      <alignment horizontal="right" vertical="center"/>
    </xf>
    <xf numFmtId="1" fontId="3" fillId="0" borderId="10" xfId="0" applyNumberFormat="1" applyFont="1" applyFill="1" applyBorder="1" applyAlignment="1">
      <alignment horizontal="right" vertical="center"/>
    </xf>
    <xf numFmtId="0" fontId="4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 vertical="top"/>
    </xf>
    <xf numFmtId="0" fontId="3" fillId="0" borderId="0" xfId="0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3" fillId="0" borderId="16" xfId="0" applyNumberFormat="1" applyFont="1" applyFill="1" applyBorder="1" applyAlignment="1">
      <alignment horizontal="right" vertical="center"/>
    </xf>
    <xf numFmtId="165" fontId="3" fillId="0" borderId="17" xfId="0" applyNumberFormat="1" applyFont="1" applyFill="1" applyBorder="1" applyAlignment="1">
      <alignment horizontal="right" vertical="center"/>
    </xf>
    <xf numFmtId="1" fontId="3" fillId="0" borderId="17" xfId="0" applyNumberFormat="1" applyFont="1" applyFill="1" applyBorder="1" applyAlignment="1">
      <alignment horizontal="right" vertical="center"/>
    </xf>
    <xf numFmtId="1" fontId="6" fillId="0" borderId="11" xfId="0" applyNumberFormat="1" applyFont="1" applyFill="1" applyBorder="1" applyAlignment="1">
      <alignment horizontal="right" vertical="center"/>
    </xf>
    <xf numFmtId="165" fontId="6" fillId="0" borderId="13" xfId="0" applyNumberFormat="1" applyFont="1" applyFill="1" applyBorder="1" applyAlignment="1">
      <alignment horizontal="right" vertical="center"/>
    </xf>
    <xf numFmtId="1" fontId="6" fillId="0" borderId="13" xfId="0" applyNumberFormat="1" applyFont="1" applyFill="1" applyBorder="1" applyAlignment="1">
      <alignment horizontal="right" vertical="center"/>
    </xf>
    <xf numFmtId="3" fontId="3" fillId="0" borderId="10" xfId="0" applyNumberFormat="1" applyFont="1" applyFill="1" applyBorder="1" applyAlignment="1">
      <alignment horizontal="right" vertical="center"/>
    </xf>
    <xf numFmtId="3" fontId="3" fillId="0" borderId="16" xfId="0" applyNumberFormat="1" applyFont="1" applyFill="1" applyBorder="1" applyAlignment="1">
      <alignment horizontal="right" vertical="center"/>
    </xf>
    <xf numFmtId="3" fontId="3" fillId="0" borderId="8" xfId="0" applyNumberFormat="1" applyFont="1" applyFill="1" applyBorder="1" applyAlignment="1">
      <alignment horizontal="right" vertical="center"/>
    </xf>
    <xf numFmtId="3" fontId="3" fillId="0" borderId="17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wrapText="1"/>
    </xf>
    <xf numFmtId="0" fontId="3" fillId="0" borderId="0" xfId="0" applyFont="1" applyFill="1" applyAlignment="1">
      <alignment vertical="top" wrapText="1"/>
    </xf>
    <xf numFmtId="0" fontId="4" fillId="3" borderId="6" xfId="0" applyFont="1" applyFill="1" applyBorder="1">
      <alignment vertical="top"/>
    </xf>
    <xf numFmtId="3" fontId="7" fillId="3" borderId="6" xfId="0" applyNumberFormat="1" applyFont="1" applyFill="1" applyBorder="1" applyAlignment="1">
      <alignment horizontal="right" vertical="center"/>
    </xf>
    <xf numFmtId="0" fontId="4" fillId="3" borderId="7" xfId="0" applyFont="1" applyFill="1" applyBorder="1">
      <alignment vertical="top"/>
    </xf>
    <xf numFmtId="165" fontId="7" fillId="3" borderId="7" xfId="0" applyNumberFormat="1" applyFont="1" applyFill="1" applyBorder="1" applyAlignment="1">
      <alignment horizontal="right" vertical="center"/>
    </xf>
    <xf numFmtId="165" fontId="7" fillId="3" borderId="6" xfId="0" applyNumberFormat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wrapText="1"/>
    </xf>
    <xf numFmtId="0" fontId="5" fillId="3" borderId="2" xfId="1" applyFont="1" applyFill="1" applyBorder="1" applyAlignment="1">
      <alignment wrapText="1"/>
    </xf>
    <xf numFmtId="165" fontId="7" fillId="0" borderId="6" xfId="0" applyNumberFormat="1" applyFont="1" applyFill="1" applyBorder="1" applyAlignment="1">
      <alignment horizontal="right" vertical="center"/>
    </xf>
    <xf numFmtId="165" fontId="7" fillId="0" borderId="7" xfId="0" applyNumberFormat="1" applyFont="1" applyFill="1" applyBorder="1" applyAlignment="1">
      <alignment horizontal="right" vertical="center"/>
    </xf>
    <xf numFmtId="0" fontId="5" fillId="0" borderId="2" xfId="1" applyFont="1" applyFill="1" applyBorder="1" applyAlignment="1">
      <alignment wrapText="1"/>
    </xf>
    <xf numFmtId="165" fontId="7" fillId="0" borderId="18" xfId="0" applyNumberFormat="1" applyFont="1" applyFill="1" applyBorder="1" applyAlignment="1">
      <alignment horizontal="right" vertical="center"/>
    </xf>
    <xf numFmtId="165" fontId="6" fillId="0" borderId="19" xfId="0" applyNumberFormat="1" applyFont="1" applyFill="1" applyBorder="1" applyAlignment="1">
      <alignment horizontal="right" vertical="center"/>
    </xf>
    <xf numFmtId="165" fontId="6" fillId="0" borderId="20" xfId="0" applyNumberFormat="1" applyFont="1" applyFill="1" applyBorder="1" applyAlignment="1">
      <alignment horizontal="right" vertical="center"/>
    </xf>
    <xf numFmtId="165" fontId="6" fillId="0" borderId="21" xfId="0" applyNumberFormat="1" applyFont="1" applyFill="1" applyBorder="1" applyAlignment="1">
      <alignment horizontal="right" vertical="center"/>
    </xf>
    <xf numFmtId="0" fontId="4" fillId="3" borderId="22" xfId="0" applyFont="1" applyFill="1" applyBorder="1">
      <alignment vertical="top"/>
    </xf>
    <xf numFmtId="3" fontId="6" fillId="0" borderId="16" xfId="0" applyNumberFormat="1" applyFont="1" applyFill="1" applyBorder="1" applyAlignment="1">
      <alignment horizontal="right" vertical="center"/>
    </xf>
    <xf numFmtId="165" fontId="6" fillId="0" borderId="25" xfId="0" applyNumberFormat="1" applyFont="1" applyFill="1" applyBorder="1" applyAlignment="1">
      <alignment horizontal="right" vertical="center"/>
    </xf>
    <xf numFmtId="165" fontId="6" fillId="0" borderId="17" xfId="0" applyNumberFormat="1" applyFont="1" applyFill="1" applyBorder="1" applyAlignment="1">
      <alignment horizontal="right" vertical="center"/>
    </xf>
    <xf numFmtId="3" fontId="6" fillId="0" borderId="17" xfId="0" applyNumberFormat="1" applyFont="1" applyFill="1" applyBorder="1" applyAlignment="1">
      <alignment horizontal="right" vertical="center"/>
    </xf>
    <xf numFmtId="165" fontId="6" fillId="0" borderId="26" xfId="0" applyNumberFormat="1" applyFont="1" applyFill="1" applyBorder="1" applyAlignment="1">
      <alignment horizontal="right" vertical="center"/>
    </xf>
    <xf numFmtId="0" fontId="4" fillId="0" borderId="27" xfId="0" applyFont="1" applyFill="1" applyBorder="1" applyAlignment="1">
      <alignment horizontal="center" vertical="top" wrapText="1"/>
    </xf>
    <xf numFmtId="0" fontId="3" fillId="0" borderId="6" xfId="0" applyFont="1" applyFill="1" applyBorder="1">
      <alignment vertical="top"/>
    </xf>
    <xf numFmtId="166" fontId="7" fillId="0" borderId="6" xfId="0" applyNumberFormat="1" applyFont="1" applyFill="1" applyBorder="1">
      <alignment vertical="top"/>
    </xf>
    <xf numFmtId="0" fontId="3" fillId="0" borderId="28" xfId="0" applyFont="1" applyFill="1" applyBorder="1">
      <alignment vertical="top"/>
    </xf>
    <xf numFmtId="0" fontId="3" fillId="0" borderId="29" xfId="0" applyFont="1" applyFill="1" applyBorder="1">
      <alignment vertical="top"/>
    </xf>
    <xf numFmtId="0" fontId="3" fillId="0" borderId="30" xfId="0" applyFont="1" applyFill="1" applyBorder="1">
      <alignment vertical="top"/>
    </xf>
    <xf numFmtId="165" fontId="3" fillId="0" borderId="31" xfId="0" applyNumberFormat="1" applyFont="1" applyFill="1" applyBorder="1">
      <alignment vertical="top"/>
    </xf>
    <xf numFmtId="0" fontId="3" fillId="0" borderId="19" xfId="0" applyFont="1" applyFill="1" applyBorder="1">
      <alignment vertical="top"/>
    </xf>
    <xf numFmtId="9" fontId="7" fillId="0" borderId="31" xfId="2" applyFont="1" applyFill="1" applyBorder="1" applyAlignment="1">
      <alignment vertical="top"/>
    </xf>
    <xf numFmtId="0" fontId="3" fillId="0" borderId="31" xfId="0" applyFont="1" applyFill="1" applyBorder="1">
      <alignment vertical="top"/>
    </xf>
    <xf numFmtId="166" fontId="7" fillId="0" borderId="19" xfId="0" applyNumberFormat="1" applyFont="1" applyFill="1" applyBorder="1">
      <alignment vertical="top"/>
    </xf>
    <xf numFmtId="165" fontId="3" fillId="0" borderId="32" xfId="0" applyNumberFormat="1" applyFont="1" applyFill="1" applyBorder="1">
      <alignment vertical="top"/>
    </xf>
    <xf numFmtId="0" fontId="3" fillId="0" borderId="18" xfId="0" applyFont="1" applyFill="1" applyBorder="1">
      <alignment vertical="top"/>
    </xf>
    <xf numFmtId="0" fontId="3" fillId="0" borderId="21" xfId="0" applyFont="1" applyFill="1" applyBorder="1">
      <alignment vertical="top"/>
    </xf>
    <xf numFmtId="166" fontId="7" fillId="0" borderId="6" xfId="0" applyNumberFormat="1" applyFont="1" applyFill="1" applyBorder="1" applyAlignment="1">
      <alignment vertical="top" wrapText="1"/>
    </xf>
    <xf numFmtId="166" fontId="7" fillId="0" borderId="19" xfId="0" applyNumberFormat="1" applyFont="1" applyFill="1" applyBorder="1" applyAlignment="1">
      <alignment vertical="top" wrapText="1"/>
    </xf>
    <xf numFmtId="0" fontId="10" fillId="4" borderId="34" xfId="0" applyFont="1" applyFill="1" applyBorder="1" applyAlignment="1">
      <alignment horizontal="center" vertical="top"/>
    </xf>
    <xf numFmtId="1" fontId="8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" fontId="8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9" fontId="4" fillId="0" borderId="0" xfId="2" applyFont="1" applyFill="1" applyAlignment="1">
      <alignment horizontal="right"/>
    </xf>
    <xf numFmtId="3" fontId="6" fillId="3" borderId="6" xfId="0" applyNumberFormat="1" applyFont="1" applyFill="1" applyBorder="1" applyAlignment="1">
      <alignment horizontal="right" vertical="center"/>
    </xf>
    <xf numFmtId="165" fontId="6" fillId="3" borderId="6" xfId="0" applyNumberFormat="1" applyFont="1" applyFill="1" applyBorder="1" applyAlignment="1">
      <alignment horizontal="right" vertical="center"/>
    </xf>
    <xf numFmtId="165" fontId="6" fillId="2" borderId="6" xfId="0" applyNumberFormat="1" applyFont="1" applyFill="1" applyBorder="1" applyAlignment="1">
      <alignment horizontal="right" vertical="center"/>
    </xf>
    <xf numFmtId="165" fontId="6" fillId="3" borderId="7" xfId="0" applyNumberFormat="1" applyFont="1" applyFill="1" applyBorder="1" applyAlignment="1">
      <alignment horizontal="right" vertical="center"/>
    </xf>
    <xf numFmtId="0" fontId="12" fillId="0" borderId="2" xfId="1" applyFont="1" applyFill="1" applyBorder="1" applyAlignment="1">
      <alignment wrapText="1"/>
    </xf>
    <xf numFmtId="0" fontId="12" fillId="3" borderId="2" xfId="1" applyFont="1" applyFill="1" applyBorder="1" applyAlignment="1">
      <alignment wrapText="1"/>
    </xf>
    <xf numFmtId="165" fontId="3" fillId="5" borderId="8" xfId="0" applyNumberFormat="1" applyFont="1" applyFill="1" applyBorder="1" applyAlignment="1">
      <alignment horizontal="right" vertical="center"/>
    </xf>
    <xf numFmtId="165" fontId="3" fillId="5" borderId="17" xfId="0" applyNumberFormat="1" applyFont="1" applyFill="1" applyBorder="1" applyAlignment="1">
      <alignment horizontal="right" vertical="center"/>
    </xf>
    <xf numFmtId="165" fontId="7" fillId="0" borderId="40" xfId="0" applyNumberFormat="1" applyFont="1" applyFill="1" applyBorder="1" applyAlignment="1">
      <alignment horizontal="right" vertical="center"/>
    </xf>
    <xf numFmtId="0" fontId="3" fillId="0" borderId="40" xfId="0" applyFont="1" applyFill="1" applyBorder="1">
      <alignment vertical="top"/>
    </xf>
    <xf numFmtId="0" fontId="4" fillId="3" borderId="40" xfId="0" applyFont="1" applyFill="1" applyBorder="1">
      <alignment vertical="top"/>
    </xf>
    <xf numFmtId="3" fontId="7" fillId="3" borderId="40" xfId="0" applyNumberFormat="1" applyFont="1" applyFill="1" applyBorder="1" applyAlignment="1">
      <alignment horizontal="right" vertical="center"/>
    </xf>
    <xf numFmtId="3" fontId="7" fillId="3" borderId="22" xfId="0" applyNumberFormat="1" applyFont="1" applyFill="1" applyBorder="1" applyAlignment="1">
      <alignment horizontal="right" vertical="center"/>
    </xf>
    <xf numFmtId="3" fontId="6" fillId="3" borderId="22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166" fontId="7" fillId="0" borderId="7" xfId="0" applyNumberFormat="1" applyFont="1" applyFill="1" applyBorder="1">
      <alignment vertical="top"/>
    </xf>
    <xf numFmtId="166" fontId="7" fillId="0" borderId="40" xfId="0" applyNumberFormat="1" applyFont="1" applyFill="1" applyBorder="1">
      <alignment vertical="top"/>
    </xf>
    <xf numFmtId="0" fontId="10" fillId="4" borderId="41" xfId="0" applyFont="1" applyFill="1" applyBorder="1" applyAlignment="1">
      <alignment horizontal="center" vertical="top"/>
    </xf>
    <xf numFmtId="3" fontId="6" fillId="3" borderId="4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top"/>
    </xf>
    <xf numFmtId="165" fontId="3" fillId="0" borderId="7" xfId="0" applyNumberFormat="1" applyFont="1" applyFill="1" applyBorder="1" applyAlignment="1">
      <alignment horizontal="right" vertical="center"/>
    </xf>
    <xf numFmtId="0" fontId="4" fillId="0" borderId="40" xfId="0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165" fontId="7" fillId="0" borderId="22" xfId="0" applyNumberFormat="1" applyFont="1" applyFill="1" applyBorder="1" applyAlignment="1">
      <alignment horizontal="right" vertical="center"/>
    </xf>
    <xf numFmtId="3" fontId="3" fillId="0" borderId="7" xfId="0" applyNumberFormat="1" applyFont="1" applyFill="1" applyBorder="1" applyAlignment="1">
      <alignment horizontal="right" vertical="center"/>
    </xf>
    <xf numFmtId="0" fontId="4" fillId="0" borderId="22" xfId="0" applyFont="1" applyFill="1" applyBorder="1" applyAlignment="1">
      <alignment vertical="top"/>
    </xf>
    <xf numFmtId="3" fontId="3" fillId="0" borderId="22" xfId="0" applyNumberFormat="1" applyFont="1" applyFill="1" applyBorder="1" applyAlignment="1">
      <alignment horizontal="right" vertical="center"/>
    </xf>
    <xf numFmtId="165" fontId="6" fillId="0" borderId="42" xfId="0" applyNumberFormat="1" applyFont="1" applyFill="1" applyBorder="1" applyAlignment="1">
      <alignment horizontal="right" vertical="center"/>
    </xf>
    <xf numFmtId="165" fontId="6" fillId="0" borderId="24" xfId="0" applyNumberFormat="1" applyFont="1" applyFill="1" applyBorder="1" applyAlignment="1">
      <alignment horizontal="right" vertical="center"/>
    </xf>
    <xf numFmtId="9" fontId="7" fillId="0" borderId="7" xfId="2" applyFont="1" applyFill="1" applyBorder="1" applyAlignment="1">
      <alignment vertical="top"/>
    </xf>
    <xf numFmtId="0" fontId="3" fillId="0" borderId="7" xfId="0" applyFont="1" applyFill="1" applyBorder="1">
      <alignment vertical="top"/>
    </xf>
    <xf numFmtId="165" fontId="3" fillId="0" borderId="40" xfId="0" applyNumberFormat="1" applyFont="1" applyFill="1" applyBorder="1">
      <alignment vertical="top"/>
    </xf>
    <xf numFmtId="165" fontId="3" fillId="0" borderId="22" xfId="0" applyNumberFormat="1" applyFont="1" applyFill="1" applyBorder="1">
      <alignment vertical="top"/>
    </xf>
    <xf numFmtId="166" fontId="7" fillId="0" borderId="22" xfId="0" applyNumberFormat="1" applyFont="1" applyFill="1" applyBorder="1">
      <alignment vertical="top"/>
    </xf>
    <xf numFmtId="0" fontId="3" fillId="0" borderId="22" xfId="0" applyFont="1" applyFill="1" applyBorder="1">
      <alignment vertical="top"/>
    </xf>
    <xf numFmtId="3" fontId="6" fillId="0" borderId="26" xfId="0" applyNumberFormat="1" applyFont="1" applyFill="1" applyBorder="1" applyAlignment="1">
      <alignment horizontal="right" vertical="center"/>
    </xf>
    <xf numFmtId="3" fontId="6" fillId="0" borderId="24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center"/>
    </xf>
    <xf numFmtId="167" fontId="11" fillId="4" borderId="6" xfId="0" applyNumberFormat="1" applyFont="1" applyFill="1" applyBorder="1" applyAlignment="1">
      <alignment horizontal="center" vertical="center" wrapText="1"/>
    </xf>
    <xf numFmtId="3" fontId="11" fillId="4" borderId="7" xfId="0" applyNumberFormat="1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vertical="center"/>
    </xf>
    <xf numFmtId="168" fontId="15" fillId="4" borderId="6" xfId="2" applyNumberFormat="1" applyFont="1" applyFill="1" applyBorder="1" applyAlignment="1">
      <alignment horizontal="center" vertical="center" wrapText="1"/>
    </xf>
    <xf numFmtId="0" fontId="3" fillId="0" borderId="0" xfId="0" applyFont="1" applyFill="1">
      <alignment vertical="top"/>
    </xf>
    <xf numFmtId="0" fontId="4" fillId="0" borderId="0" xfId="0" applyFont="1" applyFill="1">
      <alignment vertical="top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vertical="top" wrapText="1"/>
    </xf>
    <xf numFmtId="0" fontId="4" fillId="3" borderId="7" xfId="0" applyFont="1" applyFill="1" applyBorder="1">
      <alignment vertical="top"/>
    </xf>
    <xf numFmtId="165" fontId="7" fillId="3" borderId="7" xfId="0" applyNumberFormat="1" applyFont="1" applyFill="1" applyBorder="1" applyAlignment="1">
      <alignment horizontal="right" vertical="center"/>
    </xf>
    <xf numFmtId="0" fontId="4" fillId="3" borderId="22" xfId="0" applyFont="1" applyFill="1" applyBorder="1">
      <alignment vertical="top"/>
    </xf>
    <xf numFmtId="9" fontId="4" fillId="0" borderId="0" xfId="2" applyFont="1" applyFill="1" applyAlignment="1">
      <alignment horizontal="right"/>
    </xf>
    <xf numFmtId="165" fontId="6" fillId="3" borderId="7" xfId="0" applyNumberFormat="1" applyFont="1" applyFill="1" applyBorder="1" applyAlignment="1">
      <alignment horizontal="right" vertical="center"/>
    </xf>
    <xf numFmtId="165" fontId="7" fillId="0" borderId="40" xfId="0" applyNumberFormat="1" applyFont="1" applyFill="1" applyBorder="1" applyAlignment="1">
      <alignment horizontal="right" vertical="center"/>
    </xf>
    <xf numFmtId="0" fontId="4" fillId="3" borderId="40" xfId="0" applyFont="1" applyFill="1" applyBorder="1">
      <alignment vertical="top"/>
    </xf>
    <xf numFmtId="165" fontId="7" fillId="3" borderId="40" xfId="0" applyNumberFormat="1" applyFont="1" applyFill="1" applyBorder="1" applyAlignment="1">
      <alignment horizontal="right" vertical="center"/>
    </xf>
    <xf numFmtId="3" fontId="6" fillId="3" borderId="22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10" fillId="4" borderId="41" xfId="0" applyFont="1" applyFill="1" applyBorder="1" applyAlignment="1">
      <alignment horizontal="center" vertical="top"/>
    </xf>
    <xf numFmtId="165" fontId="6" fillId="3" borderId="40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top"/>
    </xf>
    <xf numFmtId="165" fontId="3" fillId="0" borderId="7" xfId="0" applyNumberFormat="1" applyFont="1" applyFill="1" applyBorder="1" applyAlignment="1">
      <alignment horizontal="right" vertical="center"/>
    </xf>
    <xf numFmtId="0" fontId="4" fillId="0" borderId="40" xfId="0" applyFont="1" applyFill="1" applyBorder="1" applyAlignment="1">
      <alignment horizontal="left" vertical="top"/>
    </xf>
    <xf numFmtId="0" fontId="4" fillId="0" borderId="22" xfId="0" applyFont="1" applyFill="1" applyBorder="1" applyAlignment="1">
      <alignment horizontal="left" vertical="top"/>
    </xf>
    <xf numFmtId="165" fontId="7" fillId="0" borderId="22" xfId="0" applyNumberFormat="1" applyFont="1" applyFill="1" applyBorder="1" applyAlignment="1">
      <alignment horizontal="right" vertical="center"/>
    </xf>
    <xf numFmtId="3" fontId="3" fillId="0" borderId="7" xfId="0" applyNumberFormat="1" applyFont="1" applyFill="1" applyBorder="1" applyAlignment="1">
      <alignment horizontal="right" vertical="center"/>
    </xf>
    <xf numFmtId="0" fontId="4" fillId="0" borderId="22" xfId="0" applyFont="1" applyFill="1" applyBorder="1" applyAlignment="1">
      <alignment vertical="top"/>
    </xf>
    <xf numFmtId="3" fontId="3" fillId="0" borderId="22" xfId="0" applyNumberFormat="1" applyFont="1" applyFill="1" applyBorder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0" fillId="6" borderId="45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top"/>
    </xf>
    <xf numFmtId="0" fontId="4" fillId="3" borderId="40" xfId="0" applyFont="1" applyFill="1" applyBorder="1" applyAlignment="1">
      <alignment horizontal="left" vertical="top"/>
    </xf>
    <xf numFmtId="0" fontId="4" fillId="3" borderId="22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vertical="top"/>
    </xf>
    <xf numFmtId="0" fontId="4" fillId="3" borderId="22" xfId="0" applyFont="1" applyFill="1" applyBorder="1" applyAlignment="1">
      <alignment vertical="top"/>
    </xf>
    <xf numFmtId="0" fontId="4" fillId="0" borderId="40" xfId="0" applyFont="1" applyFill="1" applyBorder="1" applyAlignment="1">
      <alignment vertical="top"/>
    </xf>
    <xf numFmtId="9" fontId="6" fillId="0" borderId="7" xfId="2" applyFont="1" applyFill="1" applyBorder="1" applyAlignment="1">
      <alignment horizontal="right" vertical="center"/>
    </xf>
    <xf numFmtId="9" fontId="6" fillId="0" borderId="40" xfId="2" applyFont="1" applyFill="1" applyBorder="1" applyAlignment="1">
      <alignment horizontal="right" vertical="center"/>
    </xf>
    <xf numFmtId="9" fontId="6" fillId="0" borderId="22" xfId="2" applyFont="1" applyFill="1" applyBorder="1" applyAlignment="1">
      <alignment horizontal="righ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40" xfId="0" applyNumberFormat="1" applyFont="1" applyFill="1" applyBorder="1" applyAlignment="1">
      <alignment horizontal="right" vertical="center"/>
    </xf>
    <xf numFmtId="3" fontId="6" fillId="0" borderId="7" xfId="0" applyNumberFormat="1" applyFont="1" applyFill="1" applyBorder="1" applyAlignment="1">
      <alignment horizontal="right" vertical="center"/>
    </xf>
    <xf numFmtId="3" fontId="6" fillId="0" borderId="22" xfId="0" applyNumberFormat="1" applyFont="1" applyFill="1" applyBorder="1" applyAlignment="1">
      <alignment horizontal="right" vertical="center"/>
    </xf>
    <xf numFmtId="9" fontId="6" fillId="3" borderId="40" xfId="2" applyFont="1" applyFill="1" applyBorder="1" applyAlignment="1">
      <alignment horizontal="right" vertical="center"/>
    </xf>
    <xf numFmtId="165" fontId="6" fillId="3" borderId="22" xfId="0" applyNumberFormat="1" applyFont="1" applyFill="1" applyBorder="1" applyAlignment="1">
      <alignment horizontal="right" vertical="center"/>
    </xf>
    <xf numFmtId="9" fontId="6" fillId="3" borderId="22" xfId="2" applyFont="1" applyFill="1" applyBorder="1" applyAlignment="1">
      <alignment horizontal="right" vertical="center"/>
    </xf>
    <xf numFmtId="3" fontId="6" fillId="3" borderId="7" xfId="0" applyNumberFormat="1" applyFont="1" applyFill="1" applyBorder="1" applyAlignment="1">
      <alignment horizontal="right" vertical="center"/>
    </xf>
    <xf numFmtId="9" fontId="6" fillId="3" borderId="7" xfId="2" applyFont="1" applyFill="1" applyBorder="1" applyAlignment="1">
      <alignment horizontal="right" vertical="center"/>
    </xf>
    <xf numFmtId="165" fontId="7" fillId="3" borderId="22" xfId="0" applyNumberFormat="1" applyFont="1" applyFill="1" applyBorder="1" applyAlignment="1">
      <alignment horizontal="right" vertical="center"/>
    </xf>
    <xf numFmtId="0" fontId="11" fillId="4" borderId="45" xfId="0" applyFont="1" applyFill="1" applyBorder="1" applyAlignment="1">
      <alignment wrapText="1"/>
    </xf>
    <xf numFmtId="0" fontId="10" fillId="4" borderId="45" xfId="0" applyFont="1" applyFill="1" applyBorder="1" applyAlignment="1"/>
    <xf numFmtId="0" fontId="10" fillId="4" borderId="45" xfId="0" applyFont="1" applyFill="1" applyBorder="1" applyAlignment="1">
      <alignment horizontal="center"/>
    </xf>
    <xf numFmtId="0" fontId="11" fillId="4" borderId="51" xfId="0" applyFont="1" applyFill="1" applyBorder="1" applyAlignment="1">
      <alignment wrapText="1"/>
    </xf>
    <xf numFmtId="0" fontId="10" fillId="4" borderId="51" xfId="0" applyFont="1" applyFill="1" applyBorder="1" applyAlignment="1"/>
    <xf numFmtId="0" fontId="10" fillId="4" borderId="51" xfId="0" applyFont="1" applyFill="1" applyBorder="1" applyAlignment="1">
      <alignment horizontal="center"/>
    </xf>
    <xf numFmtId="0" fontId="16" fillId="11" borderId="4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16" fillId="12" borderId="45" xfId="0" applyFont="1" applyFill="1" applyBorder="1" applyAlignment="1">
      <alignment horizontal="center" vertical="center" wrapText="1"/>
    </xf>
    <xf numFmtId="0" fontId="16" fillId="13" borderId="45" xfId="0" applyFont="1" applyFill="1" applyBorder="1" applyAlignment="1">
      <alignment horizontal="center" vertical="center" wrapText="1"/>
    </xf>
    <xf numFmtId="0" fontId="16" fillId="14" borderId="45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4" fillId="0" borderId="23" xfId="0" applyFont="1" applyFill="1" applyBorder="1" applyAlignment="1">
      <alignment horizontal="center" vertical="top" wrapText="1"/>
    </xf>
    <xf numFmtId="0" fontId="4" fillId="0" borderId="27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33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top" wrapText="1"/>
    </xf>
    <xf numFmtId="1" fontId="14" fillId="4" borderId="43" xfId="0" applyNumberFormat="1" applyFont="1" applyFill="1" applyBorder="1" applyAlignment="1">
      <alignment horizontal="center" vertical="center"/>
    </xf>
    <xf numFmtId="1" fontId="14" fillId="4" borderId="0" xfId="0" applyNumberFormat="1" applyFont="1" applyFill="1" applyBorder="1" applyAlignment="1">
      <alignment horizontal="center" vertical="center"/>
    </xf>
    <xf numFmtId="1" fontId="14" fillId="4" borderId="44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center" wrapText="1"/>
    </xf>
    <xf numFmtId="0" fontId="13" fillId="3" borderId="7" xfId="1" applyFont="1" applyFill="1" applyBorder="1" applyAlignment="1">
      <alignment vertical="top" wrapText="1"/>
    </xf>
    <xf numFmtId="0" fontId="13" fillId="3" borderId="40" xfId="1" applyFont="1" applyFill="1" applyBorder="1" applyAlignment="1">
      <alignment vertical="top" wrapText="1"/>
    </xf>
    <xf numFmtId="0" fontId="13" fillId="3" borderId="22" xfId="1" applyFont="1" applyFill="1" applyBorder="1" applyAlignment="1">
      <alignment vertical="top" wrapText="1"/>
    </xf>
    <xf numFmtId="0" fontId="12" fillId="3" borderId="7" xfId="1" applyFont="1" applyFill="1" applyBorder="1" applyAlignment="1">
      <alignment vertical="top" wrapText="1"/>
    </xf>
    <xf numFmtId="0" fontId="12" fillId="3" borderId="40" xfId="1" applyFont="1" applyFill="1" applyBorder="1" applyAlignment="1">
      <alignment vertical="top" wrapText="1"/>
    </xf>
    <xf numFmtId="0" fontId="12" fillId="3" borderId="22" xfId="1" applyFont="1" applyFill="1" applyBorder="1" applyAlignment="1">
      <alignment vertical="top" wrapText="1"/>
    </xf>
    <xf numFmtId="0" fontId="16" fillId="12" borderId="35" xfId="0" applyFont="1" applyFill="1" applyBorder="1" applyAlignment="1">
      <alignment horizontal="center" vertical="center" wrapText="1"/>
    </xf>
    <xf numFmtId="0" fontId="16" fillId="12" borderId="35" xfId="0" applyFont="1" applyFill="1" applyBorder="1" applyAlignment="1">
      <alignment horizontal="center" vertical="center"/>
    </xf>
    <xf numFmtId="0" fontId="16" fillId="12" borderId="45" xfId="0" applyFont="1" applyFill="1" applyBorder="1" applyAlignment="1">
      <alignment horizontal="center" vertical="center" wrapText="1"/>
    </xf>
    <xf numFmtId="0" fontId="16" fillId="12" borderId="45" xfId="0" applyFont="1" applyFill="1" applyBorder="1" applyAlignment="1">
      <alignment horizontal="center" vertical="center"/>
    </xf>
    <xf numFmtId="0" fontId="16" fillId="13" borderId="35" xfId="0" applyFont="1" applyFill="1" applyBorder="1" applyAlignment="1">
      <alignment horizontal="center" vertical="center" wrapText="1"/>
    </xf>
    <xf numFmtId="0" fontId="16" fillId="13" borderId="35" xfId="0" applyFont="1" applyFill="1" applyBorder="1" applyAlignment="1">
      <alignment horizontal="center" vertical="center"/>
    </xf>
    <xf numFmtId="0" fontId="16" fillId="13" borderId="45" xfId="0" applyFont="1" applyFill="1" applyBorder="1" applyAlignment="1">
      <alignment horizontal="center" vertical="center" wrapText="1"/>
    </xf>
    <xf numFmtId="0" fontId="16" fillId="13" borderId="45" xfId="0" applyFont="1" applyFill="1" applyBorder="1" applyAlignment="1">
      <alignment horizontal="center" vertical="center"/>
    </xf>
    <xf numFmtId="0" fontId="16" fillId="14" borderId="35" xfId="0" applyFont="1" applyFill="1" applyBorder="1" applyAlignment="1">
      <alignment horizontal="center" vertical="center" wrapText="1"/>
    </xf>
    <xf numFmtId="0" fontId="16" fillId="14" borderId="35" xfId="0" applyFont="1" applyFill="1" applyBorder="1" applyAlignment="1">
      <alignment horizontal="center" vertical="center"/>
    </xf>
    <xf numFmtId="0" fontId="16" fillId="14" borderId="45" xfId="0" applyFont="1" applyFill="1" applyBorder="1" applyAlignment="1">
      <alignment horizontal="center" vertical="center" wrapText="1"/>
    </xf>
    <xf numFmtId="0" fontId="16" fillId="14" borderId="45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vertical="top" wrapText="1"/>
    </xf>
    <xf numFmtId="0" fontId="4" fillId="0" borderId="47" xfId="0" applyFont="1" applyFill="1" applyBorder="1" applyAlignment="1">
      <alignment vertical="top" wrapText="1"/>
    </xf>
    <xf numFmtId="0" fontId="4" fillId="0" borderId="46" xfId="0" applyFont="1" applyFill="1" applyBorder="1" applyAlignment="1">
      <alignment vertical="top" wrapText="1"/>
    </xf>
    <xf numFmtId="0" fontId="4" fillId="0" borderId="48" xfId="0" applyFont="1" applyFill="1" applyBorder="1" applyAlignment="1">
      <alignment vertical="top" wrapText="1"/>
    </xf>
    <xf numFmtId="0" fontId="4" fillId="0" borderId="50" xfId="0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3" fillId="11" borderId="52" xfId="0" applyFont="1" applyFill="1" applyBorder="1" applyAlignment="1">
      <alignment vertical="top" wrapText="1"/>
    </xf>
    <xf numFmtId="0" fontId="4" fillId="10" borderId="49" xfId="0" applyFont="1" applyFill="1" applyBorder="1" applyAlignment="1">
      <alignment vertical="top" wrapText="1"/>
    </xf>
    <xf numFmtId="0" fontId="12" fillId="3" borderId="50" xfId="1" applyFont="1" applyFill="1" applyBorder="1" applyAlignment="1">
      <alignment vertical="top" wrapText="1"/>
    </xf>
    <xf numFmtId="0" fontId="12" fillId="3" borderId="2" xfId="1" applyFont="1" applyFill="1" applyBorder="1" applyAlignment="1">
      <alignment vertical="top" wrapText="1"/>
    </xf>
    <xf numFmtId="0" fontId="12" fillId="3" borderId="36" xfId="1" applyFont="1" applyFill="1" applyBorder="1" applyAlignment="1">
      <alignment vertical="top" wrapText="1"/>
    </xf>
    <xf numFmtId="0" fontId="3" fillId="9" borderId="42" xfId="0" applyFont="1" applyFill="1" applyBorder="1" applyAlignment="1">
      <alignment vertical="top" wrapText="1"/>
    </xf>
    <xf numFmtId="0" fontId="16" fillId="8" borderId="35" xfId="0" applyFont="1" applyFill="1" applyBorder="1" applyAlignment="1">
      <alignment horizontal="center" vertical="center" wrapText="1"/>
    </xf>
    <xf numFmtId="0" fontId="16" fillId="8" borderId="35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 wrapText="1"/>
    </xf>
    <xf numFmtId="0" fontId="16" fillId="8" borderId="45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/>
    </xf>
    <xf numFmtId="0" fontId="10" fillId="7" borderId="45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/>
    </xf>
    <xf numFmtId="0" fontId="10" fillId="7" borderId="35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</cellXfs>
  <cellStyles count="4">
    <cellStyle name="Normal" xfId="0" builtinId="0"/>
    <cellStyle name="Normal 2" xfId="3"/>
    <cellStyle name="Normal_Tour operatorTurnover (july 2008 -Aug 2009)" xfId="1"/>
    <cellStyle name="Percent" xfId="2" builtinId="5"/>
  </cellStyles>
  <dxfs count="337">
    <dxf>
      <font>
        <color theme="0" tint="-0.14996795556505021"/>
      </font>
    </dxf>
    <dxf>
      <fill>
        <patternFill>
          <bgColor theme="5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R31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9" sqref="O9"/>
    </sheetView>
  </sheetViews>
  <sheetFormatPr defaultColWidth="9.109375" defaultRowHeight="13.8" outlineLevelRow="1" x14ac:dyDescent="0.25"/>
  <cols>
    <col min="1" max="1" width="13.5546875" style="27" bestFit="1" customWidth="1"/>
    <col min="2" max="2" width="12" style="2" bestFit="1" customWidth="1"/>
    <col min="3" max="14" width="8.33203125" style="14" customWidth="1"/>
    <col min="15" max="15" width="9" style="15" customWidth="1"/>
    <col min="16" max="16" width="4.33203125" style="1" bestFit="1" customWidth="1"/>
    <col min="17" max="18" width="7" style="1" customWidth="1"/>
    <col min="19" max="16384" width="9.109375" style="1"/>
  </cols>
  <sheetData>
    <row r="1" spans="1:18" outlineLevel="1" x14ac:dyDescent="0.25">
      <c r="A1" s="64"/>
      <c r="B1" s="64"/>
      <c r="C1" s="64" t="s">
        <v>14</v>
      </c>
      <c r="D1" s="64" t="s">
        <v>15</v>
      </c>
      <c r="E1" s="64" t="s">
        <v>16</v>
      </c>
      <c r="F1" s="64" t="s">
        <v>17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18</v>
      </c>
      <c r="P1" s="64"/>
      <c r="Q1" s="64"/>
      <c r="R1" s="64"/>
    </row>
    <row r="2" spans="1:18" x14ac:dyDescent="0.3">
      <c r="A2" s="33" t="s">
        <v>0</v>
      </c>
      <c r="B2" s="28" t="s">
        <v>4</v>
      </c>
      <c r="C2" s="29">
        <f>C7+C12+C17+C22+C27</f>
        <v>14</v>
      </c>
      <c r="D2" s="29">
        <f t="shared" ref="D2:O2" si="0">D7+D12+D17+D22+D27</f>
        <v>14</v>
      </c>
      <c r="E2" s="29">
        <f t="shared" si="0"/>
        <v>2</v>
      </c>
      <c r="F2" s="29">
        <f t="shared" si="0"/>
        <v>28</v>
      </c>
      <c r="G2" s="29">
        <f t="shared" si="0"/>
        <v>0</v>
      </c>
      <c r="H2" s="29">
        <f t="shared" si="0"/>
        <v>0</v>
      </c>
      <c r="I2" s="29">
        <f t="shared" si="0"/>
        <v>20</v>
      </c>
      <c r="J2" s="29">
        <f t="shared" si="0"/>
        <v>8</v>
      </c>
      <c r="K2" s="29">
        <f t="shared" si="0"/>
        <v>6</v>
      </c>
      <c r="L2" s="29">
        <f t="shared" si="0"/>
        <v>12</v>
      </c>
      <c r="M2" s="29">
        <f t="shared" si="0"/>
        <v>23</v>
      </c>
      <c r="N2" s="29">
        <f t="shared" si="0"/>
        <v>39</v>
      </c>
      <c r="O2" s="70">
        <f t="shared" si="0"/>
        <v>166</v>
      </c>
      <c r="P2" s="174" t="s">
        <v>20</v>
      </c>
      <c r="Q2" s="176" t="s">
        <v>19</v>
      </c>
      <c r="R2" s="177"/>
    </row>
    <row r="3" spans="1:18" x14ac:dyDescent="0.3">
      <c r="A3" s="34"/>
      <c r="B3" s="28" t="s">
        <v>1</v>
      </c>
      <c r="C3" s="32">
        <f>IF(C4=0,0,(C4/C2))</f>
        <v>291.85463659147871</v>
      </c>
      <c r="D3" s="32">
        <f t="shared" ref="D3:O3" si="1">IF(D4=0,0,(D4/D2))</f>
        <v>164.03508771929825</v>
      </c>
      <c r="E3" s="32">
        <f t="shared" si="1"/>
        <v>111.84210526315789</v>
      </c>
      <c r="F3" s="32">
        <f t="shared" si="1"/>
        <v>124.7297932330827</v>
      </c>
      <c r="G3" s="32">
        <f t="shared" si="1"/>
        <v>0</v>
      </c>
      <c r="H3" s="32">
        <f t="shared" si="1"/>
        <v>0</v>
      </c>
      <c r="I3" s="32">
        <f t="shared" si="1"/>
        <v>209.34210526315786</v>
      </c>
      <c r="J3" s="32">
        <f t="shared" si="1"/>
        <v>166.66666666666666</v>
      </c>
      <c r="K3" s="32">
        <f t="shared" si="1"/>
        <v>134.79532163742689</v>
      </c>
      <c r="L3" s="32">
        <f t="shared" si="1"/>
        <v>203.91081871345031</v>
      </c>
      <c r="M3" s="32">
        <f t="shared" si="1"/>
        <v>153.87719298245614</v>
      </c>
      <c r="N3" s="32">
        <f t="shared" si="1"/>
        <v>166.03571749887539</v>
      </c>
      <c r="O3" s="71">
        <f t="shared" si="1"/>
        <v>174.03024202071438</v>
      </c>
      <c r="P3" s="174"/>
      <c r="Q3" s="178"/>
      <c r="R3" s="179"/>
    </row>
    <row r="4" spans="1:18" x14ac:dyDescent="0.3">
      <c r="A4" s="26"/>
      <c r="B4" s="5" t="s">
        <v>2</v>
      </c>
      <c r="C4" s="6">
        <f>C9+C14+C19+C24+C29</f>
        <v>4085.9649122807018</v>
      </c>
      <c r="D4" s="6">
        <f t="shared" ref="D4:O4" si="2">D9+D14+D19+D24+D29</f>
        <v>2296.4912280701756</v>
      </c>
      <c r="E4" s="6">
        <f t="shared" si="2"/>
        <v>223.68421052631578</v>
      </c>
      <c r="F4" s="6">
        <f t="shared" si="2"/>
        <v>3492.4342105263158</v>
      </c>
      <c r="G4" s="6">
        <f t="shared" si="2"/>
        <v>0</v>
      </c>
      <c r="H4" s="6">
        <f t="shared" si="2"/>
        <v>0</v>
      </c>
      <c r="I4" s="6">
        <f t="shared" si="2"/>
        <v>4186.8421052631575</v>
      </c>
      <c r="J4" s="6">
        <f t="shared" si="2"/>
        <v>1333.3333333333333</v>
      </c>
      <c r="K4" s="6">
        <f t="shared" si="2"/>
        <v>808.77192982456143</v>
      </c>
      <c r="L4" s="6">
        <f t="shared" si="2"/>
        <v>2446.9298245614036</v>
      </c>
      <c r="M4" s="6">
        <f t="shared" si="2"/>
        <v>3539.1754385964914</v>
      </c>
      <c r="N4" s="6">
        <f t="shared" si="2"/>
        <v>6475.3929824561401</v>
      </c>
      <c r="O4" s="72">
        <f t="shared" si="2"/>
        <v>28889.020175438589</v>
      </c>
      <c r="P4" s="174"/>
      <c r="Q4" s="180"/>
      <c r="R4" s="181"/>
    </row>
    <row r="5" spans="1:18" x14ac:dyDescent="0.3">
      <c r="A5" s="34"/>
      <c r="B5" s="28" t="s">
        <v>3</v>
      </c>
      <c r="C5" s="29">
        <f>C10+C15+C20+C25+C30</f>
        <v>23</v>
      </c>
      <c r="D5" s="29">
        <f t="shared" ref="D5:O5" si="3">D10+D15+D20+D25+D30</f>
        <v>28</v>
      </c>
      <c r="E5" s="29">
        <f t="shared" si="3"/>
        <v>2</v>
      </c>
      <c r="F5" s="29">
        <f t="shared" si="3"/>
        <v>51</v>
      </c>
      <c r="G5" s="29">
        <f t="shared" si="3"/>
        <v>0</v>
      </c>
      <c r="H5" s="29">
        <f t="shared" si="3"/>
        <v>0</v>
      </c>
      <c r="I5" s="29">
        <f t="shared" si="3"/>
        <v>34</v>
      </c>
      <c r="J5" s="29">
        <f t="shared" si="3"/>
        <v>8</v>
      </c>
      <c r="K5" s="29">
        <f t="shared" si="3"/>
        <v>8</v>
      </c>
      <c r="L5" s="29">
        <f t="shared" si="3"/>
        <v>24</v>
      </c>
      <c r="M5" s="29">
        <f t="shared" si="3"/>
        <v>33</v>
      </c>
      <c r="N5" s="29">
        <f t="shared" si="3"/>
        <v>56</v>
      </c>
      <c r="O5" s="70">
        <f t="shared" si="3"/>
        <v>267</v>
      </c>
      <c r="P5" s="174"/>
      <c r="Q5" s="62">
        <f>O5/$Q$6</f>
        <v>38.142857142857146</v>
      </c>
      <c r="R5" s="63">
        <f>O5/$R$6</f>
        <v>29.666666666666668</v>
      </c>
    </row>
    <row r="6" spans="1:18" x14ac:dyDescent="0.3">
      <c r="A6" s="34"/>
      <c r="B6" s="30" t="s">
        <v>5</v>
      </c>
      <c r="C6" s="31">
        <f>IF(C4=0,0,(C4/C5))</f>
        <v>177.65064836003052</v>
      </c>
      <c r="D6" s="31">
        <f t="shared" ref="D6:O6" si="4">IF(D4=0,0,(D4/D5))</f>
        <v>82.017543859649123</v>
      </c>
      <c r="E6" s="31">
        <f t="shared" si="4"/>
        <v>111.84210526315789</v>
      </c>
      <c r="F6" s="31">
        <f t="shared" si="4"/>
        <v>68.47910216718266</v>
      </c>
      <c r="G6" s="31">
        <f t="shared" si="4"/>
        <v>0</v>
      </c>
      <c r="H6" s="31">
        <f t="shared" si="4"/>
        <v>0</v>
      </c>
      <c r="I6" s="31">
        <f t="shared" si="4"/>
        <v>123.1424148606811</v>
      </c>
      <c r="J6" s="31">
        <f t="shared" si="4"/>
        <v>166.66666666666666</v>
      </c>
      <c r="K6" s="31">
        <f t="shared" si="4"/>
        <v>101.09649122807018</v>
      </c>
      <c r="L6" s="31">
        <f t="shared" si="4"/>
        <v>101.95540935672516</v>
      </c>
      <c r="M6" s="31">
        <f t="shared" si="4"/>
        <v>107.24774056353004</v>
      </c>
      <c r="N6" s="31">
        <f t="shared" si="4"/>
        <v>115.63201754385965</v>
      </c>
      <c r="O6" s="73">
        <f t="shared" si="4"/>
        <v>108.19857743609958</v>
      </c>
      <c r="P6" s="175"/>
      <c r="Q6" s="48">
        <v>7</v>
      </c>
      <c r="R6" s="48">
        <v>9</v>
      </c>
    </row>
    <row r="7" spans="1:18" x14ac:dyDescent="0.25">
      <c r="A7" s="171" t="s">
        <v>22</v>
      </c>
      <c r="B7" s="12" t="s">
        <v>4</v>
      </c>
      <c r="C7" s="22">
        <v>9</v>
      </c>
      <c r="D7" s="22"/>
      <c r="E7" s="22"/>
      <c r="F7" s="22">
        <v>3</v>
      </c>
      <c r="G7" s="22"/>
      <c r="H7" s="22"/>
      <c r="I7" s="22"/>
      <c r="J7" s="22">
        <v>8</v>
      </c>
      <c r="K7" s="22"/>
      <c r="L7" s="23"/>
      <c r="M7" s="23"/>
      <c r="N7" s="23"/>
      <c r="O7" s="19">
        <f>SUM(C7:N7)</f>
        <v>20</v>
      </c>
      <c r="P7" s="51"/>
      <c r="Q7" s="52"/>
      <c r="R7" s="53"/>
    </row>
    <row r="8" spans="1:18" outlineLevel="1" x14ac:dyDescent="0.25">
      <c r="A8" s="172"/>
      <c r="B8" s="9" t="s">
        <v>1</v>
      </c>
      <c r="C8" s="35">
        <f t="shared" ref="C8:O8" si="5">IF(C9=0,0,(C9/C7))</f>
        <v>395.17543859649123</v>
      </c>
      <c r="D8" s="35">
        <f t="shared" si="5"/>
        <v>0</v>
      </c>
      <c r="E8" s="35">
        <f t="shared" si="5"/>
        <v>0</v>
      </c>
      <c r="F8" s="35">
        <f t="shared" si="5"/>
        <v>313.15789473684214</v>
      </c>
      <c r="G8" s="35">
        <f t="shared" si="5"/>
        <v>0</v>
      </c>
      <c r="H8" s="35">
        <f t="shared" si="5"/>
        <v>0</v>
      </c>
      <c r="I8" s="35">
        <f t="shared" si="5"/>
        <v>0</v>
      </c>
      <c r="J8" s="35">
        <f t="shared" si="5"/>
        <v>166.66666666666666</v>
      </c>
      <c r="K8" s="35">
        <f t="shared" si="5"/>
        <v>0</v>
      </c>
      <c r="L8" s="35">
        <f t="shared" si="5"/>
        <v>0</v>
      </c>
      <c r="M8" s="35">
        <f t="shared" si="5"/>
        <v>0</v>
      </c>
      <c r="N8" s="35">
        <f t="shared" si="5"/>
        <v>0</v>
      </c>
      <c r="O8" s="39">
        <f t="shared" si="5"/>
        <v>291.46929824561403</v>
      </c>
      <c r="P8" s="54"/>
      <c r="Q8" s="49"/>
      <c r="R8" s="55"/>
    </row>
    <row r="9" spans="1:18" outlineLevel="1" x14ac:dyDescent="0.25">
      <c r="A9" s="172"/>
      <c r="B9" s="7" t="s">
        <v>2</v>
      </c>
      <c r="C9" s="10">
        <v>3556.5789473684213</v>
      </c>
      <c r="D9" s="10">
        <v>0</v>
      </c>
      <c r="E9" s="10">
        <v>0</v>
      </c>
      <c r="F9" s="10">
        <v>939.47368421052636</v>
      </c>
      <c r="G9" s="10">
        <v>0</v>
      </c>
      <c r="H9" s="10">
        <v>0</v>
      </c>
      <c r="I9" s="10">
        <v>0</v>
      </c>
      <c r="J9" s="10">
        <v>1333.3333333333333</v>
      </c>
      <c r="K9" s="10">
        <v>0</v>
      </c>
      <c r="L9" s="17">
        <v>0</v>
      </c>
      <c r="M9" s="17">
        <v>0</v>
      </c>
      <c r="N9" s="17">
        <v>0</v>
      </c>
      <c r="O9" s="20">
        <f>SUM(C9:N9)</f>
        <v>5829.3859649122805</v>
      </c>
      <c r="P9" s="56">
        <f>O9/$O$4</f>
        <v>0.20178552022572291</v>
      </c>
      <c r="Q9" s="49"/>
      <c r="R9" s="55"/>
    </row>
    <row r="10" spans="1:18" outlineLevel="1" x14ac:dyDescent="0.25">
      <c r="A10" s="172"/>
      <c r="B10" s="7" t="s">
        <v>3</v>
      </c>
      <c r="C10" s="24">
        <v>18</v>
      </c>
      <c r="D10" s="24">
        <v>0</v>
      </c>
      <c r="E10" s="24">
        <v>0</v>
      </c>
      <c r="F10" s="24">
        <v>5</v>
      </c>
      <c r="G10" s="24">
        <v>0</v>
      </c>
      <c r="H10" s="24">
        <v>0</v>
      </c>
      <c r="I10" s="24">
        <v>0</v>
      </c>
      <c r="J10" s="24">
        <v>8</v>
      </c>
      <c r="K10" s="24">
        <v>0</v>
      </c>
      <c r="L10" s="25">
        <v>0</v>
      </c>
      <c r="M10" s="25">
        <v>0</v>
      </c>
      <c r="N10" s="25">
        <v>0</v>
      </c>
      <c r="O10" s="21">
        <f>SUM(C10:N10)</f>
        <v>31</v>
      </c>
      <c r="P10" s="57"/>
      <c r="Q10" s="50">
        <f>O10/$Q$6</f>
        <v>4.4285714285714288</v>
      </c>
      <c r="R10" s="58">
        <f>O10/$R$6</f>
        <v>3.4444444444444446</v>
      </c>
    </row>
    <row r="11" spans="1:18" outlineLevel="1" x14ac:dyDescent="0.25">
      <c r="A11" s="173"/>
      <c r="B11" s="13" t="s">
        <v>5</v>
      </c>
      <c r="C11" s="36">
        <f t="shared" ref="C11:O11" si="6">IF(C9=0,0,(C9/C10))</f>
        <v>197.58771929824562</v>
      </c>
      <c r="D11" s="36">
        <f t="shared" si="6"/>
        <v>0</v>
      </c>
      <c r="E11" s="36">
        <f t="shared" si="6"/>
        <v>0</v>
      </c>
      <c r="F11" s="36">
        <f t="shared" si="6"/>
        <v>187.89473684210526</v>
      </c>
      <c r="G11" s="36">
        <f t="shared" si="6"/>
        <v>0</v>
      </c>
      <c r="H11" s="36">
        <f t="shared" si="6"/>
        <v>0</v>
      </c>
      <c r="I11" s="36">
        <f t="shared" si="6"/>
        <v>0</v>
      </c>
      <c r="J11" s="36">
        <f t="shared" si="6"/>
        <v>166.66666666666666</v>
      </c>
      <c r="K11" s="36">
        <f t="shared" si="6"/>
        <v>0</v>
      </c>
      <c r="L11" s="36">
        <f t="shared" si="6"/>
        <v>0</v>
      </c>
      <c r="M11" s="36">
        <f t="shared" si="6"/>
        <v>0</v>
      </c>
      <c r="N11" s="36">
        <f t="shared" si="6"/>
        <v>0</v>
      </c>
      <c r="O11" s="40">
        <f t="shared" si="6"/>
        <v>188.04470854555743</v>
      </c>
      <c r="P11" s="59"/>
      <c r="Q11" s="60"/>
      <c r="R11" s="61"/>
    </row>
    <row r="12" spans="1:18" x14ac:dyDescent="0.25">
      <c r="A12" s="171" t="s">
        <v>23</v>
      </c>
      <c r="B12" s="12" t="s">
        <v>4</v>
      </c>
      <c r="C12" s="22">
        <v>1</v>
      </c>
      <c r="D12" s="22"/>
      <c r="E12" s="22">
        <v>2</v>
      </c>
      <c r="F12" s="22">
        <v>21</v>
      </c>
      <c r="G12" s="22"/>
      <c r="H12" s="22"/>
      <c r="I12" s="22">
        <v>20</v>
      </c>
      <c r="J12" s="22"/>
      <c r="K12" s="22"/>
      <c r="L12" s="23">
        <v>2</v>
      </c>
      <c r="M12" s="23">
        <v>10</v>
      </c>
      <c r="N12" s="23">
        <v>14</v>
      </c>
      <c r="O12" s="19">
        <f>SUM(C12:N12)</f>
        <v>70</v>
      </c>
      <c r="P12" s="51"/>
      <c r="Q12" s="52"/>
      <c r="R12" s="53"/>
    </row>
    <row r="13" spans="1:18" outlineLevel="1" x14ac:dyDescent="0.25">
      <c r="A13" s="172"/>
      <c r="B13" s="9" t="s">
        <v>1</v>
      </c>
      <c r="C13" s="35">
        <v>111.84210526315789</v>
      </c>
      <c r="D13" s="35">
        <v>0</v>
      </c>
      <c r="E13" s="35">
        <v>111.84210526315789</v>
      </c>
      <c r="F13" s="35">
        <v>90.324770258980777</v>
      </c>
      <c r="G13" s="35">
        <v>0</v>
      </c>
      <c r="H13" s="35">
        <v>0</v>
      </c>
      <c r="I13" s="35">
        <v>209.34210526315789</v>
      </c>
      <c r="J13" s="35">
        <v>0</v>
      </c>
      <c r="K13" s="35">
        <v>0</v>
      </c>
      <c r="L13" s="35">
        <v>184.86842105263159</v>
      </c>
      <c r="M13" s="35">
        <v>166.34210526315789</v>
      </c>
      <c r="N13" s="35">
        <v>151.27368421052631</v>
      </c>
      <c r="O13" s="39">
        <f>IF(O14=0,0,(O14/O12))</f>
        <v>151.00254385964908</v>
      </c>
      <c r="P13" s="54"/>
      <c r="Q13" s="49"/>
      <c r="R13" s="55"/>
    </row>
    <row r="14" spans="1:18" outlineLevel="1" x14ac:dyDescent="0.25">
      <c r="A14" s="172"/>
      <c r="B14" s="7" t="s">
        <v>2</v>
      </c>
      <c r="C14" s="10">
        <v>111.84210526315789</v>
      </c>
      <c r="D14" s="10">
        <v>0</v>
      </c>
      <c r="E14" s="10">
        <v>223.68421052631578</v>
      </c>
      <c r="F14" s="10">
        <v>1896.8201754385964</v>
      </c>
      <c r="G14" s="10">
        <v>0</v>
      </c>
      <c r="H14" s="10">
        <v>0</v>
      </c>
      <c r="I14" s="10">
        <v>4186.8421052631575</v>
      </c>
      <c r="J14" s="10">
        <v>0</v>
      </c>
      <c r="K14" s="10">
        <v>0</v>
      </c>
      <c r="L14" s="17">
        <v>369.73684210526318</v>
      </c>
      <c r="M14" s="17">
        <v>1663.421052631579</v>
      </c>
      <c r="N14" s="17">
        <v>2117.8315789473681</v>
      </c>
      <c r="O14" s="20">
        <f>SUM(C14:N14)</f>
        <v>10570.178070175436</v>
      </c>
      <c r="P14" s="56">
        <f>O14/$O$4</f>
        <v>0.36588911655654521</v>
      </c>
      <c r="Q14" s="49"/>
      <c r="R14" s="55"/>
    </row>
    <row r="15" spans="1:18" outlineLevel="1" x14ac:dyDescent="0.25">
      <c r="A15" s="172"/>
      <c r="B15" s="7" t="s">
        <v>3</v>
      </c>
      <c r="C15" s="24">
        <v>1</v>
      </c>
      <c r="D15" s="24">
        <v>0</v>
      </c>
      <c r="E15" s="24">
        <v>2</v>
      </c>
      <c r="F15" s="24">
        <v>38</v>
      </c>
      <c r="G15" s="24">
        <v>0</v>
      </c>
      <c r="H15" s="24">
        <v>0</v>
      </c>
      <c r="I15" s="24">
        <v>34</v>
      </c>
      <c r="J15" s="24">
        <v>0</v>
      </c>
      <c r="K15" s="24">
        <v>0</v>
      </c>
      <c r="L15" s="25">
        <v>4</v>
      </c>
      <c r="M15" s="25">
        <v>16</v>
      </c>
      <c r="N15" s="25">
        <v>20</v>
      </c>
      <c r="O15" s="21">
        <f>SUM(C15:N15)</f>
        <v>115</v>
      </c>
      <c r="P15" s="57"/>
      <c r="Q15" s="50">
        <f>O15/$Q$6</f>
        <v>16.428571428571427</v>
      </c>
      <c r="R15" s="58">
        <f>O15/$R$6</f>
        <v>12.777777777777779</v>
      </c>
    </row>
    <row r="16" spans="1:18" outlineLevel="1" x14ac:dyDescent="0.25">
      <c r="A16" s="173"/>
      <c r="B16" s="13" t="s">
        <v>5</v>
      </c>
      <c r="C16" s="36">
        <f t="shared" ref="C16:O16" si="7">IF(C14=0,0,(C14/C15))</f>
        <v>111.84210526315789</v>
      </c>
      <c r="D16" s="36">
        <f t="shared" si="7"/>
        <v>0</v>
      </c>
      <c r="E16" s="36">
        <f t="shared" si="7"/>
        <v>111.84210526315789</v>
      </c>
      <c r="F16" s="36">
        <f t="shared" si="7"/>
        <v>49.916320406278849</v>
      </c>
      <c r="G16" s="36">
        <f t="shared" si="7"/>
        <v>0</v>
      </c>
      <c r="H16" s="36">
        <f t="shared" si="7"/>
        <v>0</v>
      </c>
      <c r="I16" s="36">
        <f t="shared" si="7"/>
        <v>123.1424148606811</v>
      </c>
      <c r="J16" s="36">
        <f t="shared" si="7"/>
        <v>0</v>
      </c>
      <c r="K16" s="36">
        <f t="shared" si="7"/>
        <v>0</v>
      </c>
      <c r="L16" s="36">
        <f t="shared" si="7"/>
        <v>92.434210526315795</v>
      </c>
      <c r="M16" s="36">
        <f t="shared" si="7"/>
        <v>103.96381578947368</v>
      </c>
      <c r="N16" s="36">
        <f t="shared" si="7"/>
        <v>105.8915789473684</v>
      </c>
      <c r="O16" s="40">
        <f t="shared" si="7"/>
        <v>91.914591914569016</v>
      </c>
      <c r="P16" s="59"/>
      <c r="Q16" s="60"/>
      <c r="R16" s="61"/>
    </row>
    <row r="17" spans="1:18" x14ac:dyDescent="0.25">
      <c r="A17" s="171" t="s">
        <v>24</v>
      </c>
      <c r="B17" s="12" t="s">
        <v>4</v>
      </c>
      <c r="C17" s="22"/>
      <c r="D17" s="22">
        <v>14</v>
      </c>
      <c r="E17" s="22"/>
      <c r="F17" s="22">
        <v>4</v>
      </c>
      <c r="G17" s="22"/>
      <c r="H17" s="22"/>
      <c r="I17" s="22"/>
      <c r="J17" s="22"/>
      <c r="K17" s="22">
        <v>3</v>
      </c>
      <c r="L17" s="23"/>
      <c r="M17" s="23">
        <v>11</v>
      </c>
      <c r="N17" s="23">
        <v>18</v>
      </c>
      <c r="O17" s="19">
        <f>SUM(C17:N17)</f>
        <v>50</v>
      </c>
      <c r="P17" s="51"/>
      <c r="Q17" s="52"/>
      <c r="R17" s="53"/>
    </row>
    <row r="18" spans="1:18" outlineLevel="1" x14ac:dyDescent="0.25">
      <c r="A18" s="172"/>
      <c r="B18" s="9" t="s">
        <v>1</v>
      </c>
      <c r="C18" s="35">
        <f t="shared" ref="C18:O18" si="8">IF(C19=0,0,(C19/C17))</f>
        <v>0</v>
      </c>
      <c r="D18" s="35">
        <f t="shared" si="8"/>
        <v>164.03508771929825</v>
      </c>
      <c r="E18" s="35">
        <f t="shared" si="8"/>
        <v>0</v>
      </c>
      <c r="F18" s="35">
        <f t="shared" si="8"/>
        <v>164.03508771929825</v>
      </c>
      <c r="G18" s="35">
        <f t="shared" si="8"/>
        <v>0</v>
      </c>
      <c r="H18" s="35">
        <f t="shared" si="8"/>
        <v>0</v>
      </c>
      <c r="I18" s="35">
        <f t="shared" si="8"/>
        <v>0</v>
      </c>
      <c r="J18" s="35">
        <f t="shared" si="8"/>
        <v>0</v>
      </c>
      <c r="K18" s="35">
        <f t="shared" si="8"/>
        <v>172.51461988304095</v>
      </c>
      <c r="L18" s="35">
        <f t="shared" si="8"/>
        <v>0</v>
      </c>
      <c r="M18" s="35">
        <f t="shared" si="8"/>
        <v>150.82934609250398</v>
      </c>
      <c r="N18" s="35">
        <f t="shared" si="8"/>
        <v>142.12865497076024</v>
      </c>
      <c r="O18" s="39">
        <f t="shared" si="8"/>
        <v>153.75228070175439</v>
      </c>
      <c r="P18" s="54"/>
      <c r="Q18" s="49"/>
      <c r="R18" s="55"/>
    </row>
    <row r="19" spans="1:18" outlineLevel="1" x14ac:dyDescent="0.25">
      <c r="A19" s="172"/>
      <c r="B19" s="7" t="s">
        <v>2</v>
      </c>
      <c r="C19" s="10">
        <v>0</v>
      </c>
      <c r="D19" s="10">
        <v>2296.4912280701756</v>
      </c>
      <c r="E19" s="10">
        <v>0</v>
      </c>
      <c r="F19" s="10">
        <v>656.14035087719299</v>
      </c>
      <c r="G19" s="10">
        <v>0</v>
      </c>
      <c r="H19" s="10">
        <v>0</v>
      </c>
      <c r="I19" s="10">
        <v>0</v>
      </c>
      <c r="J19" s="10">
        <v>0</v>
      </c>
      <c r="K19" s="10">
        <v>517.54385964912285</v>
      </c>
      <c r="L19" s="17">
        <v>0</v>
      </c>
      <c r="M19" s="17">
        <v>1659.1228070175439</v>
      </c>
      <c r="N19" s="17">
        <v>2558.3157894736842</v>
      </c>
      <c r="O19" s="20">
        <f>SUM(C19:N19)</f>
        <v>7687.6140350877195</v>
      </c>
      <c r="P19" s="56">
        <f>O19/$O$4</f>
        <v>0.26610850725992152</v>
      </c>
      <c r="Q19" s="49"/>
      <c r="R19" s="55"/>
    </row>
    <row r="20" spans="1:18" outlineLevel="1" x14ac:dyDescent="0.25">
      <c r="A20" s="172"/>
      <c r="B20" s="7" t="s">
        <v>3</v>
      </c>
      <c r="C20" s="24">
        <v>0</v>
      </c>
      <c r="D20" s="24">
        <v>28</v>
      </c>
      <c r="E20" s="24">
        <v>0</v>
      </c>
      <c r="F20" s="24">
        <v>8</v>
      </c>
      <c r="G20" s="24">
        <v>0</v>
      </c>
      <c r="H20" s="24">
        <v>0</v>
      </c>
      <c r="I20" s="24">
        <v>0</v>
      </c>
      <c r="J20" s="24">
        <v>0</v>
      </c>
      <c r="K20" s="24">
        <v>5</v>
      </c>
      <c r="L20" s="25">
        <v>0</v>
      </c>
      <c r="M20" s="25">
        <v>15</v>
      </c>
      <c r="N20" s="25">
        <v>22</v>
      </c>
      <c r="O20" s="21">
        <f>SUM(C20:N20)</f>
        <v>78</v>
      </c>
      <c r="P20" s="57"/>
      <c r="Q20" s="50">
        <f>O20/$Q$6</f>
        <v>11.142857142857142</v>
      </c>
      <c r="R20" s="58">
        <f>O20/$R$6</f>
        <v>8.6666666666666661</v>
      </c>
    </row>
    <row r="21" spans="1:18" outlineLevel="1" x14ac:dyDescent="0.25">
      <c r="A21" s="173"/>
      <c r="B21" s="13" t="s">
        <v>5</v>
      </c>
      <c r="C21" s="36">
        <f t="shared" ref="C21:O21" si="9">IF(C19=0,0,(C19/C20))</f>
        <v>0</v>
      </c>
      <c r="D21" s="36">
        <f t="shared" si="9"/>
        <v>82.017543859649123</v>
      </c>
      <c r="E21" s="36">
        <f t="shared" si="9"/>
        <v>0</v>
      </c>
      <c r="F21" s="36">
        <f t="shared" si="9"/>
        <v>82.017543859649123</v>
      </c>
      <c r="G21" s="36">
        <f t="shared" si="9"/>
        <v>0</v>
      </c>
      <c r="H21" s="36">
        <f t="shared" si="9"/>
        <v>0</v>
      </c>
      <c r="I21" s="36">
        <f t="shared" si="9"/>
        <v>0</v>
      </c>
      <c r="J21" s="36">
        <f t="shared" si="9"/>
        <v>0</v>
      </c>
      <c r="K21" s="36">
        <f t="shared" si="9"/>
        <v>103.50877192982458</v>
      </c>
      <c r="L21" s="36">
        <f t="shared" si="9"/>
        <v>0</v>
      </c>
      <c r="M21" s="36">
        <f t="shared" si="9"/>
        <v>110.60818713450293</v>
      </c>
      <c r="N21" s="36">
        <f t="shared" si="9"/>
        <v>116.28708133971291</v>
      </c>
      <c r="O21" s="40">
        <f t="shared" si="9"/>
        <v>98.559154295996407</v>
      </c>
      <c r="P21" s="59"/>
      <c r="Q21" s="60"/>
      <c r="R21" s="61"/>
    </row>
    <row r="22" spans="1:18" x14ac:dyDescent="0.25">
      <c r="A22" s="171" t="s">
        <v>25</v>
      </c>
      <c r="B22" s="12" t="s">
        <v>4</v>
      </c>
      <c r="C22" s="22">
        <v>4</v>
      </c>
      <c r="D22" s="22"/>
      <c r="E22" s="22"/>
      <c r="F22" s="22"/>
      <c r="G22" s="22"/>
      <c r="H22" s="22"/>
      <c r="I22" s="22"/>
      <c r="J22" s="22"/>
      <c r="K22" s="22">
        <v>3</v>
      </c>
      <c r="L22" s="23"/>
      <c r="M22" s="23"/>
      <c r="N22" s="23"/>
      <c r="O22" s="19">
        <f>SUM(C22:N22)</f>
        <v>7</v>
      </c>
      <c r="P22" s="51"/>
      <c r="Q22" s="52"/>
      <c r="R22" s="53"/>
    </row>
    <row r="23" spans="1:18" outlineLevel="1" x14ac:dyDescent="0.25">
      <c r="A23" s="172"/>
      <c r="B23" s="9" t="s">
        <v>1</v>
      </c>
      <c r="C23" s="35">
        <f t="shared" ref="C23:O23" si="10">IF(C24=0,0,(C24/C22))</f>
        <v>104.3859649122807</v>
      </c>
      <c r="D23" s="35">
        <f t="shared" si="10"/>
        <v>0</v>
      </c>
      <c r="E23" s="35">
        <f t="shared" si="10"/>
        <v>0</v>
      </c>
      <c r="F23" s="35">
        <f t="shared" si="10"/>
        <v>0</v>
      </c>
      <c r="G23" s="35">
        <f t="shared" si="10"/>
        <v>0</v>
      </c>
      <c r="H23" s="35">
        <f t="shared" si="10"/>
        <v>0</v>
      </c>
      <c r="I23" s="35">
        <f t="shared" si="10"/>
        <v>0</v>
      </c>
      <c r="J23" s="35">
        <f t="shared" si="10"/>
        <v>0</v>
      </c>
      <c r="K23" s="35">
        <f t="shared" si="10"/>
        <v>97.076023391812853</v>
      </c>
      <c r="L23" s="35">
        <f t="shared" si="10"/>
        <v>0</v>
      </c>
      <c r="M23" s="35">
        <f t="shared" si="10"/>
        <v>0</v>
      </c>
      <c r="N23" s="35">
        <f t="shared" si="10"/>
        <v>0</v>
      </c>
      <c r="O23" s="39">
        <f t="shared" si="10"/>
        <v>101.25313283208018</v>
      </c>
      <c r="P23" s="54"/>
      <c r="Q23" s="49"/>
      <c r="R23" s="55"/>
    </row>
    <row r="24" spans="1:18" outlineLevel="1" x14ac:dyDescent="0.25">
      <c r="A24" s="172"/>
      <c r="B24" s="7" t="s">
        <v>2</v>
      </c>
      <c r="C24" s="10">
        <v>417.54385964912279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291.22807017543857</v>
      </c>
      <c r="L24" s="17">
        <v>0</v>
      </c>
      <c r="M24" s="17">
        <v>0</v>
      </c>
      <c r="N24" s="17">
        <v>0</v>
      </c>
      <c r="O24" s="20">
        <f>SUM(C24:N24)</f>
        <v>708.77192982456131</v>
      </c>
      <c r="P24" s="56">
        <f>O24/$O$4</f>
        <v>2.4534301458488315E-2</v>
      </c>
      <c r="Q24" s="49"/>
      <c r="R24" s="55"/>
    </row>
    <row r="25" spans="1:18" outlineLevel="1" x14ac:dyDescent="0.25">
      <c r="A25" s="172"/>
      <c r="B25" s="7" t="s">
        <v>3</v>
      </c>
      <c r="C25" s="24">
        <v>4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3</v>
      </c>
      <c r="L25" s="25">
        <v>0</v>
      </c>
      <c r="M25" s="25">
        <v>0</v>
      </c>
      <c r="N25" s="25">
        <v>0</v>
      </c>
      <c r="O25" s="21">
        <f>SUM(C25:N25)</f>
        <v>7</v>
      </c>
      <c r="P25" s="57"/>
      <c r="Q25" s="50">
        <f>O25/$Q$6</f>
        <v>1</v>
      </c>
      <c r="R25" s="58">
        <f>O25/$R$6</f>
        <v>0.77777777777777779</v>
      </c>
    </row>
    <row r="26" spans="1:18" outlineLevel="1" x14ac:dyDescent="0.25">
      <c r="A26" s="173"/>
      <c r="B26" s="13" t="s">
        <v>5</v>
      </c>
      <c r="C26" s="36">
        <f t="shared" ref="C26:O26" si="11">IF(C24=0,0,(C24/C25))</f>
        <v>104.3859649122807</v>
      </c>
      <c r="D26" s="36">
        <f t="shared" si="11"/>
        <v>0</v>
      </c>
      <c r="E26" s="36">
        <f t="shared" si="11"/>
        <v>0</v>
      </c>
      <c r="F26" s="36">
        <f t="shared" si="11"/>
        <v>0</v>
      </c>
      <c r="G26" s="36">
        <f t="shared" si="11"/>
        <v>0</v>
      </c>
      <c r="H26" s="36">
        <f t="shared" si="11"/>
        <v>0</v>
      </c>
      <c r="I26" s="36">
        <f t="shared" si="11"/>
        <v>0</v>
      </c>
      <c r="J26" s="36">
        <f t="shared" si="11"/>
        <v>0</v>
      </c>
      <c r="K26" s="36">
        <f t="shared" si="11"/>
        <v>97.076023391812853</v>
      </c>
      <c r="L26" s="36">
        <f t="shared" si="11"/>
        <v>0</v>
      </c>
      <c r="M26" s="36">
        <f t="shared" si="11"/>
        <v>0</v>
      </c>
      <c r="N26" s="36">
        <f t="shared" si="11"/>
        <v>0</v>
      </c>
      <c r="O26" s="40">
        <f t="shared" si="11"/>
        <v>101.25313283208018</v>
      </c>
      <c r="P26" s="59"/>
      <c r="Q26" s="60"/>
      <c r="R26" s="61"/>
    </row>
    <row r="27" spans="1:18" x14ac:dyDescent="0.25">
      <c r="A27" s="171" t="s">
        <v>28</v>
      </c>
      <c r="B27" s="12" t="s">
        <v>4</v>
      </c>
      <c r="C27" s="22"/>
      <c r="D27" s="22"/>
      <c r="E27" s="22"/>
      <c r="F27" s="22"/>
      <c r="G27" s="22"/>
      <c r="H27" s="22"/>
      <c r="I27" s="22"/>
      <c r="J27" s="22"/>
      <c r="K27" s="22"/>
      <c r="L27" s="23">
        <v>10</v>
      </c>
      <c r="M27" s="23">
        <v>2</v>
      </c>
      <c r="N27" s="23">
        <v>7</v>
      </c>
      <c r="O27" s="19">
        <f>SUM(C27:N27)</f>
        <v>19</v>
      </c>
      <c r="P27" s="51"/>
      <c r="Q27" s="52"/>
      <c r="R27" s="53"/>
    </row>
    <row r="28" spans="1:18" outlineLevel="1" x14ac:dyDescent="0.25">
      <c r="A28" s="172"/>
      <c r="B28" s="9" t="s">
        <v>1</v>
      </c>
      <c r="C28" s="35">
        <f t="shared" ref="C28:O28" si="12">IF(C29=0,0,(C29/C27))</f>
        <v>0</v>
      </c>
      <c r="D28" s="35">
        <f t="shared" si="12"/>
        <v>0</v>
      </c>
      <c r="E28" s="35">
        <f t="shared" si="12"/>
        <v>0</v>
      </c>
      <c r="F28" s="35">
        <f t="shared" si="12"/>
        <v>0</v>
      </c>
      <c r="G28" s="35">
        <f t="shared" si="12"/>
        <v>0</v>
      </c>
      <c r="H28" s="35">
        <f t="shared" si="12"/>
        <v>0</v>
      </c>
      <c r="I28" s="35">
        <f t="shared" si="12"/>
        <v>0</v>
      </c>
      <c r="J28" s="35">
        <f t="shared" si="12"/>
        <v>0</v>
      </c>
      <c r="K28" s="35">
        <f t="shared" si="12"/>
        <v>0</v>
      </c>
      <c r="L28" s="35">
        <f t="shared" si="12"/>
        <v>207.71929824561403</v>
      </c>
      <c r="M28" s="35">
        <f t="shared" si="12"/>
        <v>108.31578947368421</v>
      </c>
      <c r="N28" s="35">
        <f t="shared" si="12"/>
        <v>257.03508771929825</v>
      </c>
      <c r="O28" s="39">
        <f t="shared" si="12"/>
        <v>215.4247460757156</v>
      </c>
      <c r="P28" s="54"/>
      <c r="Q28" s="49"/>
      <c r="R28" s="55"/>
    </row>
    <row r="29" spans="1:18" outlineLevel="1" x14ac:dyDescent="0.25">
      <c r="A29" s="172"/>
      <c r="B29" s="7" t="s">
        <v>2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7">
        <v>2077.1929824561403</v>
      </c>
      <c r="M29" s="17">
        <v>216.63157894736841</v>
      </c>
      <c r="N29" s="17">
        <v>1799.2456140350878</v>
      </c>
      <c r="O29" s="20">
        <f>SUM(C29:N29)</f>
        <v>4093.0701754385964</v>
      </c>
      <c r="P29" s="56">
        <f>O29/$O$4</f>
        <v>0.14168255449932221</v>
      </c>
      <c r="Q29" s="49"/>
      <c r="R29" s="55"/>
    </row>
    <row r="30" spans="1:18" outlineLevel="1" x14ac:dyDescent="0.25">
      <c r="A30" s="172"/>
      <c r="B30" s="7" t="s">
        <v>3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5">
        <v>20</v>
      </c>
      <c r="M30" s="25">
        <v>2</v>
      </c>
      <c r="N30" s="25">
        <v>14</v>
      </c>
      <c r="O30" s="21">
        <f>SUM(C30:N30)</f>
        <v>36</v>
      </c>
      <c r="P30" s="57"/>
      <c r="Q30" s="50">
        <f>O30/$Q$6</f>
        <v>5.1428571428571432</v>
      </c>
      <c r="R30" s="58">
        <f>O30/$R$6</f>
        <v>4</v>
      </c>
    </row>
    <row r="31" spans="1:18" outlineLevel="1" x14ac:dyDescent="0.25">
      <c r="A31" s="173"/>
      <c r="B31" s="13" t="s">
        <v>5</v>
      </c>
      <c r="C31" s="38">
        <f t="shared" ref="C31:O31" si="13">IF(C29=0,0,(C29/C30))</f>
        <v>0</v>
      </c>
      <c r="D31" s="38">
        <f t="shared" si="13"/>
        <v>0</v>
      </c>
      <c r="E31" s="38">
        <f t="shared" si="13"/>
        <v>0</v>
      </c>
      <c r="F31" s="38">
        <f t="shared" si="13"/>
        <v>0</v>
      </c>
      <c r="G31" s="38">
        <f t="shared" si="13"/>
        <v>0</v>
      </c>
      <c r="H31" s="38">
        <f t="shared" si="13"/>
        <v>0</v>
      </c>
      <c r="I31" s="38">
        <f t="shared" si="13"/>
        <v>0</v>
      </c>
      <c r="J31" s="38">
        <f t="shared" si="13"/>
        <v>0</v>
      </c>
      <c r="K31" s="38">
        <f t="shared" si="13"/>
        <v>0</v>
      </c>
      <c r="L31" s="38">
        <f t="shared" si="13"/>
        <v>103.85964912280701</v>
      </c>
      <c r="M31" s="38">
        <f t="shared" si="13"/>
        <v>108.31578947368421</v>
      </c>
      <c r="N31" s="38">
        <f t="shared" si="13"/>
        <v>128.51754385964912</v>
      </c>
      <c r="O31" s="41">
        <f t="shared" si="13"/>
        <v>113.69639376218323</v>
      </c>
      <c r="P31" s="59"/>
      <c r="Q31" s="60"/>
      <c r="R31" s="61"/>
    </row>
  </sheetData>
  <autoFilter ref="A1:B1"/>
  <mergeCells count="7">
    <mergeCell ref="A27:A31"/>
    <mergeCell ref="P2:P6"/>
    <mergeCell ref="Q2:R4"/>
    <mergeCell ref="A7:A11"/>
    <mergeCell ref="A12:A16"/>
    <mergeCell ref="A17:A21"/>
    <mergeCell ref="A22:A26"/>
  </mergeCells>
  <conditionalFormatting sqref="A1:XFD6 A32:XFD1048576 A7:B31 P7:XFD31">
    <cfRule type="cellIs" dxfId="336" priority="20" operator="equal">
      <formula>0</formula>
    </cfRule>
  </conditionalFormatting>
  <conditionalFormatting sqref="C27:N27 C29:N30">
    <cfRule type="cellIs" dxfId="335" priority="15" operator="equal">
      <formula>0</formula>
    </cfRule>
  </conditionalFormatting>
  <conditionalFormatting sqref="C7:N7 C9:N10">
    <cfRule type="cellIs" dxfId="334" priority="19" operator="equal">
      <formula>0</formula>
    </cfRule>
  </conditionalFormatting>
  <conditionalFormatting sqref="C12:N15">
    <cfRule type="cellIs" dxfId="333" priority="18" operator="equal">
      <formula>0</formula>
    </cfRule>
  </conditionalFormatting>
  <conditionalFormatting sqref="C17:N17 C19:N20">
    <cfRule type="cellIs" dxfId="332" priority="17" operator="equal">
      <formula>0</formula>
    </cfRule>
  </conditionalFormatting>
  <conditionalFormatting sqref="C22:N22 C24:N25">
    <cfRule type="cellIs" dxfId="331" priority="16" operator="equal">
      <formula>0</formula>
    </cfRule>
  </conditionalFormatting>
  <conditionalFormatting sqref="C8:N8">
    <cfRule type="cellIs" dxfId="330" priority="14" operator="equal">
      <formula>0</formula>
    </cfRule>
  </conditionalFormatting>
  <conditionalFormatting sqref="C18:N18">
    <cfRule type="cellIs" dxfId="329" priority="13" operator="equal">
      <formula>0</formula>
    </cfRule>
  </conditionalFormatting>
  <conditionalFormatting sqref="C23:N23">
    <cfRule type="cellIs" dxfId="328" priority="12" operator="equal">
      <formula>0</formula>
    </cfRule>
  </conditionalFormatting>
  <conditionalFormatting sqref="C28:N28">
    <cfRule type="cellIs" dxfId="327" priority="11" operator="equal">
      <formula>0</formula>
    </cfRule>
  </conditionalFormatting>
  <conditionalFormatting sqref="C11:N11">
    <cfRule type="cellIs" dxfId="326" priority="10" operator="equal">
      <formula>0</formula>
    </cfRule>
  </conditionalFormatting>
  <conditionalFormatting sqref="C16:N16">
    <cfRule type="cellIs" dxfId="325" priority="9" operator="equal">
      <formula>0</formula>
    </cfRule>
  </conditionalFormatting>
  <conditionalFormatting sqref="O27:O31">
    <cfRule type="cellIs" dxfId="324" priority="1" operator="equal">
      <formula>0</formula>
    </cfRule>
  </conditionalFormatting>
  <conditionalFormatting sqref="C21:N21">
    <cfRule type="cellIs" dxfId="323" priority="8" operator="equal">
      <formula>0</formula>
    </cfRule>
  </conditionalFormatting>
  <conditionalFormatting sqref="C26:N26">
    <cfRule type="cellIs" dxfId="322" priority="7" operator="equal">
      <formula>0</formula>
    </cfRule>
  </conditionalFormatting>
  <conditionalFormatting sqref="C31:N31">
    <cfRule type="cellIs" dxfId="321" priority="6" operator="equal">
      <formula>0</formula>
    </cfRule>
  </conditionalFormatting>
  <conditionalFormatting sqref="O7:O11">
    <cfRule type="cellIs" dxfId="320" priority="5" operator="equal">
      <formula>0</formula>
    </cfRule>
  </conditionalFormatting>
  <conditionalFormatting sqref="O12:O16">
    <cfRule type="cellIs" dxfId="319" priority="4" operator="equal">
      <formula>0</formula>
    </cfRule>
  </conditionalFormatting>
  <conditionalFormatting sqref="O17:O21">
    <cfRule type="cellIs" dxfId="318" priority="3" operator="equal">
      <formula>0</formula>
    </cfRule>
  </conditionalFormatting>
  <conditionalFormatting sqref="O22:O26">
    <cfRule type="cellIs" dxfId="317" priority="2" operator="equal">
      <formula>0</formula>
    </cfRule>
  </conditionalFormatting>
  <pageMargins left="0.7" right="0.7" top="0.75" bottom="0.75" header="0.3" footer="0.3"/>
  <pageSetup orientation="portrait" horizont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R41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9" sqref="O9"/>
    </sheetView>
  </sheetViews>
  <sheetFormatPr defaultColWidth="9.109375" defaultRowHeight="13.8" outlineLevelRow="1" x14ac:dyDescent="0.25"/>
  <cols>
    <col min="1" max="1" width="13.5546875" style="27" bestFit="1" customWidth="1"/>
    <col min="2" max="2" width="12.33203125" style="2" customWidth="1"/>
    <col min="3" max="14" width="8" style="14" customWidth="1"/>
    <col min="15" max="15" width="10.44140625" style="15" bestFit="1" customWidth="1"/>
    <col min="16" max="16" width="4.33203125" style="1" bestFit="1" customWidth="1"/>
    <col min="17" max="18" width="7" style="1" customWidth="1"/>
    <col min="19" max="16384" width="9.109375" style="1"/>
  </cols>
  <sheetData>
    <row r="1" spans="1:18" outlineLevel="1" x14ac:dyDescent="0.25">
      <c r="A1" s="64"/>
      <c r="B1" s="64"/>
      <c r="C1" s="64" t="s">
        <v>14</v>
      </c>
      <c r="D1" s="64" t="s">
        <v>15</v>
      </c>
      <c r="E1" s="64" t="s">
        <v>16</v>
      </c>
      <c r="F1" s="64" t="s">
        <v>17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18</v>
      </c>
      <c r="P1" s="64"/>
      <c r="Q1" s="64"/>
      <c r="R1" s="64"/>
    </row>
    <row r="2" spans="1:18" s="2" customFormat="1" ht="13.2" customHeight="1" x14ac:dyDescent="0.3">
      <c r="A2" s="74" t="s">
        <v>0</v>
      </c>
      <c r="B2" s="42" t="s">
        <v>4</v>
      </c>
      <c r="C2" s="29">
        <f>C7+C12+C17+C27+C32+C37</f>
        <v>42</v>
      </c>
      <c r="D2" s="29">
        <f t="shared" ref="D2:O2" si="0">D7+D12+D17+D27+D32+D37</f>
        <v>31</v>
      </c>
      <c r="E2" s="29">
        <f t="shared" si="0"/>
        <v>22</v>
      </c>
      <c r="F2" s="29">
        <f t="shared" si="0"/>
        <v>14</v>
      </c>
      <c r="G2" s="29">
        <f t="shared" si="0"/>
        <v>0</v>
      </c>
      <c r="H2" s="29">
        <f t="shared" si="0"/>
        <v>0</v>
      </c>
      <c r="I2" s="29">
        <f t="shared" si="0"/>
        <v>14</v>
      </c>
      <c r="J2" s="29">
        <f t="shared" si="0"/>
        <v>20</v>
      </c>
      <c r="K2" s="29">
        <f t="shared" si="0"/>
        <v>31</v>
      </c>
      <c r="L2" s="29">
        <f t="shared" si="0"/>
        <v>41</v>
      </c>
      <c r="M2" s="29">
        <f t="shared" si="0"/>
        <v>40</v>
      </c>
      <c r="N2" s="29">
        <f t="shared" si="0"/>
        <v>133</v>
      </c>
      <c r="O2" s="70">
        <f t="shared" si="0"/>
        <v>388</v>
      </c>
      <c r="P2" s="174" t="s">
        <v>20</v>
      </c>
      <c r="Q2" s="182" t="s">
        <v>19</v>
      </c>
      <c r="R2" s="183"/>
    </row>
    <row r="3" spans="1:18" s="2" customFormat="1" x14ac:dyDescent="0.3">
      <c r="A3" s="37"/>
      <c r="B3" s="28" t="s">
        <v>1</v>
      </c>
      <c r="C3" s="32">
        <f>IF(C4=0,0,(C4/C2))</f>
        <v>16.315519819468264</v>
      </c>
      <c r="D3" s="32">
        <f t="shared" ref="D3:O3" si="1">IF(D4=0,0,(D4/D2))</f>
        <v>80.796294702588412</v>
      </c>
      <c r="E3" s="32">
        <f t="shared" si="1"/>
        <v>60.435134996082709</v>
      </c>
      <c r="F3" s="32">
        <f t="shared" si="1"/>
        <v>170.71103107769423</v>
      </c>
      <c r="G3" s="32">
        <f t="shared" si="1"/>
        <v>0</v>
      </c>
      <c r="H3" s="32">
        <f t="shared" si="1"/>
        <v>0</v>
      </c>
      <c r="I3" s="32">
        <f t="shared" si="1"/>
        <v>185.34784461152881</v>
      </c>
      <c r="J3" s="32">
        <f t="shared" si="1"/>
        <v>124.3110786088027</v>
      </c>
      <c r="K3" s="32">
        <f t="shared" si="1"/>
        <v>75.76869202285566</v>
      </c>
      <c r="L3" s="32">
        <f t="shared" si="1"/>
        <v>89.191025674879327</v>
      </c>
      <c r="M3" s="32">
        <f t="shared" si="1"/>
        <v>90.544296693598042</v>
      </c>
      <c r="N3" s="32">
        <f t="shared" si="1"/>
        <v>110.81108383701637</v>
      </c>
      <c r="O3" s="71">
        <f t="shared" si="1"/>
        <v>93.700678591192201</v>
      </c>
      <c r="P3" s="174"/>
      <c r="Q3" s="184"/>
      <c r="R3" s="185"/>
    </row>
    <row r="4" spans="1:18" s="2" customFormat="1" x14ac:dyDescent="0.3">
      <c r="A4" s="37"/>
      <c r="B4" s="5" t="s">
        <v>2</v>
      </c>
      <c r="C4" s="6">
        <f>C9+C14+C19+C29+C34+C39</f>
        <v>685.25183241766706</v>
      </c>
      <c r="D4" s="6">
        <f t="shared" ref="D4:O4" si="2">D9+D14+D19+D29+D34+D39</f>
        <v>2504.6851357802407</v>
      </c>
      <c r="E4" s="6">
        <f t="shared" si="2"/>
        <v>1329.5729699138196</v>
      </c>
      <c r="F4" s="6">
        <f t="shared" si="2"/>
        <v>2389.954435087719</v>
      </c>
      <c r="G4" s="6">
        <f t="shared" si="2"/>
        <v>0</v>
      </c>
      <c r="H4" s="6">
        <f t="shared" si="2"/>
        <v>0</v>
      </c>
      <c r="I4" s="6">
        <f t="shared" si="2"/>
        <v>2594.8698245614032</v>
      </c>
      <c r="J4" s="6">
        <f t="shared" si="2"/>
        <v>2486.221572176054</v>
      </c>
      <c r="K4" s="6">
        <f t="shared" si="2"/>
        <v>2348.8294527085254</v>
      </c>
      <c r="L4" s="6">
        <f t="shared" si="2"/>
        <v>3656.8320526700522</v>
      </c>
      <c r="M4" s="6">
        <f t="shared" si="2"/>
        <v>3621.7718677439216</v>
      </c>
      <c r="N4" s="6">
        <f t="shared" si="2"/>
        <v>14737.874150323178</v>
      </c>
      <c r="O4" s="72">
        <f t="shared" si="2"/>
        <v>36355.863293382572</v>
      </c>
      <c r="P4" s="174"/>
      <c r="Q4" s="186"/>
      <c r="R4" s="187"/>
    </row>
    <row r="5" spans="1:18" s="2" customFormat="1" x14ac:dyDescent="0.3">
      <c r="A5" s="37"/>
      <c r="B5" s="28" t="s">
        <v>3</v>
      </c>
      <c r="C5" s="29">
        <f>C10+C15+C20+C30+C35+C40</f>
        <v>81</v>
      </c>
      <c r="D5" s="29">
        <f t="shared" ref="D5:O5" si="3">D10+D15+D20+D30+D35+D40</f>
        <v>59</v>
      </c>
      <c r="E5" s="29">
        <f t="shared" si="3"/>
        <v>38</v>
      </c>
      <c r="F5" s="29">
        <f t="shared" si="3"/>
        <v>20</v>
      </c>
      <c r="G5" s="29">
        <f t="shared" si="3"/>
        <v>0</v>
      </c>
      <c r="H5" s="29">
        <f t="shared" si="3"/>
        <v>0</v>
      </c>
      <c r="I5" s="29">
        <f t="shared" si="3"/>
        <v>16</v>
      </c>
      <c r="J5" s="29">
        <f t="shared" si="3"/>
        <v>31</v>
      </c>
      <c r="K5" s="29">
        <f t="shared" si="3"/>
        <v>40</v>
      </c>
      <c r="L5" s="29">
        <f t="shared" si="3"/>
        <v>75</v>
      </c>
      <c r="M5" s="29">
        <f t="shared" si="3"/>
        <v>66</v>
      </c>
      <c r="N5" s="29">
        <f t="shared" si="3"/>
        <v>184</v>
      </c>
      <c r="O5" s="70">
        <f t="shared" si="3"/>
        <v>610</v>
      </c>
      <c r="P5" s="174"/>
      <c r="Q5" s="62">
        <f>O5/$Q$6</f>
        <v>87.142857142857139</v>
      </c>
      <c r="R5" s="63">
        <f>O5/$R$6</f>
        <v>67.777777777777771</v>
      </c>
    </row>
    <row r="6" spans="1:18" s="2" customFormat="1" x14ac:dyDescent="0.3">
      <c r="A6" s="37"/>
      <c r="B6" s="30" t="s">
        <v>5</v>
      </c>
      <c r="C6" s="31">
        <f>IF(C4=0,0,(C4/C5))</f>
        <v>8.4598991656502101</v>
      </c>
      <c r="D6" s="31">
        <f t="shared" ref="D6:O6" si="4">IF(D4=0,0,(D4/D5))</f>
        <v>42.452290436953234</v>
      </c>
      <c r="E6" s="31">
        <f t="shared" si="4"/>
        <v>34.988762366153146</v>
      </c>
      <c r="F6" s="31">
        <f t="shared" si="4"/>
        <v>119.49772175438595</v>
      </c>
      <c r="G6" s="31">
        <f t="shared" si="4"/>
        <v>0</v>
      </c>
      <c r="H6" s="31">
        <f t="shared" si="4"/>
        <v>0</v>
      </c>
      <c r="I6" s="31">
        <f t="shared" si="4"/>
        <v>162.1793640350877</v>
      </c>
      <c r="J6" s="31">
        <f t="shared" si="4"/>
        <v>80.200695876646904</v>
      </c>
      <c r="K6" s="31">
        <f t="shared" si="4"/>
        <v>58.720736317713133</v>
      </c>
      <c r="L6" s="31">
        <f t="shared" si="4"/>
        <v>48.757760702267362</v>
      </c>
      <c r="M6" s="31">
        <f t="shared" si="4"/>
        <v>54.87533132945336</v>
      </c>
      <c r="N6" s="31">
        <f t="shared" si="4"/>
        <v>80.097142121321625</v>
      </c>
      <c r="O6" s="73">
        <f t="shared" si="4"/>
        <v>59.599775890791101</v>
      </c>
      <c r="P6" s="175"/>
      <c r="Q6" s="48">
        <v>7</v>
      </c>
      <c r="R6" s="48">
        <v>9</v>
      </c>
    </row>
    <row r="7" spans="1:18" x14ac:dyDescent="0.25">
      <c r="A7" s="171" t="s">
        <v>27</v>
      </c>
      <c r="B7" s="12" t="s">
        <v>4</v>
      </c>
      <c r="C7" s="22"/>
      <c r="D7" s="22"/>
      <c r="E7" s="22">
        <v>6</v>
      </c>
      <c r="F7" s="22">
        <v>8</v>
      </c>
      <c r="G7" s="22"/>
      <c r="H7" s="22"/>
      <c r="I7" s="22"/>
      <c r="J7" s="22">
        <v>12</v>
      </c>
      <c r="K7" s="22">
        <v>14</v>
      </c>
      <c r="L7" s="23">
        <v>10</v>
      </c>
      <c r="M7" s="23">
        <v>6</v>
      </c>
      <c r="N7" s="23">
        <v>73</v>
      </c>
      <c r="O7" s="43">
        <f>SUM(C7:N7)</f>
        <v>129</v>
      </c>
      <c r="P7" s="51"/>
      <c r="Q7" s="52"/>
      <c r="R7" s="53"/>
    </row>
    <row r="8" spans="1:18" outlineLevel="1" x14ac:dyDescent="0.25">
      <c r="A8" s="172"/>
      <c r="B8" s="9" t="s">
        <v>1</v>
      </c>
      <c r="C8" s="35">
        <f t="shared" ref="C8:N8" si="5">IF(C9=0,0,(C9/C7))</f>
        <v>0</v>
      </c>
      <c r="D8" s="35">
        <f t="shared" si="5"/>
        <v>0</v>
      </c>
      <c r="E8" s="35">
        <f t="shared" si="5"/>
        <v>170.26390877192981</v>
      </c>
      <c r="F8" s="35">
        <f t="shared" si="5"/>
        <v>165.82995372807014</v>
      </c>
      <c r="G8" s="35">
        <f t="shared" si="5"/>
        <v>0</v>
      </c>
      <c r="H8" s="35">
        <f t="shared" si="5"/>
        <v>0</v>
      </c>
      <c r="I8" s="35">
        <f t="shared" si="5"/>
        <v>0</v>
      </c>
      <c r="J8" s="35">
        <f t="shared" si="5"/>
        <v>168.26084210526315</v>
      </c>
      <c r="K8" s="35">
        <f t="shared" si="5"/>
        <v>96.369515100250624</v>
      </c>
      <c r="L8" s="35">
        <f t="shared" si="5"/>
        <v>117.94683166666664</v>
      </c>
      <c r="M8" s="35">
        <f t="shared" si="5"/>
        <v>114.55172192982458</v>
      </c>
      <c r="N8" s="35">
        <f t="shared" si="5"/>
        <v>147.2158226748378</v>
      </c>
      <c r="O8" s="44">
        <f>IF(O9=0,0,(O9/O7))</f>
        <v>142.09348916768664</v>
      </c>
      <c r="P8" s="54"/>
      <c r="Q8" s="49"/>
      <c r="R8" s="55"/>
    </row>
    <row r="9" spans="1:18" outlineLevel="1" x14ac:dyDescent="0.25">
      <c r="A9" s="172"/>
      <c r="B9" s="7" t="s">
        <v>2</v>
      </c>
      <c r="C9" s="10">
        <v>0</v>
      </c>
      <c r="D9" s="10">
        <v>0</v>
      </c>
      <c r="E9" s="10">
        <v>1021.5834526315789</v>
      </c>
      <c r="F9" s="10">
        <v>1326.6396298245611</v>
      </c>
      <c r="G9" s="10">
        <v>0</v>
      </c>
      <c r="H9" s="10">
        <v>0</v>
      </c>
      <c r="I9" s="10">
        <v>0</v>
      </c>
      <c r="J9" s="10">
        <v>2019.1301052631579</v>
      </c>
      <c r="K9" s="10">
        <v>1349.1732114035087</v>
      </c>
      <c r="L9" s="17">
        <v>1179.4683166666664</v>
      </c>
      <c r="M9" s="17">
        <v>687.31033157894751</v>
      </c>
      <c r="N9" s="17">
        <v>10746.755055263158</v>
      </c>
      <c r="O9" s="45">
        <f>SUM(C9:N9)</f>
        <v>18330.060102631578</v>
      </c>
      <c r="P9" s="56">
        <f>O9/$O$4</f>
        <v>0.50418442699909649</v>
      </c>
      <c r="Q9" s="49"/>
      <c r="R9" s="55"/>
    </row>
    <row r="10" spans="1:18" outlineLevel="1" x14ac:dyDescent="0.25">
      <c r="A10" s="172"/>
      <c r="B10" s="7" t="s">
        <v>3</v>
      </c>
      <c r="C10" s="24">
        <v>0</v>
      </c>
      <c r="D10" s="24">
        <v>0</v>
      </c>
      <c r="E10" s="24">
        <v>6</v>
      </c>
      <c r="F10" s="24">
        <v>8</v>
      </c>
      <c r="G10" s="24">
        <v>0</v>
      </c>
      <c r="H10" s="24">
        <v>0</v>
      </c>
      <c r="I10" s="24">
        <v>0</v>
      </c>
      <c r="J10" s="24">
        <v>18</v>
      </c>
      <c r="K10" s="24">
        <v>14</v>
      </c>
      <c r="L10" s="25">
        <v>13</v>
      </c>
      <c r="M10" s="25">
        <v>9</v>
      </c>
      <c r="N10" s="25">
        <v>75</v>
      </c>
      <c r="O10" s="46">
        <f>SUM(C10:N10)</f>
        <v>143</v>
      </c>
      <c r="P10" s="57"/>
      <c r="Q10" s="50">
        <f>O10/$Q$6</f>
        <v>20.428571428571427</v>
      </c>
      <c r="R10" s="58">
        <f>O10/$R$6</f>
        <v>15.888888888888889</v>
      </c>
    </row>
    <row r="11" spans="1:18" outlineLevel="1" x14ac:dyDescent="0.25">
      <c r="A11" s="173"/>
      <c r="B11" s="13" t="s">
        <v>5</v>
      </c>
      <c r="C11" s="36">
        <f t="shared" ref="C11:N11" si="6">IF(C9=0,0,(C9/C10))</f>
        <v>0</v>
      </c>
      <c r="D11" s="36">
        <f t="shared" si="6"/>
        <v>0</v>
      </c>
      <c r="E11" s="36">
        <f t="shared" si="6"/>
        <v>170.26390877192981</v>
      </c>
      <c r="F11" s="36">
        <f t="shared" si="6"/>
        <v>165.82995372807014</v>
      </c>
      <c r="G11" s="36">
        <f t="shared" si="6"/>
        <v>0</v>
      </c>
      <c r="H11" s="36">
        <f t="shared" si="6"/>
        <v>0</v>
      </c>
      <c r="I11" s="36">
        <f t="shared" si="6"/>
        <v>0</v>
      </c>
      <c r="J11" s="36">
        <f t="shared" si="6"/>
        <v>112.1738947368421</v>
      </c>
      <c r="K11" s="36">
        <f t="shared" si="6"/>
        <v>96.369515100250624</v>
      </c>
      <c r="L11" s="36">
        <f t="shared" si="6"/>
        <v>90.728332051282024</v>
      </c>
      <c r="M11" s="36">
        <f t="shared" si="6"/>
        <v>76.367814619883063</v>
      </c>
      <c r="N11" s="36">
        <f t="shared" si="6"/>
        <v>143.29006740350877</v>
      </c>
      <c r="O11" s="47">
        <f>IF(O9=0,0,(O9/O10))</f>
        <v>128.18223847994111</v>
      </c>
      <c r="P11" s="59"/>
      <c r="Q11" s="60"/>
      <c r="R11" s="61"/>
    </row>
    <row r="12" spans="1:18" x14ac:dyDescent="0.25">
      <c r="A12" s="171" t="s">
        <v>23</v>
      </c>
      <c r="B12" s="12" t="s">
        <v>4</v>
      </c>
      <c r="C12" s="11">
        <v>39</v>
      </c>
      <c r="D12" s="11">
        <v>20</v>
      </c>
      <c r="E12" s="11">
        <v>14</v>
      </c>
      <c r="F12" s="11"/>
      <c r="G12" s="11"/>
      <c r="H12" s="11"/>
      <c r="I12" s="11"/>
      <c r="J12" s="11">
        <v>1</v>
      </c>
      <c r="K12" s="11">
        <v>4</v>
      </c>
      <c r="L12" s="16">
        <v>11</v>
      </c>
      <c r="M12" s="16">
        <v>5</v>
      </c>
      <c r="N12" s="16">
        <v>29</v>
      </c>
      <c r="O12" s="19">
        <f>SUM(C12:N12)</f>
        <v>123</v>
      </c>
      <c r="P12" s="51"/>
      <c r="Q12" s="52"/>
      <c r="R12" s="53"/>
    </row>
    <row r="13" spans="1:18" outlineLevel="1" x14ac:dyDescent="0.25">
      <c r="A13" s="172"/>
      <c r="B13" s="9" t="s">
        <v>1</v>
      </c>
      <c r="C13" s="35">
        <f t="shared" ref="C13:N13" si="7">IF(C14=0,0,(C14/C12))</f>
        <v>0.79241695807783064</v>
      </c>
      <c r="D13" s="35">
        <f t="shared" si="7"/>
        <v>0.8400569644506003</v>
      </c>
      <c r="E13" s="35">
        <f t="shared" si="7"/>
        <v>0.59464559534801908</v>
      </c>
      <c r="F13" s="35">
        <f t="shared" si="7"/>
        <v>0</v>
      </c>
      <c r="G13" s="35">
        <f t="shared" si="7"/>
        <v>0</v>
      </c>
      <c r="H13" s="35">
        <f t="shared" si="7"/>
        <v>0</v>
      </c>
      <c r="I13" s="35">
        <f t="shared" si="7"/>
        <v>0</v>
      </c>
      <c r="J13" s="35">
        <f t="shared" si="7"/>
        <v>0.96908094798399502</v>
      </c>
      <c r="K13" s="35">
        <f t="shared" si="7"/>
        <v>0.95083225607879351</v>
      </c>
      <c r="L13" s="35">
        <f t="shared" si="7"/>
        <v>0.68939569727748395</v>
      </c>
      <c r="M13" s="35">
        <f t="shared" si="7"/>
        <v>0.2896207417666975</v>
      </c>
      <c r="N13" s="35">
        <f t="shared" si="7"/>
        <v>0.90367451205145333</v>
      </c>
      <c r="O13" s="39">
        <f>IF(O14=0,0,(O14/O12))</f>
        <v>0.78082005032192514</v>
      </c>
      <c r="P13" s="54"/>
      <c r="Q13" s="49"/>
      <c r="R13" s="55"/>
    </row>
    <row r="14" spans="1:18" outlineLevel="1" x14ac:dyDescent="0.25">
      <c r="A14" s="172"/>
      <c r="B14" s="7" t="s">
        <v>2</v>
      </c>
      <c r="C14" s="76">
        <v>30.904261365035396</v>
      </c>
      <c r="D14" s="76">
        <v>16.801139289012006</v>
      </c>
      <c r="E14" s="76">
        <v>8.3250383348722679</v>
      </c>
      <c r="F14" s="76">
        <v>0</v>
      </c>
      <c r="G14" s="76">
        <v>0</v>
      </c>
      <c r="H14" s="76">
        <v>0</v>
      </c>
      <c r="I14" s="76">
        <v>0</v>
      </c>
      <c r="J14" s="76">
        <v>0.96908094798399502</v>
      </c>
      <c r="K14" s="76">
        <v>3.8033290243151741</v>
      </c>
      <c r="L14" s="77">
        <v>7.5833526700523235</v>
      </c>
      <c r="M14" s="77">
        <v>1.4481037088334874</v>
      </c>
      <c r="N14" s="77">
        <v>26.206560849492146</v>
      </c>
      <c r="O14" s="20">
        <f>SUM(C14:N14)</f>
        <v>96.040866189596798</v>
      </c>
      <c r="P14" s="56">
        <f>O14/$O$4</f>
        <v>2.6416885060484311E-3</v>
      </c>
      <c r="Q14" s="49"/>
      <c r="R14" s="55"/>
    </row>
    <row r="15" spans="1:18" outlineLevel="1" x14ac:dyDescent="0.25">
      <c r="A15" s="172"/>
      <c r="B15" s="7" t="s">
        <v>3</v>
      </c>
      <c r="C15" s="8">
        <v>75</v>
      </c>
      <c r="D15" s="8">
        <v>38</v>
      </c>
      <c r="E15" s="8">
        <v>28</v>
      </c>
      <c r="F15" s="8">
        <v>0</v>
      </c>
      <c r="G15" s="8">
        <v>0</v>
      </c>
      <c r="H15" s="8">
        <v>0</v>
      </c>
      <c r="I15" s="8">
        <v>0</v>
      </c>
      <c r="J15" s="8">
        <v>2</v>
      </c>
      <c r="K15" s="8">
        <v>7</v>
      </c>
      <c r="L15" s="18">
        <v>22</v>
      </c>
      <c r="M15" s="18">
        <v>10</v>
      </c>
      <c r="N15" s="18">
        <v>50</v>
      </c>
      <c r="O15" s="21">
        <f>SUM(C15:N15)</f>
        <v>232</v>
      </c>
      <c r="P15" s="57"/>
      <c r="Q15" s="50">
        <f>O15/$Q$6</f>
        <v>33.142857142857146</v>
      </c>
      <c r="R15" s="58">
        <f>O15/$R$6</f>
        <v>25.777777777777779</v>
      </c>
    </row>
    <row r="16" spans="1:18" outlineLevel="1" x14ac:dyDescent="0.25">
      <c r="A16" s="173"/>
      <c r="B16" s="13" t="s">
        <v>5</v>
      </c>
      <c r="C16" s="36">
        <f t="shared" ref="C16:N16" si="8">IF(C14=0,0,(C14/C15))</f>
        <v>0.41205681820047196</v>
      </c>
      <c r="D16" s="36">
        <f t="shared" si="8"/>
        <v>0.44213524444768437</v>
      </c>
      <c r="E16" s="36">
        <f t="shared" si="8"/>
        <v>0.29732279767400954</v>
      </c>
      <c r="F16" s="36">
        <f t="shared" si="8"/>
        <v>0</v>
      </c>
      <c r="G16" s="36">
        <f t="shared" si="8"/>
        <v>0</v>
      </c>
      <c r="H16" s="36">
        <f t="shared" si="8"/>
        <v>0</v>
      </c>
      <c r="I16" s="36">
        <f t="shared" si="8"/>
        <v>0</v>
      </c>
      <c r="J16" s="36">
        <f t="shared" si="8"/>
        <v>0.48454047399199751</v>
      </c>
      <c r="K16" s="36">
        <f t="shared" si="8"/>
        <v>0.54333271775931058</v>
      </c>
      <c r="L16" s="36">
        <f t="shared" si="8"/>
        <v>0.34469784863874198</v>
      </c>
      <c r="M16" s="36">
        <f t="shared" si="8"/>
        <v>0.14481037088334875</v>
      </c>
      <c r="N16" s="36">
        <f t="shared" si="8"/>
        <v>0.52413121698984289</v>
      </c>
      <c r="O16" s="40">
        <f>IF(O14=0,0,(O14/O15))</f>
        <v>0.41396925081722757</v>
      </c>
      <c r="P16" s="59"/>
      <c r="Q16" s="60"/>
      <c r="R16" s="61"/>
    </row>
    <row r="17" spans="1:18" x14ac:dyDescent="0.25">
      <c r="A17" s="171" t="s">
        <v>24</v>
      </c>
      <c r="B17" s="12" t="s">
        <v>4</v>
      </c>
      <c r="C17" s="11"/>
      <c r="D17" s="11">
        <v>11</v>
      </c>
      <c r="E17" s="11"/>
      <c r="F17" s="11">
        <v>6</v>
      </c>
      <c r="G17" s="11"/>
      <c r="H17" s="11"/>
      <c r="I17" s="11">
        <v>12</v>
      </c>
      <c r="J17" s="11">
        <v>7</v>
      </c>
      <c r="K17" s="11">
        <v>9</v>
      </c>
      <c r="L17" s="16">
        <v>11</v>
      </c>
      <c r="M17" s="16">
        <v>15</v>
      </c>
      <c r="N17" s="16">
        <v>18</v>
      </c>
      <c r="O17" s="19">
        <f>SUM(C17:N17)</f>
        <v>89</v>
      </c>
      <c r="P17" s="51"/>
      <c r="Q17" s="52"/>
      <c r="R17" s="53"/>
    </row>
    <row r="18" spans="1:18" outlineLevel="1" x14ac:dyDescent="0.25">
      <c r="A18" s="172"/>
      <c r="B18" s="9" t="s">
        <v>1</v>
      </c>
      <c r="C18" s="35">
        <f t="shared" ref="C18:N18" si="9">IF(C19=0,0,(C19/C17))</f>
        <v>0</v>
      </c>
      <c r="D18" s="35">
        <f t="shared" si="9"/>
        <v>226.1712724082935</v>
      </c>
      <c r="E18" s="35">
        <f t="shared" si="9"/>
        <v>0</v>
      </c>
      <c r="F18" s="35">
        <f t="shared" si="9"/>
        <v>177.21913421052633</v>
      </c>
      <c r="G18" s="35">
        <f t="shared" si="9"/>
        <v>0</v>
      </c>
      <c r="H18" s="35">
        <f t="shared" si="9"/>
        <v>0</v>
      </c>
      <c r="I18" s="35">
        <f t="shared" si="9"/>
        <v>202.19339956140348</v>
      </c>
      <c r="J18" s="35">
        <f t="shared" si="9"/>
        <v>66.588912280701763</v>
      </c>
      <c r="K18" s="35">
        <f t="shared" si="9"/>
        <v>71.820163742690042</v>
      </c>
      <c r="L18" s="35">
        <f t="shared" si="9"/>
        <v>119.39364569377993</v>
      </c>
      <c r="M18" s="35">
        <f t="shared" si="9"/>
        <v>77.649305789473672</v>
      </c>
      <c r="N18" s="35">
        <f t="shared" si="9"/>
        <v>158.02506944444448</v>
      </c>
      <c r="O18" s="39">
        <f>IF(O19=0,0,(O19/O17))</f>
        <v>139.46679096195544</v>
      </c>
      <c r="P18" s="54"/>
      <c r="Q18" s="49"/>
      <c r="R18" s="55"/>
    </row>
    <row r="19" spans="1:18" outlineLevel="1" x14ac:dyDescent="0.25">
      <c r="A19" s="172"/>
      <c r="B19" s="7" t="s">
        <v>2</v>
      </c>
      <c r="C19" s="10">
        <v>0</v>
      </c>
      <c r="D19" s="10">
        <v>2487.8839964912286</v>
      </c>
      <c r="E19" s="10">
        <v>0</v>
      </c>
      <c r="F19" s="10">
        <v>1063.314805263158</v>
      </c>
      <c r="G19" s="10">
        <v>0</v>
      </c>
      <c r="H19" s="10">
        <v>0</v>
      </c>
      <c r="I19" s="10">
        <v>2426.3207947368419</v>
      </c>
      <c r="J19" s="10">
        <v>466.12238596491238</v>
      </c>
      <c r="K19" s="10">
        <v>646.38147368421039</v>
      </c>
      <c r="L19" s="17">
        <v>1313.3301026315792</v>
      </c>
      <c r="M19" s="17">
        <v>1164.7395868421052</v>
      </c>
      <c r="N19" s="17">
        <v>2844.4512500000005</v>
      </c>
      <c r="O19" s="20">
        <f>SUM(C19:N19)</f>
        <v>12412.544395614035</v>
      </c>
      <c r="P19" s="56">
        <f>O19/$O$4</f>
        <v>0.34141795218691295</v>
      </c>
      <c r="Q19" s="49"/>
      <c r="R19" s="55"/>
    </row>
    <row r="20" spans="1:18" outlineLevel="1" x14ac:dyDescent="0.25">
      <c r="A20" s="172"/>
      <c r="B20" s="7" t="s">
        <v>3</v>
      </c>
      <c r="C20" s="8">
        <v>0</v>
      </c>
      <c r="D20" s="8">
        <v>21</v>
      </c>
      <c r="E20" s="8">
        <v>0</v>
      </c>
      <c r="F20" s="8">
        <v>12</v>
      </c>
      <c r="G20" s="8">
        <v>0</v>
      </c>
      <c r="H20" s="8">
        <v>0</v>
      </c>
      <c r="I20" s="8">
        <v>12</v>
      </c>
      <c r="J20" s="8">
        <v>11</v>
      </c>
      <c r="K20" s="8">
        <v>11</v>
      </c>
      <c r="L20" s="18">
        <v>21</v>
      </c>
      <c r="M20" s="18">
        <v>19</v>
      </c>
      <c r="N20" s="18">
        <v>36</v>
      </c>
      <c r="O20" s="21">
        <f>SUM(C20:N20)</f>
        <v>143</v>
      </c>
      <c r="P20" s="57"/>
      <c r="Q20" s="50">
        <f>O20/$Q$6</f>
        <v>20.428571428571427</v>
      </c>
      <c r="R20" s="58">
        <f>O20/$R$6</f>
        <v>15.888888888888889</v>
      </c>
    </row>
    <row r="21" spans="1:18" outlineLevel="1" x14ac:dyDescent="0.25">
      <c r="A21" s="173"/>
      <c r="B21" s="13" t="s">
        <v>5</v>
      </c>
      <c r="C21" s="36">
        <f t="shared" ref="C21:N21" si="10">IF(C19=0,0,(C19/C20))</f>
        <v>0</v>
      </c>
      <c r="D21" s="36">
        <f t="shared" si="10"/>
        <v>118.47066649958231</v>
      </c>
      <c r="E21" s="36">
        <f t="shared" si="10"/>
        <v>0</v>
      </c>
      <c r="F21" s="36">
        <f t="shared" si="10"/>
        <v>88.609567105263167</v>
      </c>
      <c r="G21" s="36">
        <f t="shared" si="10"/>
        <v>0</v>
      </c>
      <c r="H21" s="36">
        <f t="shared" si="10"/>
        <v>0</v>
      </c>
      <c r="I21" s="36">
        <f t="shared" si="10"/>
        <v>202.19339956140348</v>
      </c>
      <c r="J21" s="36">
        <f t="shared" si="10"/>
        <v>42.374762360446582</v>
      </c>
      <c r="K21" s="36">
        <f t="shared" si="10"/>
        <v>58.761952153110038</v>
      </c>
      <c r="L21" s="36">
        <f t="shared" si="10"/>
        <v>62.539528696741868</v>
      </c>
      <c r="M21" s="36">
        <f t="shared" si="10"/>
        <v>61.302083518005531</v>
      </c>
      <c r="N21" s="36">
        <f t="shared" si="10"/>
        <v>79.012534722222242</v>
      </c>
      <c r="O21" s="40">
        <f>IF(O19=0,0,(O19/O20))</f>
        <v>86.801009759538701</v>
      </c>
      <c r="P21" s="59"/>
      <c r="Q21" s="60"/>
      <c r="R21" s="61"/>
    </row>
    <row r="22" spans="1:18" x14ac:dyDescent="0.25">
      <c r="A22" s="171" t="s">
        <v>31</v>
      </c>
      <c r="B22" s="12" t="s">
        <v>4</v>
      </c>
      <c r="C22" s="11"/>
      <c r="D22" s="11"/>
      <c r="E22" s="11"/>
      <c r="F22" s="11"/>
      <c r="G22" s="11"/>
      <c r="H22" s="11"/>
      <c r="I22" s="11"/>
      <c r="J22" s="11"/>
      <c r="K22" s="11"/>
      <c r="L22" s="16"/>
      <c r="M22" s="16"/>
      <c r="N22" s="16"/>
      <c r="O22" s="19">
        <f>SUM(C22:N22)</f>
        <v>0</v>
      </c>
      <c r="P22" s="51"/>
      <c r="Q22" s="52"/>
      <c r="R22" s="53"/>
    </row>
    <row r="23" spans="1:18" outlineLevel="1" x14ac:dyDescent="0.25">
      <c r="A23" s="172"/>
      <c r="B23" s="9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9">
        <f>IF(O24=0,0,(O24/O22))</f>
        <v>0</v>
      </c>
      <c r="P23" s="54"/>
      <c r="Q23" s="49"/>
      <c r="R23" s="55"/>
    </row>
    <row r="24" spans="1:18" outlineLevel="1" x14ac:dyDescent="0.25">
      <c r="A24" s="172"/>
      <c r="B24" s="7" t="s">
        <v>2</v>
      </c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17"/>
      <c r="N24" s="17"/>
      <c r="O24" s="20">
        <f>SUM(C24:N24)</f>
        <v>0</v>
      </c>
      <c r="P24" s="56">
        <f>O24/$O$4</f>
        <v>0</v>
      </c>
      <c r="Q24" s="49"/>
      <c r="R24" s="55"/>
    </row>
    <row r="25" spans="1:18" outlineLevel="1" x14ac:dyDescent="0.25">
      <c r="A25" s="172"/>
      <c r="B25" s="7" t="s">
        <v>3</v>
      </c>
      <c r="C25" s="8"/>
      <c r="D25" s="8"/>
      <c r="E25" s="8"/>
      <c r="F25" s="8"/>
      <c r="G25" s="8"/>
      <c r="H25" s="8"/>
      <c r="I25" s="8"/>
      <c r="J25" s="8"/>
      <c r="K25" s="8"/>
      <c r="L25" s="18"/>
      <c r="M25" s="18"/>
      <c r="N25" s="18"/>
      <c r="O25" s="21">
        <f>SUM(C25:N25)</f>
        <v>0</v>
      </c>
      <c r="P25" s="57"/>
      <c r="Q25" s="50">
        <f>O25/$Q$6</f>
        <v>0</v>
      </c>
      <c r="R25" s="58">
        <f>O25/$R$6</f>
        <v>0</v>
      </c>
    </row>
    <row r="26" spans="1:18" outlineLevel="1" x14ac:dyDescent="0.25">
      <c r="A26" s="173"/>
      <c r="B26" s="13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0">
        <f>IF(O24=0,0,(O24/O25))</f>
        <v>0</v>
      </c>
      <c r="P26" s="59"/>
      <c r="Q26" s="60"/>
      <c r="R26" s="61"/>
    </row>
    <row r="27" spans="1:18" x14ac:dyDescent="0.25">
      <c r="A27" s="171" t="s">
        <v>28</v>
      </c>
      <c r="B27" s="12" t="s">
        <v>4</v>
      </c>
      <c r="C27" s="11">
        <v>3</v>
      </c>
      <c r="D27" s="11"/>
      <c r="E27" s="11">
        <v>2</v>
      </c>
      <c r="F27" s="11"/>
      <c r="G27" s="11"/>
      <c r="H27" s="11"/>
      <c r="I27" s="11"/>
      <c r="J27" s="11"/>
      <c r="K27" s="11"/>
      <c r="L27" s="16"/>
      <c r="M27" s="16"/>
      <c r="N27" s="16"/>
      <c r="O27" s="19">
        <f>SUM(C27:N27)</f>
        <v>5</v>
      </c>
      <c r="P27" s="51"/>
      <c r="Q27" s="52"/>
      <c r="R27" s="53"/>
    </row>
    <row r="28" spans="1:18" outlineLevel="1" x14ac:dyDescent="0.25">
      <c r="A28" s="172"/>
      <c r="B28" s="9" t="s">
        <v>1</v>
      </c>
      <c r="C28" s="35">
        <f t="shared" ref="C28:N28" si="11">IF(C29=0,0,(C29/C27))</f>
        <v>218.1158570175439</v>
      </c>
      <c r="D28" s="35">
        <f t="shared" si="11"/>
        <v>0</v>
      </c>
      <c r="E28" s="35">
        <f t="shared" si="11"/>
        <v>149.83223947368421</v>
      </c>
      <c r="F28" s="35">
        <f t="shared" si="11"/>
        <v>0</v>
      </c>
      <c r="G28" s="35">
        <f t="shared" si="11"/>
        <v>0</v>
      </c>
      <c r="H28" s="35">
        <f t="shared" si="11"/>
        <v>0</v>
      </c>
      <c r="I28" s="35">
        <f t="shared" si="11"/>
        <v>0</v>
      </c>
      <c r="J28" s="35">
        <f t="shared" si="11"/>
        <v>0</v>
      </c>
      <c r="K28" s="35">
        <f t="shared" si="11"/>
        <v>0</v>
      </c>
      <c r="L28" s="35">
        <f t="shared" si="11"/>
        <v>0</v>
      </c>
      <c r="M28" s="35">
        <f t="shared" si="11"/>
        <v>0</v>
      </c>
      <c r="N28" s="35">
        <f t="shared" si="11"/>
        <v>0</v>
      </c>
      <c r="O28" s="39">
        <f>IF(O29=0,0,(O29/O27))</f>
        <v>190.80241000000001</v>
      </c>
      <c r="P28" s="54"/>
      <c r="Q28" s="49"/>
      <c r="R28" s="55"/>
    </row>
    <row r="29" spans="1:18" outlineLevel="1" x14ac:dyDescent="0.25">
      <c r="A29" s="172"/>
      <c r="B29" s="7" t="s">
        <v>2</v>
      </c>
      <c r="C29" s="10">
        <v>654.34757105263168</v>
      </c>
      <c r="D29" s="10">
        <v>0</v>
      </c>
      <c r="E29" s="10">
        <v>299.66447894736842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7">
        <v>0</v>
      </c>
      <c r="M29" s="17">
        <v>0</v>
      </c>
      <c r="N29" s="17">
        <v>0</v>
      </c>
      <c r="O29" s="20">
        <f>SUM(C29:N29)</f>
        <v>954.01205000000004</v>
      </c>
      <c r="P29" s="56">
        <f>O29/$O$4</f>
        <v>2.6240940623562296E-2</v>
      </c>
      <c r="Q29" s="49"/>
      <c r="R29" s="55"/>
    </row>
    <row r="30" spans="1:18" outlineLevel="1" x14ac:dyDescent="0.25">
      <c r="A30" s="172"/>
      <c r="B30" s="7" t="s">
        <v>3</v>
      </c>
      <c r="C30" s="8">
        <v>6</v>
      </c>
      <c r="D30" s="8">
        <v>0</v>
      </c>
      <c r="E30" s="8">
        <v>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18">
        <v>0</v>
      </c>
      <c r="M30" s="18">
        <v>0</v>
      </c>
      <c r="N30" s="18">
        <v>0</v>
      </c>
      <c r="O30" s="21">
        <f>SUM(C30:N30)</f>
        <v>10</v>
      </c>
      <c r="P30" s="57"/>
      <c r="Q30" s="50">
        <f>O30/$Q$6</f>
        <v>1.4285714285714286</v>
      </c>
      <c r="R30" s="58">
        <f>O30/$R$6</f>
        <v>1.1111111111111112</v>
      </c>
    </row>
    <row r="31" spans="1:18" outlineLevel="1" x14ac:dyDescent="0.25">
      <c r="A31" s="173"/>
      <c r="B31" s="13" t="s">
        <v>5</v>
      </c>
      <c r="C31" s="36">
        <f t="shared" ref="C31:N31" si="12">IF(C29=0,0,(C29/C30))</f>
        <v>109.05792850877195</v>
      </c>
      <c r="D31" s="36">
        <f t="shared" si="12"/>
        <v>0</v>
      </c>
      <c r="E31" s="36">
        <f t="shared" si="12"/>
        <v>74.916119736842106</v>
      </c>
      <c r="F31" s="36">
        <f t="shared" si="12"/>
        <v>0</v>
      </c>
      <c r="G31" s="36">
        <f t="shared" si="12"/>
        <v>0</v>
      </c>
      <c r="H31" s="36">
        <f t="shared" si="12"/>
        <v>0</v>
      </c>
      <c r="I31" s="36">
        <f t="shared" si="12"/>
        <v>0</v>
      </c>
      <c r="J31" s="36">
        <f t="shared" si="12"/>
        <v>0</v>
      </c>
      <c r="K31" s="36">
        <f t="shared" si="12"/>
        <v>0</v>
      </c>
      <c r="L31" s="36">
        <f t="shared" si="12"/>
        <v>0</v>
      </c>
      <c r="M31" s="36">
        <f t="shared" si="12"/>
        <v>0</v>
      </c>
      <c r="N31" s="36">
        <f t="shared" si="12"/>
        <v>0</v>
      </c>
      <c r="O31" s="40">
        <f>IF(O29=0,0,(O29/O30))</f>
        <v>95.401205000000004</v>
      </c>
      <c r="P31" s="59"/>
      <c r="Q31" s="60"/>
      <c r="R31" s="61"/>
    </row>
    <row r="32" spans="1:18" x14ac:dyDescent="0.25">
      <c r="A32" s="171" t="s">
        <v>29</v>
      </c>
      <c r="B32" s="12" t="s">
        <v>4</v>
      </c>
      <c r="C32" s="11"/>
      <c r="D32" s="11"/>
      <c r="E32" s="11"/>
      <c r="F32" s="11"/>
      <c r="G32" s="11"/>
      <c r="H32" s="11"/>
      <c r="I32" s="11">
        <v>2</v>
      </c>
      <c r="J32" s="11"/>
      <c r="K32" s="11">
        <v>4</v>
      </c>
      <c r="L32" s="16">
        <v>8</v>
      </c>
      <c r="M32" s="16">
        <v>10</v>
      </c>
      <c r="N32" s="16"/>
      <c r="O32" s="19">
        <f>SUM(C32:N32)</f>
        <v>24</v>
      </c>
      <c r="P32" s="51"/>
      <c r="Q32" s="52"/>
      <c r="R32" s="53"/>
    </row>
    <row r="33" spans="1:18" outlineLevel="1" x14ac:dyDescent="0.25">
      <c r="A33" s="172"/>
      <c r="B33" s="9" t="s">
        <v>1</v>
      </c>
      <c r="C33" s="35">
        <f t="shared" ref="C33:N33" si="13">IF(C34=0,0,(C34/C32))</f>
        <v>0</v>
      </c>
      <c r="D33" s="35">
        <f t="shared" si="13"/>
        <v>0</v>
      </c>
      <c r="E33" s="35">
        <f t="shared" si="13"/>
        <v>0</v>
      </c>
      <c r="F33" s="35">
        <f t="shared" si="13"/>
        <v>0</v>
      </c>
      <c r="G33" s="35">
        <f t="shared" si="13"/>
        <v>0</v>
      </c>
      <c r="H33" s="35">
        <f t="shared" si="13"/>
        <v>0</v>
      </c>
      <c r="I33" s="35">
        <f t="shared" si="13"/>
        <v>84.274514912280708</v>
      </c>
      <c r="J33" s="35">
        <f t="shared" si="13"/>
        <v>0</v>
      </c>
      <c r="K33" s="35">
        <f t="shared" si="13"/>
        <v>87.367859649122821</v>
      </c>
      <c r="L33" s="35">
        <f t="shared" si="13"/>
        <v>120.10004451754386</v>
      </c>
      <c r="M33" s="35">
        <f t="shared" si="13"/>
        <v>144.36083929824565</v>
      </c>
      <c r="N33" s="35">
        <f t="shared" si="13"/>
        <v>0</v>
      </c>
      <c r="O33" s="39">
        <f>IF(O34=0,0,(O34/O32))</f>
        <v>121.76788406432752</v>
      </c>
      <c r="P33" s="54"/>
      <c r="Q33" s="49"/>
      <c r="R33" s="55"/>
    </row>
    <row r="34" spans="1:18" outlineLevel="1" x14ac:dyDescent="0.25">
      <c r="A34" s="172"/>
      <c r="B34" s="7" t="s">
        <v>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168.54902982456142</v>
      </c>
      <c r="J34" s="10">
        <v>0</v>
      </c>
      <c r="K34" s="10">
        <v>349.47143859649128</v>
      </c>
      <c r="L34" s="17">
        <v>960.80035614035091</v>
      </c>
      <c r="M34" s="17">
        <v>1443.6083929824565</v>
      </c>
      <c r="N34" s="17">
        <v>0</v>
      </c>
      <c r="O34" s="20">
        <f>SUM(C34:N34)</f>
        <v>2922.4292175438604</v>
      </c>
      <c r="P34" s="56">
        <f>O34/$O$4</f>
        <v>8.0383986317711667E-2</v>
      </c>
      <c r="Q34" s="49"/>
      <c r="R34" s="55"/>
    </row>
    <row r="35" spans="1:18" outlineLevel="1" x14ac:dyDescent="0.25">
      <c r="A35" s="172"/>
      <c r="B35" s="7" t="s">
        <v>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4</v>
      </c>
      <c r="J35" s="8">
        <v>0</v>
      </c>
      <c r="K35" s="8">
        <v>8</v>
      </c>
      <c r="L35" s="18">
        <v>16</v>
      </c>
      <c r="M35" s="18">
        <v>20</v>
      </c>
      <c r="N35" s="18">
        <v>0</v>
      </c>
      <c r="O35" s="21">
        <f>SUM(C35:N35)</f>
        <v>48</v>
      </c>
      <c r="P35" s="57"/>
      <c r="Q35" s="50">
        <f>O35/$Q$6</f>
        <v>6.8571428571428568</v>
      </c>
      <c r="R35" s="58">
        <f>O35/$R$6</f>
        <v>5.333333333333333</v>
      </c>
    </row>
    <row r="36" spans="1:18" outlineLevel="1" x14ac:dyDescent="0.25">
      <c r="A36" s="173"/>
      <c r="B36" s="13" t="s">
        <v>5</v>
      </c>
      <c r="C36" s="36">
        <f t="shared" ref="C36:N36" si="14">IF(C34=0,0,(C34/C35))</f>
        <v>0</v>
      </c>
      <c r="D36" s="36">
        <f t="shared" si="14"/>
        <v>0</v>
      </c>
      <c r="E36" s="36">
        <f t="shared" si="14"/>
        <v>0</v>
      </c>
      <c r="F36" s="36">
        <f t="shared" si="14"/>
        <v>0</v>
      </c>
      <c r="G36" s="36">
        <f t="shared" si="14"/>
        <v>0</v>
      </c>
      <c r="H36" s="36">
        <f t="shared" si="14"/>
        <v>0</v>
      </c>
      <c r="I36" s="36">
        <f t="shared" si="14"/>
        <v>42.137257456140354</v>
      </c>
      <c r="J36" s="36">
        <f t="shared" si="14"/>
        <v>0</v>
      </c>
      <c r="K36" s="36">
        <f t="shared" si="14"/>
        <v>43.68392982456141</v>
      </c>
      <c r="L36" s="36">
        <f t="shared" si="14"/>
        <v>60.050022258771932</v>
      </c>
      <c r="M36" s="36">
        <f t="shared" si="14"/>
        <v>72.180419649122825</v>
      </c>
      <c r="N36" s="36">
        <f t="shared" si="14"/>
        <v>0</v>
      </c>
      <c r="O36" s="40">
        <f>IF(O34=0,0,(O34/O35))</f>
        <v>60.883942032163759</v>
      </c>
      <c r="P36" s="59"/>
      <c r="Q36" s="60"/>
      <c r="R36" s="61"/>
    </row>
    <row r="37" spans="1:18" x14ac:dyDescent="0.25">
      <c r="A37" s="171" t="s">
        <v>30</v>
      </c>
      <c r="B37" s="12" t="s">
        <v>4</v>
      </c>
      <c r="C37" s="11"/>
      <c r="D37" s="11"/>
      <c r="E37" s="11"/>
      <c r="F37" s="11"/>
      <c r="G37" s="11"/>
      <c r="H37" s="11"/>
      <c r="I37" s="11"/>
      <c r="J37" s="11"/>
      <c r="K37" s="11"/>
      <c r="L37" s="16">
        <v>1</v>
      </c>
      <c r="M37" s="16">
        <v>4</v>
      </c>
      <c r="N37" s="16">
        <v>13</v>
      </c>
      <c r="O37" s="19">
        <f>SUM(C37:N37)</f>
        <v>18</v>
      </c>
      <c r="P37" s="51"/>
      <c r="Q37" s="52"/>
      <c r="R37" s="53"/>
    </row>
    <row r="38" spans="1:18" outlineLevel="1" x14ac:dyDescent="0.25">
      <c r="A38" s="172"/>
      <c r="B38" s="9" t="s">
        <v>1</v>
      </c>
      <c r="C38" s="35">
        <f t="shared" ref="C38:N38" si="15">IF(C39=0,0,(C39/C37))</f>
        <v>0</v>
      </c>
      <c r="D38" s="35">
        <f t="shared" si="15"/>
        <v>0</v>
      </c>
      <c r="E38" s="35">
        <f t="shared" si="15"/>
        <v>0</v>
      </c>
      <c r="F38" s="35">
        <f t="shared" si="15"/>
        <v>0</v>
      </c>
      <c r="G38" s="35">
        <f t="shared" si="15"/>
        <v>0</v>
      </c>
      <c r="H38" s="35">
        <f t="shared" si="15"/>
        <v>0</v>
      </c>
      <c r="I38" s="35">
        <f t="shared" si="15"/>
        <v>0</v>
      </c>
      <c r="J38" s="35">
        <f t="shared" si="15"/>
        <v>0</v>
      </c>
      <c r="K38" s="35">
        <f t="shared" si="15"/>
        <v>0</v>
      </c>
      <c r="L38" s="35">
        <f t="shared" si="15"/>
        <v>195.64992456140351</v>
      </c>
      <c r="M38" s="35">
        <f t="shared" si="15"/>
        <v>81.16636315789475</v>
      </c>
      <c r="N38" s="35">
        <f t="shared" si="15"/>
        <v>86.18932955465587</v>
      </c>
      <c r="O38" s="39">
        <f>IF(O39=0,0,(O39/O37))</f>
        <v>91.154258966861619</v>
      </c>
      <c r="P38" s="54"/>
      <c r="Q38" s="49"/>
      <c r="R38" s="55"/>
    </row>
    <row r="39" spans="1:18" outlineLevel="1" x14ac:dyDescent="0.25">
      <c r="A39" s="172"/>
      <c r="B39" s="7" t="s">
        <v>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7">
        <v>195.64992456140351</v>
      </c>
      <c r="M39" s="17">
        <v>324.665452631579</v>
      </c>
      <c r="N39" s="17">
        <v>1120.4612842105264</v>
      </c>
      <c r="O39" s="20">
        <f>SUM(C39:N39)</f>
        <v>1640.776661403509</v>
      </c>
      <c r="P39" s="56">
        <f>O39/$O$4</f>
        <v>4.5131005366668329E-2</v>
      </c>
      <c r="Q39" s="49"/>
      <c r="R39" s="55"/>
    </row>
    <row r="40" spans="1:18" outlineLevel="1" x14ac:dyDescent="0.25">
      <c r="A40" s="172"/>
      <c r="B40" s="7" t="s">
        <v>3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18">
        <v>3</v>
      </c>
      <c r="M40" s="18">
        <v>8</v>
      </c>
      <c r="N40" s="18">
        <v>23</v>
      </c>
      <c r="O40" s="21">
        <f>SUM(C40:N40)</f>
        <v>34</v>
      </c>
      <c r="P40" s="57"/>
      <c r="Q40" s="50">
        <f>O40/$Q$6</f>
        <v>4.8571428571428568</v>
      </c>
      <c r="R40" s="58">
        <f>O40/$R$6</f>
        <v>3.7777777777777777</v>
      </c>
    </row>
    <row r="41" spans="1:18" outlineLevel="1" x14ac:dyDescent="0.25">
      <c r="A41" s="173"/>
      <c r="B41" s="13" t="s">
        <v>5</v>
      </c>
      <c r="C41" s="38">
        <f t="shared" ref="C41:N41" si="16">IF(C39=0,0,(C39/C40))</f>
        <v>0</v>
      </c>
      <c r="D41" s="38">
        <f t="shared" si="16"/>
        <v>0</v>
      </c>
      <c r="E41" s="38">
        <f t="shared" si="16"/>
        <v>0</v>
      </c>
      <c r="F41" s="38">
        <f t="shared" si="16"/>
        <v>0</v>
      </c>
      <c r="G41" s="38">
        <f t="shared" si="16"/>
        <v>0</v>
      </c>
      <c r="H41" s="38">
        <f t="shared" si="16"/>
        <v>0</v>
      </c>
      <c r="I41" s="38">
        <f t="shared" si="16"/>
        <v>0</v>
      </c>
      <c r="J41" s="38">
        <f t="shared" si="16"/>
        <v>0</v>
      </c>
      <c r="K41" s="38">
        <f t="shared" si="16"/>
        <v>0</v>
      </c>
      <c r="L41" s="38">
        <f t="shared" si="16"/>
        <v>65.216641520467832</v>
      </c>
      <c r="M41" s="38">
        <f t="shared" si="16"/>
        <v>40.583181578947375</v>
      </c>
      <c r="N41" s="38">
        <f t="shared" si="16"/>
        <v>48.715708009153325</v>
      </c>
      <c r="O41" s="41">
        <f>IF(O39=0,0,(O39/O40))</f>
        <v>48.258137100103205</v>
      </c>
      <c r="P41" s="59"/>
      <c r="Q41" s="60"/>
      <c r="R41" s="61"/>
    </row>
  </sheetData>
  <autoFilter ref="A1:B1"/>
  <mergeCells count="9">
    <mergeCell ref="A32:A36"/>
    <mergeCell ref="A37:A41"/>
    <mergeCell ref="A22:A26"/>
    <mergeCell ref="P2:P6"/>
    <mergeCell ref="Q2:R4"/>
    <mergeCell ref="A7:A11"/>
    <mergeCell ref="A12:A16"/>
    <mergeCell ref="A17:A21"/>
    <mergeCell ref="A27:A31"/>
  </mergeCells>
  <conditionalFormatting sqref="A1:XFD1 A2:B6 P2:XFD6 A7:XFD7 A12:XFD12 A11:B11 O11:XFD11 A17:XFD17 A16:B16 O16:XFD16 A22:XFD27 A21:B21 O21:XFD21 A32:XFD32 A31:B31 O31:XFD31 A37:XFD37 A36:B36 O36:XFD36 A42:XFD1048576 A41:B41 O41:XFD41 A9:XFD10 A8:B8 O8:XFD8 A14:XFD15 A13:B13 O13:XFD13 A19:XFD20 A18:B18 O18:XFD18 A29:XFD30 A28:B28 O28:XFD28 A34:XFD35 A33:B33 O33:XFD33 A39:XFD40 A38:B38 O38:XFD38">
    <cfRule type="cellIs" dxfId="316" priority="14" operator="equal">
      <formula>0</formula>
    </cfRule>
  </conditionalFormatting>
  <conditionalFormatting sqref="C2:O4 C6:O6">
    <cfRule type="cellIs" dxfId="315" priority="13" operator="equal">
      <formula>0</formula>
    </cfRule>
  </conditionalFormatting>
  <conditionalFormatting sqref="C5:O5">
    <cfRule type="cellIs" dxfId="314" priority="12" operator="equal">
      <formula>0</formula>
    </cfRule>
  </conditionalFormatting>
  <conditionalFormatting sqref="C11:N11">
    <cfRule type="cellIs" dxfId="313" priority="11" operator="equal">
      <formula>0</formula>
    </cfRule>
  </conditionalFormatting>
  <conditionalFormatting sqref="C38:N38">
    <cfRule type="cellIs" dxfId="312" priority="1" operator="equal">
      <formula>0</formula>
    </cfRule>
  </conditionalFormatting>
  <conditionalFormatting sqref="C16:N16">
    <cfRule type="cellIs" dxfId="311" priority="10" operator="equal">
      <formula>0</formula>
    </cfRule>
  </conditionalFormatting>
  <conditionalFormatting sqref="C21:N21">
    <cfRule type="cellIs" dxfId="310" priority="9" operator="equal">
      <formula>0</formula>
    </cfRule>
  </conditionalFormatting>
  <conditionalFormatting sqref="C31:N31">
    <cfRule type="cellIs" dxfId="309" priority="8" operator="equal">
      <formula>0</formula>
    </cfRule>
  </conditionalFormatting>
  <conditionalFormatting sqref="C36:N36">
    <cfRule type="cellIs" dxfId="308" priority="7" operator="equal">
      <formula>0</formula>
    </cfRule>
  </conditionalFormatting>
  <conditionalFormatting sqref="C41:N41">
    <cfRule type="cellIs" dxfId="307" priority="6" operator="equal">
      <formula>0</formula>
    </cfRule>
  </conditionalFormatting>
  <conditionalFormatting sqref="C13:N13 C8:N8">
    <cfRule type="cellIs" dxfId="306" priority="5" operator="equal">
      <formula>0</formula>
    </cfRule>
  </conditionalFormatting>
  <conditionalFormatting sqref="C18:N18">
    <cfRule type="cellIs" dxfId="305" priority="4" operator="equal">
      <formula>0</formula>
    </cfRule>
  </conditionalFormatting>
  <conditionalFormatting sqref="C28:N28">
    <cfRule type="cellIs" dxfId="304" priority="3" operator="equal">
      <formula>0</formula>
    </cfRule>
  </conditionalFormatting>
  <conditionalFormatting sqref="C33:N33">
    <cfRule type="cellIs" dxfId="303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R41"/>
  <sheetViews>
    <sheetView showGridLines="0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9" sqref="O9"/>
    </sheetView>
  </sheetViews>
  <sheetFormatPr defaultColWidth="9.109375" defaultRowHeight="13.8" outlineLevelRow="1" x14ac:dyDescent="0.25"/>
  <cols>
    <col min="1" max="1" width="13.5546875" style="27" bestFit="1" customWidth="1"/>
    <col min="2" max="2" width="16.5546875" style="2" customWidth="1"/>
    <col min="3" max="14" width="8" style="14" customWidth="1"/>
    <col min="15" max="15" width="8.6640625" style="15" bestFit="1" customWidth="1"/>
    <col min="16" max="16" width="7.109375" style="1" bestFit="1" customWidth="1"/>
    <col min="17" max="18" width="7" style="1" customWidth="1"/>
    <col min="19" max="16384" width="9.109375" style="1"/>
  </cols>
  <sheetData>
    <row r="1" spans="1:18" outlineLevel="1" x14ac:dyDescent="0.25">
      <c r="A1" s="64"/>
      <c r="B1" s="64"/>
      <c r="C1" s="64" t="s">
        <v>14</v>
      </c>
      <c r="D1" s="64" t="s">
        <v>15</v>
      </c>
      <c r="E1" s="64" t="s">
        <v>16</v>
      </c>
      <c r="F1" s="64" t="s">
        <v>17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4" t="s">
        <v>11</v>
      </c>
      <c r="M1" s="64" t="s">
        <v>12</v>
      </c>
      <c r="N1" s="64" t="s">
        <v>13</v>
      </c>
      <c r="O1" s="64" t="s">
        <v>18</v>
      </c>
      <c r="P1" s="64"/>
      <c r="Q1" s="64"/>
      <c r="R1" s="64"/>
    </row>
    <row r="2" spans="1:18" s="2" customFormat="1" ht="13.2" customHeight="1" x14ac:dyDescent="0.3">
      <c r="A2" s="75" t="s">
        <v>0</v>
      </c>
      <c r="B2" s="42" t="s">
        <v>4</v>
      </c>
      <c r="C2" s="29">
        <f>C7+C12+C17+C27+C32+C37</f>
        <v>42</v>
      </c>
      <c r="D2" s="29">
        <f t="shared" ref="D2:O2" si="0">D7+D12+D17+D27+D32+D37</f>
        <v>31</v>
      </c>
      <c r="E2" s="29">
        <f t="shared" si="0"/>
        <v>22</v>
      </c>
      <c r="F2" s="29">
        <f t="shared" si="0"/>
        <v>14</v>
      </c>
      <c r="G2" s="29">
        <f t="shared" si="0"/>
        <v>0</v>
      </c>
      <c r="H2" s="29">
        <f t="shared" si="0"/>
        <v>0</v>
      </c>
      <c r="I2" s="29">
        <f t="shared" si="0"/>
        <v>14</v>
      </c>
      <c r="J2" s="29">
        <f t="shared" si="0"/>
        <v>20</v>
      </c>
      <c r="K2" s="29">
        <f t="shared" si="0"/>
        <v>31</v>
      </c>
      <c r="L2" s="29">
        <f t="shared" si="0"/>
        <v>41</v>
      </c>
      <c r="M2" s="29">
        <f t="shared" si="0"/>
        <v>40</v>
      </c>
      <c r="N2" s="29"/>
      <c r="O2" s="70">
        <f t="shared" si="0"/>
        <v>255</v>
      </c>
      <c r="P2" s="174" t="s">
        <v>20</v>
      </c>
      <c r="Q2" s="182" t="s">
        <v>19</v>
      </c>
      <c r="R2" s="183"/>
    </row>
    <row r="3" spans="1:18" s="2" customFormat="1" x14ac:dyDescent="0.3">
      <c r="A3" s="34"/>
      <c r="B3" s="28" t="s">
        <v>1</v>
      </c>
      <c r="C3" s="32">
        <f t="shared" ref="C3:O3" si="1">IF(C4=0,0,(C4/C2))</f>
        <v>16.315519819468264</v>
      </c>
      <c r="D3" s="32">
        <f t="shared" si="1"/>
        <v>80.796294702588412</v>
      </c>
      <c r="E3" s="32">
        <f t="shared" si="1"/>
        <v>60.435134996082709</v>
      </c>
      <c r="F3" s="32">
        <f t="shared" si="1"/>
        <v>170.71103107769423</v>
      </c>
      <c r="G3" s="32">
        <f t="shared" si="1"/>
        <v>0</v>
      </c>
      <c r="H3" s="32">
        <f t="shared" si="1"/>
        <v>0</v>
      </c>
      <c r="I3" s="32">
        <f t="shared" si="1"/>
        <v>185.34784461152881</v>
      </c>
      <c r="J3" s="32">
        <f t="shared" si="1"/>
        <v>124.3110786088027</v>
      </c>
      <c r="K3" s="32">
        <f t="shared" si="1"/>
        <v>75.76869202285566</v>
      </c>
      <c r="L3" s="32">
        <f t="shared" si="1"/>
        <v>89.191025674879327</v>
      </c>
      <c r="M3" s="32">
        <f t="shared" si="1"/>
        <v>90.544296693598042</v>
      </c>
      <c r="N3" s="32"/>
      <c r="O3" s="71">
        <f t="shared" si="1"/>
        <v>84.77642801199768</v>
      </c>
      <c r="P3" s="174"/>
      <c r="Q3" s="184"/>
      <c r="R3" s="185"/>
    </row>
    <row r="4" spans="1:18" s="2" customFormat="1" x14ac:dyDescent="0.3">
      <c r="A4" s="34"/>
      <c r="B4" s="5" t="s">
        <v>2</v>
      </c>
      <c r="C4" s="6">
        <f>C9+C14+C19+C29+C34+C39</f>
        <v>685.25183241766706</v>
      </c>
      <c r="D4" s="6">
        <f t="shared" ref="D4:O5" si="2">D9+D14+D19+D29+D34+D39</f>
        <v>2504.6851357802407</v>
      </c>
      <c r="E4" s="6">
        <f t="shared" si="2"/>
        <v>1329.5729699138196</v>
      </c>
      <c r="F4" s="6">
        <f t="shared" si="2"/>
        <v>2389.954435087719</v>
      </c>
      <c r="G4" s="6">
        <f t="shared" si="2"/>
        <v>0</v>
      </c>
      <c r="H4" s="6">
        <f t="shared" si="2"/>
        <v>0</v>
      </c>
      <c r="I4" s="6">
        <f t="shared" si="2"/>
        <v>2594.8698245614032</v>
      </c>
      <c r="J4" s="6">
        <f t="shared" si="2"/>
        <v>2486.221572176054</v>
      </c>
      <c r="K4" s="6">
        <f t="shared" si="2"/>
        <v>2348.8294527085254</v>
      </c>
      <c r="L4" s="6">
        <f t="shared" si="2"/>
        <v>3656.8320526700522</v>
      </c>
      <c r="M4" s="6">
        <f t="shared" si="2"/>
        <v>3621.7718677439216</v>
      </c>
      <c r="N4" s="6"/>
      <c r="O4" s="72">
        <f t="shared" si="2"/>
        <v>21617.989143059407</v>
      </c>
      <c r="P4" s="174"/>
      <c r="Q4" s="186"/>
      <c r="R4" s="187"/>
    </row>
    <row r="5" spans="1:18" s="2" customFormat="1" x14ac:dyDescent="0.3">
      <c r="A5" s="34"/>
      <c r="B5" s="28" t="s">
        <v>3</v>
      </c>
      <c r="C5" s="29">
        <f>C10+C15+C20+C30+C35+C40</f>
        <v>81</v>
      </c>
      <c r="D5" s="29">
        <f t="shared" si="2"/>
        <v>59</v>
      </c>
      <c r="E5" s="29">
        <f t="shared" si="2"/>
        <v>38</v>
      </c>
      <c r="F5" s="29">
        <f t="shared" si="2"/>
        <v>20</v>
      </c>
      <c r="G5" s="29">
        <f t="shared" si="2"/>
        <v>0</v>
      </c>
      <c r="H5" s="29">
        <f t="shared" si="2"/>
        <v>0</v>
      </c>
      <c r="I5" s="29">
        <f t="shared" si="2"/>
        <v>16</v>
      </c>
      <c r="J5" s="29">
        <f t="shared" si="2"/>
        <v>31</v>
      </c>
      <c r="K5" s="29">
        <f t="shared" si="2"/>
        <v>40</v>
      </c>
      <c r="L5" s="29">
        <f t="shared" si="2"/>
        <v>75</v>
      </c>
      <c r="M5" s="29">
        <f t="shared" si="2"/>
        <v>66</v>
      </c>
      <c r="N5" s="29"/>
      <c r="O5" s="70">
        <f t="shared" si="2"/>
        <v>426</v>
      </c>
      <c r="P5" s="174"/>
      <c r="Q5" s="62">
        <f>O5/$Q$6</f>
        <v>60.857142857142854</v>
      </c>
      <c r="R5" s="63">
        <f>O5/$R$6</f>
        <v>47.333333333333336</v>
      </c>
    </row>
    <row r="6" spans="1:18" s="2" customFormat="1" x14ac:dyDescent="0.3">
      <c r="A6" s="34"/>
      <c r="B6" s="30" t="s">
        <v>5</v>
      </c>
      <c r="C6" s="31">
        <f t="shared" ref="C6:O6" si="3">IF(C4=0,0,(C4/C5))</f>
        <v>8.4598991656502101</v>
      </c>
      <c r="D6" s="31">
        <f t="shared" si="3"/>
        <v>42.452290436953234</v>
      </c>
      <c r="E6" s="31">
        <f t="shared" si="3"/>
        <v>34.988762366153146</v>
      </c>
      <c r="F6" s="31">
        <f t="shared" si="3"/>
        <v>119.49772175438595</v>
      </c>
      <c r="G6" s="31">
        <f t="shared" si="3"/>
        <v>0</v>
      </c>
      <c r="H6" s="31">
        <f t="shared" si="3"/>
        <v>0</v>
      </c>
      <c r="I6" s="31">
        <f t="shared" si="3"/>
        <v>162.1793640350877</v>
      </c>
      <c r="J6" s="31">
        <f t="shared" si="3"/>
        <v>80.200695876646904</v>
      </c>
      <c r="K6" s="31">
        <f t="shared" si="3"/>
        <v>58.720736317713133</v>
      </c>
      <c r="L6" s="31">
        <f t="shared" si="3"/>
        <v>48.757760702267362</v>
      </c>
      <c r="M6" s="31">
        <f t="shared" si="3"/>
        <v>54.87533132945336</v>
      </c>
      <c r="N6" s="31"/>
      <c r="O6" s="73">
        <f t="shared" si="3"/>
        <v>50.746453387463397</v>
      </c>
      <c r="P6" s="175"/>
      <c r="Q6" s="48">
        <v>7</v>
      </c>
      <c r="R6" s="48">
        <v>9</v>
      </c>
    </row>
    <row r="7" spans="1:18" x14ac:dyDescent="0.25">
      <c r="A7" s="171" t="s">
        <v>27</v>
      </c>
      <c r="B7" s="12" t="s">
        <v>4</v>
      </c>
      <c r="C7" s="22"/>
      <c r="D7" s="22"/>
      <c r="E7" s="22">
        <v>6</v>
      </c>
      <c r="F7" s="22">
        <v>8</v>
      </c>
      <c r="G7" s="22"/>
      <c r="H7" s="22"/>
      <c r="I7" s="22"/>
      <c r="J7" s="22">
        <v>12</v>
      </c>
      <c r="K7" s="22">
        <v>14</v>
      </c>
      <c r="L7" s="23">
        <v>10</v>
      </c>
      <c r="M7" s="23">
        <v>6</v>
      </c>
      <c r="N7" s="23"/>
      <c r="O7" s="43">
        <f>SUM(C7:N7)</f>
        <v>56</v>
      </c>
      <c r="P7" s="51"/>
      <c r="Q7" s="52"/>
      <c r="R7" s="53"/>
    </row>
    <row r="8" spans="1:18" outlineLevel="1" x14ac:dyDescent="0.25">
      <c r="A8" s="172"/>
      <c r="B8" s="9" t="s">
        <v>1</v>
      </c>
      <c r="C8" s="35">
        <v>0</v>
      </c>
      <c r="D8" s="35">
        <v>0</v>
      </c>
      <c r="E8" s="35">
        <v>170.26390877192983</v>
      </c>
      <c r="F8" s="35">
        <v>165.82995372807014</v>
      </c>
      <c r="G8" s="35">
        <v>0</v>
      </c>
      <c r="H8" s="35">
        <v>0</v>
      </c>
      <c r="I8" s="35">
        <v>0</v>
      </c>
      <c r="J8" s="35">
        <v>168.26084210526315</v>
      </c>
      <c r="K8" s="35">
        <v>96.369515100250624</v>
      </c>
      <c r="L8" s="35">
        <v>117.94683166666665</v>
      </c>
      <c r="M8" s="35">
        <v>114.55172192982459</v>
      </c>
      <c r="N8" s="35"/>
      <c r="O8" s="44">
        <f>IF(O9=0,0,(O9/O7))</f>
        <v>135.41616156015036</v>
      </c>
      <c r="P8" s="54"/>
      <c r="Q8" s="49"/>
      <c r="R8" s="55"/>
    </row>
    <row r="9" spans="1:18" outlineLevel="1" x14ac:dyDescent="0.25">
      <c r="A9" s="172"/>
      <c r="B9" s="7" t="s">
        <v>2</v>
      </c>
      <c r="C9" s="10">
        <v>0</v>
      </c>
      <c r="D9" s="10">
        <v>0</v>
      </c>
      <c r="E9" s="10">
        <v>1021.5834526315789</v>
      </c>
      <c r="F9" s="10">
        <v>1326.6396298245611</v>
      </c>
      <c r="G9" s="10">
        <v>0</v>
      </c>
      <c r="H9" s="10">
        <v>0</v>
      </c>
      <c r="I9" s="10">
        <v>0</v>
      </c>
      <c r="J9" s="10">
        <v>2019.1301052631579</v>
      </c>
      <c r="K9" s="10">
        <v>1349.1732114035087</v>
      </c>
      <c r="L9" s="17">
        <v>1179.4683166666664</v>
      </c>
      <c r="M9" s="17">
        <v>687.31033157894751</v>
      </c>
      <c r="N9" s="17"/>
      <c r="O9" s="45">
        <f>SUM(C9:N9)</f>
        <v>7583.3050473684207</v>
      </c>
      <c r="P9" s="56">
        <f>O9/$O$4</f>
        <v>0.35078679137014412</v>
      </c>
      <c r="Q9" s="49"/>
      <c r="R9" s="55"/>
    </row>
    <row r="10" spans="1:18" outlineLevel="1" x14ac:dyDescent="0.25">
      <c r="A10" s="172"/>
      <c r="B10" s="7" t="s">
        <v>3</v>
      </c>
      <c r="C10" s="24">
        <v>0</v>
      </c>
      <c r="D10" s="24">
        <v>0</v>
      </c>
      <c r="E10" s="24">
        <v>6</v>
      </c>
      <c r="F10" s="24">
        <v>8</v>
      </c>
      <c r="G10" s="24">
        <v>0</v>
      </c>
      <c r="H10" s="24">
        <v>0</v>
      </c>
      <c r="I10" s="24">
        <v>0</v>
      </c>
      <c r="J10" s="24">
        <v>18</v>
      </c>
      <c r="K10" s="24">
        <v>14</v>
      </c>
      <c r="L10" s="25">
        <v>13</v>
      </c>
      <c r="M10" s="25">
        <v>9</v>
      </c>
      <c r="N10" s="25"/>
      <c r="O10" s="46">
        <f>SUM(C10:N10)</f>
        <v>68</v>
      </c>
      <c r="P10" s="57"/>
      <c r="Q10" s="50">
        <f>O10/$Q$6</f>
        <v>9.7142857142857135</v>
      </c>
      <c r="R10" s="58">
        <f>O10/$R$6</f>
        <v>7.5555555555555554</v>
      </c>
    </row>
    <row r="11" spans="1:18" outlineLevel="1" x14ac:dyDescent="0.25">
      <c r="A11" s="173"/>
      <c r="B11" s="13" t="s">
        <v>5</v>
      </c>
      <c r="C11" s="36">
        <v>0</v>
      </c>
      <c r="D11" s="36">
        <v>0</v>
      </c>
      <c r="E11" s="36">
        <v>170.26390877192983</v>
      </c>
      <c r="F11" s="36">
        <v>165.82995372807014</v>
      </c>
      <c r="G11" s="36">
        <v>0</v>
      </c>
      <c r="H11" s="36">
        <v>0</v>
      </c>
      <c r="I11" s="36">
        <v>0</v>
      </c>
      <c r="J11" s="36">
        <v>112.1738947368421</v>
      </c>
      <c r="K11" s="36">
        <v>96.369515100250624</v>
      </c>
      <c r="L11" s="36">
        <v>90.728332051282038</v>
      </c>
      <c r="M11" s="36">
        <v>76.367814619883063</v>
      </c>
      <c r="N11" s="36"/>
      <c r="O11" s="47">
        <f>IF(O9=0,0,(O9/O10))</f>
        <v>111.51919187306501</v>
      </c>
      <c r="P11" s="59"/>
      <c r="Q11" s="60"/>
      <c r="R11" s="61"/>
    </row>
    <row r="12" spans="1:18" x14ac:dyDescent="0.25">
      <c r="A12" s="171" t="s">
        <v>23</v>
      </c>
      <c r="B12" s="12" t="s">
        <v>4</v>
      </c>
      <c r="C12" s="11">
        <v>39</v>
      </c>
      <c r="D12" s="11">
        <v>20</v>
      </c>
      <c r="E12" s="11">
        <v>14</v>
      </c>
      <c r="F12" s="11"/>
      <c r="G12" s="11"/>
      <c r="H12" s="11"/>
      <c r="I12" s="11"/>
      <c r="J12" s="11">
        <v>1</v>
      </c>
      <c r="K12" s="11">
        <v>4</v>
      </c>
      <c r="L12" s="16">
        <v>11</v>
      </c>
      <c r="M12" s="16">
        <v>5</v>
      </c>
      <c r="N12" s="16"/>
      <c r="O12" s="19">
        <f>SUM(C12:N12)</f>
        <v>94</v>
      </c>
      <c r="P12" s="51"/>
      <c r="Q12" s="52"/>
      <c r="R12" s="53"/>
    </row>
    <row r="13" spans="1:18" outlineLevel="1" x14ac:dyDescent="0.25">
      <c r="A13" s="172"/>
      <c r="B13" s="9" t="s">
        <v>1</v>
      </c>
      <c r="C13" s="35">
        <v>90.335533220872705</v>
      </c>
      <c r="D13" s="35">
        <v>95.766493947368431</v>
      </c>
      <c r="E13" s="35">
        <v>67.789597869674182</v>
      </c>
      <c r="F13" s="35">
        <v>0</v>
      </c>
      <c r="G13" s="35">
        <v>0</v>
      </c>
      <c r="H13" s="35">
        <v>0</v>
      </c>
      <c r="I13" s="35">
        <v>0</v>
      </c>
      <c r="J13" s="35">
        <v>110.47522807017543</v>
      </c>
      <c r="K13" s="35">
        <v>108.39487719298246</v>
      </c>
      <c r="L13" s="35">
        <v>78.591109489633183</v>
      </c>
      <c r="M13" s="35">
        <v>33.016764561403505</v>
      </c>
      <c r="N13" s="35"/>
      <c r="O13" s="39">
        <f>IF(O14=0,0,(O14/O12))</f>
        <v>0.74291814191600691</v>
      </c>
      <c r="P13" s="54"/>
      <c r="Q13" s="49"/>
      <c r="R13" s="55"/>
    </row>
    <row r="14" spans="1:18" outlineLevel="1" x14ac:dyDescent="0.25">
      <c r="A14" s="172"/>
      <c r="B14" s="7" t="s">
        <v>2</v>
      </c>
      <c r="C14" s="10">
        <v>30.904261365035396</v>
      </c>
      <c r="D14" s="10">
        <v>16.801139289012006</v>
      </c>
      <c r="E14" s="10">
        <v>8.3250383348722679</v>
      </c>
      <c r="F14" s="10">
        <v>0</v>
      </c>
      <c r="G14" s="10">
        <v>0</v>
      </c>
      <c r="H14" s="10">
        <v>0</v>
      </c>
      <c r="I14" s="10">
        <v>0</v>
      </c>
      <c r="J14" s="10">
        <v>0.96908094798399502</v>
      </c>
      <c r="K14" s="10">
        <v>3.8033290243151741</v>
      </c>
      <c r="L14" s="17">
        <v>7.5833526700523235</v>
      </c>
      <c r="M14" s="17">
        <v>1.4481037088334874</v>
      </c>
      <c r="N14" s="17"/>
      <c r="O14" s="20">
        <f>SUM(C14:N14)</f>
        <v>69.834305340104649</v>
      </c>
      <c r="P14" s="56">
        <f>O14/$O$4</f>
        <v>3.2303793325997388E-3</v>
      </c>
      <c r="Q14" s="49"/>
      <c r="R14" s="55"/>
    </row>
    <row r="15" spans="1:18" outlineLevel="1" x14ac:dyDescent="0.25">
      <c r="A15" s="172"/>
      <c r="B15" s="7" t="s">
        <v>3</v>
      </c>
      <c r="C15" s="8">
        <v>75</v>
      </c>
      <c r="D15" s="8">
        <v>38</v>
      </c>
      <c r="E15" s="8">
        <v>28</v>
      </c>
      <c r="F15" s="8">
        <v>0</v>
      </c>
      <c r="G15" s="8">
        <v>0</v>
      </c>
      <c r="H15" s="8">
        <v>0</v>
      </c>
      <c r="I15" s="8">
        <v>0</v>
      </c>
      <c r="J15" s="8">
        <v>2</v>
      </c>
      <c r="K15" s="8">
        <v>7</v>
      </c>
      <c r="L15" s="18">
        <v>22</v>
      </c>
      <c r="M15" s="18">
        <v>10</v>
      </c>
      <c r="N15" s="18"/>
      <c r="O15" s="21">
        <f>SUM(C15:N15)</f>
        <v>182</v>
      </c>
      <c r="P15" s="57"/>
      <c r="Q15" s="50">
        <f>O15/$Q$6</f>
        <v>26</v>
      </c>
      <c r="R15" s="58">
        <f>O15/$R$6</f>
        <v>20.222222222222221</v>
      </c>
    </row>
    <row r="16" spans="1:18" outlineLevel="1" x14ac:dyDescent="0.25">
      <c r="A16" s="173"/>
      <c r="B16" s="13" t="s">
        <v>5</v>
      </c>
      <c r="C16" s="36">
        <v>46.974477274853804</v>
      </c>
      <c r="D16" s="36">
        <v>50.403417867036019</v>
      </c>
      <c r="E16" s="36">
        <v>33.894798934837091</v>
      </c>
      <c r="F16" s="36">
        <v>0</v>
      </c>
      <c r="G16" s="36">
        <v>0</v>
      </c>
      <c r="H16" s="36">
        <v>0</v>
      </c>
      <c r="I16" s="36">
        <v>0</v>
      </c>
      <c r="J16" s="36">
        <v>55.237614035087717</v>
      </c>
      <c r="K16" s="36">
        <v>61.93992982456141</v>
      </c>
      <c r="L16" s="36">
        <v>39.295554744816592</v>
      </c>
      <c r="M16" s="36">
        <v>16.508382280701753</v>
      </c>
      <c r="N16" s="36"/>
      <c r="O16" s="40">
        <f>IF(O14=0,0,(O14/O15))</f>
        <v>0.3837049743961794</v>
      </c>
      <c r="P16" s="59"/>
      <c r="Q16" s="60"/>
      <c r="R16" s="61"/>
    </row>
    <row r="17" spans="1:18" x14ac:dyDescent="0.25">
      <c r="A17" s="171" t="s">
        <v>24</v>
      </c>
      <c r="B17" s="12" t="s">
        <v>4</v>
      </c>
      <c r="C17" s="11"/>
      <c r="D17" s="11">
        <v>11</v>
      </c>
      <c r="E17" s="11"/>
      <c r="F17" s="11">
        <v>6</v>
      </c>
      <c r="G17" s="11"/>
      <c r="H17" s="11"/>
      <c r="I17" s="11">
        <v>12</v>
      </c>
      <c r="J17" s="11">
        <v>7</v>
      </c>
      <c r="K17" s="11">
        <v>9</v>
      </c>
      <c r="L17" s="16">
        <v>11</v>
      </c>
      <c r="M17" s="16">
        <v>15</v>
      </c>
      <c r="N17" s="16"/>
      <c r="O17" s="19">
        <f>SUM(C17:N17)</f>
        <v>71</v>
      </c>
      <c r="P17" s="51"/>
      <c r="Q17" s="52"/>
      <c r="R17" s="53"/>
    </row>
    <row r="18" spans="1:18" outlineLevel="1" x14ac:dyDescent="0.25">
      <c r="A18" s="172"/>
      <c r="B18" s="9" t="s">
        <v>1</v>
      </c>
      <c r="C18" s="35">
        <v>0</v>
      </c>
      <c r="D18" s="35">
        <v>226.17127240829348</v>
      </c>
      <c r="E18" s="35">
        <v>0</v>
      </c>
      <c r="F18" s="35">
        <v>177.21913421052631</v>
      </c>
      <c r="G18" s="35">
        <v>0</v>
      </c>
      <c r="H18" s="35">
        <v>0</v>
      </c>
      <c r="I18" s="35">
        <v>202.19339956140348</v>
      </c>
      <c r="J18" s="35">
        <v>66.588912280701777</v>
      </c>
      <c r="K18" s="35">
        <v>71.820163742690042</v>
      </c>
      <c r="L18" s="35">
        <v>119.39364569377993</v>
      </c>
      <c r="M18" s="35">
        <v>77.649305789473686</v>
      </c>
      <c r="N18" s="35"/>
      <c r="O18" s="39">
        <f>IF(O19=0,0,(O19/O17))</f>
        <v>134.76187529033854</v>
      </c>
      <c r="P18" s="54"/>
      <c r="Q18" s="49"/>
      <c r="R18" s="55"/>
    </row>
    <row r="19" spans="1:18" outlineLevel="1" x14ac:dyDescent="0.25">
      <c r="A19" s="172"/>
      <c r="B19" s="7" t="s">
        <v>2</v>
      </c>
      <c r="C19" s="10">
        <v>0</v>
      </c>
      <c r="D19" s="10">
        <v>2487.8839964912286</v>
      </c>
      <c r="E19" s="10">
        <v>0</v>
      </c>
      <c r="F19" s="10">
        <v>1063.314805263158</v>
      </c>
      <c r="G19" s="10">
        <v>0</v>
      </c>
      <c r="H19" s="10">
        <v>0</v>
      </c>
      <c r="I19" s="10">
        <v>2426.3207947368419</v>
      </c>
      <c r="J19" s="10">
        <v>466.12238596491238</v>
      </c>
      <c r="K19" s="10">
        <v>646.38147368421039</v>
      </c>
      <c r="L19" s="17">
        <v>1313.3301026315792</v>
      </c>
      <c r="M19" s="17">
        <v>1164.7395868421052</v>
      </c>
      <c r="N19" s="17"/>
      <c r="O19" s="20">
        <f>SUM(C19:N19)</f>
        <v>9568.0931456140352</v>
      </c>
      <c r="P19" s="56">
        <f>O19/$O$4</f>
        <v>0.44259866550473925</v>
      </c>
      <c r="Q19" s="49"/>
      <c r="R19" s="55"/>
    </row>
    <row r="20" spans="1:18" outlineLevel="1" x14ac:dyDescent="0.25">
      <c r="A20" s="172"/>
      <c r="B20" s="7" t="s">
        <v>3</v>
      </c>
      <c r="C20" s="8">
        <v>0</v>
      </c>
      <c r="D20" s="8">
        <v>21</v>
      </c>
      <c r="E20" s="8">
        <v>0</v>
      </c>
      <c r="F20" s="8">
        <v>12</v>
      </c>
      <c r="G20" s="8">
        <v>0</v>
      </c>
      <c r="H20" s="8">
        <v>0</v>
      </c>
      <c r="I20" s="8">
        <v>12</v>
      </c>
      <c r="J20" s="8">
        <v>11</v>
      </c>
      <c r="K20" s="8">
        <v>11</v>
      </c>
      <c r="L20" s="18">
        <v>21</v>
      </c>
      <c r="M20" s="18">
        <v>19</v>
      </c>
      <c r="N20" s="18"/>
      <c r="O20" s="21">
        <f>SUM(C20:N20)</f>
        <v>107</v>
      </c>
      <c r="P20" s="57"/>
      <c r="Q20" s="50">
        <f>O20/$Q$6</f>
        <v>15.285714285714286</v>
      </c>
      <c r="R20" s="58">
        <f>O20/$R$6</f>
        <v>11.888888888888889</v>
      </c>
    </row>
    <row r="21" spans="1:18" outlineLevel="1" x14ac:dyDescent="0.25">
      <c r="A21" s="173"/>
      <c r="B21" s="13" t="s">
        <v>5</v>
      </c>
      <c r="C21" s="36">
        <v>0</v>
      </c>
      <c r="D21" s="36">
        <v>118.47066649958231</v>
      </c>
      <c r="E21" s="36">
        <v>0</v>
      </c>
      <c r="F21" s="36">
        <v>88.609567105263153</v>
      </c>
      <c r="G21" s="36">
        <v>0</v>
      </c>
      <c r="H21" s="36">
        <v>0</v>
      </c>
      <c r="I21" s="36">
        <v>202.19339956140348</v>
      </c>
      <c r="J21" s="36">
        <v>42.374762360446582</v>
      </c>
      <c r="K21" s="36">
        <v>58.76195215311003</v>
      </c>
      <c r="L21" s="36">
        <v>62.539528696741876</v>
      </c>
      <c r="M21" s="36">
        <v>61.302083518005539</v>
      </c>
      <c r="N21" s="36"/>
      <c r="O21" s="40">
        <f>IF(O19=0,0,(O19/O20))</f>
        <v>89.421431267420886</v>
      </c>
      <c r="P21" s="59"/>
      <c r="Q21" s="60"/>
      <c r="R21" s="61"/>
    </row>
    <row r="22" spans="1:18" x14ac:dyDescent="0.25">
      <c r="A22" s="171" t="s">
        <v>31</v>
      </c>
      <c r="B22" s="12" t="s">
        <v>4</v>
      </c>
      <c r="C22" s="11"/>
      <c r="D22" s="11"/>
      <c r="E22" s="11"/>
      <c r="F22" s="11"/>
      <c r="G22" s="11"/>
      <c r="H22" s="11"/>
      <c r="I22" s="11"/>
      <c r="J22" s="11"/>
      <c r="K22" s="11"/>
      <c r="L22" s="16"/>
      <c r="M22" s="16"/>
      <c r="N22" s="16"/>
      <c r="O22" s="19">
        <f>SUM(C22:N22)</f>
        <v>0</v>
      </c>
      <c r="P22" s="51"/>
      <c r="Q22" s="52"/>
      <c r="R22" s="53"/>
    </row>
    <row r="23" spans="1:18" outlineLevel="1" x14ac:dyDescent="0.25">
      <c r="A23" s="172"/>
      <c r="B23" s="9" t="s">
        <v>1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9">
        <f>IF(O24=0,0,(O24/O22))</f>
        <v>0</v>
      </c>
      <c r="P23" s="54"/>
      <c r="Q23" s="49"/>
      <c r="R23" s="55"/>
    </row>
    <row r="24" spans="1:18" outlineLevel="1" x14ac:dyDescent="0.25">
      <c r="A24" s="172"/>
      <c r="B24" s="7" t="s">
        <v>2</v>
      </c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17"/>
      <c r="N24" s="17"/>
      <c r="O24" s="20">
        <f>SUM(C24:N24)</f>
        <v>0</v>
      </c>
      <c r="P24" s="56">
        <f>O24/$O$4</f>
        <v>0</v>
      </c>
      <c r="Q24" s="49"/>
      <c r="R24" s="55"/>
    </row>
    <row r="25" spans="1:18" outlineLevel="1" x14ac:dyDescent="0.25">
      <c r="A25" s="172"/>
      <c r="B25" s="7" t="s">
        <v>3</v>
      </c>
      <c r="C25" s="8"/>
      <c r="D25" s="8"/>
      <c r="E25" s="8"/>
      <c r="F25" s="8"/>
      <c r="G25" s="8"/>
      <c r="H25" s="8"/>
      <c r="I25" s="8"/>
      <c r="J25" s="8"/>
      <c r="K25" s="8"/>
      <c r="L25" s="18"/>
      <c r="M25" s="18"/>
      <c r="N25" s="18"/>
      <c r="O25" s="21">
        <f>SUM(C25:N25)</f>
        <v>0</v>
      </c>
      <c r="P25" s="57"/>
      <c r="Q25" s="50">
        <f>O25/$Q$6</f>
        <v>0</v>
      </c>
      <c r="R25" s="58">
        <f>O25/$R$6</f>
        <v>0</v>
      </c>
    </row>
    <row r="26" spans="1:18" outlineLevel="1" x14ac:dyDescent="0.25">
      <c r="A26" s="173"/>
      <c r="B26" s="13" t="s">
        <v>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40">
        <f>IF(O24=0,0,(O24/O25))</f>
        <v>0</v>
      </c>
      <c r="P26" s="59"/>
      <c r="Q26" s="60"/>
      <c r="R26" s="61"/>
    </row>
    <row r="27" spans="1:18" x14ac:dyDescent="0.25">
      <c r="A27" s="171" t="s">
        <v>28</v>
      </c>
      <c r="B27" s="12" t="s">
        <v>4</v>
      </c>
      <c r="C27" s="11">
        <v>3</v>
      </c>
      <c r="D27" s="11"/>
      <c r="E27" s="11">
        <v>2</v>
      </c>
      <c r="F27" s="11"/>
      <c r="G27" s="11"/>
      <c r="H27" s="11"/>
      <c r="I27" s="11"/>
      <c r="J27" s="11"/>
      <c r="K27" s="11"/>
      <c r="L27" s="16"/>
      <c r="M27" s="16"/>
      <c r="N27" s="16"/>
      <c r="O27" s="19">
        <f>SUM(C27:N27)</f>
        <v>5</v>
      </c>
      <c r="P27" s="51"/>
      <c r="Q27" s="52"/>
      <c r="R27" s="53"/>
    </row>
    <row r="28" spans="1:18" outlineLevel="1" x14ac:dyDescent="0.25">
      <c r="A28" s="172"/>
      <c r="B28" s="9" t="s">
        <v>1</v>
      </c>
      <c r="C28" s="35">
        <v>218.11585701754385</v>
      </c>
      <c r="D28" s="35">
        <v>0</v>
      </c>
      <c r="E28" s="35">
        <v>149.83223947368421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/>
      <c r="O28" s="39">
        <f>IF(O29=0,0,(O29/O27))</f>
        <v>190.80241000000001</v>
      </c>
      <c r="P28" s="54"/>
      <c r="Q28" s="49"/>
      <c r="R28" s="55"/>
    </row>
    <row r="29" spans="1:18" outlineLevel="1" x14ac:dyDescent="0.25">
      <c r="A29" s="172"/>
      <c r="B29" s="7" t="s">
        <v>2</v>
      </c>
      <c r="C29" s="10">
        <v>654.34757105263168</v>
      </c>
      <c r="D29" s="10">
        <v>0</v>
      </c>
      <c r="E29" s="10">
        <v>299.66447894736842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7">
        <v>0</v>
      </c>
      <c r="M29" s="17">
        <v>0</v>
      </c>
      <c r="N29" s="17"/>
      <c r="O29" s="20">
        <f>SUM(C29:N29)</f>
        <v>954.01205000000004</v>
      </c>
      <c r="P29" s="56">
        <f>O29/$O$4</f>
        <v>4.413047132583521E-2</v>
      </c>
      <c r="Q29" s="49"/>
      <c r="R29" s="55"/>
    </row>
    <row r="30" spans="1:18" outlineLevel="1" x14ac:dyDescent="0.25">
      <c r="A30" s="172"/>
      <c r="B30" s="7" t="s">
        <v>3</v>
      </c>
      <c r="C30" s="8">
        <v>6</v>
      </c>
      <c r="D30" s="8">
        <v>0</v>
      </c>
      <c r="E30" s="8">
        <v>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18">
        <v>0</v>
      </c>
      <c r="M30" s="18">
        <v>0</v>
      </c>
      <c r="N30" s="18"/>
      <c r="O30" s="21">
        <f>SUM(C30:N30)</f>
        <v>10</v>
      </c>
      <c r="P30" s="57"/>
      <c r="Q30" s="50">
        <f>O30/$Q$6</f>
        <v>1.4285714285714286</v>
      </c>
      <c r="R30" s="58">
        <f>O30/$R$6</f>
        <v>1.1111111111111112</v>
      </c>
    </row>
    <row r="31" spans="1:18" outlineLevel="1" x14ac:dyDescent="0.25">
      <c r="A31" s="173"/>
      <c r="B31" s="13" t="s">
        <v>5</v>
      </c>
      <c r="C31" s="36">
        <v>109.05792850877192</v>
      </c>
      <c r="D31" s="36">
        <v>0</v>
      </c>
      <c r="E31" s="36">
        <v>74.916119736842106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/>
      <c r="O31" s="40">
        <f>IF(O29=0,0,(O29/O30))</f>
        <v>95.401205000000004</v>
      </c>
      <c r="P31" s="59"/>
      <c r="Q31" s="60"/>
      <c r="R31" s="61"/>
    </row>
    <row r="32" spans="1:18" x14ac:dyDescent="0.25">
      <c r="A32" s="171" t="s">
        <v>29</v>
      </c>
      <c r="B32" s="12" t="s">
        <v>4</v>
      </c>
      <c r="C32" s="11"/>
      <c r="D32" s="11"/>
      <c r="E32" s="11"/>
      <c r="F32" s="11"/>
      <c r="G32" s="11"/>
      <c r="H32" s="11"/>
      <c r="I32" s="11">
        <v>2</v>
      </c>
      <c r="J32" s="11"/>
      <c r="K32" s="11">
        <v>4</v>
      </c>
      <c r="L32" s="16">
        <v>8</v>
      </c>
      <c r="M32" s="16">
        <v>10</v>
      </c>
      <c r="N32" s="16"/>
      <c r="O32" s="19">
        <f>SUM(C32:N32)</f>
        <v>24</v>
      </c>
      <c r="P32" s="51"/>
      <c r="Q32" s="52"/>
      <c r="R32" s="53"/>
    </row>
    <row r="33" spans="1:18" outlineLevel="1" x14ac:dyDescent="0.25">
      <c r="A33" s="172"/>
      <c r="B33" s="9" t="s">
        <v>1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84.274514912280722</v>
      </c>
      <c r="J33" s="35">
        <v>0</v>
      </c>
      <c r="K33" s="35">
        <v>87.367859649122821</v>
      </c>
      <c r="L33" s="35">
        <v>120.10004451754386</v>
      </c>
      <c r="M33" s="35">
        <v>144.36083929824565</v>
      </c>
      <c r="N33" s="35"/>
      <c r="O33" s="39">
        <f>IF(O34=0,0,(O34/O32))</f>
        <v>121.76788406432752</v>
      </c>
      <c r="P33" s="54"/>
      <c r="Q33" s="49"/>
      <c r="R33" s="55"/>
    </row>
    <row r="34" spans="1:18" outlineLevel="1" x14ac:dyDescent="0.25">
      <c r="A34" s="172"/>
      <c r="B34" s="7" t="s">
        <v>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168.54902982456142</v>
      </c>
      <c r="J34" s="10">
        <v>0</v>
      </c>
      <c r="K34" s="10">
        <v>349.47143859649128</v>
      </c>
      <c r="L34" s="17">
        <v>960.80035614035091</v>
      </c>
      <c r="M34" s="17">
        <v>1443.6083929824565</v>
      </c>
      <c r="N34" s="17"/>
      <c r="O34" s="20">
        <f>SUM(C34:N34)</f>
        <v>2922.4292175438604</v>
      </c>
      <c r="P34" s="56">
        <f>O34/$O$4</f>
        <v>0.13518506269035319</v>
      </c>
      <c r="Q34" s="49"/>
      <c r="R34" s="55"/>
    </row>
    <row r="35" spans="1:18" outlineLevel="1" x14ac:dyDescent="0.25">
      <c r="A35" s="172"/>
      <c r="B35" s="7" t="s">
        <v>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4</v>
      </c>
      <c r="J35" s="8">
        <v>0</v>
      </c>
      <c r="K35" s="8">
        <v>8</v>
      </c>
      <c r="L35" s="18">
        <v>16</v>
      </c>
      <c r="M35" s="18">
        <v>20</v>
      </c>
      <c r="N35" s="18"/>
      <c r="O35" s="21">
        <f>SUM(C35:N35)</f>
        <v>48</v>
      </c>
      <c r="P35" s="57"/>
      <c r="Q35" s="50">
        <f>O35/$Q$6</f>
        <v>6.8571428571428568</v>
      </c>
      <c r="R35" s="58">
        <f>O35/$R$6</f>
        <v>5.333333333333333</v>
      </c>
    </row>
    <row r="36" spans="1:18" outlineLevel="1" x14ac:dyDescent="0.25">
      <c r="A36" s="173"/>
      <c r="B36" s="13" t="s">
        <v>5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42.137257456140361</v>
      </c>
      <c r="J36" s="36">
        <v>0</v>
      </c>
      <c r="K36" s="36">
        <v>43.68392982456141</v>
      </c>
      <c r="L36" s="36">
        <v>60.050022258771932</v>
      </c>
      <c r="M36" s="36">
        <v>72.180419649122825</v>
      </c>
      <c r="N36" s="36"/>
      <c r="O36" s="40">
        <f>IF(O34=0,0,(O34/O35))</f>
        <v>60.883942032163759</v>
      </c>
      <c r="P36" s="59"/>
      <c r="Q36" s="60"/>
      <c r="R36" s="61"/>
    </row>
    <row r="37" spans="1:18" x14ac:dyDescent="0.25">
      <c r="A37" s="171" t="s">
        <v>30</v>
      </c>
      <c r="B37" s="12" t="s">
        <v>4</v>
      </c>
      <c r="C37" s="11"/>
      <c r="D37" s="11"/>
      <c r="E37" s="11"/>
      <c r="F37" s="11"/>
      <c r="G37" s="11"/>
      <c r="H37" s="11"/>
      <c r="I37" s="11"/>
      <c r="J37" s="11"/>
      <c r="K37" s="11"/>
      <c r="L37" s="16">
        <v>1</v>
      </c>
      <c r="M37" s="16">
        <v>4</v>
      </c>
      <c r="N37" s="16"/>
      <c r="O37" s="19">
        <f>SUM(C37:N37)</f>
        <v>5</v>
      </c>
      <c r="P37" s="51"/>
      <c r="Q37" s="52"/>
      <c r="R37" s="53"/>
    </row>
    <row r="38" spans="1:18" outlineLevel="1" x14ac:dyDescent="0.25">
      <c r="A38" s="172"/>
      <c r="B38" s="9" t="s">
        <v>1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195.64992456140351</v>
      </c>
      <c r="M38" s="35">
        <v>81.16636315789475</v>
      </c>
      <c r="N38" s="35"/>
      <c r="O38" s="39">
        <f>IF(O39=0,0,(O39/O37))</f>
        <v>104.0630754385965</v>
      </c>
      <c r="P38" s="54"/>
      <c r="Q38" s="49"/>
      <c r="R38" s="55"/>
    </row>
    <row r="39" spans="1:18" outlineLevel="1" x14ac:dyDescent="0.25">
      <c r="A39" s="172"/>
      <c r="B39" s="7" t="s">
        <v>2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7">
        <v>195.64992456140351</v>
      </c>
      <c r="M39" s="17">
        <v>324.665452631579</v>
      </c>
      <c r="N39" s="17"/>
      <c r="O39" s="20">
        <f>SUM(C39:N39)</f>
        <v>520.31537719298251</v>
      </c>
      <c r="P39" s="56">
        <f>O39/$O$4</f>
        <v>2.4068629776328343E-2</v>
      </c>
      <c r="Q39" s="49"/>
      <c r="R39" s="55"/>
    </row>
    <row r="40" spans="1:18" outlineLevel="1" x14ac:dyDescent="0.25">
      <c r="A40" s="172"/>
      <c r="B40" s="7" t="s">
        <v>3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18">
        <v>3</v>
      </c>
      <c r="M40" s="18">
        <v>8</v>
      </c>
      <c r="N40" s="18"/>
      <c r="O40" s="21">
        <f>SUM(C40:N40)</f>
        <v>11</v>
      </c>
      <c r="P40" s="57"/>
      <c r="Q40" s="50">
        <f>O40/$Q$6</f>
        <v>1.5714285714285714</v>
      </c>
      <c r="R40" s="58">
        <f>O40/$R$6</f>
        <v>1.2222222222222223</v>
      </c>
    </row>
    <row r="41" spans="1:18" outlineLevel="1" x14ac:dyDescent="0.25">
      <c r="A41" s="173"/>
      <c r="B41" s="13" t="s">
        <v>5</v>
      </c>
      <c r="C41" s="38">
        <v>0</v>
      </c>
      <c r="D41" s="38">
        <v>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65.216641520467846</v>
      </c>
      <c r="M41" s="38">
        <v>40.583181578947375</v>
      </c>
      <c r="N41" s="38"/>
      <c r="O41" s="41">
        <f>IF(O39=0,0,(O39/O40))</f>
        <v>47.30139792663477</v>
      </c>
      <c r="P41" s="59"/>
      <c r="Q41" s="60"/>
      <c r="R41" s="61"/>
    </row>
  </sheetData>
  <autoFilter ref="A1:B41"/>
  <mergeCells count="9">
    <mergeCell ref="A32:A36"/>
    <mergeCell ref="A37:A41"/>
    <mergeCell ref="A22:A26"/>
    <mergeCell ref="P2:P6"/>
    <mergeCell ref="Q2:R4"/>
    <mergeCell ref="A7:A11"/>
    <mergeCell ref="A12:A16"/>
    <mergeCell ref="A17:A21"/>
    <mergeCell ref="A27:A31"/>
  </mergeCells>
  <conditionalFormatting sqref="A1:XFD1 A2:B6 P2:XFD41 A42:XFD1048576">
    <cfRule type="cellIs" dxfId="302" priority="20" operator="equal">
      <formula>0</formula>
    </cfRule>
  </conditionalFormatting>
  <conditionalFormatting sqref="A7:O41">
    <cfRule type="cellIs" dxfId="301" priority="5" operator="equal">
      <formula>0</formula>
    </cfRule>
  </conditionalFormatting>
  <conditionalFormatting sqref="C2:N4 C6:N6">
    <cfRule type="cellIs" dxfId="300" priority="4" operator="equal">
      <formula>0</formula>
    </cfRule>
  </conditionalFormatting>
  <conditionalFormatting sqref="C5:N5">
    <cfRule type="cellIs" dxfId="299" priority="3" operator="equal">
      <formula>0</formula>
    </cfRule>
  </conditionalFormatting>
  <conditionalFormatting sqref="O2:O4 O6">
    <cfRule type="cellIs" dxfId="298" priority="2" operator="equal">
      <formula>0</formula>
    </cfRule>
  </conditionalFormatting>
  <conditionalFormatting sqref="O5">
    <cfRule type="cellIs" dxfId="29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Y42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O8" sqref="O8"/>
    </sheetView>
  </sheetViews>
  <sheetFormatPr defaultColWidth="9.109375" defaultRowHeight="13.8" x14ac:dyDescent="0.3"/>
  <cols>
    <col min="1" max="1" width="13.109375" style="27" bestFit="1" customWidth="1"/>
    <col min="2" max="2" width="7.44140625" style="2" bestFit="1" customWidth="1"/>
    <col min="3" max="3" width="8" style="114" bestFit="1" customWidth="1"/>
    <col min="4" max="14" width="7.44140625" style="3" customWidth="1"/>
    <col min="15" max="15" width="9.44140625" style="3" customWidth="1"/>
    <col min="16" max="16" width="10.33203125" style="4" customWidth="1"/>
    <col min="17" max="17" width="4.33203125" style="1" bestFit="1" customWidth="1"/>
    <col min="18" max="19" width="7" style="1" customWidth="1"/>
    <col min="20" max="16384" width="9.109375" style="1"/>
  </cols>
  <sheetData>
    <row r="1" spans="1:25" s="84" customFormat="1" ht="18" x14ac:dyDescent="0.25">
      <c r="A1" s="189">
        <v>2017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  <c r="U1" s="108"/>
      <c r="V1" s="109"/>
      <c r="W1" s="110"/>
      <c r="X1" s="111"/>
      <c r="Y1" s="112"/>
    </row>
    <row r="2" spans="1:25" x14ac:dyDescent="0.25">
      <c r="A2" s="87"/>
      <c r="B2" s="87"/>
      <c r="C2" s="127"/>
      <c r="D2" s="87" t="s">
        <v>14</v>
      </c>
      <c r="E2" s="87" t="s">
        <v>15</v>
      </c>
      <c r="F2" s="87" t="s">
        <v>16</v>
      </c>
      <c r="G2" s="87" t="s">
        <v>17</v>
      </c>
      <c r="H2" s="87" t="s">
        <v>6</v>
      </c>
      <c r="I2" s="87" t="s">
        <v>7</v>
      </c>
      <c r="J2" s="87" t="s">
        <v>8</v>
      </c>
      <c r="K2" s="87" t="s">
        <v>9</v>
      </c>
      <c r="L2" s="87" t="s">
        <v>10</v>
      </c>
      <c r="M2" s="87" t="s">
        <v>11</v>
      </c>
      <c r="N2" s="87" t="s">
        <v>12</v>
      </c>
      <c r="O2" s="87" t="s">
        <v>13</v>
      </c>
      <c r="P2" s="87" t="s">
        <v>18</v>
      </c>
      <c r="Q2" s="87"/>
      <c r="R2" s="87"/>
      <c r="S2" s="87"/>
    </row>
    <row r="3" spans="1:25" s="84" customFormat="1" x14ac:dyDescent="0.25">
      <c r="A3" s="194" t="s">
        <v>34</v>
      </c>
      <c r="B3" s="117" t="s">
        <v>33</v>
      </c>
      <c r="C3" s="117" t="s">
        <v>18</v>
      </c>
      <c r="D3" s="118">
        <f>D8+D13+D18+D23+D33+D38</f>
        <v>4768.8589473684206</v>
      </c>
      <c r="E3" s="118">
        <f>E8+E13+E18+E23+E33+E38</f>
        <v>5533.5242105263169</v>
      </c>
      <c r="F3" s="118">
        <f>F8+F13+F18+F23+F33+F38</f>
        <v>6869.5494736842102</v>
      </c>
      <c r="G3" s="118">
        <f>G8+G13+G18+G23+G33+G38</f>
        <v>4992.2357894736842</v>
      </c>
      <c r="H3" s="118"/>
      <c r="I3" s="118">
        <f t="shared" ref="I3:P3" si="0">I8+I13+I18+I23+I33+I38</f>
        <v>1097.0273684210526</v>
      </c>
      <c r="J3" s="118">
        <f t="shared" si="0"/>
        <v>2867.9342105263158</v>
      </c>
      <c r="K3" s="118">
        <f t="shared" si="0"/>
        <v>5799.18</v>
      </c>
      <c r="L3" s="118">
        <f t="shared" si="0"/>
        <v>3509.5152631578949</v>
      </c>
      <c r="M3" s="118">
        <f t="shared" si="0"/>
        <v>1916.205789473684</v>
      </c>
      <c r="N3" s="118">
        <f t="shared" si="0"/>
        <v>5172.975789473684</v>
      </c>
      <c r="O3" s="118">
        <f t="shared" si="0"/>
        <v>34526.620044736846</v>
      </c>
      <c r="P3" s="121">
        <f t="shared" si="0"/>
        <v>77053.626886842103</v>
      </c>
      <c r="Q3" s="192" t="s">
        <v>20</v>
      </c>
      <c r="R3" s="193" t="s">
        <v>19</v>
      </c>
      <c r="S3" s="193"/>
    </row>
    <row r="4" spans="1:25" x14ac:dyDescent="0.25">
      <c r="A4" s="195"/>
      <c r="B4" s="123"/>
      <c r="C4" s="123" t="s">
        <v>40</v>
      </c>
      <c r="D4" s="124">
        <f t="shared" ref="D4:P4" si="1">IF(D3=0,0,(D3/D6))</f>
        <v>144.51087719298243</v>
      </c>
      <c r="E4" s="124">
        <f t="shared" si="1"/>
        <v>98.812932330827081</v>
      </c>
      <c r="F4" s="124">
        <f t="shared" si="1"/>
        <v>89.214928229665063</v>
      </c>
      <c r="G4" s="124">
        <f t="shared" si="1"/>
        <v>74.510981932443045</v>
      </c>
      <c r="H4" s="124"/>
      <c r="I4" s="124">
        <f t="shared" si="1"/>
        <v>137.12842105263158</v>
      </c>
      <c r="J4" s="124">
        <f t="shared" si="1"/>
        <v>130.36064593301435</v>
      </c>
      <c r="K4" s="124">
        <f t="shared" si="1"/>
        <v>103.55678571428572</v>
      </c>
      <c r="L4" s="124">
        <f t="shared" si="1"/>
        <v>92.355664819944607</v>
      </c>
      <c r="M4" s="124">
        <f t="shared" si="1"/>
        <v>106.45587719298244</v>
      </c>
      <c r="N4" s="124">
        <f t="shared" si="1"/>
        <v>110.06331466965285</v>
      </c>
      <c r="O4" s="124">
        <f>IF(O3=0,0,(O3/O6))</f>
        <v>145.06983212074306</v>
      </c>
      <c r="P4" s="128">
        <f t="shared" si="1"/>
        <v>116.74791952551834</v>
      </c>
      <c r="Q4" s="192"/>
      <c r="R4" s="193"/>
      <c r="S4" s="193"/>
    </row>
    <row r="5" spans="1:25" x14ac:dyDescent="0.25">
      <c r="A5" s="195"/>
      <c r="B5" s="119"/>
      <c r="C5" s="119" t="s">
        <v>41</v>
      </c>
      <c r="D5" s="158">
        <f t="shared" ref="D5:P5" si="2">IF(D3=0,0,(D3/D7))</f>
        <v>88.312202729044827</v>
      </c>
      <c r="E5" s="158">
        <f t="shared" si="2"/>
        <v>55.33524210526317</v>
      </c>
      <c r="F5" s="158">
        <f t="shared" si="2"/>
        <v>50.511393188854484</v>
      </c>
      <c r="G5" s="158">
        <f t="shared" si="2"/>
        <v>43.410745995423341</v>
      </c>
      <c r="H5" s="158"/>
      <c r="I5" s="158">
        <f t="shared" si="2"/>
        <v>68.56421052631579</v>
      </c>
      <c r="J5" s="158">
        <f t="shared" si="2"/>
        <v>63.731871345029241</v>
      </c>
      <c r="K5" s="158">
        <f t="shared" si="2"/>
        <v>65.899772727272733</v>
      </c>
      <c r="L5" s="158">
        <f t="shared" si="2"/>
        <v>66.217269116186699</v>
      </c>
      <c r="M5" s="158">
        <f t="shared" si="2"/>
        <v>63.873526315789469</v>
      </c>
      <c r="N5" s="158">
        <f t="shared" si="2"/>
        <v>84.80288179465056</v>
      </c>
      <c r="O5" s="158">
        <f>IF(O3=0,0,(O3/O7))</f>
        <v>79.922731585039003</v>
      </c>
      <c r="P5" s="154">
        <f t="shared" si="2"/>
        <v>68.189050342338149</v>
      </c>
      <c r="Q5" s="192"/>
      <c r="R5" s="193"/>
      <c r="S5" s="193"/>
    </row>
    <row r="6" spans="1:25" ht="13.2" customHeight="1" x14ac:dyDescent="0.25">
      <c r="A6" s="195"/>
      <c r="B6" s="80" t="s">
        <v>42</v>
      </c>
      <c r="C6" s="123" t="s">
        <v>43</v>
      </c>
      <c r="D6" s="81">
        <f t="shared" ref="D6:P6" si="3">D11+D16+D21+D26+D36+D41</f>
        <v>33</v>
      </c>
      <c r="E6" s="81">
        <f t="shared" si="3"/>
        <v>56</v>
      </c>
      <c r="F6" s="81">
        <f t="shared" si="3"/>
        <v>77</v>
      </c>
      <c r="G6" s="81">
        <f t="shared" si="3"/>
        <v>67</v>
      </c>
      <c r="H6" s="81">
        <f t="shared" si="3"/>
        <v>0</v>
      </c>
      <c r="I6" s="81">
        <f t="shared" si="3"/>
        <v>8</v>
      </c>
      <c r="J6" s="81">
        <f t="shared" si="3"/>
        <v>22</v>
      </c>
      <c r="K6" s="81">
        <f t="shared" si="3"/>
        <v>56</v>
      </c>
      <c r="L6" s="81">
        <f t="shared" si="3"/>
        <v>38</v>
      </c>
      <c r="M6" s="81">
        <f t="shared" si="3"/>
        <v>18</v>
      </c>
      <c r="N6" s="81">
        <f t="shared" si="3"/>
        <v>47</v>
      </c>
      <c r="O6" s="81">
        <f t="shared" si="3"/>
        <v>238</v>
      </c>
      <c r="P6" s="88">
        <f t="shared" si="3"/>
        <v>660</v>
      </c>
      <c r="Q6" s="192"/>
      <c r="R6" s="62">
        <f>P6/$R$7</f>
        <v>94.285714285714292</v>
      </c>
      <c r="S6" s="62">
        <f>P6/$S$7</f>
        <v>73.333333333333329</v>
      </c>
    </row>
    <row r="7" spans="1:25" x14ac:dyDescent="0.25">
      <c r="A7" s="196"/>
      <c r="B7" s="42"/>
      <c r="C7" s="119" t="s">
        <v>44</v>
      </c>
      <c r="D7" s="82">
        <f t="shared" ref="D7:P7" si="4">D12+D17+D22+D27+D37+D42</f>
        <v>54</v>
      </c>
      <c r="E7" s="82">
        <f t="shared" si="4"/>
        <v>100</v>
      </c>
      <c r="F7" s="82">
        <f t="shared" si="4"/>
        <v>136</v>
      </c>
      <c r="G7" s="82">
        <f t="shared" si="4"/>
        <v>115</v>
      </c>
      <c r="H7" s="82">
        <f t="shared" si="4"/>
        <v>0</v>
      </c>
      <c r="I7" s="82">
        <f t="shared" si="4"/>
        <v>16</v>
      </c>
      <c r="J7" s="82">
        <f t="shared" si="4"/>
        <v>45</v>
      </c>
      <c r="K7" s="82">
        <f t="shared" si="4"/>
        <v>88</v>
      </c>
      <c r="L7" s="82">
        <f t="shared" si="4"/>
        <v>53</v>
      </c>
      <c r="M7" s="82">
        <f t="shared" si="4"/>
        <v>30</v>
      </c>
      <c r="N7" s="82">
        <f t="shared" si="4"/>
        <v>61</v>
      </c>
      <c r="O7" s="82">
        <f t="shared" si="4"/>
        <v>432</v>
      </c>
      <c r="P7" s="83">
        <f t="shared" si="4"/>
        <v>1130</v>
      </c>
      <c r="Q7" s="192"/>
      <c r="R7" s="107">
        <v>7</v>
      </c>
      <c r="S7" s="107">
        <v>9</v>
      </c>
    </row>
    <row r="8" spans="1:25" ht="14.4" x14ac:dyDescent="0.25">
      <c r="A8" s="188" t="s">
        <v>27</v>
      </c>
      <c r="B8" s="89" t="s">
        <v>33</v>
      </c>
      <c r="C8" s="129" t="s">
        <v>18</v>
      </c>
      <c r="D8" s="90"/>
      <c r="E8" s="90">
        <v>1026.3915789473683</v>
      </c>
      <c r="F8" s="90">
        <v>224.23578947368421</v>
      </c>
      <c r="G8" s="90">
        <v>1091.5873684210526</v>
      </c>
      <c r="H8" s="90"/>
      <c r="I8" s="90">
        <v>254.55157894736843</v>
      </c>
      <c r="J8" s="90">
        <v>790.96421052631581</v>
      </c>
      <c r="K8" s="90">
        <v>1303.3263157894737</v>
      </c>
      <c r="L8" s="90">
        <v>406.09105263157892</v>
      </c>
      <c r="M8" s="90">
        <v>1517.947894736842</v>
      </c>
      <c r="N8" s="90">
        <v>2070.4286842105262</v>
      </c>
      <c r="O8" s="90">
        <v>5762.0292552631581</v>
      </c>
      <c r="P8" s="47">
        <f>SUM(D8:O8)</f>
        <v>14447.553728947369</v>
      </c>
      <c r="Q8" s="99">
        <f>P8/$P$3</f>
        <v>0.18749998296854309</v>
      </c>
      <c r="R8" s="85" t="e">
        <f>P12/$R$2</f>
        <v>#DIV/0!</v>
      </c>
      <c r="S8" s="100"/>
      <c r="U8" s="66"/>
    </row>
    <row r="9" spans="1:25" ht="14.4" x14ac:dyDescent="0.25">
      <c r="A9" s="188"/>
      <c r="B9" s="91"/>
      <c r="C9" s="131" t="s">
        <v>40</v>
      </c>
      <c r="D9" s="78"/>
      <c r="E9" s="78">
        <f>IF(E8=0,0,(E8/E11))</f>
        <v>171.06526315789472</v>
      </c>
      <c r="F9" s="78">
        <f>IF(F8=0,0,(F8/F11))</f>
        <v>112.1178947368421</v>
      </c>
      <c r="G9" s="78">
        <f>IF(G8=0,0,(G8/G11))</f>
        <v>99.235215311004779</v>
      </c>
      <c r="H9" s="78"/>
      <c r="I9" s="78">
        <f t="shared" ref="I9:N9" si="5">IF(I8=0,0,(I8/I11))</f>
        <v>127.27578947368421</v>
      </c>
      <c r="J9" s="78">
        <f t="shared" si="5"/>
        <v>158.19284210526317</v>
      </c>
      <c r="K9" s="78">
        <f t="shared" si="5"/>
        <v>144.8140350877193</v>
      </c>
      <c r="L9" s="78">
        <f t="shared" si="5"/>
        <v>101.52276315789473</v>
      </c>
      <c r="M9" s="78">
        <f t="shared" si="5"/>
        <v>108.42484962406014</v>
      </c>
      <c r="N9" s="78">
        <f t="shared" si="5"/>
        <v>159.26374493927125</v>
      </c>
      <c r="O9" s="78">
        <v>160.0563682017544</v>
      </c>
      <c r="P9" s="97">
        <f>IF(P8=0,0,(P8/P11))</f>
        <v>141.64268361713107</v>
      </c>
      <c r="Q9" s="101"/>
      <c r="R9" s="86"/>
      <c r="S9" s="79"/>
      <c r="U9" s="66"/>
    </row>
    <row r="10" spans="1:25" ht="14.4" x14ac:dyDescent="0.25">
      <c r="A10" s="188"/>
      <c r="B10" s="92"/>
      <c r="C10" s="132" t="s">
        <v>41</v>
      </c>
      <c r="D10" s="93"/>
      <c r="E10" s="93">
        <f>IF(E8=0,0,(E8/E12))</f>
        <v>85.53263157894736</v>
      </c>
      <c r="F10" s="93">
        <f>IF(F8=0,0,(F8/F12))</f>
        <v>56.058947368421052</v>
      </c>
      <c r="G10" s="93">
        <f>IF(G8=0,0,(G8/G12))</f>
        <v>60.643742690058474</v>
      </c>
      <c r="H10" s="93"/>
      <c r="I10" s="93">
        <f t="shared" ref="I10:N10" si="6">IF(I8=0,0,(I8/I12))</f>
        <v>63.637894736842107</v>
      </c>
      <c r="J10" s="93">
        <f t="shared" si="6"/>
        <v>71.905837320574165</v>
      </c>
      <c r="K10" s="93">
        <f t="shared" si="6"/>
        <v>130.33263157894737</v>
      </c>
      <c r="L10" s="93">
        <f t="shared" si="6"/>
        <v>67.681842105263158</v>
      </c>
      <c r="M10" s="93">
        <f t="shared" si="6"/>
        <v>68.997631578947363</v>
      </c>
      <c r="N10" s="93">
        <f t="shared" si="6"/>
        <v>108.96993074792243</v>
      </c>
      <c r="O10" s="93">
        <v>198.69066397459167</v>
      </c>
      <c r="P10" s="98">
        <f>IF(P8=0,0,(P8/P12))</f>
        <v>107.01891651072125</v>
      </c>
      <c r="Q10" s="102"/>
      <c r="R10" s="103"/>
      <c r="S10" s="104"/>
      <c r="U10" s="66"/>
    </row>
    <row r="11" spans="1:25" ht="14.4" x14ac:dyDescent="0.25">
      <c r="A11" s="188"/>
      <c r="B11" s="89" t="s">
        <v>42</v>
      </c>
      <c r="C11" s="129" t="s">
        <v>43</v>
      </c>
      <c r="D11" s="94"/>
      <c r="E11" s="94">
        <v>6</v>
      </c>
      <c r="F11" s="94">
        <v>2</v>
      </c>
      <c r="G11" s="94">
        <v>11</v>
      </c>
      <c r="H11" s="94"/>
      <c r="I11" s="94">
        <v>2</v>
      </c>
      <c r="J11" s="94">
        <v>5</v>
      </c>
      <c r="K11" s="94">
        <v>9</v>
      </c>
      <c r="L11" s="94">
        <v>4</v>
      </c>
      <c r="M11" s="94">
        <v>14</v>
      </c>
      <c r="N11" s="94">
        <v>13</v>
      </c>
      <c r="O11" s="94">
        <v>36</v>
      </c>
      <c r="P11" s="105">
        <f>SUM(D11:O11)</f>
        <v>102</v>
      </c>
      <c r="Q11" s="100"/>
      <c r="R11" s="85"/>
      <c r="S11" s="100"/>
      <c r="U11" s="65">
        <v>82</v>
      </c>
    </row>
    <row r="12" spans="1:25" ht="14.4" x14ac:dyDescent="0.25">
      <c r="A12" s="188"/>
      <c r="B12" s="95"/>
      <c r="C12" s="135" t="s">
        <v>44</v>
      </c>
      <c r="D12" s="96"/>
      <c r="E12" s="96">
        <v>12</v>
      </c>
      <c r="F12" s="96">
        <v>4</v>
      </c>
      <c r="G12" s="96">
        <v>18</v>
      </c>
      <c r="H12" s="96"/>
      <c r="I12" s="96">
        <v>4</v>
      </c>
      <c r="J12" s="96">
        <v>11</v>
      </c>
      <c r="K12" s="96">
        <v>10</v>
      </c>
      <c r="L12" s="96">
        <v>6</v>
      </c>
      <c r="M12" s="96">
        <v>22</v>
      </c>
      <c r="N12" s="96">
        <v>19</v>
      </c>
      <c r="O12" s="96">
        <v>29</v>
      </c>
      <c r="P12" s="106">
        <f>SUM(D12:O12)</f>
        <v>135</v>
      </c>
      <c r="Q12" s="79"/>
      <c r="R12" s="86"/>
      <c r="S12" s="86" t="e">
        <f>P12/$S$2</f>
        <v>#DIV/0!</v>
      </c>
      <c r="U12" s="65">
        <v>116</v>
      </c>
    </row>
    <row r="13" spans="1:25" ht="14.4" x14ac:dyDescent="0.35">
      <c r="A13" s="188" t="s">
        <v>23</v>
      </c>
      <c r="B13" s="89" t="s">
        <v>33</v>
      </c>
      <c r="C13" s="129" t="s">
        <v>18</v>
      </c>
      <c r="D13" s="90">
        <v>1762.0884210526315</v>
      </c>
      <c r="E13" s="90">
        <v>479.43578947368422</v>
      </c>
      <c r="F13" s="90">
        <v>1806.08</v>
      </c>
      <c r="G13" s="90">
        <v>1463.0905263157895</v>
      </c>
      <c r="H13" s="90"/>
      <c r="I13" s="90"/>
      <c r="J13" s="90"/>
      <c r="K13" s="90">
        <v>543.56210526315795</v>
      </c>
      <c r="L13" s="90">
        <v>1148.3305263157895</v>
      </c>
      <c r="M13" s="90">
        <v>104.01947368421052</v>
      </c>
      <c r="N13" s="90">
        <v>418.62236842105261</v>
      </c>
      <c r="O13" s="90">
        <v>8353.821491228071</v>
      </c>
      <c r="P13" s="47">
        <f>SUM(D13:O13)</f>
        <v>16079.050701754386</v>
      </c>
      <c r="Q13" s="99">
        <f>P13/$P$3</f>
        <v>0.20867350897534573</v>
      </c>
      <c r="R13" s="100"/>
      <c r="S13" s="100"/>
      <c r="U13" s="68"/>
    </row>
    <row r="14" spans="1:25" ht="14.4" x14ac:dyDescent="0.35">
      <c r="A14" s="188"/>
      <c r="B14" s="91"/>
      <c r="C14" s="131" t="s">
        <v>40</v>
      </c>
      <c r="D14" s="78">
        <f>IF(D13=0,0,(D13/D16))</f>
        <v>83.908972431077686</v>
      </c>
      <c r="E14" s="78">
        <f>IF(E13=0,0,(E13/E16))</f>
        <v>43.585071770334928</v>
      </c>
      <c r="F14" s="78">
        <f>IF(F13=0,0,(F13/F16))</f>
        <v>75.25333333333333</v>
      </c>
      <c r="G14" s="78">
        <f>IF(G13=0,0,(G13/G16))</f>
        <v>56.272712550607288</v>
      </c>
      <c r="H14" s="78"/>
      <c r="I14" s="78"/>
      <c r="J14" s="78"/>
      <c r="K14" s="78">
        <f>IF(K13=0,0,(K13/K16))</f>
        <v>90.59368421052632</v>
      </c>
      <c r="L14" s="78">
        <f>IF(L13=0,0,(L13/L16))</f>
        <v>95.694210526315786</v>
      </c>
      <c r="M14" s="78">
        <f>IF(M13=0,0,(M13/M16))</f>
        <v>104.01947368421052</v>
      </c>
      <c r="N14" s="78">
        <f>IF(N13=0,0,(N13/N16))</f>
        <v>104.65559210526315</v>
      </c>
      <c r="O14" s="78">
        <v>185.64047758284602</v>
      </c>
      <c r="P14" s="97">
        <f>IF(P13=0,0,(P13/P16))</f>
        <v>107.19367134502924</v>
      </c>
      <c r="Q14" s="101"/>
      <c r="R14" s="79"/>
      <c r="S14" s="79"/>
      <c r="U14" s="68"/>
    </row>
    <row r="15" spans="1:25" ht="14.4" x14ac:dyDescent="0.35">
      <c r="A15" s="188"/>
      <c r="B15" s="92"/>
      <c r="C15" s="132" t="s">
        <v>41</v>
      </c>
      <c r="D15" s="93">
        <f>IF(D13=0,0,(D13/D17))</f>
        <v>55.065263157894734</v>
      </c>
      <c r="E15" s="93">
        <f>IF(E13=0,0,(E13/E17))</f>
        <v>25.233462603878117</v>
      </c>
      <c r="F15" s="93">
        <f>IF(F13=0,0,(F13/F17))</f>
        <v>46.30974358974359</v>
      </c>
      <c r="G15" s="93">
        <f>IF(G13=0,0,(G13/G17))</f>
        <v>35.685134788189984</v>
      </c>
      <c r="H15" s="93"/>
      <c r="I15" s="93"/>
      <c r="J15" s="93"/>
      <c r="K15" s="93">
        <f>IF(K13=0,0,(K13/K17))</f>
        <v>45.29684210526316</v>
      </c>
      <c r="L15" s="93">
        <f>IF(L13=0,0,(L13/L17))</f>
        <v>71.770657894736843</v>
      </c>
      <c r="M15" s="93">
        <f>IF(M13=0,0,(M13/M17))</f>
        <v>52.009736842105262</v>
      </c>
      <c r="N15" s="93">
        <f>IF(N13=0,0,(N13/N17))</f>
        <v>52.327796052631577</v>
      </c>
      <c r="O15" s="93">
        <v>107.10027552856501</v>
      </c>
      <c r="P15" s="98">
        <f>IF(P13=0,0,(P13/P17))</f>
        <v>65.097371262163506</v>
      </c>
      <c r="Q15" s="102"/>
      <c r="R15" s="104"/>
      <c r="S15" s="104"/>
      <c r="U15" s="68"/>
    </row>
    <row r="16" spans="1:25" ht="14.4" x14ac:dyDescent="0.35">
      <c r="A16" s="188"/>
      <c r="B16" s="89" t="s">
        <v>42</v>
      </c>
      <c r="C16" s="129" t="s">
        <v>43</v>
      </c>
      <c r="D16" s="94">
        <v>21</v>
      </c>
      <c r="E16" s="94">
        <v>11</v>
      </c>
      <c r="F16" s="94">
        <v>24</v>
      </c>
      <c r="G16" s="94">
        <v>26</v>
      </c>
      <c r="H16" s="94"/>
      <c r="I16" s="94"/>
      <c r="J16" s="94"/>
      <c r="K16" s="94">
        <v>6</v>
      </c>
      <c r="L16" s="94">
        <v>12</v>
      </c>
      <c r="M16" s="94">
        <v>1</v>
      </c>
      <c r="N16" s="94">
        <v>4</v>
      </c>
      <c r="O16" s="94">
        <v>45</v>
      </c>
      <c r="P16" s="105">
        <f>SUM(D16:O16)</f>
        <v>150</v>
      </c>
      <c r="Q16" s="100"/>
      <c r="R16" s="100"/>
      <c r="S16" s="100"/>
      <c r="U16" s="67">
        <v>18</v>
      </c>
    </row>
    <row r="17" spans="1:21" ht="14.4" x14ac:dyDescent="0.35">
      <c r="A17" s="188"/>
      <c r="B17" s="95"/>
      <c r="C17" s="135" t="s">
        <v>44</v>
      </c>
      <c r="D17" s="96">
        <v>32</v>
      </c>
      <c r="E17" s="96">
        <v>19</v>
      </c>
      <c r="F17" s="96">
        <v>39</v>
      </c>
      <c r="G17" s="96">
        <v>41</v>
      </c>
      <c r="H17" s="96"/>
      <c r="I17" s="96"/>
      <c r="J17" s="96"/>
      <c r="K17" s="96">
        <v>12</v>
      </c>
      <c r="L17" s="96">
        <v>16</v>
      </c>
      <c r="M17" s="96">
        <v>2</v>
      </c>
      <c r="N17" s="96">
        <v>8</v>
      </c>
      <c r="O17" s="96">
        <v>78</v>
      </c>
      <c r="P17" s="106">
        <f>SUM(D17:O17)</f>
        <v>247</v>
      </c>
      <c r="Q17" s="104"/>
      <c r="R17" s="103" t="e">
        <f>P17/$R$2</f>
        <v>#DIV/0!</v>
      </c>
      <c r="S17" s="103" t="e">
        <f>P17/$S$2</f>
        <v>#DIV/0!</v>
      </c>
      <c r="U17" s="67">
        <v>36</v>
      </c>
    </row>
    <row r="18" spans="1:21" ht="14.4" x14ac:dyDescent="0.35">
      <c r="A18" s="188" t="s">
        <v>24</v>
      </c>
      <c r="B18" s="89" t="s">
        <v>33</v>
      </c>
      <c r="C18" s="129" t="s">
        <v>18</v>
      </c>
      <c r="D18" s="90">
        <v>3006.7705263157895</v>
      </c>
      <c r="E18" s="90">
        <v>2934.4421052631583</v>
      </c>
      <c r="F18" s="90">
        <v>3152.8757894736846</v>
      </c>
      <c r="G18" s="90">
        <v>1922.8378947368419</v>
      </c>
      <c r="H18" s="90"/>
      <c r="I18" s="90"/>
      <c r="J18" s="90"/>
      <c r="K18" s="90"/>
      <c r="L18" s="90"/>
      <c r="M18" s="90"/>
      <c r="N18" s="90">
        <v>339.38763157894738</v>
      </c>
      <c r="O18" s="90">
        <v>13774.944736842104</v>
      </c>
      <c r="P18" s="47">
        <f>SUM(D18:O18)</f>
        <v>25131.258684210527</v>
      </c>
      <c r="Q18" s="99">
        <f>P18/$P$3</f>
        <v>0.32615283276823936</v>
      </c>
      <c r="R18" s="100"/>
      <c r="S18" s="100"/>
      <c r="U18" s="68"/>
    </row>
    <row r="19" spans="1:21" ht="14.4" x14ac:dyDescent="0.35">
      <c r="A19" s="188"/>
      <c r="B19" s="91"/>
      <c r="C19" s="131" t="s">
        <v>40</v>
      </c>
      <c r="D19" s="78">
        <f>IF(D18=0,0,(D18/D21))</f>
        <v>250.5642105263158</v>
      </c>
      <c r="E19" s="78">
        <f>IF(E18=0,0,(E18/E21))</f>
        <v>127.58443935926775</v>
      </c>
      <c r="F19" s="78">
        <f>IF(F18=0,0,(F18/F21))</f>
        <v>85.21285917496445</v>
      </c>
      <c r="G19" s="78">
        <f>IF(G18=0,0,(G18/G21))</f>
        <v>87.401722488038274</v>
      </c>
      <c r="H19" s="78"/>
      <c r="I19" s="78"/>
      <c r="J19" s="78"/>
      <c r="K19" s="78"/>
      <c r="L19" s="78"/>
      <c r="M19" s="78"/>
      <c r="N19" s="78">
        <f>IF(N18=0,0,(N18/N21))</f>
        <v>113.12921052631579</v>
      </c>
      <c r="O19" s="78">
        <v>156.53346291866026</v>
      </c>
      <c r="P19" s="97">
        <f>IF(P18=0,0,(P18/P21))</f>
        <v>135.84464153627312</v>
      </c>
      <c r="Q19" s="101"/>
      <c r="R19" s="79"/>
      <c r="S19" s="79"/>
      <c r="U19" s="68"/>
    </row>
    <row r="20" spans="1:21" ht="14.4" x14ac:dyDescent="0.35">
      <c r="A20" s="188"/>
      <c r="B20" s="92"/>
      <c r="C20" s="132" t="s">
        <v>41</v>
      </c>
      <c r="D20" s="93">
        <f>IF(D18=0,0,(D18/D22))</f>
        <v>136.67138755980861</v>
      </c>
      <c r="E20" s="93">
        <f>IF(E18=0,0,(E18/E22))</f>
        <v>65.209824561403522</v>
      </c>
      <c r="F20" s="93">
        <f>IF(F18=0,0,(F18/F22))</f>
        <v>46.365820433436539</v>
      </c>
      <c r="G20" s="93">
        <f>IF(G18=0,0,(G18/G22))</f>
        <v>46.898485237483946</v>
      </c>
      <c r="H20" s="93"/>
      <c r="I20" s="93"/>
      <c r="J20" s="93"/>
      <c r="K20" s="93"/>
      <c r="L20" s="93"/>
      <c r="M20" s="93"/>
      <c r="N20" s="93">
        <f>IF(N18=0,0,(N18/N22))</f>
        <v>113.12921052631579</v>
      </c>
      <c r="O20" s="93">
        <v>76.104667054376264</v>
      </c>
      <c r="P20" s="98">
        <f>IF(P18=0,0,(P18/P22))</f>
        <v>69.809051900584791</v>
      </c>
      <c r="Q20" s="102"/>
      <c r="R20" s="104"/>
      <c r="S20" s="104"/>
      <c r="U20" s="68"/>
    </row>
    <row r="21" spans="1:21" ht="14.4" x14ac:dyDescent="0.35">
      <c r="A21" s="188"/>
      <c r="B21" s="89" t="s">
        <v>42</v>
      </c>
      <c r="C21" s="129" t="s">
        <v>43</v>
      </c>
      <c r="D21" s="94">
        <v>12</v>
      </c>
      <c r="E21" s="94">
        <v>23</v>
      </c>
      <c r="F21" s="94">
        <v>37</v>
      </c>
      <c r="G21" s="94">
        <v>22</v>
      </c>
      <c r="H21" s="94"/>
      <c r="I21" s="94"/>
      <c r="J21" s="94"/>
      <c r="K21" s="94"/>
      <c r="L21" s="94"/>
      <c r="M21" s="94"/>
      <c r="N21" s="94">
        <v>3</v>
      </c>
      <c r="O21" s="94">
        <v>88</v>
      </c>
      <c r="P21" s="105">
        <f>SUM(D21:O21)</f>
        <v>185</v>
      </c>
      <c r="Q21" s="100"/>
      <c r="R21" s="100"/>
      <c r="S21" s="100"/>
      <c r="U21" s="67">
        <v>18</v>
      </c>
    </row>
    <row r="22" spans="1:21" ht="14.4" x14ac:dyDescent="0.35">
      <c r="A22" s="188"/>
      <c r="B22" s="95"/>
      <c r="C22" s="135" t="s">
        <v>44</v>
      </c>
      <c r="D22" s="96">
        <v>22</v>
      </c>
      <c r="E22" s="96">
        <v>45</v>
      </c>
      <c r="F22" s="96">
        <v>68</v>
      </c>
      <c r="G22" s="96">
        <v>41</v>
      </c>
      <c r="H22" s="96"/>
      <c r="I22" s="96"/>
      <c r="J22" s="96"/>
      <c r="K22" s="96"/>
      <c r="L22" s="96"/>
      <c r="M22" s="96"/>
      <c r="N22" s="96">
        <v>3</v>
      </c>
      <c r="O22" s="96">
        <v>181</v>
      </c>
      <c r="P22" s="106">
        <f>SUM(D22:O22)</f>
        <v>360</v>
      </c>
      <c r="Q22" s="104"/>
      <c r="R22" s="103" t="e">
        <f>P22/$R$2</f>
        <v>#DIV/0!</v>
      </c>
      <c r="S22" s="103" t="e">
        <f>P22/$S$2</f>
        <v>#DIV/0!</v>
      </c>
      <c r="U22" s="67">
        <v>33</v>
      </c>
    </row>
    <row r="23" spans="1:21" ht="14.4" x14ac:dyDescent="0.35">
      <c r="A23" s="188" t="s">
        <v>31</v>
      </c>
      <c r="B23" s="89" t="s">
        <v>33</v>
      </c>
      <c r="C23" s="129" t="s">
        <v>18</v>
      </c>
      <c r="D23" s="90"/>
      <c r="E23" s="90"/>
      <c r="F23" s="90">
        <v>445.33894736842103</v>
      </c>
      <c r="G23" s="90">
        <v>68.690526315789469</v>
      </c>
      <c r="H23" s="90"/>
      <c r="I23" s="90">
        <v>842.47578947368424</v>
      </c>
      <c r="J23" s="90">
        <v>1141.6421052631579</v>
      </c>
      <c r="K23" s="90">
        <v>2287.8368421052633</v>
      </c>
      <c r="L23" s="90">
        <v>265.63263157894738</v>
      </c>
      <c r="M23" s="90">
        <v>294.23842105263157</v>
      </c>
      <c r="N23" s="90">
        <v>362.03605263157897</v>
      </c>
      <c r="O23" s="90">
        <v>6283.0471052631583</v>
      </c>
      <c r="P23" s="47">
        <f>SUM(D23:O23)</f>
        <v>11990.938421052633</v>
      </c>
      <c r="Q23" s="99">
        <f>P23/$P$3</f>
        <v>0.15561809230163881</v>
      </c>
      <c r="R23" s="100"/>
      <c r="S23" s="100"/>
      <c r="U23" s="68"/>
    </row>
    <row r="24" spans="1:21" ht="14.4" x14ac:dyDescent="0.35">
      <c r="A24" s="188"/>
      <c r="B24" s="91"/>
      <c r="C24" s="131" t="s">
        <v>40</v>
      </c>
      <c r="D24" s="78"/>
      <c r="E24" s="78"/>
      <c r="F24" s="78">
        <f>IF(F23=0,0,(F23/F26))</f>
        <v>74.223157894736843</v>
      </c>
      <c r="G24" s="78">
        <f>IF(G23=0,0,(G23/G26))</f>
        <v>68.690526315789469</v>
      </c>
      <c r="H24" s="78"/>
      <c r="I24" s="78">
        <f t="shared" ref="I24:N24" si="7">IF(I23=0,0,(I23/I26))</f>
        <v>140.41263157894738</v>
      </c>
      <c r="J24" s="78">
        <f t="shared" si="7"/>
        <v>114.16421052631578</v>
      </c>
      <c r="K24" s="78">
        <f t="shared" si="7"/>
        <v>84.734697855750497</v>
      </c>
      <c r="L24" s="78">
        <f t="shared" si="7"/>
        <v>66.408157894736846</v>
      </c>
      <c r="M24" s="78">
        <f t="shared" si="7"/>
        <v>98.079473684210527</v>
      </c>
      <c r="N24" s="78">
        <f t="shared" si="7"/>
        <v>120.67868421052633</v>
      </c>
      <c r="O24" s="78">
        <v>98.172611019736848</v>
      </c>
      <c r="P24" s="97">
        <f>IF(P23=0,0,(P23/P26))</f>
        <v>96.701116298811556</v>
      </c>
      <c r="Q24" s="101"/>
      <c r="R24" s="79"/>
      <c r="S24" s="79"/>
      <c r="U24" s="68"/>
    </row>
    <row r="25" spans="1:21" ht="14.4" x14ac:dyDescent="0.35">
      <c r="A25" s="188"/>
      <c r="B25" s="92"/>
      <c r="C25" s="132" t="s">
        <v>41</v>
      </c>
      <c r="D25" s="93"/>
      <c r="E25" s="93"/>
      <c r="F25" s="93">
        <f>IF(F23=0,0,(F23/F27))</f>
        <v>37.111578947368422</v>
      </c>
      <c r="G25" s="93">
        <f>IF(G23=0,0,(G23/G27))</f>
        <v>68.690526315789469</v>
      </c>
      <c r="H25" s="93"/>
      <c r="I25" s="93">
        <f t="shared" ref="I25:N25" si="8">IF(I23=0,0,(I23/I27))</f>
        <v>70.206315789473692</v>
      </c>
      <c r="J25" s="93">
        <f t="shared" si="8"/>
        <v>57.082105263157892</v>
      </c>
      <c r="K25" s="93">
        <f t="shared" si="8"/>
        <v>51.996291866028713</v>
      </c>
      <c r="L25" s="93">
        <f t="shared" si="8"/>
        <v>66.408157894736846</v>
      </c>
      <c r="M25" s="93">
        <f t="shared" si="8"/>
        <v>49.039736842105263</v>
      </c>
      <c r="N25" s="93">
        <f t="shared" si="8"/>
        <v>51.719436090225564</v>
      </c>
      <c r="O25" s="93">
        <v>46.888411233307153</v>
      </c>
      <c r="P25" s="98">
        <f>IF(P23=0,0,(P23/P27))</f>
        <v>49.962243421052641</v>
      </c>
      <c r="Q25" s="102"/>
      <c r="R25" s="104"/>
      <c r="S25" s="104"/>
      <c r="U25" s="68"/>
    </row>
    <row r="26" spans="1:21" ht="14.4" x14ac:dyDescent="0.35">
      <c r="A26" s="188"/>
      <c r="B26" s="89" t="s">
        <v>42</v>
      </c>
      <c r="C26" s="129" t="s">
        <v>43</v>
      </c>
      <c r="D26" s="94"/>
      <c r="E26" s="94"/>
      <c r="F26" s="94">
        <v>6</v>
      </c>
      <c r="G26" s="94">
        <v>1</v>
      </c>
      <c r="H26" s="94"/>
      <c r="I26" s="94">
        <v>6</v>
      </c>
      <c r="J26" s="94">
        <v>10</v>
      </c>
      <c r="K26" s="94">
        <v>27</v>
      </c>
      <c r="L26" s="94">
        <v>4</v>
      </c>
      <c r="M26" s="94">
        <v>3</v>
      </c>
      <c r="N26" s="94">
        <v>3</v>
      </c>
      <c r="O26" s="94">
        <v>64</v>
      </c>
      <c r="P26" s="105">
        <f>SUM(D26:O26)</f>
        <v>124</v>
      </c>
      <c r="Q26" s="100"/>
      <c r="R26" s="100"/>
      <c r="S26" s="100"/>
      <c r="U26" s="67">
        <v>16</v>
      </c>
    </row>
    <row r="27" spans="1:21" ht="14.4" x14ac:dyDescent="0.35">
      <c r="A27" s="188"/>
      <c r="B27" s="95"/>
      <c r="C27" s="135" t="s">
        <v>44</v>
      </c>
      <c r="D27" s="96"/>
      <c r="E27" s="96"/>
      <c r="F27" s="96">
        <v>12</v>
      </c>
      <c r="G27" s="96">
        <v>1</v>
      </c>
      <c r="H27" s="96"/>
      <c r="I27" s="96">
        <v>12</v>
      </c>
      <c r="J27" s="96">
        <v>20</v>
      </c>
      <c r="K27" s="96">
        <v>44</v>
      </c>
      <c r="L27" s="96">
        <v>4</v>
      </c>
      <c r="M27" s="96">
        <v>6</v>
      </c>
      <c r="N27" s="96">
        <v>7</v>
      </c>
      <c r="O27" s="96">
        <v>134</v>
      </c>
      <c r="P27" s="106">
        <f>SUM(D27:O27)</f>
        <v>240</v>
      </c>
      <c r="Q27" s="104"/>
      <c r="R27" s="103" t="e">
        <f>P27/$R$2</f>
        <v>#DIV/0!</v>
      </c>
      <c r="S27" s="103" t="e">
        <f>P27/$S$2</f>
        <v>#DIV/0!</v>
      </c>
      <c r="U27" s="67">
        <v>32</v>
      </c>
    </row>
    <row r="28" spans="1:21" ht="14.4" x14ac:dyDescent="0.35">
      <c r="A28" s="188" t="s">
        <v>26</v>
      </c>
      <c r="B28" s="89" t="s">
        <v>33</v>
      </c>
      <c r="C28" s="129" t="s">
        <v>18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47"/>
      <c r="Q28" s="99">
        <f>P28/$P$3</f>
        <v>0</v>
      </c>
      <c r="R28" s="100"/>
      <c r="S28" s="100"/>
      <c r="U28" s="68"/>
    </row>
    <row r="29" spans="1:21" ht="14.4" x14ac:dyDescent="0.35">
      <c r="A29" s="188"/>
      <c r="B29" s="91"/>
      <c r="C29" s="131" t="s">
        <v>40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97"/>
      <c r="Q29" s="101"/>
      <c r="R29" s="79"/>
      <c r="S29" s="79"/>
      <c r="U29" s="68"/>
    </row>
    <row r="30" spans="1:21" ht="14.4" x14ac:dyDescent="0.35">
      <c r="A30" s="188"/>
      <c r="B30" s="92"/>
      <c r="C30" s="132" t="s">
        <v>41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8"/>
      <c r="Q30" s="101"/>
      <c r="R30" s="79"/>
      <c r="S30" s="79"/>
      <c r="U30" s="68"/>
    </row>
    <row r="31" spans="1:21" ht="14.4" x14ac:dyDescent="0.35">
      <c r="A31" s="188"/>
      <c r="B31" s="89" t="s">
        <v>42</v>
      </c>
      <c r="C31" s="129" t="s">
        <v>43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105"/>
      <c r="Q31" s="100"/>
      <c r="R31" s="100"/>
      <c r="S31" s="100"/>
      <c r="U31" s="67">
        <v>16</v>
      </c>
    </row>
    <row r="32" spans="1:21" ht="14.4" x14ac:dyDescent="0.35">
      <c r="A32" s="188"/>
      <c r="B32" s="95"/>
      <c r="C32" s="135" t="s">
        <v>44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106"/>
      <c r="Q32" s="104"/>
      <c r="R32" s="103" t="e">
        <f>P32/$R$2</f>
        <v>#DIV/0!</v>
      </c>
      <c r="S32" s="103" t="e">
        <f>P32/$S$2</f>
        <v>#DIV/0!</v>
      </c>
      <c r="U32" s="67">
        <v>32</v>
      </c>
    </row>
    <row r="33" spans="1:21" ht="14.4" x14ac:dyDescent="0.35">
      <c r="A33" s="188" t="s">
        <v>29</v>
      </c>
      <c r="B33" s="89" t="s">
        <v>33</v>
      </c>
      <c r="C33" s="129" t="s">
        <v>18</v>
      </c>
      <c r="D33" s="90"/>
      <c r="E33" s="90">
        <v>1093.2547368421051</v>
      </c>
      <c r="F33" s="90">
        <v>797.83578947368414</v>
      </c>
      <c r="G33" s="90">
        <v>446.02947368421053</v>
      </c>
      <c r="H33" s="90"/>
      <c r="I33" s="90"/>
      <c r="J33" s="90">
        <v>220.86736842105265</v>
      </c>
      <c r="K33" s="90"/>
      <c r="L33" s="90">
        <v>719.86026315789479</v>
      </c>
      <c r="M33" s="90"/>
      <c r="N33" s="90">
        <v>1384.0894736842106</v>
      </c>
      <c r="O33" s="90">
        <v>352.77745614035086</v>
      </c>
      <c r="P33" s="47">
        <f>SUM(D33:O33)</f>
        <v>5014.7145614035089</v>
      </c>
      <c r="Q33" s="99">
        <f>P33/$P$3</f>
        <v>6.508083738573292E-2</v>
      </c>
      <c r="R33" s="100"/>
      <c r="S33" s="100"/>
      <c r="U33" s="68"/>
    </row>
    <row r="34" spans="1:21" ht="14.4" x14ac:dyDescent="0.35">
      <c r="A34" s="188"/>
      <c r="B34" s="91"/>
      <c r="C34" s="131" t="s">
        <v>40</v>
      </c>
      <c r="D34" s="78"/>
      <c r="E34" s="78">
        <f>IF(E33=0,0,(E33/E36))</f>
        <v>68.328421052631569</v>
      </c>
      <c r="F34" s="78">
        <f>IF(F33=0,0,(F33/F36))</f>
        <v>132.97263157894736</v>
      </c>
      <c r="G34" s="78">
        <f>IF(G33=0,0,(G33/G36))</f>
        <v>63.718496240601503</v>
      </c>
      <c r="H34" s="78"/>
      <c r="I34" s="78"/>
      <c r="J34" s="78">
        <f>IF(J33=0,0,(J33/J36))</f>
        <v>110.43368421052632</v>
      </c>
      <c r="K34" s="78"/>
      <c r="L34" s="78">
        <f>IF(L33=0,0,(L33/L36))</f>
        <v>79.984473684210528</v>
      </c>
      <c r="M34" s="78"/>
      <c r="N34" s="78">
        <f>IF(N33=0,0,(N33/N36))</f>
        <v>69.204473684210527</v>
      </c>
      <c r="O34" s="78">
        <v>70.555491228070167</v>
      </c>
      <c r="P34" s="97">
        <f>IF(P33=0,0,(P33/P36))</f>
        <v>77.149454790823214</v>
      </c>
      <c r="Q34" s="101"/>
      <c r="R34" s="79"/>
      <c r="S34" s="79"/>
      <c r="U34" s="68"/>
    </row>
    <row r="35" spans="1:21" ht="14.4" x14ac:dyDescent="0.35">
      <c r="A35" s="188"/>
      <c r="B35" s="92"/>
      <c r="C35" s="132" t="s">
        <v>41</v>
      </c>
      <c r="D35" s="93"/>
      <c r="E35" s="93">
        <f>IF(E33=0,0,(E33/E37))</f>
        <v>45.552280701754377</v>
      </c>
      <c r="F35" s="93">
        <f>IF(F33=0,0,(F33/F37))</f>
        <v>88.648421052631576</v>
      </c>
      <c r="G35" s="93">
        <f>IF(G33=0,0,(G33/G37))</f>
        <v>31.859248120300752</v>
      </c>
      <c r="H35" s="93"/>
      <c r="I35" s="93"/>
      <c r="J35" s="93">
        <f>IF(J33=0,0,(J33/J37))</f>
        <v>55.216842105263161</v>
      </c>
      <c r="K35" s="93"/>
      <c r="L35" s="93">
        <f>IF(L33=0,0,(L33/L37))</f>
        <v>51.418590225563911</v>
      </c>
      <c r="M35" s="93"/>
      <c r="N35" s="93">
        <f>IF(N33=0,0,(N33/N37))</f>
        <v>69.204473684210527</v>
      </c>
      <c r="O35" s="93">
        <v>35.277745614035084</v>
      </c>
      <c r="P35" s="98">
        <f>IF(P33=0,0,(P33/P37))</f>
        <v>52.786469067405356</v>
      </c>
      <c r="Q35" s="102"/>
      <c r="R35" s="104"/>
      <c r="S35" s="104"/>
      <c r="U35" s="68"/>
    </row>
    <row r="36" spans="1:21" ht="14.4" x14ac:dyDescent="0.35">
      <c r="A36" s="188"/>
      <c r="B36" s="89" t="s">
        <v>42</v>
      </c>
      <c r="C36" s="129" t="s">
        <v>43</v>
      </c>
      <c r="D36" s="94"/>
      <c r="E36" s="94">
        <v>16</v>
      </c>
      <c r="F36" s="94">
        <v>6</v>
      </c>
      <c r="G36" s="94">
        <v>7</v>
      </c>
      <c r="H36" s="94"/>
      <c r="I36" s="94"/>
      <c r="J36" s="94">
        <v>2</v>
      </c>
      <c r="K36" s="94"/>
      <c r="L36" s="94">
        <v>9</v>
      </c>
      <c r="M36" s="94"/>
      <c r="N36" s="94">
        <v>20</v>
      </c>
      <c r="O36" s="94">
        <v>5</v>
      </c>
      <c r="P36" s="105">
        <f>SUM(D36:O36)</f>
        <v>65</v>
      </c>
      <c r="Q36" s="100"/>
      <c r="R36" s="100"/>
      <c r="S36" s="100"/>
      <c r="U36" s="67">
        <v>0</v>
      </c>
    </row>
    <row r="37" spans="1:21" ht="14.4" x14ac:dyDescent="0.35">
      <c r="A37" s="188"/>
      <c r="B37" s="95"/>
      <c r="C37" s="135" t="s">
        <v>44</v>
      </c>
      <c r="D37" s="96"/>
      <c r="E37" s="96">
        <v>24</v>
      </c>
      <c r="F37" s="96">
        <v>9</v>
      </c>
      <c r="G37" s="96">
        <v>14</v>
      </c>
      <c r="H37" s="96"/>
      <c r="I37" s="96"/>
      <c r="J37" s="96">
        <v>4</v>
      </c>
      <c r="K37" s="96"/>
      <c r="L37" s="96">
        <v>14</v>
      </c>
      <c r="M37" s="96"/>
      <c r="N37" s="96">
        <v>20</v>
      </c>
      <c r="O37" s="96">
        <v>10</v>
      </c>
      <c r="P37" s="106">
        <f>SUM(D37:O37)</f>
        <v>95</v>
      </c>
      <c r="Q37" s="104"/>
      <c r="R37" s="103" t="e">
        <f>P37/$R$2</f>
        <v>#DIV/0!</v>
      </c>
      <c r="S37" s="103" t="e">
        <f>P37/$S$2</f>
        <v>#DIV/0!</v>
      </c>
      <c r="U37" s="67">
        <v>0</v>
      </c>
    </row>
    <row r="38" spans="1:21" ht="14.4" x14ac:dyDescent="0.35">
      <c r="A38" s="188" t="s">
        <v>32</v>
      </c>
      <c r="B38" s="89" t="s">
        <v>33</v>
      </c>
      <c r="C38" s="129" t="s">
        <v>18</v>
      </c>
      <c r="D38" s="90"/>
      <c r="E38" s="90"/>
      <c r="F38" s="90">
        <v>443.18315789473684</v>
      </c>
      <c r="G38" s="90"/>
      <c r="H38" s="90"/>
      <c r="I38" s="90"/>
      <c r="J38" s="90">
        <v>714.46052631578948</v>
      </c>
      <c r="K38" s="90">
        <v>1664.4547368421051</v>
      </c>
      <c r="L38" s="90">
        <v>969.60078947368424</v>
      </c>
      <c r="M38" s="90"/>
      <c r="N38" s="90">
        <v>598.41157894736841</v>
      </c>
      <c r="O38" s="90"/>
      <c r="P38" s="47">
        <f>SUM(D38:O38)</f>
        <v>4390.1107894736833</v>
      </c>
      <c r="Q38" s="99">
        <f>P38/$P$3</f>
        <v>5.6974745600500101E-2</v>
      </c>
      <c r="R38" s="100"/>
      <c r="S38" s="100"/>
      <c r="U38" s="68"/>
    </row>
    <row r="39" spans="1:21" ht="14.4" x14ac:dyDescent="0.35">
      <c r="A39" s="188"/>
      <c r="B39" s="91"/>
      <c r="C39" s="131" t="s">
        <v>40</v>
      </c>
      <c r="D39" s="78"/>
      <c r="E39" s="78"/>
      <c r="F39" s="78">
        <f>IF(F38=0,0,(F38/F41))</f>
        <v>221.59157894736842</v>
      </c>
      <c r="G39" s="78"/>
      <c r="H39" s="78"/>
      <c r="I39" s="78"/>
      <c r="J39" s="78">
        <f>IF(J38=0,0,(J38/J41))</f>
        <v>142.8921052631579</v>
      </c>
      <c r="K39" s="78">
        <f>IF(K38=0,0,(K38/K41))</f>
        <v>118.88962406015037</v>
      </c>
      <c r="L39" s="78">
        <f>IF(L38=0,0,(L38/L41))</f>
        <v>107.73342105263158</v>
      </c>
      <c r="M39" s="78"/>
      <c r="N39" s="78">
        <f>IF(N38=0,0,(N38/N41))</f>
        <v>149.6028947368421</v>
      </c>
      <c r="O39" s="78"/>
      <c r="P39" s="97">
        <f>IF(P38=0,0,(P38/P41))</f>
        <v>129.12090557275539</v>
      </c>
      <c r="Q39" s="101"/>
      <c r="R39" s="79"/>
      <c r="S39" s="79"/>
      <c r="U39" s="68"/>
    </row>
    <row r="40" spans="1:21" ht="14.4" x14ac:dyDescent="0.35">
      <c r="A40" s="188"/>
      <c r="B40" s="92"/>
      <c r="C40" s="132" t="s">
        <v>41</v>
      </c>
      <c r="D40" s="93"/>
      <c r="E40" s="93"/>
      <c r="F40" s="93">
        <f>IF(F38=0,0,(F38/F42))</f>
        <v>110.79578947368421</v>
      </c>
      <c r="G40" s="93"/>
      <c r="H40" s="93"/>
      <c r="I40" s="93"/>
      <c r="J40" s="93">
        <f>IF(J38=0,0,(J38/J42))</f>
        <v>71.446052631578951</v>
      </c>
      <c r="K40" s="93">
        <f>IF(K38=0,0,(K38/K42))</f>
        <v>75.657033492822961</v>
      </c>
      <c r="L40" s="93">
        <f>IF(L38=0,0,(L38/L42))</f>
        <v>74.584676113360331</v>
      </c>
      <c r="M40" s="93"/>
      <c r="N40" s="93">
        <f>IF(N38=0,0,(N38/N42))</f>
        <v>149.6028947368421</v>
      </c>
      <c r="O40" s="93"/>
      <c r="P40" s="98">
        <f>IF(P38=0,0,(P38/P42))</f>
        <v>82.832279046673264</v>
      </c>
      <c r="Q40" s="102"/>
      <c r="R40" s="104"/>
      <c r="S40" s="104"/>
      <c r="U40" s="68"/>
    </row>
    <row r="41" spans="1:21" ht="14.4" x14ac:dyDescent="0.35">
      <c r="A41" s="188"/>
      <c r="B41" s="89" t="s">
        <v>42</v>
      </c>
      <c r="C41" s="129" t="s">
        <v>43</v>
      </c>
      <c r="D41" s="94"/>
      <c r="E41" s="94"/>
      <c r="F41" s="94">
        <v>2</v>
      </c>
      <c r="G41" s="94"/>
      <c r="H41" s="94"/>
      <c r="I41" s="94"/>
      <c r="J41" s="94">
        <v>5</v>
      </c>
      <c r="K41" s="94">
        <v>14</v>
      </c>
      <c r="L41" s="94">
        <v>9</v>
      </c>
      <c r="M41" s="94"/>
      <c r="N41" s="94">
        <v>4</v>
      </c>
      <c r="O41" s="94"/>
      <c r="P41" s="105">
        <f>SUM(D41:O41)</f>
        <v>34</v>
      </c>
      <c r="Q41" s="100"/>
      <c r="R41" s="100"/>
      <c r="S41" s="100"/>
      <c r="U41" s="67">
        <v>123</v>
      </c>
    </row>
    <row r="42" spans="1:21" ht="14.4" x14ac:dyDescent="0.35">
      <c r="A42" s="188"/>
      <c r="B42" s="95"/>
      <c r="C42" s="135" t="s">
        <v>44</v>
      </c>
      <c r="D42" s="96"/>
      <c r="E42" s="96"/>
      <c r="F42" s="96">
        <v>4</v>
      </c>
      <c r="G42" s="96"/>
      <c r="H42" s="96"/>
      <c r="I42" s="96"/>
      <c r="J42" s="96">
        <v>10</v>
      </c>
      <c r="K42" s="96">
        <v>22</v>
      </c>
      <c r="L42" s="96">
        <v>13</v>
      </c>
      <c r="M42" s="96"/>
      <c r="N42" s="96">
        <v>4</v>
      </c>
      <c r="O42" s="96"/>
      <c r="P42" s="106">
        <f>SUM(D42:O42)</f>
        <v>53</v>
      </c>
      <c r="Q42" s="104"/>
      <c r="R42" s="103" t="e">
        <f>P42/$R$2</f>
        <v>#DIV/0!</v>
      </c>
      <c r="S42" s="103" t="e">
        <f>P42/$S$2</f>
        <v>#DIV/0!</v>
      </c>
      <c r="U42" s="67">
        <v>216</v>
      </c>
    </row>
  </sheetData>
  <autoFilter ref="A2:B42"/>
  <mergeCells count="11">
    <mergeCell ref="A1:T1"/>
    <mergeCell ref="A8:A12"/>
    <mergeCell ref="A33:A37"/>
    <mergeCell ref="Q3:Q7"/>
    <mergeCell ref="R3:S5"/>
    <mergeCell ref="A3:A7"/>
    <mergeCell ref="A38:A42"/>
    <mergeCell ref="A28:A32"/>
    <mergeCell ref="A23:A27"/>
    <mergeCell ref="A13:A17"/>
    <mergeCell ref="A18:A22"/>
  </mergeCells>
  <conditionalFormatting sqref="T2:XFD7 A2:P2 A3 D3:P7 S9:XFD12 Q9:Q12 Q8:XFD8 A43:XFD1048576 Q13:XFD42">
    <cfRule type="cellIs" dxfId="296" priority="26" operator="equal">
      <formula>0</formula>
    </cfRule>
  </conditionalFormatting>
  <conditionalFormatting sqref="Q3:S7">
    <cfRule type="cellIs" dxfId="295" priority="12" operator="equal">
      <formula>0</formula>
    </cfRule>
  </conditionalFormatting>
  <conditionalFormatting sqref="Q2:S2">
    <cfRule type="cellIs" dxfId="294" priority="11" operator="equal">
      <formula>0</formula>
    </cfRule>
  </conditionalFormatting>
  <conditionalFormatting sqref="B3:C7">
    <cfRule type="cellIs" dxfId="293" priority="10" operator="equal">
      <formula>0</formula>
    </cfRule>
  </conditionalFormatting>
  <conditionalFormatting sqref="A38:P38 B39:P42">
    <cfRule type="cellIs" dxfId="292" priority="2" operator="equal">
      <formula>0</formula>
    </cfRule>
  </conditionalFormatting>
  <conditionalFormatting sqref="A8:P8 B9:P12">
    <cfRule type="cellIs" dxfId="291" priority="8" operator="equal">
      <formula>0</formula>
    </cfRule>
  </conditionalFormatting>
  <conditionalFormatting sqref="A13:P13 B14:P17">
    <cfRule type="cellIs" dxfId="290" priority="7" operator="equal">
      <formula>0</formula>
    </cfRule>
  </conditionalFormatting>
  <conditionalFormatting sqref="A18:P18 B19:P22">
    <cfRule type="cellIs" dxfId="289" priority="6" operator="equal">
      <formula>0</formula>
    </cfRule>
  </conditionalFormatting>
  <conditionalFormatting sqref="A23:P23 B24:P27">
    <cfRule type="cellIs" dxfId="288" priority="5" operator="equal">
      <formula>0</formula>
    </cfRule>
  </conditionalFormatting>
  <conditionalFormatting sqref="A28:P28 B29:P32">
    <cfRule type="cellIs" dxfId="287" priority="4" operator="equal">
      <formula>0</formula>
    </cfRule>
  </conditionalFormatting>
  <conditionalFormatting sqref="A33:P33 B34:P37">
    <cfRule type="cellIs" dxfId="286" priority="3" operator="equal">
      <formula>0</formula>
    </cfRule>
  </conditionalFormatting>
  <conditionalFormatting sqref="U1:XFD1 A1">
    <cfRule type="cellIs" dxfId="28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2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O8" sqref="O8"/>
    </sheetView>
  </sheetViews>
  <sheetFormatPr defaultColWidth="9.109375" defaultRowHeight="13.8" x14ac:dyDescent="0.3"/>
  <cols>
    <col min="1" max="1" width="15.88671875" style="116" customWidth="1"/>
    <col min="2" max="2" width="7.44140625" style="114" bestFit="1" customWidth="1"/>
    <col min="3" max="3" width="11.5546875" style="114" customWidth="1"/>
    <col min="4" max="4" width="9" style="3" customWidth="1"/>
    <col min="5" max="5" width="9.44140625" style="3" customWidth="1"/>
    <col min="6" max="6" width="8.44140625" style="3" customWidth="1"/>
    <col min="7" max="7" width="9.5546875" style="3" customWidth="1"/>
    <col min="8" max="9" width="7.44140625" style="3" customWidth="1"/>
    <col min="10" max="10" width="10.33203125" style="3" customWidth="1"/>
    <col min="11" max="11" width="12.33203125" style="3" customWidth="1"/>
    <col min="12" max="12" width="10" style="3" customWidth="1"/>
    <col min="13" max="13" width="10.33203125" style="3" customWidth="1"/>
    <col min="14" max="14" width="9.44140625" style="3" customWidth="1"/>
    <col min="15" max="15" width="8.6640625" style="3" customWidth="1"/>
    <col min="16" max="16" width="11.109375" style="115" customWidth="1"/>
    <col min="17" max="17" width="4.33203125" style="113" bestFit="1" customWidth="1"/>
    <col min="18" max="19" width="7" style="113" customWidth="1"/>
    <col min="20" max="16384" width="9.109375" style="113"/>
  </cols>
  <sheetData>
    <row r="1" spans="1:25" s="126" customFormat="1" ht="18" x14ac:dyDescent="0.25">
      <c r="A1" s="189">
        <v>2018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  <c r="U1" s="108"/>
      <c r="V1" s="109"/>
      <c r="W1" s="110"/>
      <c r="X1" s="111"/>
      <c r="Y1" s="112"/>
    </row>
    <row r="2" spans="1:25" x14ac:dyDescent="0.25">
      <c r="A2" s="127"/>
      <c r="B2" s="127"/>
      <c r="C2" s="127"/>
      <c r="D2" s="127" t="s">
        <v>14</v>
      </c>
      <c r="E2" s="127" t="s">
        <v>15</v>
      </c>
      <c r="F2" s="127" t="s">
        <v>16</v>
      </c>
      <c r="G2" s="127" t="s">
        <v>17</v>
      </c>
      <c r="H2" s="127" t="s">
        <v>6</v>
      </c>
      <c r="I2" s="127" t="s">
        <v>7</v>
      </c>
      <c r="J2" s="127" t="s">
        <v>8</v>
      </c>
      <c r="K2" s="127" t="s">
        <v>9</v>
      </c>
      <c r="L2" s="127" t="s">
        <v>10</v>
      </c>
      <c r="M2" s="127" t="s">
        <v>11</v>
      </c>
      <c r="N2" s="127" t="s">
        <v>12</v>
      </c>
      <c r="O2" s="127" t="s">
        <v>13</v>
      </c>
      <c r="P2" s="127" t="s">
        <v>18</v>
      </c>
      <c r="Q2" s="127"/>
      <c r="R2" s="127"/>
      <c r="S2" s="127"/>
    </row>
    <row r="3" spans="1:25" s="126" customFormat="1" x14ac:dyDescent="0.25">
      <c r="A3" s="197" t="s">
        <v>34</v>
      </c>
      <c r="B3" s="117" t="s">
        <v>33</v>
      </c>
      <c r="C3" s="117" t="s">
        <v>18</v>
      </c>
      <c r="D3" s="118">
        <f>D8+D13+D18+D23+D33+D38</f>
        <v>27912.603859649123</v>
      </c>
      <c r="E3" s="118">
        <f>E8+E13+E18+E23+E33+E38</f>
        <v>23568.431638135589</v>
      </c>
      <c r="F3" s="118">
        <f>F8+F13+F18+F23+F33+F38</f>
        <v>18506.242627118645</v>
      </c>
      <c r="G3" s="118">
        <f>G8+G13+G18+G23+G33+G38</f>
        <v>23883.702100840332</v>
      </c>
      <c r="H3" s="118"/>
      <c r="I3" s="118">
        <f t="shared" ref="I3:P3" si="0">I8+I13+I18+I23+I33+I38</f>
        <v>2173.2893043478261</v>
      </c>
      <c r="J3" s="118">
        <f t="shared" si="0"/>
        <v>41572.49150625</v>
      </c>
      <c r="K3" s="118">
        <f t="shared" si="0"/>
        <v>58234.156979464286</v>
      </c>
      <c r="L3" s="118">
        <f t="shared" si="0"/>
        <v>19428.919642857141</v>
      </c>
      <c r="M3" s="118">
        <f t="shared" si="0"/>
        <v>23202.959739130434</v>
      </c>
      <c r="N3" s="118">
        <f t="shared" si="0"/>
        <v>18198.95</v>
      </c>
      <c r="O3" s="118">
        <f t="shared" si="0"/>
        <v>57543.304940000002</v>
      </c>
      <c r="P3" s="121">
        <f t="shared" si="0"/>
        <v>314225.0523377934</v>
      </c>
      <c r="Q3" s="192" t="s">
        <v>20</v>
      </c>
      <c r="R3" s="193" t="s">
        <v>19</v>
      </c>
      <c r="S3" s="193"/>
    </row>
    <row r="4" spans="1:25" x14ac:dyDescent="0.25">
      <c r="A4" s="198"/>
      <c r="B4" s="123"/>
      <c r="C4" s="123" t="s">
        <v>40</v>
      </c>
      <c r="D4" s="124">
        <f t="shared" ref="D4:P4" si="1">IF(D3=0,0,(D3/D6))</f>
        <v>108.60935353949075</v>
      </c>
      <c r="E4" s="124">
        <f t="shared" si="1"/>
        <v>77.021018425279706</v>
      </c>
      <c r="F4" s="124">
        <f t="shared" si="1"/>
        <v>60.085203334800795</v>
      </c>
      <c r="G4" s="124">
        <f t="shared" si="1"/>
        <v>99.515425420168043</v>
      </c>
      <c r="H4" s="124"/>
      <c r="I4" s="124">
        <f t="shared" si="1"/>
        <v>60.36914734299517</v>
      </c>
      <c r="J4" s="124">
        <f t="shared" si="1"/>
        <v>73.972404815391457</v>
      </c>
      <c r="K4" s="124">
        <f t="shared" si="1"/>
        <v>120.31850615591794</v>
      </c>
      <c r="L4" s="124">
        <f t="shared" si="1"/>
        <v>100.66797742413027</v>
      </c>
      <c r="M4" s="124">
        <f t="shared" si="1"/>
        <v>99.583518193692854</v>
      </c>
      <c r="N4" s="124">
        <f t="shared" si="1"/>
        <v>118.17500000000001</v>
      </c>
      <c r="O4" s="124">
        <f t="shared" si="1"/>
        <v>181.52462126182965</v>
      </c>
      <c r="P4" s="128">
        <f t="shared" si="1"/>
        <v>101.69095544912408</v>
      </c>
      <c r="Q4" s="192"/>
      <c r="R4" s="193"/>
      <c r="S4" s="193"/>
    </row>
    <row r="5" spans="1:25" x14ac:dyDescent="0.25">
      <c r="A5" s="198"/>
      <c r="B5" s="119"/>
      <c r="C5" s="119" t="s">
        <v>41</v>
      </c>
      <c r="D5" s="158">
        <f t="shared" ref="D5:P5" si="2">IF(D3=0,0,(D3/D7))</f>
        <v>72.689072551169588</v>
      </c>
      <c r="E5" s="158">
        <f t="shared" si="2"/>
        <v>44.721881666291438</v>
      </c>
      <c r="F5" s="158">
        <f t="shared" si="2"/>
        <v>33.344581310123687</v>
      </c>
      <c r="G5" s="158">
        <f t="shared" si="2"/>
        <v>53.91354876036192</v>
      </c>
      <c r="H5" s="158"/>
      <c r="I5" s="158">
        <f t="shared" si="2"/>
        <v>32.92862582345191</v>
      </c>
      <c r="J5" s="158">
        <f t="shared" si="2"/>
        <v>40.917806600639764</v>
      </c>
      <c r="K5" s="158">
        <f t="shared" si="2"/>
        <v>70.586856944805191</v>
      </c>
      <c r="L5" s="158">
        <f t="shared" si="2"/>
        <v>57.482010777683847</v>
      </c>
      <c r="M5" s="158">
        <f t="shared" si="2"/>
        <v>55.642589302471066</v>
      </c>
      <c r="N5" s="158">
        <f t="shared" si="2"/>
        <v>64.764946619217085</v>
      </c>
      <c r="O5" s="158">
        <f t="shared" si="2"/>
        <v>103.49515276978417</v>
      </c>
      <c r="P5" s="154">
        <f t="shared" si="2"/>
        <v>58.103744884947005</v>
      </c>
      <c r="Q5" s="192"/>
      <c r="R5" s="193"/>
      <c r="S5" s="193"/>
    </row>
    <row r="6" spans="1:25" ht="13.2" customHeight="1" x14ac:dyDescent="0.25">
      <c r="A6" s="198"/>
      <c r="B6" s="123" t="s">
        <v>42</v>
      </c>
      <c r="C6" s="123" t="s">
        <v>43</v>
      </c>
      <c r="D6" s="81">
        <f t="shared" ref="D6:P7" si="3">D11+D16+D21+D26+D36+D41</f>
        <v>257</v>
      </c>
      <c r="E6" s="81">
        <f t="shared" si="3"/>
        <v>306</v>
      </c>
      <c r="F6" s="81">
        <f t="shared" si="3"/>
        <v>308</v>
      </c>
      <c r="G6" s="81">
        <f t="shared" si="3"/>
        <v>240</v>
      </c>
      <c r="H6" s="81">
        <f t="shared" si="3"/>
        <v>0</v>
      </c>
      <c r="I6" s="81">
        <f t="shared" si="3"/>
        <v>36</v>
      </c>
      <c r="J6" s="81">
        <f t="shared" si="3"/>
        <v>562</v>
      </c>
      <c r="K6" s="81">
        <f t="shared" si="3"/>
        <v>484</v>
      </c>
      <c r="L6" s="81">
        <f t="shared" si="3"/>
        <v>193</v>
      </c>
      <c r="M6" s="81">
        <f t="shared" si="3"/>
        <v>233</v>
      </c>
      <c r="N6" s="81">
        <f t="shared" si="3"/>
        <v>154</v>
      </c>
      <c r="O6" s="81">
        <f t="shared" si="3"/>
        <v>317</v>
      </c>
      <c r="P6" s="88">
        <f t="shared" si="3"/>
        <v>3090</v>
      </c>
      <c r="Q6" s="192"/>
      <c r="R6" s="62">
        <f>P6/$R$7</f>
        <v>441.42857142857144</v>
      </c>
      <c r="S6" s="62">
        <f>P6/$S$7</f>
        <v>343.33333333333331</v>
      </c>
    </row>
    <row r="7" spans="1:25" x14ac:dyDescent="0.25">
      <c r="A7" s="199"/>
      <c r="B7" s="119"/>
      <c r="C7" s="119" t="s">
        <v>44</v>
      </c>
      <c r="D7" s="82">
        <f t="shared" si="3"/>
        <v>384</v>
      </c>
      <c r="E7" s="82">
        <f t="shared" si="3"/>
        <v>527</v>
      </c>
      <c r="F7" s="82">
        <f t="shared" si="3"/>
        <v>555</v>
      </c>
      <c r="G7" s="82">
        <f t="shared" si="3"/>
        <v>443</v>
      </c>
      <c r="H7" s="82">
        <f t="shared" si="3"/>
        <v>0</v>
      </c>
      <c r="I7" s="82">
        <f t="shared" si="3"/>
        <v>66</v>
      </c>
      <c r="J7" s="82">
        <f t="shared" si="3"/>
        <v>1016</v>
      </c>
      <c r="K7" s="82">
        <f t="shared" si="3"/>
        <v>825</v>
      </c>
      <c r="L7" s="82">
        <f t="shared" si="3"/>
        <v>338</v>
      </c>
      <c r="M7" s="82">
        <f t="shared" si="3"/>
        <v>417</v>
      </c>
      <c r="N7" s="82">
        <f t="shared" si="3"/>
        <v>281</v>
      </c>
      <c r="O7" s="82">
        <f t="shared" si="3"/>
        <v>556</v>
      </c>
      <c r="P7" s="125">
        <f t="shared" si="3"/>
        <v>5408</v>
      </c>
      <c r="Q7" s="192"/>
      <c r="R7" s="166">
        <v>7</v>
      </c>
      <c r="S7" s="166">
        <v>9</v>
      </c>
    </row>
    <row r="8" spans="1:25" ht="12.75" customHeight="1" x14ac:dyDescent="0.25">
      <c r="A8" s="188" t="s">
        <v>27</v>
      </c>
      <c r="B8" s="129" t="s">
        <v>33</v>
      </c>
      <c r="C8" s="129" t="s">
        <v>18</v>
      </c>
      <c r="D8" s="130">
        <v>1092.6126315789472</v>
      </c>
      <c r="E8" s="130">
        <v>1936.9098305084744</v>
      </c>
      <c r="F8" s="130">
        <v>2157.823220338983</v>
      </c>
      <c r="G8" s="130">
        <v>1077.6857142857143</v>
      </c>
      <c r="H8" s="130">
        <v>0</v>
      </c>
      <c r="I8" s="130">
        <v>0</v>
      </c>
      <c r="J8" s="130">
        <v>3415.6201982142848</v>
      </c>
      <c r="K8" s="130">
        <v>4593.4585589285707</v>
      </c>
      <c r="L8" s="130">
        <v>1059.0803571428571</v>
      </c>
      <c r="M8" s="130">
        <f>38756/115</f>
        <v>337.00869565217391</v>
      </c>
      <c r="N8" s="130">
        <v>221</v>
      </c>
      <c r="O8" s="130">
        <v>7443.312406956522</v>
      </c>
      <c r="P8" s="47">
        <f>SUM(D8:O8)</f>
        <v>23334.511613606526</v>
      </c>
      <c r="Q8" s="99">
        <f>P8/$P$3</f>
        <v>7.4260506729176445E-2</v>
      </c>
      <c r="R8" s="85" t="e">
        <f>P12/$R$2</f>
        <v>#DIV/0!</v>
      </c>
      <c r="S8" s="100"/>
      <c r="U8" s="66"/>
    </row>
    <row r="9" spans="1:25" ht="14.4" x14ac:dyDescent="0.25">
      <c r="A9" s="188"/>
      <c r="B9" s="131"/>
      <c r="C9" s="131" t="s">
        <v>40</v>
      </c>
      <c r="D9" s="122">
        <v>136.5765789473684</v>
      </c>
      <c r="E9" s="122">
        <f>IF(E8=0,0,(E8/E11))</f>
        <v>88.041355932203388</v>
      </c>
      <c r="F9" s="122">
        <f t="shared" ref="F9:P9" si="4">IF(F8=0,0,(F8/F11))</f>
        <v>113.56964317573595</v>
      </c>
      <c r="G9" s="122">
        <f t="shared" si="4"/>
        <v>97.971428571428575</v>
      </c>
      <c r="H9" s="122">
        <f t="shared" si="4"/>
        <v>0</v>
      </c>
      <c r="I9" s="122">
        <f t="shared" si="4"/>
        <v>0</v>
      </c>
      <c r="J9" s="122">
        <f t="shared" si="4"/>
        <v>155.25546355519475</v>
      </c>
      <c r="K9" s="122">
        <f t="shared" si="4"/>
        <v>176.67148303571426</v>
      </c>
      <c r="L9" s="122">
        <f t="shared" si="4"/>
        <v>176.51339285714286</v>
      </c>
      <c r="M9" s="122">
        <f t="shared" si="4"/>
        <v>112.33623188405797</v>
      </c>
      <c r="N9" s="122">
        <f t="shared" si="4"/>
        <v>110.5</v>
      </c>
      <c r="O9" s="122">
        <f t="shared" si="4"/>
        <v>195.87664228832952</v>
      </c>
      <c r="P9" s="97">
        <f t="shared" si="4"/>
        <v>148.62746250704794</v>
      </c>
      <c r="Q9" s="101"/>
      <c r="R9" s="86"/>
      <c r="S9" s="79"/>
      <c r="U9" s="66"/>
    </row>
    <row r="10" spans="1:25" ht="14.4" x14ac:dyDescent="0.25">
      <c r="A10" s="188"/>
      <c r="B10" s="132"/>
      <c r="C10" s="132" t="s">
        <v>41</v>
      </c>
      <c r="D10" s="133">
        <v>136.5765789473684</v>
      </c>
      <c r="E10" s="133">
        <f t="shared" ref="E10:P10" si="5">IF(E8=0,0,(E8/E12))</f>
        <v>48.422745762711862</v>
      </c>
      <c r="F10" s="133">
        <f t="shared" si="5"/>
        <v>52.629834642414217</v>
      </c>
      <c r="G10" s="133">
        <f t="shared" si="5"/>
        <v>46.85590062111801</v>
      </c>
      <c r="H10" s="133">
        <f t="shared" si="5"/>
        <v>0</v>
      </c>
      <c r="I10" s="133">
        <f t="shared" si="5"/>
        <v>0</v>
      </c>
      <c r="J10" s="133">
        <f t="shared" si="5"/>
        <v>74.252613004658357</v>
      </c>
      <c r="K10" s="133">
        <f t="shared" si="5"/>
        <v>114.83646397321426</v>
      </c>
      <c r="L10" s="133">
        <f t="shared" si="5"/>
        <v>88.256696428571431</v>
      </c>
      <c r="M10" s="133">
        <f t="shared" si="5"/>
        <v>67.401739130434777</v>
      </c>
      <c r="N10" s="133">
        <f t="shared" si="5"/>
        <v>110.5</v>
      </c>
      <c r="O10" s="133">
        <f t="shared" si="5"/>
        <v>130.58442819221969</v>
      </c>
      <c r="P10" s="98">
        <f t="shared" si="5"/>
        <v>85.162451144549365</v>
      </c>
      <c r="Q10" s="102"/>
      <c r="R10" s="103"/>
      <c r="S10" s="104"/>
      <c r="U10" s="66"/>
    </row>
    <row r="11" spans="1:25" ht="14.4" x14ac:dyDescent="0.25">
      <c r="A11" s="188"/>
      <c r="B11" s="129" t="s">
        <v>42</v>
      </c>
      <c r="C11" s="129" t="s">
        <v>43</v>
      </c>
      <c r="D11" s="134">
        <v>8</v>
      </c>
      <c r="E11" s="134">
        <v>22</v>
      </c>
      <c r="F11" s="134">
        <v>19</v>
      </c>
      <c r="G11" s="134">
        <v>11</v>
      </c>
      <c r="H11" s="134">
        <v>0</v>
      </c>
      <c r="I11" s="134">
        <v>0</v>
      </c>
      <c r="J11" s="134">
        <v>22</v>
      </c>
      <c r="K11" s="134">
        <v>26</v>
      </c>
      <c r="L11" s="134">
        <v>6</v>
      </c>
      <c r="M11" s="134">
        <v>3</v>
      </c>
      <c r="N11" s="134">
        <v>2</v>
      </c>
      <c r="O11" s="134">
        <v>38</v>
      </c>
      <c r="P11" s="105">
        <f>SUM(D11:O11)</f>
        <v>157</v>
      </c>
      <c r="Q11" s="100"/>
      <c r="R11" s="85"/>
      <c r="S11" s="100"/>
      <c r="U11" s="65">
        <v>82</v>
      </c>
    </row>
    <row r="12" spans="1:25" ht="14.4" x14ac:dyDescent="0.25">
      <c r="A12" s="188"/>
      <c r="B12" s="135"/>
      <c r="C12" s="135" t="s">
        <v>44</v>
      </c>
      <c r="D12" s="136">
        <v>8</v>
      </c>
      <c r="E12" s="136">
        <v>40</v>
      </c>
      <c r="F12" s="136">
        <v>41</v>
      </c>
      <c r="G12" s="136">
        <v>23</v>
      </c>
      <c r="H12" s="136">
        <v>0</v>
      </c>
      <c r="I12" s="136">
        <v>0</v>
      </c>
      <c r="J12" s="136">
        <v>46</v>
      </c>
      <c r="K12" s="136">
        <v>40</v>
      </c>
      <c r="L12" s="136">
        <v>12</v>
      </c>
      <c r="M12" s="136">
        <v>5</v>
      </c>
      <c r="N12" s="136">
        <v>2</v>
      </c>
      <c r="O12" s="136">
        <v>57</v>
      </c>
      <c r="P12" s="106">
        <f>SUM(D12:O12)</f>
        <v>274</v>
      </c>
      <c r="Q12" s="79"/>
      <c r="R12" s="86"/>
      <c r="S12" s="86" t="e">
        <f>P12/$S$2</f>
        <v>#DIV/0!</v>
      </c>
      <c r="U12" s="65">
        <v>116</v>
      </c>
    </row>
    <row r="13" spans="1:25" ht="14.4" x14ac:dyDescent="0.35">
      <c r="A13" s="188" t="s">
        <v>23</v>
      </c>
      <c r="B13" s="129" t="s">
        <v>33</v>
      </c>
      <c r="C13" s="129" t="s">
        <v>18</v>
      </c>
      <c r="D13" s="130">
        <v>7624.1578947368425</v>
      </c>
      <c r="E13" s="130">
        <v>3009.0093533898303</v>
      </c>
      <c r="F13" s="130">
        <v>4970.6272881355935</v>
      </c>
      <c r="G13" s="130">
        <v>5176.8898319327736</v>
      </c>
      <c r="H13" s="130">
        <v>0</v>
      </c>
      <c r="I13" s="130">
        <v>588.96563478260873</v>
      </c>
      <c r="J13" s="130">
        <v>13411.777243749999</v>
      </c>
      <c r="K13" s="130">
        <v>4453.1181267857128</v>
      </c>
      <c r="L13" s="130">
        <v>5872.5357142857147</v>
      </c>
      <c r="M13" s="130">
        <f>490389/115</f>
        <v>4264.2521739130434</v>
      </c>
      <c r="N13" s="130">
        <v>2797</v>
      </c>
      <c r="O13" s="130">
        <v>7823.8875243478251</v>
      </c>
      <c r="P13" s="47">
        <f>SUM(D13:O13)</f>
        <v>59992.220786059945</v>
      </c>
      <c r="Q13" s="99">
        <f>P13/$P$3</f>
        <v>0.19092118957328719</v>
      </c>
      <c r="R13" s="100"/>
      <c r="S13" s="100"/>
      <c r="U13" s="68"/>
    </row>
    <row r="14" spans="1:25" ht="14.4" x14ac:dyDescent="0.35">
      <c r="A14" s="188"/>
      <c r="B14" s="131"/>
      <c r="C14" s="131" t="s">
        <v>40</v>
      </c>
      <c r="D14" s="122">
        <v>195.49122807017545</v>
      </c>
      <c r="E14" s="122">
        <f t="shared" ref="E14:P14" si="6">IF(E13=0,0,(E13/E16))</f>
        <v>91.182101617873641</v>
      </c>
      <c r="F14" s="122">
        <f t="shared" si="6"/>
        <v>55.849744810512284</v>
      </c>
      <c r="G14" s="122">
        <f t="shared" si="6"/>
        <v>105.65081289658721</v>
      </c>
      <c r="H14" s="122">
        <f t="shared" si="6"/>
        <v>0</v>
      </c>
      <c r="I14" s="122">
        <f t="shared" si="6"/>
        <v>39.264375652173918</v>
      </c>
      <c r="J14" s="122">
        <f t="shared" si="6"/>
        <v>51.782923721042465</v>
      </c>
      <c r="K14" s="122">
        <f t="shared" si="6"/>
        <v>69.579970731026762</v>
      </c>
      <c r="L14" s="122">
        <f t="shared" si="6"/>
        <v>74.335895117540687</v>
      </c>
      <c r="M14" s="122">
        <f t="shared" si="6"/>
        <v>94.761159420289857</v>
      </c>
      <c r="N14" s="122">
        <f t="shared" si="6"/>
        <v>75.594594594594597</v>
      </c>
      <c r="O14" s="122">
        <f t="shared" si="6"/>
        <v>147.62051932731745</v>
      </c>
      <c r="P14" s="97">
        <f t="shared" si="6"/>
        <v>78.729948538136412</v>
      </c>
      <c r="Q14" s="101"/>
      <c r="R14" s="79"/>
      <c r="S14" s="79"/>
      <c r="U14" s="68"/>
    </row>
    <row r="15" spans="1:25" ht="14.4" x14ac:dyDescent="0.35">
      <c r="A15" s="188"/>
      <c r="B15" s="132"/>
      <c r="C15" s="132" t="s">
        <v>41</v>
      </c>
      <c r="D15" s="133">
        <v>110.49504195270787</v>
      </c>
      <c r="E15" s="133">
        <f t="shared" ref="E15:P15" si="7">IF(E13=0,0,(E13/E17))</f>
        <v>75.225233834745751</v>
      </c>
      <c r="F15" s="133">
        <f t="shared" si="7"/>
        <v>29.238984047856434</v>
      </c>
      <c r="G15" s="133">
        <f t="shared" si="7"/>
        <v>59.504480826813491</v>
      </c>
      <c r="H15" s="133">
        <f t="shared" si="7"/>
        <v>0</v>
      </c>
      <c r="I15" s="133">
        <f t="shared" si="7"/>
        <v>23.55862539130435</v>
      </c>
      <c r="J15" s="133">
        <f t="shared" si="7"/>
        <v>30.071249425448428</v>
      </c>
      <c r="K15" s="133">
        <f t="shared" si="7"/>
        <v>42.410648826530597</v>
      </c>
      <c r="L15" s="133">
        <f t="shared" si="7"/>
        <v>44.154403866809886</v>
      </c>
      <c r="M15" s="133">
        <f t="shared" si="7"/>
        <v>56.10858123569794</v>
      </c>
      <c r="N15" s="133">
        <f t="shared" si="7"/>
        <v>38.847222222222221</v>
      </c>
      <c r="O15" s="133">
        <f t="shared" si="7"/>
        <v>72.44340300322061</v>
      </c>
      <c r="P15" s="98">
        <f t="shared" si="7"/>
        <v>45.073043415522122</v>
      </c>
      <c r="Q15" s="102"/>
      <c r="R15" s="104"/>
      <c r="S15" s="104"/>
      <c r="U15" s="68"/>
    </row>
    <row r="16" spans="1:25" ht="14.4" x14ac:dyDescent="0.35">
      <c r="A16" s="188"/>
      <c r="B16" s="129" t="s">
        <v>42</v>
      </c>
      <c r="C16" s="129" t="s">
        <v>43</v>
      </c>
      <c r="D16" s="134">
        <v>39</v>
      </c>
      <c r="E16" s="134">
        <v>33</v>
      </c>
      <c r="F16" s="134">
        <v>89</v>
      </c>
      <c r="G16" s="134">
        <v>49</v>
      </c>
      <c r="H16" s="134">
        <v>0</v>
      </c>
      <c r="I16" s="134">
        <v>15</v>
      </c>
      <c r="J16" s="134">
        <v>259</v>
      </c>
      <c r="K16" s="134">
        <v>64</v>
      </c>
      <c r="L16" s="134">
        <v>79</v>
      </c>
      <c r="M16" s="134">
        <v>45</v>
      </c>
      <c r="N16" s="134">
        <v>37</v>
      </c>
      <c r="O16" s="134">
        <v>53</v>
      </c>
      <c r="P16" s="105">
        <f>SUM(D16:O16)</f>
        <v>762</v>
      </c>
      <c r="Q16" s="100"/>
      <c r="R16" s="100"/>
      <c r="S16" s="100"/>
      <c r="U16" s="67">
        <v>18</v>
      </c>
    </row>
    <row r="17" spans="1:21" ht="14.4" x14ac:dyDescent="0.35">
      <c r="A17" s="188"/>
      <c r="B17" s="135"/>
      <c r="C17" s="135" t="s">
        <v>44</v>
      </c>
      <c r="D17" s="136">
        <v>69</v>
      </c>
      <c r="E17" s="136">
        <v>40</v>
      </c>
      <c r="F17" s="136">
        <v>170</v>
      </c>
      <c r="G17" s="136">
        <v>87</v>
      </c>
      <c r="H17" s="136">
        <v>0</v>
      </c>
      <c r="I17" s="136">
        <v>25</v>
      </c>
      <c r="J17" s="136">
        <v>446</v>
      </c>
      <c r="K17" s="136">
        <v>105</v>
      </c>
      <c r="L17" s="136">
        <v>133</v>
      </c>
      <c r="M17" s="136">
        <v>76</v>
      </c>
      <c r="N17" s="136">
        <v>72</v>
      </c>
      <c r="O17" s="136">
        <v>108</v>
      </c>
      <c r="P17" s="106">
        <f>SUM(D17:O17)</f>
        <v>1331</v>
      </c>
      <c r="Q17" s="104"/>
      <c r="R17" s="103" t="e">
        <f>P17/$R$2</f>
        <v>#DIV/0!</v>
      </c>
      <c r="S17" s="103" t="e">
        <f>P17/$S$2</f>
        <v>#DIV/0!</v>
      </c>
      <c r="U17" s="67">
        <v>36</v>
      </c>
    </row>
    <row r="18" spans="1:21" ht="14.4" x14ac:dyDescent="0.35">
      <c r="A18" s="188" t="s">
        <v>24</v>
      </c>
      <c r="B18" s="129" t="s">
        <v>33</v>
      </c>
      <c r="C18" s="129" t="s">
        <v>18</v>
      </c>
      <c r="D18" s="130">
        <v>11023.096491228071</v>
      </c>
      <c r="E18" s="130">
        <v>7576.4478974576268</v>
      </c>
      <c r="F18" s="130">
        <v>6046.504152542373</v>
      </c>
      <c r="G18" s="130">
        <v>15229.315966386555</v>
      </c>
      <c r="H18" s="130">
        <v>0</v>
      </c>
      <c r="I18" s="130">
        <v>1584.3236695652172</v>
      </c>
      <c r="J18" s="130">
        <v>22774.438062500005</v>
      </c>
      <c r="K18" s="130">
        <v>44029.580293749998</v>
      </c>
      <c r="L18" s="130">
        <v>10802.080357142857</v>
      </c>
      <c r="M18" s="130">
        <v>17633.473739130433</v>
      </c>
      <c r="N18" s="130">
        <v>12162</v>
      </c>
      <c r="O18" s="130">
        <v>42276.105008695653</v>
      </c>
      <c r="P18" s="47">
        <f>SUM(D18:O18)</f>
        <v>191137.36563839877</v>
      </c>
      <c r="Q18" s="99">
        <f>P18/$P$3</f>
        <v>0.60828175289131692</v>
      </c>
      <c r="R18" s="100"/>
      <c r="S18" s="100"/>
      <c r="U18" s="68"/>
    </row>
    <row r="19" spans="1:21" ht="14.4" x14ac:dyDescent="0.35">
      <c r="A19" s="188"/>
      <c r="B19" s="131"/>
      <c r="C19" s="131" t="s">
        <v>40</v>
      </c>
      <c r="D19" s="122">
        <v>141.32174988753937</v>
      </c>
      <c r="E19" s="122">
        <f t="shared" ref="E19:P19" si="8">IF(E18=0,0,(E18/E21))</f>
        <v>126.27413162429379</v>
      </c>
      <c r="F19" s="122">
        <f t="shared" si="8"/>
        <v>56.509384603199749</v>
      </c>
      <c r="G19" s="122">
        <f t="shared" si="8"/>
        <v>104.31038333141477</v>
      </c>
      <c r="H19" s="122">
        <f t="shared" si="8"/>
        <v>0</v>
      </c>
      <c r="I19" s="122">
        <f t="shared" si="8"/>
        <v>75.443984265010343</v>
      </c>
      <c r="J19" s="122">
        <f t="shared" si="8"/>
        <v>90.734812998007982</v>
      </c>
      <c r="K19" s="122">
        <f t="shared" si="8"/>
        <v>124.72968921742209</v>
      </c>
      <c r="L19" s="122">
        <f t="shared" si="8"/>
        <v>124.16184318555008</v>
      </c>
      <c r="M19" s="122">
        <f t="shared" si="8"/>
        <v>103.11972946859902</v>
      </c>
      <c r="N19" s="122">
        <f t="shared" si="8"/>
        <v>130.7741935483871</v>
      </c>
      <c r="O19" s="122">
        <f>IF(O18=0,0,(O18/O21))</f>
        <v>187.06241154290112</v>
      </c>
      <c r="P19" s="97">
        <f t="shared" si="8"/>
        <v>119.98579136120451</v>
      </c>
      <c r="Q19" s="101"/>
      <c r="R19" s="79"/>
      <c r="S19" s="79"/>
      <c r="U19" s="68"/>
    </row>
    <row r="20" spans="1:21" ht="14.4" x14ac:dyDescent="0.35">
      <c r="A20" s="188"/>
      <c r="B20" s="132"/>
      <c r="C20" s="132" t="s">
        <v>41</v>
      </c>
      <c r="D20" s="133">
        <v>79.877510806000515</v>
      </c>
      <c r="E20" s="133">
        <f t="shared" ref="E20:P20" si="9">IF(E18=0,0,(E18/E22))</f>
        <v>70.807924275304927</v>
      </c>
      <c r="F20" s="133">
        <f t="shared" si="9"/>
        <v>33.406100290289352</v>
      </c>
      <c r="G20" s="133">
        <f t="shared" si="9"/>
        <v>56.614557495860801</v>
      </c>
      <c r="H20" s="133">
        <f t="shared" si="9"/>
        <v>0</v>
      </c>
      <c r="I20" s="133">
        <f t="shared" si="9"/>
        <v>38.642040721102859</v>
      </c>
      <c r="J20" s="133">
        <f t="shared" si="9"/>
        <v>50.05371002747254</v>
      </c>
      <c r="K20" s="133">
        <f t="shared" si="9"/>
        <v>73.875134721057037</v>
      </c>
      <c r="L20" s="133">
        <f t="shared" si="9"/>
        <v>68.36759719710669</v>
      </c>
      <c r="M20" s="133">
        <f t="shared" si="9"/>
        <v>57.251538114059848</v>
      </c>
      <c r="N20" s="133">
        <f t="shared" si="9"/>
        <v>71.54117647058824</v>
      </c>
      <c r="O20" s="133">
        <f t="shared" si="9"/>
        <v>108.12303071277661</v>
      </c>
      <c r="P20" s="98">
        <f t="shared" si="9"/>
        <v>67.923726239658407</v>
      </c>
      <c r="Q20" s="102"/>
      <c r="R20" s="104"/>
      <c r="S20" s="104"/>
      <c r="U20" s="68"/>
    </row>
    <row r="21" spans="1:21" ht="14.4" x14ac:dyDescent="0.35">
      <c r="A21" s="188"/>
      <c r="B21" s="129" t="s">
        <v>42</v>
      </c>
      <c r="C21" s="129" t="s">
        <v>43</v>
      </c>
      <c r="D21" s="134">
        <v>78</v>
      </c>
      <c r="E21" s="134">
        <v>60</v>
      </c>
      <c r="F21" s="134">
        <v>107</v>
      </c>
      <c r="G21" s="134">
        <v>146</v>
      </c>
      <c r="H21" s="134">
        <v>0</v>
      </c>
      <c r="I21" s="134">
        <v>21</v>
      </c>
      <c r="J21" s="134">
        <v>251</v>
      </c>
      <c r="K21" s="134">
        <v>353</v>
      </c>
      <c r="L21" s="134">
        <v>87</v>
      </c>
      <c r="M21" s="134">
        <v>171</v>
      </c>
      <c r="N21" s="134">
        <v>93</v>
      </c>
      <c r="O21" s="134">
        <v>226</v>
      </c>
      <c r="P21" s="105">
        <f>SUM(D21:O21)</f>
        <v>1593</v>
      </c>
      <c r="Q21" s="100"/>
      <c r="R21" s="100"/>
      <c r="S21" s="100"/>
      <c r="U21" s="67">
        <v>18</v>
      </c>
    </row>
    <row r="22" spans="1:21" ht="14.4" x14ac:dyDescent="0.35">
      <c r="A22" s="188"/>
      <c r="B22" s="135"/>
      <c r="C22" s="135" t="s">
        <v>44</v>
      </c>
      <c r="D22" s="136">
        <v>138</v>
      </c>
      <c r="E22" s="136">
        <v>107</v>
      </c>
      <c r="F22" s="136">
        <v>181</v>
      </c>
      <c r="G22" s="136">
        <v>269</v>
      </c>
      <c r="H22" s="136">
        <v>0</v>
      </c>
      <c r="I22" s="136">
        <v>41</v>
      </c>
      <c r="J22" s="136">
        <v>455</v>
      </c>
      <c r="K22" s="136">
        <v>596</v>
      </c>
      <c r="L22" s="136">
        <v>158</v>
      </c>
      <c r="M22" s="136">
        <v>308</v>
      </c>
      <c r="N22" s="136">
        <v>170</v>
      </c>
      <c r="O22" s="136">
        <v>391</v>
      </c>
      <c r="P22" s="106">
        <f>SUM(D22:O22)</f>
        <v>2814</v>
      </c>
      <c r="Q22" s="104"/>
      <c r="R22" s="103" t="e">
        <f>P22/$R$2</f>
        <v>#DIV/0!</v>
      </c>
      <c r="S22" s="103" t="e">
        <f>P22/$S$2</f>
        <v>#DIV/0!</v>
      </c>
      <c r="U22" s="67">
        <v>33</v>
      </c>
    </row>
    <row r="23" spans="1:21" ht="14.4" x14ac:dyDescent="0.35">
      <c r="A23" s="188" t="s">
        <v>31</v>
      </c>
      <c r="B23" s="129" t="s">
        <v>33</v>
      </c>
      <c r="C23" s="129" t="s">
        <v>18</v>
      </c>
      <c r="D23" s="130">
        <v>4143.6754385964914</v>
      </c>
      <c r="E23" s="130">
        <v>10463.327072033897</v>
      </c>
      <c r="F23" s="130">
        <v>4273.6188983050852</v>
      </c>
      <c r="G23" s="130">
        <v>726.45201680672267</v>
      </c>
      <c r="H23" s="130">
        <v>0</v>
      </c>
      <c r="I23" s="130">
        <v>0</v>
      </c>
      <c r="J23" s="130">
        <v>1749.6560017857144</v>
      </c>
      <c r="K23" s="130">
        <v>1772</v>
      </c>
      <c r="L23" s="130">
        <v>1451.7857142857142</v>
      </c>
      <c r="M23" s="130">
        <v>167.52</v>
      </c>
      <c r="N23" s="130">
        <v>458.95</v>
      </c>
      <c r="O23" s="130">
        <v>0</v>
      </c>
      <c r="P23" s="47">
        <f>SUM(D23:O23)</f>
        <v>25206.985141813624</v>
      </c>
      <c r="Q23" s="99">
        <f>P23/$P$3</f>
        <v>8.0219527228261853E-2</v>
      </c>
      <c r="R23" s="100"/>
      <c r="S23" s="100"/>
      <c r="U23" s="68"/>
    </row>
    <row r="24" spans="1:21" ht="14.4" x14ac:dyDescent="0.35">
      <c r="A24" s="188"/>
      <c r="B24" s="131"/>
      <c r="C24" s="131" t="s">
        <v>40</v>
      </c>
      <c r="D24" s="122">
        <v>64.744928728070178</v>
      </c>
      <c r="E24" s="122">
        <f t="shared" ref="E24:P24" si="10">IF(E23=0,0,(E23/E26))</f>
        <v>58.454341184546912</v>
      </c>
      <c r="F24" s="122">
        <f t="shared" si="10"/>
        <v>58.542724634316237</v>
      </c>
      <c r="G24" s="122">
        <f t="shared" si="10"/>
        <v>80.716890756302519</v>
      </c>
      <c r="H24" s="122">
        <f t="shared" si="10"/>
        <v>0</v>
      </c>
      <c r="I24" s="122">
        <f t="shared" si="10"/>
        <v>0</v>
      </c>
      <c r="J24" s="122">
        <f t="shared" si="10"/>
        <v>72.902333407738098</v>
      </c>
      <c r="K24" s="122">
        <f t="shared" si="10"/>
        <v>80.545454545454547</v>
      </c>
      <c r="L24" s="122">
        <f t="shared" si="10"/>
        <v>76.409774436090217</v>
      </c>
      <c r="M24" s="122">
        <f t="shared" si="10"/>
        <v>83.76</v>
      </c>
      <c r="N24" s="122">
        <f t="shared" si="10"/>
        <v>57.368749999999999</v>
      </c>
      <c r="O24" s="122">
        <f t="shared" si="10"/>
        <v>0</v>
      </c>
      <c r="P24" s="97">
        <f t="shared" si="10"/>
        <v>63.01746285453406</v>
      </c>
      <c r="Q24" s="101"/>
      <c r="R24" s="79"/>
      <c r="S24" s="79"/>
      <c r="U24" s="68"/>
    </row>
    <row r="25" spans="1:21" ht="14.4" x14ac:dyDescent="0.35">
      <c r="A25" s="188"/>
      <c r="B25" s="132"/>
      <c r="C25" s="132" t="s">
        <v>41</v>
      </c>
      <c r="D25" s="133">
        <v>46.040838206627683</v>
      </c>
      <c r="E25" s="133">
        <f t="shared" ref="E25:P25" si="11">IF(E23=0,0,(E23/E27))</f>
        <v>32.903544251678923</v>
      </c>
      <c r="F25" s="133">
        <f t="shared" si="11"/>
        <v>34.464668534718427</v>
      </c>
      <c r="G25" s="133">
        <f t="shared" si="11"/>
        <v>31.584870295944462</v>
      </c>
      <c r="H25" s="133">
        <f t="shared" si="11"/>
        <v>0</v>
      </c>
      <c r="I25" s="133">
        <f t="shared" si="11"/>
        <v>0</v>
      </c>
      <c r="J25" s="133">
        <f t="shared" si="11"/>
        <v>29.160933363095239</v>
      </c>
      <c r="K25" s="133">
        <f t="shared" si="11"/>
        <v>38.521739130434781</v>
      </c>
      <c r="L25" s="133">
        <f t="shared" si="11"/>
        <v>46.831797235023039</v>
      </c>
      <c r="M25" s="133">
        <f t="shared" si="11"/>
        <v>41.88</v>
      </c>
      <c r="N25" s="133">
        <f t="shared" si="11"/>
        <v>38.24583333333333</v>
      </c>
      <c r="O25" s="133">
        <f t="shared" si="11"/>
        <v>0</v>
      </c>
      <c r="P25" s="98">
        <f t="shared" si="11"/>
        <v>35.603086358493819</v>
      </c>
      <c r="Q25" s="102"/>
      <c r="R25" s="104"/>
      <c r="S25" s="104"/>
      <c r="U25" s="68"/>
    </row>
    <row r="26" spans="1:21" ht="14.4" x14ac:dyDescent="0.35">
      <c r="A26" s="188"/>
      <c r="B26" s="129" t="s">
        <v>42</v>
      </c>
      <c r="C26" s="129" t="s">
        <v>43</v>
      </c>
      <c r="D26" s="134">
        <v>64</v>
      </c>
      <c r="E26" s="134">
        <v>179</v>
      </c>
      <c r="F26" s="134">
        <v>73</v>
      </c>
      <c r="G26" s="134">
        <v>9</v>
      </c>
      <c r="H26" s="134">
        <v>0</v>
      </c>
      <c r="I26" s="134">
        <v>0</v>
      </c>
      <c r="J26" s="134">
        <v>24</v>
      </c>
      <c r="K26" s="134">
        <v>22</v>
      </c>
      <c r="L26" s="134">
        <v>19</v>
      </c>
      <c r="M26" s="134">
        <v>2</v>
      </c>
      <c r="N26" s="134">
        <v>8</v>
      </c>
      <c r="O26" s="134">
        <v>0</v>
      </c>
      <c r="P26" s="105">
        <f>SUM(D26:O26)</f>
        <v>400</v>
      </c>
      <c r="Q26" s="100"/>
      <c r="R26" s="100"/>
      <c r="S26" s="100"/>
      <c r="U26" s="67">
        <v>16</v>
      </c>
    </row>
    <row r="27" spans="1:21" ht="14.4" x14ac:dyDescent="0.35">
      <c r="A27" s="188"/>
      <c r="B27" s="135"/>
      <c r="C27" s="135" t="s">
        <v>44</v>
      </c>
      <c r="D27" s="136">
        <v>90</v>
      </c>
      <c r="E27" s="136">
        <v>318</v>
      </c>
      <c r="F27" s="136">
        <v>124</v>
      </c>
      <c r="G27" s="136">
        <v>23</v>
      </c>
      <c r="H27" s="136">
        <v>0</v>
      </c>
      <c r="I27" s="136">
        <v>0</v>
      </c>
      <c r="J27" s="136">
        <v>60</v>
      </c>
      <c r="K27" s="136">
        <v>46</v>
      </c>
      <c r="L27" s="136">
        <v>31</v>
      </c>
      <c r="M27" s="136">
        <v>4</v>
      </c>
      <c r="N27" s="136">
        <v>12</v>
      </c>
      <c r="O27" s="136">
        <v>0</v>
      </c>
      <c r="P27" s="106">
        <f>SUM(D27:O27)</f>
        <v>708</v>
      </c>
      <c r="Q27" s="104"/>
      <c r="R27" s="103" t="e">
        <f>P27/$R$2</f>
        <v>#DIV/0!</v>
      </c>
      <c r="S27" s="103" t="e">
        <f>P27/$S$2</f>
        <v>#DIV/0!</v>
      </c>
      <c r="U27" s="67">
        <v>32</v>
      </c>
    </row>
    <row r="28" spans="1:21" ht="14.4" x14ac:dyDescent="0.35">
      <c r="A28" s="188" t="s">
        <v>26</v>
      </c>
      <c r="B28" s="129" t="s">
        <v>33</v>
      </c>
      <c r="C28" s="129" t="s">
        <v>18</v>
      </c>
      <c r="D28" s="130"/>
      <c r="E28" s="130"/>
      <c r="F28" s="130">
        <v>0</v>
      </c>
      <c r="G28" s="130"/>
      <c r="H28" s="130"/>
      <c r="I28" s="130"/>
      <c r="J28" s="130"/>
      <c r="K28" s="130"/>
      <c r="L28" s="130"/>
      <c r="M28" s="130"/>
      <c r="N28" s="130"/>
      <c r="O28" s="130"/>
      <c r="P28" s="47"/>
      <c r="Q28" s="99">
        <f>P28/$P$3</f>
        <v>0</v>
      </c>
      <c r="R28" s="100"/>
      <c r="S28" s="100"/>
      <c r="U28" s="68"/>
    </row>
    <row r="29" spans="1:21" ht="14.4" x14ac:dyDescent="0.35">
      <c r="A29" s="188"/>
      <c r="B29" s="131"/>
      <c r="C29" s="131" t="s">
        <v>40</v>
      </c>
      <c r="D29" s="122"/>
      <c r="E29" s="122">
        <f t="shared" ref="E29:O29" si="12">IF(E28=0,0,(E28/E31))</f>
        <v>0</v>
      </c>
      <c r="F29" s="122">
        <f t="shared" si="12"/>
        <v>0</v>
      </c>
      <c r="G29" s="122">
        <f t="shared" si="12"/>
        <v>0</v>
      </c>
      <c r="H29" s="122">
        <f t="shared" si="12"/>
        <v>0</v>
      </c>
      <c r="I29" s="122">
        <f t="shared" si="12"/>
        <v>0</v>
      </c>
      <c r="J29" s="122">
        <f t="shared" si="12"/>
        <v>0</v>
      </c>
      <c r="K29" s="122">
        <f t="shared" si="12"/>
        <v>0</v>
      </c>
      <c r="L29" s="122">
        <f t="shared" si="12"/>
        <v>0</v>
      </c>
      <c r="M29" s="122">
        <f t="shared" si="12"/>
        <v>0</v>
      </c>
      <c r="N29" s="122">
        <f t="shared" si="12"/>
        <v>0</v>
      </c>
      <c r="O29" s="122">
        <f t="shared" si="12"/>
        <v>0</v>
      </c>
      <c r="P29" s="97"/>
      <c r="Q29" s="101"/>
      <c r="R29" s="79"/>
      <c r="S29" s="79"/>
      <c r="U29" s="68"/>
    </row>
    <row r="30" spans="1:21" ht="14.4" x14ac:dyDescent="0.35">
      <c r="A30" s="188"/>
      <c r="B30" s="132"/>
      <c r="C30" s="132" t="s">
        <v>41</v>
      </c>
      <c r="D30" s="133"/>
      <c r="E30" s="133">
        <f t="shared" ref="E30:O30" si="13">IF(E28=0,0,(E28/E32))</f>
        <v>0</v>
      </c>
      <c r="F30" s="133">
        <f t="shared" si="13"/>
        <v>0</v>
      </c>
      <c r="G30" s="133">
        <f t="shared" si="13"/>
        <v>0</v>
      </c>
      <c r="H30" s="133">
        <f t="shared" si="13"/>
        <v>0</v>
      </c>
      <c r="I30" s="133">
        <f t="shared" si="13"/>
        <v>0</v>
      </c>
      <c r="J30" s="133">
        <f t="shared" si="13"/>
        <v>0</v>
      </c>
      <c r="K30" s="133">
        <f t="shared" si="13"/>
        <v>0</v>
      </c>
      <c r="L30" s="133">
        <f t="shared" si="13"/>
        <v>0</v>
      </c>
      <c r="M30" s="133">
        <f t="shared" si="13"/>
        <v>0</v>
      </c>
      <c r="N30" s="133">
        <f t="shared" si="13"/>
        <v>0</v>
      </c>
      <c r="O30" s="133">
        <f t="shared" si="13"/>
        <v>0</v>
      </c>
      <c r="P30" s="98"/>
      <c r="Q30" s="101"/>
      <c r="R30" s="79"/>
      <c r="S30" s="79"/>
      <c r="U30" s="68"/>
    </row>
    <row r="31" spans="1:21" ht="14.4" x14ac:dyDescent="0.35">
      <c r="A31" s="188"/>
      <c r="B31" s="129" t="s">
        <v>42</v>
      </c>
      <c r="C31" s="129" t="s">
        <v>43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05"/>
      <c r="Q31" s="100"/>
      <c r="R31" s="100"/>
      <c r="S31" s="100"/>
      <c r="U31" s="67">
        <v>16</v>
      </c>
    </row>
    <row r="32" spans="1:21" ht="14.4" x14ac:dyDescent="0.35">
      <c r="A32" s="188"/>
      <c r="B32" s="135"/>
      <c r="C32" s="135" t="s">
        <v>44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06"/>
      <c r="Q32" s="104"/>
      <c r="R32" s="103" t="e">
        <f>P32/$R$2</f>
        <v>#DIV/0!</v>
      </c>
      <c r="S32" s="103" t="e">
        <f>P32/$S$2</f>
        <v>#DIV/0!</v>
      </c>
      <c r="U32" s="67">
        <v>32</v>
      </c>
    </row>
    <row r="33" spans="1:21" ht="14.4" x14ac:dyDescent="0.35">
      <c r="A33" s="188" t="s">
        <v>29</v>
      </c>
      <c r="B33" s="129" t="s">
        <v>33</v>
      </c>
      <c r="C33" s="129" t="s">
        <v>18</v>
      </c>
      <c r="D33" s="130">
        <v>4029.0614035087719</v>
      </c>
      <c r="E33" s="130">
        <v>582.73748474576269</v>
      </c>
      <c r="F33" s="130">
        <v>676.94525423728805</v>
      </c>
      <c r="G33" s="130">
        <v>1229.0439495798321</v>
      </c>
      <c r="H33" s="130">
        <v>0</v>
      </c>
      <c r="I33" s="130">
        <v>0</v>
      </c>
      <c r="J33" s="130">
        <v>221</v>
      </c>
      <c r="K33" s="130">
        <v>865</v>
      </c>
      <c r="L33" s="130">
        <v>243.4375</v>
      </c>
      <c r="M33" s="130">
        <f>92081.09/115</f>
        <v>800.70513043478263</v>
      </c>
      <c r="N33" s="130">
        <v>368</v>
      </c>
      <c r="O33" s="130">
        <v>0</v>
      </c>
      <c r="P33" s="47">
        <f>SUM(D33:O33)</f>
        <v>9015.9307225064367</v>
      </c>
      <c r="Q33" s="99">
        <f>P33/$P$3</f>
        <v>2.8692590407509166E-2</v>
      </c>
      <c r="R33" s="100"/>
      <c r="S33" s="100"/>
      <c r="U33" s="68"/>
    </row>
    <row r="34" spans="1:21" ht="14.4" x14ac:dyDescent="0.35">
      <c r="A34" s="188"/>
      <c r="B34" s="131"/>
      <c r="C34" s="131" t="s">
        <v>40</v>
      </c>
      <c r="D34" s="122">
        <v>59.250902992776055</v>
      </c>
      <c r="E34" s="122">
        <f t="shared" ref="E34:P34" si="14">IF(E33=0,0,(E33/E36))</f>
        <v>48.561457062146893</v>
      </c>
      <c r="F34" s="122">
        <f t="shared" si="14"/>
        <v>48.353232445520575</v>
      </c>
      <c r="G34" s="122">
        <f t="shared" si="14"/>
        <v>64.68652366209642</v>
      </c>
      <c r="H34" s="122">
        <f t="shared" si="14"/>
        <v>0</v>
      </c>
      <c r="I34" s="122">
        <f t="shared" si="14"/>
        <v>0</v>
      </c>
      <c r="J34" s="122">
        <f t="shared" si="14"/>
        <v>36.833333333333336</v>
      </c>
      <c r="K34" s="122">
        <f t="shared" si="14"/>
        <v>96.111111111111114</v>
      </c>
      <c r="L34" s="122">
        <f t="shared" si="14"/>
        <v>121.71875</v>
      </c>
      <c r="M34" s="122">
        <f t="shared" si="14"/>
        <v>66.725427536231891</v>
      </c>
      <c r="N34" s="122">
        <f t="shared" si="14"/>
        <v>122.66666666666667</v>
      </c>
      <c r="O34" s="122">
        <f t="shared" si="14"/>
        <v>0</v>
      </c>
      <c r="P34" s="97">
        <f t="shared" si="14"/>
        <v>62.178832569009906</v>
      </c>
      <c r="Q34" s="101"/>
      <c r="R34" s="79"/>
      <c r="S34" s="79"/>
      <c r="U34" s="68"/>
    </row>
    <row r="35" spans="1:21" ht="14.4" x14ac:dyDescent="0.35">
      <c r="A35" s="188"/>
      <c r="B35" s="132"/>
      <c r="C35" s="132" t="s">
        <v>41</v>
      </c>
      <c r="D35" s="133">
        <v>51.00077725960471</v>
      </c>
      <c r="E35" s="133">
        <f t="shared" ref="E35:P35" si="15">IF(E33=0,0,(E33/E37))</f>
        <v>26.488067488443757</v>
      </c>
      <c r="F35" s="133">
        <f t="shared" si="15"/>
        <v>25.07204645323289</v>
      </c>
      <c r="G35" s="133">
        <f t="shared" si="15"/>
        <v>35.115541416566629</v>
      </c>
      <c r="H35" s="133">
        <f t="shared" si="15"/>
        <v>0</v>
      </c>
      <c r="I35" s="133">
        <f t="shared" si="15"/>
        <v>0</v>
      </c>
      <c r="J35" s="133">
        <f t="shared" si="15"/>
        <v>24.555555555555557</v>
      </c>
      <c r="K35" s="133">
        <f t="shared" si="15"/>
        <v>48.055555555555557</v>
      </c>
      <c r="L35" s="133">
        <f t="shared" si="15"/>
        <v>60.859375</v>
      </c>
      <c r="M35" s="133">
        <f t="shared" si="15"/>
        <v>33.362713768115945</v>
      </c>
      <c r="N35" s="133">
        <f t="shared" si="15"/>
        <v>61.333333333333336</v>
      </c>
      <c r="O35" s="133">
        <f t="shared" si="15"/>
        <v>0</v>
      </c>
      <c r="P35" s="98">
        <f t="shared" si="15"/>
        <v>40.249690725475162</v>
      </c>
      <c r="Q35" s="102"/>
      <c r="R35" s="104"/>
      <c r="S35" s="104"/>
      <c r="U35" s="68"/>
    </row>
    <row r="36" spans="1:21" ht="14.4" x14ac:dyDescent="0.35">
      <c r="A36" s="188"/>
      <c r="B36" s="129" t="s">
        <v>42</v>
      </c>
      <c r="C36" s="129" t="s">
        <v>43</v>
      </c>
      <c r="D36" s="134">
        <v>68</v>
      </c>
      <c r="E36" s="134">
        <v>12</v>
      </c>
      <c r="F36" s="134">
        <v>14</v>
      </c>
      <c r="G36" s="134">
        <v>19</v>
      </c>
      <c r="H36" s="134"/>
      <c r="I36" s="134"/>
      <c r="J36" s="134">
        <v>6</v>
      </c>
      <c r="K36" s="134">
        <v>9</v>
      </c>
      <c r="L36" s="134">
        <v>2</v>
      </c>
      <c r="M36" s="134">
        <v>12</v>
      </c>
      <c r="N36" s="134">
        <v>3</v>
      </c>
      <c r="O36" s="134"/>
      <c r="P36" s="105">
        <f>SUM(D36:O36)</f>
        <v>145</v>
      </c>
      <c r="Q36" s="100"/>
      <c r="R36" s="100"/>
      <c r="S36" s="100"/>
      <c r="U36" s="67">
        <v>0</v>
      </c>
    </row>
    <row r="37" spans="1:21" ht="14.4" x14ac:dyDescent="0.35">
      <c r="A37" s="188"/>
      <c r="B37" s="135"/>
      <c r="C37" s="135" t="s">
        <v>44</v>
      </c>
      <c r="D37" s="136">
        <v>79</v>
      </c>
      <c r="E37" s="136">
        <v>22</v>
      </c>
      <c r="F37" s="136">
        <v>27</v>
      </c>
      <c r="G37" s="136">
        <v>35</v>
      </c>
      <c r="H37" s="136"/>
      <c r="I37" s="136"/>
      <c r="J37" s="136">
        <v>9</v>
      </c>
      <c r="K37" s="136">
        <v>18</v>
      </c>
      <c r="L37" s="136">
        <v>4</v>
      </c>
      <c r="M37" s="136">
        <v>24</v>
      </c>
      <c r="N37" s="136">
        <v>6</v>
      </c>
      <c r="O37" s="136"/>
      <c r="P37" s="106">
        <f>SUM(D37:O37)</f>
        <v>224</v>
      </c>
      <c r="Q37" s="104"/>
      <c r="R37" s="103" t="e">
        <f>P37/$R$2</f>
        <v>#DIV/0!</v>
      </c>
      <c r="S37" s="103" t="e">
        <f>P37/$S$2</f>
        <v>#DIV/0!</v>
      </c>
      <c r="U37" s="67">
        <v>0</v>
      </c>
    </row>
    <row r="38" spans="1:21" ht="14.4" x14ac:dyDescent="0.35">
      <c r="A38" s="188" t="s">
        <v>32</v>
      </c>
      <c r="B38" s="129" t="s">
        <v>33</v>
      </c>
      <c r="C38" s="129" t="s">
        <v>18</v>
      </c>
      <c r="D38" s="130"/>
      <c r="E38" s="130"/>
      <c r="F38" s="130">
        <v>380.72381355932208</v>
      </c>
      <c r="G38" s="130">
        <v>444.31462184873953</v>
      </c>
      <c r="H38" s="130"/>
      <c r="I38" s="130"/>
      <c r="J38" s="130"/>
      <c r="K38" s="130">
        <v>2521</v>
      </c>
      <c r="L38" s="130"/>
      <c r="M38" s="130"/>
      <c r="N38" s="130">
        <v>2192</v>
      </c>
      <c r="O38" s="130"/>
      <c r="P38" s="47">
        <f>SUM(D38:O38)</f>
        <v>5538.0384354080616</v>
      </c>
      <c r="Q38" s="99">
        <f>P38/$P$3</f>
        <v>1.7624433170448307E-2</v>
      </c>
      <c r="R38" s="100"/>
      <c r="S38" s="100"/>
      <c r="U38" s="68"/>
    </row>
    <row r="39" spans="1:21" ht="14.4" x14ac:dyDescent="0.35">
      <c r="A39" s="188"/>
      <c r="B39" s="131"/>
      <c r="C39" s="131" t="s">
        <v>40</v>
      </c>
      <c r="D39" s="122"/>
      <c r="E39" s="122">
        <f t="shared" ref="E39:P39" si="16">IF(E38=0,0,(E38/E41))</f>
        <v>0</v>
      </c>
      <c r="F39" s="122">
        <f t="shared" si="16"/>
        <v>63.453968926553678</v>
      </c>
      <c r="G39" s="122">
        <f t="shared" si="16"/>
        <v>74.052436974789927</v>
      </c>
      <c r="H39" s="122">
        <f t="shared" si="16"/>
        <v>0</v>
      </c>
      <c r="I39" s="122">
        <f t="shared" si="16"/>
        <v>0</v>
      </c>
      <c r="J39" s="122">
        <f t="shared" si="16"/>
        <v>0</v>
      </c>
      <c r="K39" s="122">
        <f t="shared" si="16"/>
        <v>252.1</v>
      </c>
      <c r="L39" s="122">
        <f t="shared" si="16"/>
        <v>0</v>
      </c>
      <c r="M39" s="122">
        <f t="shared" si="16"/>
        <v>0</v>
      </c>
      <c r="N39" s="122">
        <f t="shared" si="16"/>
        <v>199.27272727272728</v>
      </c>
      <c r="O39" s="122">
        <f t="shared" si="16"/>
        <v>0</v>
      </c>
      <c r="P39" s="97">
        <f t="shared" si="16"/>
        <v>167.81934652751701</v>
      </c>
      <c r="Q39" s="101"/>
      <c r="R39" s="79"/>
      <c r="S39" s="79"/>
      <c r="U39" s="68"/>
    </row>
    <row r="40" spans="1:21" ht="14.4" x14ac:dyDescent="0.35">
      <c r="A40" s="188"/>
      <c r="B40" s="132"/>
      <c r="C40" s="132" t="s">
        <v>41</v>
      </c>
      <c r="D40" s="133"/>
      <c r="E40" s="133">
        <f t="shared" ref="E40:P40" si="17">IF(E38=0,0,(E38/E42))</f>
        <v>0</v>
      </c>
      <c r="F40" s="133">
        <f t="shared" si="17"/>
        <v>31.726984463276839</v>
      </c>
      <c r="G40" s="133">
        <f t="shared" si="17"/>
        <v>74.052436974789927</v>
      </c>
      <c r="H40" s="133">
        <f t="shared" si="17"/>
        <v>0</v>
      </c>
      <c r="I40" s="133">
        <f t="shared" si="17"/>
        <v>0</v>
      </c>
      <c r="J40" s="133">
        <f t="shared" si="17"/>
        <v>0</v>
      </c>
      <c r="K40" s="133">
        <f t="shared" si="17"/>
        <v>126.05</v>
      </c>
      <c r="L40" s="133">
        <f t="shared" si="17"/>
        <v>0</v>
      </c>
      <c r="M40" s="133">
        <f t="shared" si="17"/>
        <v>0</v>
      </c>
      <c r="N40" s="133">
        <f t="shared" si="17"/>
        <v>115.36842105263158</v>
      </c>
      <c r="O40" s="133">
        <f t="shared" si="17"/>
        <v>0</v>
      </c>
      <c r="P40" s="98">
        <f t="shared" si="17"/>
        <v>97.158569042246697</v>
      </c>
      <c r="Q40" s="102"/>
      <c r="R40" s="104"/>
      <c r="S40" s="104"/>
      <c r="U40" s="68"/>
    </row>
    <row r="41" spans="1:21" ht="14.4" x14ac:dyDescent="0.35">
      <c r="A41" s="188"/>
      <c r="B41" s="129" t="s">
        <v>42</v>
      </c>
      <c r="C41" s="129" t="s">
        <v>43</v>
      </c>
      <c r="D41" s="134"/>
      <c r="E41" s="134"/>
      <c r="F41" s="134">
        <v>6</v>
      </c>
      <c r="G41" s="134">
        <v>6</v>
      </c>
      <c r="H41" s="134"/>
      <c r="I41" s="134"/>
      <c r="J41" s="134"/>
      <c r="K41" s="134">
        <v>10</v>
      </c>
      <c r="L41" s="134"/>
      <c r="M41" s="134"/>
      <c r="N41" s="134">
        <v>11</v>
      </c>
      <c r="O41" s="134"/>
      <c r="P41" s="105">
        <f>SUM(D41:O41)</f>
        <v>33</v>
      </c>
      <c r="Q41" s="100"/>
      <c r="R41" s="100"/>
      <c r="S41" s="100"/>
      <c r="U41" s="67">
        <v>123</v>
      </c>
    </row>
    <row r="42" spans="1:21" ht="14.4" x14ac:dyDescent="0.35">
      <c r="A42" s="188"/>
      <c r="B42" s="135"/>
      <c r="C42" s="135" t="s">
        <v>44</v>
      </c>
      <c r="D42" s="136"/>
      <c r="E42" s="136"/>
      <c r="F42" s="136">
        <v>12</v>
      </c>
      <c r="G42" s="136">
        <v>6</v>
      </c>
      <c r="H42" s="136"/>
      <c r="I42" s="136"/>
      <c r="J42" s="136"/>
      <c r="K42" s="136">
        <v>20</v>
      </c>
      <c r="L42" s="136"/>
      <c r="M42" s="136"/>
      <c r="N42" s="136">
        <v>19</v>
      </c>
      <c r="O42" s="136"/>
      <c r="P42" s="106">
        <f>SUM(D42:O42)</f>
        <v>57</v>
      </c>
      <c r="Q42" s="104"/>
      <c r="R42" s="103" t="e">
        <f>P42/$R$2</f>
        <v>#DIV/0!</v>
      </c>
      <c r="S42" s="103" t="e">
        <f>P42/$S$2</f>
        <v>#DIV/0!</v>
      </c>
      <c r="U42" s="67">
        <v>216</v>
      </c>
    </row>
  </sheetData>
  <autoFilter ref="A2:B42"/>
  <mergeCells count="11">
    <mergeCell ref="A18:A22"/>
    <mergeCell ref="A23:A27"/>
    <mergeCell ref="A28:A32"/>
    <mergeCell ref="A33:A37"/>
    <mergeCell ref="A38:A42"/>
    <mergeCell ref="A13:A17"/>
    <mergeCell ref="A1:T1"/>
    <mergeCell ref="A3:A7"/>
    <mergeCell ref="Q3:Q7"/>
    <mergeCell ref="R3:S5"/>
    <mergeCell ref="A8:A12"/>
  </mergeCells>
  <conditionalFormatting sqref="T2:XFD7 A2:P2 A3 D3:P7 S9:XFD12 Q9:Q12 Q8:XFD8 A43:XFD1048576 Q13:XFD42">
    <cfRule type="cellIs" dxfId="284" priority="40" operator="equal">
      <formula>0</formula>
    </cfRule>
  </conditionalFormatting>
  <conditionalFormatting sqref="Q3:S7">
    <cfRule type="cellIs" dxfId="283" priority="39" operator="equal">
      <formula>0</formula>
    </cfRule>
  </conditionalFormatting>
  <conditionalFormatting sqref="Q2:S2">
    <cfRule type="cellIs" dxfId="282" priority="38" operator="equal">
      <formula>0</formula>
    </cfRule>
  </conditionalFormatting>
  <conditionalFormatting sqref="B3:C7">
    <cfRule type="cellIs" dxfId="281" priority="37" operator="equal">
      <formula>0</formula>
    </cfRule>
  </conditionalFormatting>
  <conditionalFormatting sqref="A38:C38 B39:C42 P38:P42 E41:I42 E38:I38">
    <cfRule type="cellIs" dxfId="280" priority="36" operator="equal">
      <formula>0</formula>
    </cfRule>
  </conditionalFormatting>
  <conditionalFormatting sqref="A8:C8 B9:C12 P8:P12 E11:I12 E8:I8">
    <cfRule type="cellIs" dxfId="279" priority="35" operator="equal">
      <formula>0</formula>
    </cfRule>
  </conditionalFormatting>
  <conditionalFormatting sqref="A13:C13 B14:C17 P13:P17 E16:I17 E13:I13">
    <cfRule type="cellIs" dxfId="278" priority="34" operator="equal">
      <formula>0</formula>
    </cfRule>
  </conditionalFormatting>
  <conditionalFormatting sqref="A18:C18 B19:C22 P18:P22 E21:I22 E18:I18">
    <cfRule type="cellIs" dxfId="277" priority="33" operator="equal">
      <formula>0</formula>
    </cfRule>
  </conditionalFormatting>
  <conditionalFormatting sqref="A23:C23 B24:C27 P23:P27 E26:I27 E23:I23">
    <cfRule type="cellIs" dxfId="276" priority="32" operator="equal">
      <formula>0</formula>
    </cfRule>
  </conditionalFormatting>
  <conditionalFormatting sqref="A28:C28 B29:C32 P28:P32 E31:I32 E28:I28">
    <cfRule type="cellIs" dxfId="275" priority="31" operator="equal">
      <formula>0</formula>
    </cfRule>
  </conditionalFormatting>
  <conditionalFormatting sqref="A33:C33 B34:C37 P33:P37 E36:I37 E33:I33">
    <cfRule type="cellIs" dxfId="274" priority="30" operator="equal">
      <formula>0</formula>
    </cfRule>
  </conditionalFormatting>
  <conditionalFormatting sqref="U1:XFD1 A1">
    <cfRule type="cellIs" dxfId="273" priority="29" operator="equal">
      <formula>0</formula>
    </cfRule>
  </conditionalFormatting>
  <conditionalFormatting sqref="E9:I10">
    <cfRule type="cellIs" dxfId="272" priority="28" operator="equal">
      <formula>0</formula>
    </cfRule>
  </conditionalFormatting>
  <conditionalFormatting sqref="E14:I15">
    <cfRule type="cellIs" dxfId="271" priority="27" operator="equal">
      <formula>0</formula>
    </cfRule>
  </conditionalFormatting>
  <conditionalFormatting sqref="E19:I20">
    <cfRule type="cellIs" dxfId="270" priority="26" operator="equal">
      <formula>0</formula>
    </cfRule>
  </conditionalFormatting>
  <conditionalFormatting sqref="E24:I25">
    <cfRule type="cellIs" dxfId="269" priority="25" operator="equal">
      <formula>0</formula>
    </cfRule>
  </conditionalFormatting>
  <conditionalFormatting sqref="E29:I30">
    <cfRule type="cellIs" dxfId="268" priority="24" operator="equal">
      <formula>0</formula>
    </cfRule>
  </conditionalFormatting>
  <conditionalFormatting sqref="E34:I35">
    <cfRule type="cellIs" dxfId="267" priority="23" operator="equal">
      <formula>0</formula>
    </cfRule>
  </conditionalFormatting>
  <conditionalFormatting sqref="E39:I40">
    <cfRule type="cellIs" dxfId="266" priority="22" operator="equal">
      <formula>0</formula>
    </cfRule>
  </conditionalFormatting>
  <conditionalFormatting sqref="J38:O38 J41:O42">
    <cfRule type="cellIs" dxfId="265" priority="21" operator="equal">
      <formula>0</formula>
    </cfRule>
  </conditionalFormatting>
  <conditionalFormatting sqref="J8:O8 J11:O12">
    <cfRule type="cellIs" dxfId="264" priority="20" operator="equal">
      <formula>0</formula>
    </cfRule>
  </conditionalFormatting>
  <conditionalFormatting sqref="J13:O13 J16:O17">
    <cfRule type="cellIs" dxfId="263" priority="19" operator="equal">
      <formula>0</formula>
    </cfRule>
  </conditionalFormatting>
  <conditionalFormatting sqref="J18:O18 J21:O22">
    <cfRule type="cellIs" dxfId="262" priority="18" operator="equal">
      <formula>0</formula>
    </cfRule>
  </conditionalFormatting>
  <conditionalFormatting sqref="J23:O23 J26:O27">
    <cfRule type="cellIs" dxfId="261" priority="17" operator="equal">
      <formula>0</formula>
    </cfRule>
  </conditionalFormatting>
  <conditionalFormatting sqref="J28:O28 J31:O32">
    <cfRule type="cellIs" dxfId="260" priority="16" operator="equal">
      <formula>0</formula>
    </cfRule>
  </conditionalFormatting>
  <conditionalFormatting sqref="J33:O33 J36:O37">
    <cfRule type="cellIs" dxfId="259" priority="15" operator="equal">
      <formula>0</formula>
    </cfRule>
  </conditionalFormatting>
  <conditionalFormatting sqref="J9:O10">
    <cfRule type="cellIs" dxfId="258" priority="14" operator="equal">
      <formula>0</formula>
    </cfRule>
  </conditionalFormatting>
  <conditionalFormatting sqref="J14:O15">
    <cfRule type="cellIs" dxfId="257" priority="13" operator="equal">
      <formula>0</formula>
    </cfRule>
  </conditionalFormatting>
  <conditionalFormatting sqref="J19:O20">
    <cfRule type="cellIs" dxfId="256" priority="12" operator="equal">
      <formula>0</formula>
    </cfRule>
  </conditionalFormatting>
  <conditionalFormatting sqref="J24:O25">
    <cfRule type="cellIs" dxfId="255" priority="11" operator="equal">
      <formula>0</formula>
    </cfRule>
  </conditionalFormatting>
  <conditionalFormatting sqref="J29:O30">
    <cfRule type="cellIs" dxfId="254" priority="10" operator="equal">
      <formula>0</formula>
    </cfRule>
  </conditionalFormatting>
  <conditionalFormatting sqref="J34:O35">
    <cfRule type="cellIs" dxfId="253" priority="9" operator="equal">
      <formula>0</formula>
    </cfRule>
  </conditionalFormatting>
  <conditionalFormatting sqref="J39:O40">
    <cfRule type="cellIs" dxfId="252" priority="8" operator="equal">
      <formula>0</formula>
    </cfRule>
  </conditionalFormatting>
  <conditionalFormatting sqref="D38:D42">
    <cfRule type="cellIs" dxfId="251" priority="7" operator="equal">
      <formula>0</formula>
    </cfRule>
  </conditionalFormatting>
  <conditionalFormatting sqref="D8:D12">
    <cfRule type="cellIs" dxfId="250" priority="6" operator="equal">
      <formula>0</formula>
    </cfRule>
  </conditionalFormatting>
  <conditionalFormatting sqref="D13:D17">
    <cfRule type="cellIs" dxfId="249" priority="5" operator="equal">
      <formula>0</formula>
    </cfRule>
  </conditionalFormatting>
  <conditionalFormatting sqref="D18:D22">
    <cfRule type="cellIs" dxfId="248" priority="4" operator="equal">
      <formula>0</formula>
    </cfRule>
  </conditionalFormatting>
  <conditionalFormatting sqref="D23:D27">
    <cfRule type="cellIs" dxfId="247" priority="3" operator="equal">
      <formula>0</formula>
    </cfRule>
  </conditionalFormatting>
  <conditionalFormatting sqref="D28:D32">
    <cfRule type="cellIs" dxfId="246" priority="2" operator="equal">
      <formula>0</formula>
    </cfRule>
  </conditionalFormatting>
  <conditionalFormatting sqref="D33:D37">
    <cfRule type="cellIs" dxfId="24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2"/>
  <sheetViews>
    <sheetView showGridLines="0" zoomScaleNormal="100" workbookViewId="0">
      <pane xSplit="1" ySplit="7" topLeftCell="B20" activePane="bottomRight" state="frozen"/>
      <selection pane="topRight" activeCell="B1" sqref="B1"/>
      <selection pane="bottomLeft" activeCell="A7" sqref="A7"/>
      <selection pane="bottomRight" sqref="A1:T1"/>
    </sheetView>
  </sheetViews>
  <sheetFormatPr defaultColWidth="9.109375" defaultRowHeight="13.8" x14ac:dyDescent="0.3"/>
  <cols>
    <col min="1" max="1" width="15.88671875" style="116" customWidth="1"/>
    <col min="2" max="2" width="7.44140625" style="114" bestFit="1" customWidth="1"/>
    <col min="3" max="3" width="11.5546875" style="114" customWidth="1"/>
    <col min="4" max="4" width="9" style="3" customWidth="1"/>
    <col min="5" max="5" width="9.44140625" style="3" customWidth="1"/>
    <col min="6" max="6" width="8.44140625" style="3" customWidth="1"/>
    <col min="7" max="7" width="9.5546875" style="3" customWidth="1"/>
    <col min="8" max="9" width="7.44140625" style="3" customWidth="1"/>
    <col min="10" max="10" width="10.33203125" style="3" customWidth="1"/>
    <col min="11" max="11" width="12.33203125" style="3" customWidth="1"/>
    <col min="12" max="12" width="10" style="3" customWidth="1"/>
    <col min="13" max="13" width="10.33203125" style="3" customWidth="1"/>
    <col min="14" max="14" width="9.44140625" style="3" customWidth="1"/>
    <col min="15" max="15" width="8.6640625" style="3" customWidth="1"/>
    <col min="16" max="16" width="11.109375" style="115" customWidth="1"/>
    <col min="17" max="17" width="4.33203125" style="113" bestFit="1" customWidth="1"/>
    <col min="18" max="19" width="7" style="113" customWidth="1"/>
    <col min="20" max="16384" width="9.109375" style="113"/>
  </cols>
  <sheetData>
    <row r="1" spans="1:25" s="126" customFormat="1" ht="18" x14ac:dyDescent="0.25">
      <c r="A1" s="189">
        <v>2019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  <c r="U1" s="108"/>
      <c r="V1" s="109"/>
      <c r="W1" s="110"/>
      <c r="X1" s="111"/>
      <c r="Y1" s="112"/>
    </row>
    <row r="2" spans="1:25" x14ac:dyDescent="0.25">
      <c r="A2" s="127"/>
      <c r="B2" s="127"/>
      <c r="C2" s="127"/>
      <c r="D2" s="127" t="s">
        <v>14</v>
      </c>
      <c r="E2" s="127" t="s">
        <v>15</v>
      </c>
      <c r="F2" s="127" t="s">
        <v>16</v>
      </c>
      <c r="G2" s="127" t="s">
        <v>17</v>
      </c>
      <c r="H2" s="127" t="s">
        <v>6</v>
      </c>
      <c r="I2" s="127" t="s">
        <v>7</v>
      </c>
      <c r="J2" s="127" t="s">
        <v>8</v>
      </c>
      <c r="K2" s="127" t="s">
        <v>9</v>
      </c>
      <c r="L2" s="127" t="s">
        <v>10</v>
      </c>
      <c r="M2" s="127" t="s">
        <v>11</v>
      </c>
      <c r="N2" s="127" t="s">
        <v>12</v>
      </c>
      <c r="O2" s="127" t="s">
        <v>13</v>
      </c>
      <c r="P2" s="127" t="s">
        <v>18</v>
      </c>
      <c r="Q2" s="127"/>
      <c r="R2" s="127"/>
      <c r="S2" s="127"/>
    </row>
    <row r="3" spans="1:25" s="126" customFormat="1" x14ac:dyDescent="0.25">
      <c r="A3" s="197" t="s">
        <v>34</v>
      </c>
      <c r="B3" s="117" t="s">
        <v>33</v>
      </c>
      <c r="C3" s="117" t="s">
        <v>18</v>
      </c>
      <c r="D3" s="118">
        <f>D8+D13+D18+D23+D33+D38</f>
        <v>36459.34782608696</v>
      </c>
      <c r="E3" s="118">
        <f>E8+E13+E18+E23+E33+E38</f>
        <v>7571.6481589285713</v>
      </c>
      <c r="F3" s="118">
        <f>F8+F13+F18+F23+F33+F38</f>
        <v>880.83928571428567</v>
      </c>
      <c r="G3" s="118">
        <f>G8+G13+G18+G23+G33+G38</f>
        <v>6627.2533035714296</v>
      </c>
      <c r="H3" s="118"/>
      <c r="I3" s="118">
        <f t="shared" ref="I3:P3" si="0">I8+I13+I18+I23+I33+I38</f>
        <v>2083.5716071428569</v>
      </c>
      <c r="J3" s="118">
        <f t="shared" si="0"/>
        <v>10930.692767857143</v>
      </c>
      <c r="K3" s="118">
        <f t="shared" si="0"/>
        <v>18706</v>
      </c>
      <c r="L3" s="118">
        <f t="shared" si="0"/>
        <v>15711</v>
      </c>
      <c r="M3" s="118">
        <f t="shared" si="0"/>
        <v>20607</v>
      </c>
      <c r="N3" s="118">
        <f t="shared" si="0"/>
        <v>12029.897321428571</v>
      </c>
      <c r="O3" s="118">
        <f t="shared" si="0"/>
        <v>17385</v>
      </c>
      <c r="P3" s="121">
        <f t="shared" si="0"/>
        <v>148992.2502707298</v>
      </c>
      <c r="Q3" s="192" t="s">
        <v>20</v>
      </c>
      <c r="R3" s="193" t="s">
        <v>19</v>
      </c>
      <c r="S3" s="193"/>
    </row>
    <row r="4" spans="1:25" x14ac:dyDescent="0.25">
      <c r="A4" s="198"/>
      <c r="B4" s="123"/>
      <c r="C4" s="123" t="s">
        <v>40</v>
      </c>
      <c r="D4" s="124">
        <f t="shared" ref="D4:G4" si="1">IF(D3=0,0,(D3/D6))</f>
        <v>144.10809417425676</v>
      </c>
      <c r="E4" s="124">
        <f t="shared" si="1"/>
        <v>148.46368939075629</v>
      </c>
      <c r="F4" s="124">
        <f t="shared" si="1"/>
        <v>220.20982142857142</v>
      </c>
      <c r="G4" s="124">
        <f t="shared" si="1"/>
        <v>98.914228411513875</v>
      </c>
      <c r="H4" s="124"/>
      <c r="I4" s="124">
        <f t="shared" ref="I4:P4" si="2">IF(I3=0,0,(I3/I6))</f>
        <v>115.75397817460316</v>
      </c>
      <c r="J4" s="124">
        <f t="shared" si="2"/>
        <v>160.7454818802521</v>
      </c>
      <c r="K4" s="124">
        <f t="shared" si="2"/>
        <v>176.47169811320754</v>
      </c>
      <c r="L4" s="124">
        <f t="shared" si="2"/>
        <v>125.688</v>
      </c>
      <c r="M4" s="124">
        <f t="shared" si="2"/>
        <v>147.19285714285715</v>
      </c>
      <c r="N4" s="124">
        <f t="shared" si="2"/>
        <v>97.804043263646918</v>
      </c>
      <c r="O4" s="124">
        <f t="shared" si="2"/>
        <v>129.73880597014926</v>
      </c>
      <c r="P4" s="128">
        <f t="shared" si="2"/>
        <v>136.81565681426059</v>
      </c>
      <c r="Q4" s="192"/>
      <c r="R4" s="193"/>
      <c r="S4" s="193"/>
    </row>
    <row r="5" spans="1:25" x14ac:dyDescent="0.25">
      <c r="A5" s="198"/>
      <c r="B5" s="119"/>
      <c r="C5" s="119" t="s">
        <v>41</v>
      </c>
      <c r="D5" s="158">
        <f t="shared" ref="D5:G5" si="3">IF(D3=0,0,(D3/D7))</f>
        <v>76.595268542199491</v>
      </c>
      <c r="E5" s="158">
        <f t="shared" si="3"/>
        <v>77.261715907434407</v>
      </c>
      <c r="F5" s="158">
        <f t="shared" si="3"/>
        <v>110.10491071428571</v>
      </c>
      <c r="G5" s="158">
        <f t="shared" si="3"/>
        <v>48.729803702731097</v>
      </c>
      <c r="H5" s="158"/>
      <c r="I5" s="158">
        <f t="shared" ref="I5:P5" si="4">IF(I3=0,0,(I3/I7))</f>
        <v>53.424913003663001</v>
      </c>
      <c r="J5" s="158">
        <f t="shared" si="4"/>
        <v>81.572334088486144</v>
      </c>
      <c r="K5" s="158">
        <f t="shared" si="4"/>
        <v>92.603960396039611</v>
      </c>
      <c r="L5" s="158">
        <f t="shared" si="4"/>
        <v>76.266990291262132</v>
      </c>
      <c r="M5" s="158">
        <f t="shared" si="4"/>
        <v>88.064102564102569</v>
      </c>
      <c r="N5" s="158">
        <f t="shared" si="4"/>
        <v>50.334298416019124</v>
      </c>
      <c r="O5" s="158">
        <f t="shared" si="4"/>
        <v>62.535971223021583</v>
      </c>
      <c r="P5" s="154">
        <f t="shared" si="4"/>
        <v>72.679146473526728</v>
      </c>
      <c r="Q5" s="192"/>
      <c r="R5" s="193"/>
      <c r="S5" s="193"/>
    </row>
    <row r="6" spans="1:25" ht="13.2" customHeight="1" x14ac:dyDescent="0.25">
      <c r="A6" s="198"/>
      <c r="B6" s="123" t="s">
        <v>42</v>
      </c>
      <c r="C6" s="123" t="s">
        <v>43</v>
      </c>
      <c r="D6" s="81">
        <f t="shared" ref="D6:G7" si="5">D11+D16+D21+D26+D36+D41</f>
        <v>253</v>
      </c>
      <c r="E6" s="81">
        <f t="shared" si="5"/>
        <v>51</v>
      </c>
      <c r="F6" s="81">
        <f t="shared" si="5"/>
        <v>4</v>
      </c>
      <c r="G6" s="81">
        <f t="shared" si="5"/>
        <v>67</v>
      </c>
      <c r="H6" s="81">
        <f t="shared" ref="H6:P7" si="6">H11+H16+H21+H26+H36+H41</f>
        <v>0</v>
      </c>
      <c r="I6" s="81">
        <f t="shared" si="6"/>
        <v>18</v>
      </c>
      <c r="J6" s="81">
        <f t="shared" si="6"/>
        <v>68</v>
      </c>
      <c r="K6" s="81">
        <f t="shared" si="6"/>
        <v>106</v>
      </c>
      <c r="L6" s="81">
        <f t="shared" si="6"/>
        <v>125</v>
      </c>
      <c r="M6" s="81">
        <f t="shared" si="6"/>
        <v>140</v>
      </c>
      <c r="N6" s="81">
        <f t="shared" si="6"/>
        <v>123</v>
      </c>
      <c r="O6" s="81">
        <f t="shared" si="6"/>
        <v>134</v>
      </c>
      <c r="P6" s="88">
        <f t="shared" si="6"/>
        <v>1089</v>
      </c>
      <c r="Q6" s="192"/>
      <c r="R6" s="62">
        <f>P6/$R$7</f>
        <v>155.57142857142858</v>
      </c>
      <c r="S6" s="62">
        <f>P6/$S$7</f>
        <v>121</v>
      </c>
    </row>
    <row r="7" spans="1:25" x14ac:dyDescent="0.25">
      <c r="A7" s="199"/>
      <c r="B7" s="119"/>
      <c r="C7" s="119" t="s">
        <v>44</v>
      </c>
      <c r="D7" s="82">
        <f t="shared" si="5"/>
        <v>476</v>
      </c>
      <c r="E7" s="82">
        <f t="shared" si="5"/>
        <v>98</v>
      </c>
      <c r="F7" s="82">
        <f t="shared" si="5"/>
        <v>8</v>
      </c>
      <c r="G7" s="82">
        <f t="shared" si="5"/>
        <v>136</v>
      </c>
      <c r="H7" s="82">
        <f t="shared" si="6"/>
        <v>0</v>
      </c>
      <c r="I7" s="82">
        <f t="shared" si="6"/>
        <v>39</v>
      </c>
      <c r="J7" s="82">
        <f t="shared" si="6"/>
        <v>134</v>
      </c>
      <c r="K7" s="82">
        <f t="shared" si="6"/>
        <v>202</v>
      </c>
      <c r="L7" s="82">
        <f t="shared" si="6"/>
        <v>206</v>
      </c>
      <c r="M7" s="82">
        <f t="shared" si="6"/>
        <v>234</v>
      </c>
      <c r="N7" s="82">
        <f t="shared" si="6"/>
        <v>239</v>
      </c>
      <c r="O7" s="82">
        <f t="shared" si="6"/>
        <v>278</v>
      </c>
      <c r="P7" s="125">
        <f t="shared" si="6"/>
        <v>2050</v>
      </c>
      <c r="Q7" s="192"/>
      <c r="R7" s="166">
        <v>7</v>
      </c>
      <c r="S7" s="166">
        <v>9</v>
      </c>
    </row>
    <row r="8" spans="1:25" ht="12.75" customHeight="1" x14ac:dyDescent="0.25">
      <c r="A8" s="188" t="s">
        <v>27</v>
      </c>
      <c r="B8" s="129" t="s">
        <v>33</v>
      </c>
      <c r="C8" s="129" t="s">
        <v>18</v>
      </c>
      <c r="D8" s="130">
        <v>0</v>
      </c>
      <c r="E8" s="130">
        <v>2644.1749446428571</v>
      </c>
      <c r="F8" s="130">
        <v>880.83928571428567</v>
      </c>
      <c r="G8" s="130">
        <v>0</v>
      </c>
      <c r="H8" s="130">
        <v>0</v>
      </c>
      <c r="I8" s="130">
        <v>0</v>
      </c>
      <c r="J8" s="130">
        <f>153517.59/112</f>
        <v>1370.6927678571428</v>
      </c>
      <c r="K8" s="130">
        <v>685</v>
      </c>
      <c r="L8" s="130">
        <v>549</v>
      </c>
      <c r="M8" s="130">
        <v>4476</v>
      </c>
      <c r="N8" s="130"/>
      <c r="O8" s="130"/>
      <c r="P8" s="47">
        <f>SUM(D8:O8)</f>
        <v>10605.706998214286</v>
      </c>
      <c r="Q8" s="99">
        <f>P8/$P$3</f>
        <v>7.1182943937976251E-2</v>
      </c>
      <c r="R8" s="85" t="e">
        <f>P12/$R$2</f>
        <v>#DIV/0!</v>
      </c>
      <c r="S8" s="100"/>
      <c r="U8" s="66"/>
    </row>
    <row r="9" spans="1:25" ht="14.4" x14ac:dyDescent="0.25">
      <c r="A9" s="188"/>
      <c r="B9" s="131"/>
      <c r="C9" s="131" t="s">
        <v>40</v>
      </c>
      <c r="D9" s="122">
        <f>IF(D8=0,0,(D8/D11))</f>
        <v>0</v>
      </c>
      <c r="E9" s="122">
        <f t="shared" ref="E9:G9" si="7">IF(E8=0,0,(E8/E11))</f>
        <v>176.27832964285713</v>
      </c>
      <c r="F9" s="122">
        <f t="shared" si="7"/>
        <v>220.20982142857142</v>
      </c>
      <c r="G9" s="122">
        <f t="shared" si="7"/>
        <v>0</v>
      </c>
      <c r="H9" s="122">
        <f t="shared" ref="H9:P9" si="8">IF(H8=0,0,(H8/H11))</f>
        <v>0</v>
      </c>
      <c r="I9" s="122">
        <f t="shared" si="8"/>
        <v>0</v>
      </c>
      <c r="J9" s="122">
        <f t="shared" si="8"/>
        <v>195.81325255102041</v>
      </c>
      <c r="K9" s="122">
        <f t="shared" si="8"/>
        <v>171.25</v>
      </c>
      <c r="L9" s="122">
        <f t="shared" si="8"/>
        <v>137.25</v>
      </c>
      <c r="M9" s="122">
        <f t="shared" si="8"/>
        <v>124.33333333333333</v>
      </c>
      <c r="N9" s="122">
        <f t="shared" si="8"/>
        <v>0</v>
      </c>
      <c r="O9" s="122">
        <f t="shared" si="8"/>
        <v>0</v>
      </c>
      <c r="P9" s="97">
        <f t="shared" si="8"/>
        <v>151.5100999744898</v>
      </c>
      <c r="Q9" s="101"/>
      <c r="R9" s="86"/>
      <c r="S9" s="79"/>
      <c r="U9" s="66"/>
    </row>
    <row r="10" spans="1:25" ht="14.4" x14ac:dyDescent="0.25">
      <c r="A10" s="188"/>
      <c r="B10" s="132"/>
      <c r="C10" s="132" t="s">
        <v>41</v>
      </c>
      <c r="D10" s="133">
        <f t="shared" ref="D10" si="9">IF(D8=0,0,(D8/D12))</f>
        <v>0</v>
      </c>
      <c r="E10" s="133">
        <f t="shared" ref="E10:G10" si="10">IF(E8=0,0,(E8/E12))</f>
        <v>97.932405357142855</v>
      </c>
      <c r="F10" s="133">
        <f t="shared" si="10"/>
        <v>110.10491071428571</v>
      </c>
      <c r="G10" s="133">
        <f t="shared" si="10"/>
        <v>0</v>
      </c>
      <c r="H10" s="133">
        <f t="shared" ref="H10:P10" si="11">IF(H8=0,0,(H8/H12))</f>
        <v>0</v>
      </c>
      <c r="I10" s="133">
        <f t="shared" si="11"/>
        <v>0</v>
      </c>
      <c r="J10" s="133">
        <f t="shared" si="11"/>
        <v>152.29919642857143</v>
      </c>
      <c r="K10" s="133">
        <f t="shared" si="11"/>
        <v>85.625</v>
      </c>
      <c r="L10" s="133">
        <f t="shared" si="11"/>
        <v>68.625</v>
      </c>
      <c r="M10" s="133">
        <f t="shared" si="11"/>
        <v>87.764705882352942</v>
      </c>
      <c r="N10" s="133">
        <f t="shared" si="11"/>
        <v>0</v>
      </c>
      <c r="O10" s="133">
        <f t="shared" si="11"/>
        <v>0</v>
      </c>
      <c r="P10" s="98">
        <f t="shared" si="11"/>
        <v>95.546909893822388</v>
      </c>
      <c r="Q10" s="102"/>
      <c r="R10" s="103"/>
      <c r="S10" s="104"/>
      <c r="U10" s="66"/>
    </row>
    <row r="11" spans="1:25" ht="14.4" x14ac:dyDescent="0.25">
      <c r="A11" s="188"/>
      <c r="B11" s="129" t="s">
        <v>42</v>
      </c>
      <c r="C11" s="129" t="s">
        <v>43</v>
      </c>
      <c r="D11" s="134">
        <v>0</v>
      </c>
      <c r="E11" s="134">
        <v>15</v>
      </c>
      <c r="F11" s="134">
        <v>4</v>
      </c>
      <c r="G11" s="134"/>
      <c r="H11" s="134">
        <v>0</v>
      </c>
      <c r="I11" s="134">
        <v>0</v>
      </c>
      <c r="J11" s="134">
        <v>7</v>
      </c>
      <c r="K11" s="134">
        <v>4</v>
      </c>
      <c r="L11" s="134">
        <v>4</v>
      </c>
      <c r="M11" s="134">
        <v>36</v>
      </c>
      <c r="N11" s="134"/>
      <c r="O11" s="134"/>
      <c r="P11" s="105">
        <f>SUM(D11:O11)</f>
        <v>70</v>
      </c>
      <c r="Q11" s="100"/>
      <c r="R11" s="85"/>
      <c r="S11" s="100"/>
      <c r="U11" s="65"/>
    </row>
    <row r="12" spans="1:25" ht="14.4" x14ac:dyDescent="0.25">
      <c r="A12" s="188"/>
      <c r="B12" s="135"/>
      <c r="C12" s="135" t="s">
        <v>44</v>
      </c>
      <c r="D12" s="136">
        <v>0</v>
      </c>
      <c r="E12" s="136">
        <v>27</v>
      </c>
      <c r="F12" s="136">
        <v>8</v>
      </c>
      <c r="G12" s="136"/>
      <c r="H12" s="136">
        <v>0</v>
      </c>
      <c r="I12" s="136">
        <v>0</v>
      </c>
      <c r="J12" s="136">
        <v>9</v>
      </c>
      <c r="K12" s="136">
        <v>8</v>
      </c>
      <c r="L12" s="136">
        <v>8</v>
      </c>
      <c r="M12" s="136">
        <v>51</v>
      </c>
      <c r="N12" s="136"/>
      <c r="O12" s="136"/>
      <c r="P12" s="106">
        <f>SUM(D12:O12)</f>
        <v>111</v>
      </c>
      <c r="Q12" s="79"/>
      <c r="R12" s="86"/>
      <c r="S12" s="86" t="e">
        <f>P12/$S$2</f>
        <v>#DIV/0!</v>
      </c>
      <c r="U12" s="65"/>
    </row>
    <row r="13" spans="1:25" ht="14.4" x14ac:dyDescent="0.35">
      <c r="A13" s="188" t="s">
        <v>23</v>
      </c>
      <c r="B13" s="129" t="s">
        <v>33</v>
      </c>
      <c r="C13" s="129" t="s">
        <v>18</v>
      </c>
      <c r="D13" s="130">
        <v>9355</v>
      </c>
      <c r="E13" s="130">
        <v>1793.0178571428571</v>
      </c>
      <c r="F13" s="130"/>
      <c r="G13" s="130">
        <v>3043.7597321428575</v>
      </c>
      <c r="H13" s="130">
        <v>0</v>
      </c>
      <c r="I13" s="130">
        <v>0</v>
      </c>
      <c r="J13" s="130">
        <v>2026</v>
      </c>
      <c r="K13" s="130">
        <v>5602</v>
      </c>
      <c r="L13" s="130">
        <v>4845</v>
      </c>
      <c r="M13" s="130">
        <v>3713</v>
      </c>
      <c r="N13" s="130">
        <v>3618</v>
      </c>
      <c r="O13" s="130">
        <v>10501</v>
      </c>
      <c r="P13" s="47">
        <f>SUM(D13:O13)</f>
        <v>44496.777589285717</v>
      </c>
      <c r="Q13" s="99">
        <f>P13/$P$3</f>
        <v>0.2986516245538397</v>
      </c>
      <c r="R13" s="100"/>
      <c r="S13" s="100"/>
      <c r="U13" s="68"/>
    </row>
    <row r="14" spans="1:25" ht="14.4" x14ac:dyDescent="0.35">
      <c r="A14" s="188"/>
      <c r="B14" s="131"/>
      <c r="C14" s="131" t="s">
        <v>40</v>
      </c>
      <c r="D14" s="122">
        <f t="shared" ref="D14" si="12">IF(D13=0,0,(D13/D16))</f>
        <v>111.36904761904762</v>
      </c>
      <c r="E14" s="122">
        <f t="shared" ref="E14:G14" si="13">IF(E13=0,0,(E13/E16))</f>
        <v>105.47163865546219</v>
      </c>
      <c r="F14" s="122">
        <f t="shared" si="13"/>
        <v>0</v>
      </c>
      <c r="G14" s="122">
        <f t="shared" si="13"/>
        <v>95.117491629464297</v>
      </c>
      <c r="H14" s="122">
        <f t="shared" ref="H14:P14" si="14">IF(H13=0,0,(H13/H16))</f>
        <v>0</v>
      </c>
      <c r="I14" s="122">
        <f t="shared" si="14"/>
        <v>0</v>
      </c>
      <c r="J14" s="122">
        <f t="shared" si="14"/>
        <v>225.11111111111111</v>
      </c>
      <c r="K14" s="122">
        <f t="shared" si="14"/>
        <v>160.05714285714285</v>
      </c>
      <c r="L14" s="122">
        <f t="shared" si="14"/>
        <v>98.877551020408163</v>
      </c>
      <c r="M14" s="122">
        <f t="shared" si="14"/>
        <v>109.20588235294117</v>
      </c>
      <c r="N14" s="122">
        <f t="shared" si="14"/>
        <v>84.139534883720927</v>
      </c>
      <c r="O14" s="122">
        <f t="shared" si="14"/>
        <v>126.51807228915662</v>
      </c>
      <c r="P14" s="97">
        <f t="shared" si="14"/>
        <v>115.27662587897854</v>
      </c>
      <c r="Q14" s="101"/>
      <c r="R14" s="79"/>
      <c r="S14" s="79"/>
      <c r="U14" s="68"/>
    </row>
    <row r="15" spans="1:25" ht="14.4" x14ac:dyDescent="0.35">
      <c r="A15" s="188"/>
      <c r="B15" s="132"/>
      <c r="C15" s="132" t="s">
        <v>41</v>
      </c>
      <c r="D15" s="133">
        <f t="shared" ref="D15" si="15">IF(D13=0,0,(D13/D17))</f>
        <v>59.585987261146499</v>
      </c>
      <c r="E15" s="133">
        <f t="shared" ref="E15:G15" si="16">IF(E13=0,0,(E13/E17))</f>
        <v>57.839285714285715</v>
      </c>
      <c r="F15" s="133">
        <f t="shared" si="16"/>
        <v>0</v>
      </c>
      <c r="G15" s="133">
        <f t="shared" si="16"/>
        <v>47.558745814732148</v>
      </c>
      <c r="H15" s="133">
        <f t="shared" ref="H15:P15" si="17">IF(H13=0,0,(H13/H17))</f>
        <v>0</v>
      </c>
      <c r="I15" s="133">
        <f t="shared" si="17"/>
        <v>0</v>
      </c>
      <c r="J15" s="133">
        <f t="shared" si="17"/>
        <v>126.625</v>
      </c>
      <c r="K15" s="133">
        <f t="shared" si="17"/>
        <v>96.58620689655173</v>
      </c>
      <c r="L15" s="133">
        <f t="shared" si="17"/>
        <v>58.373493975903614</v>
      </c>
      <c r="M15" s="133">
        <f t="shared" si="17"/>
        <v>64.017241379310349</v>
      </c>
      <c r="N15" s="133">
        <f t="shared" si="17"/>
        <v>43.071428571428569</v>
      </c>
      <c r="O15" s="133">
        <f t="shared" si="17"/>
        <v>52.505000000000003</v>
      </c>
      <c r="P15" s="98">
        <f t="shared" si="17"/>
        <v>59.250036736731978</v>
      </c>
      <c r="Q15" s="102"/>
      <c r="R15" s="104"/>
      <c r="S15" s="104"/>
      <c r="U15" s="68"/>
    </row>
    <row r="16" spans="1:25" ht="14.4" x14ac:dyDescent="0.35">
      <c r="A16" s="188"/>
      <c r="B16" s="129" t="s">
        <v>42</v>
      </c>
      <c r="C16" s="129" t="s">
        <v>43</v>
      </c>
      <c r="D16" s="134">
        <v>84</v>
      </c>
      <c r="E16" s="134">
        <v>17</v>
      </c>
      <c r="F16" s="134"/>
      <c r="G16" s="134">
        <v>32</v>
      </c>
      <c r="H16" s="134">
        <v>0</v>
      </c>
      <c r="I16" s="134">
        <v>0</v>
      </c>
      <c r="J16" s="134">
        <v>9</v>
      </c>
      <c r="K16" s="134">
        <v>35</v>
      </c>
      <c r="L16" s="134">
        <v>49</v>
      </c>
      <c r="M16" s="134">
        <v>34</v>
      </c>
      <c r="N16" s="134">
        <v>43</v>
      </c>
      <c r="O16" s="134">
        <v>83</v>
      </c>
      <c r="P16" s="105">
        <f>SUM(D16:O16)</f>
        <v>386</v>
      </c>
      <c r="Q16" s="100"/>
      <c r="R16" s="100"/>
      <c r="S16" s="100"/>
      <c r="U16" s="67"/>
    </row>
    <row r="17" spans="1:21" ht="14.4" x14ac:dyDescent="0.35">
      <c r="A17" s="188"/>
      <c r="B17" s="135"/>
      <c r="C17" s="135" t="s">
        <v>44</v>
      </c>
      <c r="D17" s="136">
        <v>157</v>
      </c>
      <c r="E17" s="136">
        <v>31</v>
      </c>
      <c r="F17" s="136"/>
      <c r="G17" s="136">
        <v>64</v>
      </c>
      <c r="H17" s="136">
        <v>0</v>
      </c>
      <c r="I17" s="136">
        <v>0</v>
      </c>
      <c r="J17" s="136">
        <v>16</v>
      </c>
      <c r="K17" s="136">
        <v>58</v>
      </c>
      <c r="L17" s="136">
        <v>83</v>
      </c>
      <c r="M17" s="136">
        <v>58</v>
      </c>
      <c r="N17" s="136">
        <v>84</v>
      </c>
      <c r="O17" s="136">
        <v>200</v>
      </c>
      <c r="P17" s="106">
        <f>SUM(D17:O17)</f>
        <v>751</v>
      </c>
      <c r="Q17" s="104"/>
      <c r="R17" s="103" t="e">
        <f>P17/$R$2</f>
        <v>#DIV/0!</v>
      </c>
      <c r="S17" s="103" t="e">
        <f>P17/$S$2</f>
        <v>#DIV/0!</v>
      </c>
      <c r="U17" s="67"/>
    </row>
    <row r="18" spans="1:21" ht="14.4" x14ac:dyDescent="0.35">
      <c r="A18" s="188" t="s">
        <v>24</v>
      </c>
      <c r="B18" s="129" t="s">
        <v>33</v>
      </c>
      <c r="C18" s="129" t="s">
        <v>18</v>
      </c>
      <c r="D18" s="130">
        <v>26543</v>
      </c>
      <c r="E18" s="130">
        <v>2694.8839285714284</v>
      </c>
      <c r="F18" s="130"/>
      <c r="G18" s="130">
        <v>3583.4935714285716</v>
      </c>
      <c r="H18" s="130">
        <v>0</v>
      </c>
      <c r="I18" s="130">
        <v>2083.5716071428569</v>
      </c>
      <c r="J18" s="130">
        <v>7534</v>
      </c>
      <c r="K18" s="130">
        <v>12419</v>
      </c>
      <c r="L18" s="130">
        <v>10317</v>
      </c>
      <c r="M18" s="130">
        <v>12418</v>
      </c>
      <c r="N18" s="130">
        <f>942132.5/112</f>
        <v>8411.8973214285706</v>
      </c>
      <c r="O18" s="130">
        <v>6884</v>
      </c>
      <c r="P18" s="47">
        <f>SUM(D18:O18)</f>
        <v>92888.846428571429</v>
      </c>
      <c r="Q18" s="99">
        <f>P18/$P$3</f>
        <v>0.62344750320762066</v>
      </c>
      <c r="R18" s="100"/>
      <c r="S18" s="100"/>
      <c r="U18" s="68"/>
    </row>
    <row r="19" spans="1:21" ht="14.4" x14ac:dyDescent="0.35">
      <c r="A19" s="188"/>
      <c r="B19" s="131"/>
      <c r="C19" s="131" t="s">
        <v>40</v>
      </c>
      <c r="D19" s="122">
        <f t="shared" ref="D19" si="18">IF(D18=0,0,(D18/D21))</f>
        <v>161.84756097560975</v>
      </c>
      <c r="E19" s="122">
        <f>IF(E18=0,0,(E18/E21))</f>
        <v>168.43024553571428</v>
      </c>
      <c r="F19" s="122">
        <f t="shared" ref="F19:G19" si="19">IF(F18=0,0,(F18/F21))</f>
        <v>0</v>
      </c>
      <c r="G19" s="122">
        <f t="shared" si="19"/>
        <v>102.38553061224491</v>
      </c>
      <c r="H19" s="122">
        <f t="shared" ref="H19:P19" si="20">IF(H18=0,0,(H18/H21))</f>
        <v>0</v>
      </c>
      <c r="I19" s="122">
        <f t="shared" si="20"/>
        <v>115.75397817460316</v>
      </c>
      <c r="J19" s="122">
        <f t="shared" si="20"/>
        <v>144.88461538461539</v>
      </c>
      <c r="K19" s="122">
        <f t="shared" si="20"/>
        <v>185.35820895522389</v>
      </c>
      <c r="L19" s="122">
        <f t="shared" si="20"/>
        <v>143.29166666666666</v>
      </c>
      <c r="M19" s="122">
        <f t="shared" si="20"/>
        <v>177.4</v>
      </c>
      <c r="N19" s="122">
        <f t="shared" si="20"/>
        <v>105.14871651785714</v>
      </c>
      <c r="O19" s="122">
        <f>IF(O18=0,0,(O18/O21))</f>
        <v>134.98039215686273</v>
      </c>
      <c r="P19" s="97">
        <f t="shared" si="20"/>
        <v>148.62215428571429</v>
      </c>
      <c r="Q19" s="101"/>
      <c r="R19" s="79"/>
      <c r="S19" s="79"/>
      <c r="U19" s="68"/>
    </row>
    <row r="20" spans="1:21" ht="14.4" x14ac:dyDescent="0.35">
      <c r="A20" s="188"/>
      <c r="B20" s="132"/>
      <c r="C20" s="132" t="s">
        <v>41</v>
      </c>
      <c r="D20" s="133">
        <f t="shared" ref="D20" si="21">IF(D18=0,0,(D18/D22))</f>
        <v>85.899676375404525</v>
      </c>
      <c r="E20" s="133">
        <f t="shared" ref="E20:G20" si="22">IF(E18=0,0,(E18/E22))</f>
        <v>84.215122767857139</v>
      </c>
      <c r="F20" s="133">
        <f t="shared" si="22"/>
        <v>0</v>
      </c>
      <c r="G20" s="133">
        <f t="shared" si="22"/>
        <v>49.770744047619047</v>
      </c>
      <c r="H20" s="133">
        <f t="shared" ref="H20:P20" si="23">IF(H18=0,0,(H18/H22))</f>
        <v>0</v>
      </c>
      <c r="I20" s="133">
        <f t="shared" si="23"/>
        <v>53.424913003663001</v>
      </c>
      <c r="J20" s="133">
        <f t="shared" si="23"/>
        <v>69.11926605504587</v>
      </c>
      <c r="K20" s="133">
        <f t="shared" si="23"/>
        <v>91.316176470588232</v>
      </c>
      <c r="L20" s="133">
        <f t="shared" si="23"/>
        <v>89.713043478260872</v>
      </c>
      <c r="M20" s="133">
        <f t="shared" si="23"/>
        <v>99.343999999999994</v>
      </c>
      <c r="N20" s="133">
        <f t="shared" si="23"/>
        <v>54.270305299539167</v>
      </c>
      <c r="O20" s="133">
        <f t="shared" si="23"/>
        <v>88.256410256410263</v>
      </c>
      <c r="P20" s="98">
        <f t="shared" si="23"/>
        <v>79.392176434676429</v>
      </c>
      <c r="Q20" s="102"/>
      <c r="R20" s="104"/>
      <c r="S20" s="104"/>
      <c r="U20" s="68"/>
    </row>
    <row r="21" spans="1:21" ht="14.4" x14ac:dyDescent="0.35">
      <c r="A21" s="188"/>
      <c r="B21" s="129" t="s">
        <v>42</v>
      </c>
      <c r="C21" s="129" t="s">
        <v>43</v>
      </c>
      <c r="D21" s="134">
        <v>164</v>
      </c>
      <c r="E21" s="134">
        <v>16</v>
      </c>
      <c r="F21" s="134"/>
      <c r="G21" s="134">
        <v>35</v>
      </c>
      <c r="H21" s="134">
        <v>0</v>
      </c>
      <c r="I21" s="134">
        <v>18</v>
      </c>
      <c r="J21" s="134">
        <v>52</v>
      </c>
      <c r="K21" s="134">
        <v>67</v>
      </c>
      <c r="L21" s="134">
        <v>72</v>
      </c>
      <c r="M21" s="134">
        <v>70</v>
      </c>
      <c r="N21" s="134">
        <v>80</v>
      </c>
      <c r="O21" s="134">
        <v>51</v>
      </c>
      <c r="P21" s="105">
        <f>SUM(D21:O21)</f>
        <v>625</v>
      </c>
      <c r="Q21" s="100"/>
      <c r="R21" s="100"/>
      <c r="S21" s="100"/>
      <c r="U21" s="67"/>
    </row>
    <row r="22" spans="1:21" ht="14.4" x14ac:dyDescent="0.35">
      <c r="A22" s="188"/>
      <c r="B22" s="135"/>
      <c r="C22" s="135" t="s">
        <v>44</v>
      </c>
      <c r="D22" s="136">
        <v>309</v>
      </c>
      <c r="E22" s="136">
        <v>32</v>
      </c>
      <c r="F22" s="136"/>
      <c r="G22" s="136">
        <v>72</v>
      </c>
      <c r="H22" s="136">
        <v>0</v>
      </c>
      <c r="I22" s="136">
        <v>39</v>
      </c>
      <c r="J22" s="136">
        <v>109</v>
      </c>
      <c r="K22" s="136">
        <v>136</v>
      </c>
      <c r="L22" s="136">
        <v>115</v>
      </c>
      <c r="M22" s="136">
        <v>125</v>
      </c>
      <c r="N22" s="136">
        <v>155</v>
      </c>
      <c r="O22" s="136">
        <v>78</v>
      </c>
      <c r="P22" s="106">
        <f>SUM(D22:O22)</f>
        <v>1170</v>
      </c>
      <c r="Q22" s="104"/>
      <c r="R22" s="103" t="e">
        <f>P22/$R$2</f>
        <v>#DIV/0!</v>
      </c>
      <c r="S22" s="103" t="e">
        <f>P22/$S$2</f>
        <v>#DIV/0!</v>
      </c>
      <c r="U22" s="67"/>
    </row>
    <row r="23" spans="1:21" ht="14.4" x14ac:dyDescent="0.35">
      <c r="A23" s="188" t="s">
        <v>31</v>
      </c>
      <c r="B23" s="129" t="s">
        <v>33</v>
      </c>
      <c r="C23" s="129" t="s">
        <v>18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0</v>
      </c>
      <c r="L23" s="130"/>
      <c r="M23" s="130"/>
      <c r="N23" s="130"/>
      <c r="O23" s="130"/>
      <c r="P23" s="47">
        <f>SUM(D23:O23)</f>
        <v>0</v>
      </c>
      <c r="Q23" s="99">
        <f>P23/$P$3</f>
        <v>0</v>
      </c>
      <c r="R23" s="100"/>
      <c r="S23" s="100"/>
      <c r="U23" s="68"/>
    </row>
    <row r="24" spans="1:21" ht="14.4" x14ac:dyDescent="0.35">
      <c r="A24" s="188"/>
      <c r="B24" s="131"/>
      <c r="C24" s="131" t="s">
        <v>40</v>
      </c>
      <c r="D24" s="122">
        <f t="shared" ref="D24" si="24">IF(D23=0,0,(D23/D26))</f>
        <v>0</v>
      </c>
      <c r="E24" s="122">
        <f t="shared" ref="E24:G24" si="25">IF(E23=0,0,(E23/E26))</f>
        <v>0</v>
      </c>
      <c r="F24" s="122">
        <f t="shared" si="25"/>
        <v>0</v>
      </c>
      <c r="G24" s="122">
        <f t="shared" si="25"/>
        <v>0</v>
      </c>
      <c r="H24" s="122">
        <f t="shared" ref="H24:P24" si="26">IF(H23=0,0,(H23/H26))</f>
        <v>0</v>
      </c>
      <c r="I24" s="122">
        <f t="shared" si="26"/>
        <v>0</v>
      </c>
      <c r="J24" s="122">
        <f t="shared" si="26"/>
        <v>0</v>
      </c>
      <c r="K24" s="122">
        <f t="shared" si="26"/>
        <v>0</v>
      </c>
      <c r="L24" s="122">
        <f t="shared" si="26"/>
        <v>0</v>
      </c>
      <c r="M24" s="122">
        <f t="shared" si="26"/>
        <v>0</v>
      </c>
      <c r="N24" s="122">
        <f t="shared" si="26"/>
        <v>0</v>
      </c>
      <c r="O24" s="122">
        <f t="shared" si="26"/>
        <v>0</v>
      </c>
      <c r="P24" s="97">
        <f t="shared" si="26"/>
        <v>0</v>
      </c>
      <c r="Q24" s="101"/>
      <c r="R24" s="79"/>
      <c r="S24" s="79"/>
      <c r="U24" s="68"/>
    </row>
    <row r="25" spans="1:21" ht="14.4" x14ac:dyDescent="0.35">
      <c r="A25" s="188"/>
      <c r="B25" s="132"/>
      <c r="C25" s="132" t="s">
        <v>41</v>
      </c>
      <c r="D25" s="133">
        <f t="shared" ref="D25" si="27">IF(D23=0,0,(D23/D27))</f>
        <v>0</v>
      </c>
      <c r="E25" s="133">
        <f t="shared" ref="E25:G25" si="28">IF(E23=0,0,(E23/E27))</f>
        <v>0</v>
      </c>
      <c r="F25" s="133">
        <f t="shared" si="28"/>
        <v>0</v>
      </c>
      <c r="G25" s="133">
        <f t="shared" si="28"/>
        <v>0</v>
      </c>
      <c r="H25" s="133">
        <f t="shared" ref="H25:P25" si="29">IF(H23=0,0,(H23/H27))</f>
        <v>0</v>
      </c>
      <c r="I25" s="133">
        <f t="shared" si="29"/>
        <v>0</v>
      </c>
      <c r="J25" s="133">
        <f t="shared" si="29"/>
        <v>0</v>
      </c>
      <c r="K25" s="133">
        <f t="shared" si="29"/>
        <v>0</v>
      </c>
      <c r="L25" s="133">
        <f t="shared" si="29"/>
        <v>0</v>
      </c>
      <c r="M25" s="133">
        <f t="shared" si="29"/>
        <v>0</v>
      </c>
      <c r="N25" s="133">
        <f t="shared" si="29"/>
        <v>0</v>
      </c>
      <c r="O25" s="133">
        <f t="shared" si="29"/>
        <v>0</v>
      </c>
      <c r="P25" s="98">
        <f t="shared" si="29"/>
        <v>0</v>
      </c>
      <c r="Q25" s="102"/>
      <c r="R25" s="104"/>
      <c r="S25" s="104"/>
      <c r="U25" s="68"/>
    </row>
    <row r="26" spans="1:21" ht="14.4" x14ac:dyDescent="0.35">
      <c r="A26" s="188"/>
      <c r="B26" s="129" t="s">
        <v>42</v>
      </c>
      <c r="C26" s="129" t="s">
        <v>43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/>
      <c r="M26" s="134"/>
      <c r="N26" s="134"/>
      <c r="O26" s="134"/>
      <c r="P26" s="105">
        <f>SUM(D26:O26)</f>
        <v>0</v>
      </c>
      <c r="Q26" s="100"/>
      <c r="R26" s="100"/>
      <c r="S26" s="100"/>
      <c r="U26" s="67"/>
    </row>
    <row r="27" spans="1:21" ht="14.4" x14ac:dyDescent="0.35">
      <c r="A27" s="188"/>
      <c r="B27" s="135"/>
      <c r="C27" s="135" t="s">
        <v>44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0</v>
      </c>
      <c r="L27" s="136"/>
      <c r="M27" s="136"/>
      <c r="N27" s="136"/>
      <c r="O27" s="136"/>
      <c r="P27" s="106">
        <f>SUM(D27:O27)</f>
        <v>0</v>
      </c>
      <c r="Q27" s="104"/>
      <c r="R27" s="103" t="e">
        <f>P27/$R$2</f>
        <v>#DIV/0!</v>
      </c>
      <c r="S27" s="103" t="e">
        <f>P27/$S$2</f>
        <v>#DIV/0!</v>
      </c>
      <c r="U27" s="67"/>
    </row>
    <row r="28" spans="1:21" ht="14.4" x14ac:dyDescent="0.35">
      <c r="A28" s="188" t="s">
        <v>26</v>
      </c>
      <c r="B28" s="129" t="s">
        <v>33</v>
      </c>
      <c r="C28" s="129" t="s">
        <v>18</v>
      </c>
      <c r="D28" s="130"/>
      <c r="E28" s="130"/>
      <c r="F28" s="130">
        <v>0</v>
      </c>
      <c r="G28" s="130"/>
      <c r="H28" s="130"/>
      <c r="I28" s="130"/>
      <c r="J28" s="130"/>
      <c r="K28" s="130"/>
      <c r="L28" s="130"/>
      <c r="M28" s="130"/>
      <c r="N28" s="130"/>
      <c r="O28" s="130"/>
      <c r="P28" s="47"/>
      <c r="Q28" s="99">
        <f>P28/$P$3</f>
        <v>0</v>
      </c>
      <c r="R28" s="100"/>
      <c r="S28" s="100"/>
      <c r="U28" s="68"/>
    </row>
    <row r="29" spans="1:21" ht="14.4" x14ac:dyDescent="0.35">
      <c r="A29" s="188"/>
      <c r="B29" s="131"/>
      <c r="C29" s="131" t="s">
        <v>40</v>
      </c>
      <c r="D29" s="122"/>
      <c r="E29" s="122">
        <f t="shared" ref="E29:G29" si="30">IF(E28=0,0,(E28/E31))</f>
        <v>0</v>
      </c>
      <c r="F29" s="122">
        <f t="shared" si="30"/>
        <v>0</v>
      </c>
      <c r="G29" s="122">
        <f t="shared" si="30"/>
        <v>0</v>
      </c>
      <c r="H29" s="122">
        <f t="shared" ref="H29:O29" si="31">IF(H28=0,0,(H28/H31))</f>
        <v>0</v>
      </c>
      <c r="I29" s="122">
        <f t="shared" si="31"/>
        <v>0</v>
      </c>
      <c r="J29" s="122">
        <f t="shared" si="31"/>
        <v>0</v>
      </c>
      <c r="K29" s="122">
        <f t="shared" si="31"/>
        <v>0</v>
      </c>
      <c r="L29" s="122">
        <f t="shared" si="31"/>
        <v>0</v>
      </c>
      <c r="M29" s="122">
        <f t="shared" si="31"/>
        <v>0</v>
      </c>
      <c r="N29" s="122">
        <f t="shared" si="31"/>
        <v>0</v>
      </c>
      <c r="O29" s="122">
        <f t="shared" si="31"/>
        <v>0</v>
      </c>
      <c r="P29" s="97"/>
      <c r="Q29" s="101"/>
      <c r="R29" s="79"/>
      <c r="S29" s="79"/>
      <c r="U29" s="68"/>
    </row>
    <row r="30" spans="1:21" ht="14.4" x14ac:dyDescent="0.35">
      <c r="A30" s="188"/>
      <c r="B30" s="132"/>
      <c r="C30" s="132" t="s">
        <v>41</v>
      </c>
      <c r="D30" s="133"/>
      <c r="E30" s="133">
        <f t="shared" ref="E30:G30" si="32">IF(E28=0,0,(E28/E32))</f>
        <v>0</v>
      </c>
      <c r="F30" s="133">
        <f t="shared" si="32"/>
        <v>0</v>
      </c>
      <c r="G30" s="133">
        <f t="shared" si="32"/>
        <v>0</v>
      </c>
      <c r="H30" s="133">
        <f t="shared" ref="H30:O30" si="33">IF(H28=0,0,(H28/H32))</f>
        <v>0</v>
      </c>
      <c r="I30" s="133">
        <f t="shared" si="33"/>
        <v>0</v>
      </c>
      <c r="J30" s="133">
        <f t="shared" si="33"/>
        <v>0</v>
      </c>
      <c r="K30" s="133">
        <f t="shared" si="33"/>
        <v>0</v>
      </c>
      <c r="L30" s="133">
        <f t="shared" si="33"/>
        <v>0</v>
      </c>
      <c r="M30" s="133">
        <f t="shared" si="33"/>
        <v>0</v>
      </c>
      <c r="N30" s="133">
        <f t="shared" si="33"/>
        <v>0</v>
      </c>
      <c r="O30" s="133">
        <f t="shared" si="33"/>
        <v>0</v>
      </c>
      <c r="P30" s="98"/>
      <c r="Q30" s="101"/>
      <c r="R30" s="79"/>
      <c r="S30" s="79"/>
      <c r="U30" s="68"/>
    </row>
    <row r="31" spans="1:21" ht="14.4" x14ac:dyDescent="0.35">
      <c r="A31" s="188"/>
      <c r="B31" s="129" t="s">
        <v>42</v>
      </c>
      <c r="C31" s="129" t="s">
        <v>43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05"/>
      <c r="Q31" s="100"/>
      <c r="R31" s="100"/>
      <c r="S31" s="100"/>
      <c r="U31" s="67"/>
    </row>
    <row r="32" spans="1:21" ht="14.4" x14ac:dyDescent="0.35">
      <c r="A32" s="188"/>
      <c r="B32" s="135"/>
      <c r="C32" s="135" t="s">
        <v>44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06"/>
      <c r="Q32" s="104"/>
      <c r="R32" s="103" t="e">
        <f>P32/$R$2</f>
        <v>#DIV/0!</v>
      </c>
      <c r="S32" s="103" t="e">
        <f>P32/$S$2</f>
        <v>#DIV/0!</v>
      </c>
      <c r="U32" s="67"/>
    </row>
    <row r="33" spans="1:21" ht="14.4" x14ac:dyDescent="0.35">
      <c r="A33" s="188" t="s">
        <v>29</v>
      </c>
      <c r="B33" s="129" t="s">
        <v>33</v>
      </c>
      <c r="C33" s="129" t="s">
        <v>18</v>
      </c>
      <c r="D33" s="130">
        <v>561.3478260869565</v>
      </c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0">
        <v>0</v>
      </c>
      <c r="K33" s="130">
        <v>0</v>
      </c>
      <c r="L33" s="130"/>
      <c r="M33" s="130"/>
      <c r="N33" s="130">
        <v>0</v>
      </c>
      <c r="O33" s="130">
        <v>0</v>
      </c>
      <c r="P33" s="47">
        <f>SUM(D33:O33)</f>
        <v>561.3478260869565</v>
      </c>
      <c r="Q33" s="99">
        <f>P33/$P$3</f>
        <v>3.7676310349494453E-3</v>
      </c>
      <c r="R33" s="100"/>
      <c r="S33" s="100"/>
      <c r="U33" s="68"/>
    </row>
    <row r="34" spans="1:21" ht="14.4" x14ac:dyDescent="0.35">
      <c r="A34" s="188"/>
      <c r="B34" s="131"/>
      <c r="C34" s="131" t="s">
        <v>40</v>
      </c>
      <c r="D34" s="122">
        <f t="shared" ref="D34" si="34">IF(D33=0,0,(D33/D36))</f>
        <v>112.2695652173913</v>
      </c>
      <c r="E34" s="122">
        <f t="shared" ref="E34:G34" si="35">IF(E33=0,0,(E33/E36))</f>
        <v>0</v>
      </c>
      <c r="F34" s="122">
        <f t="shared" si="35"/>
        <v>0</v>
      </c>
      <c r="G34" s="122">
        <f t="shared" si="35"/>
        <v>0</v>
      </c>
      <c r="H34" s="122">
        <f t="shared" ref="H34:P34" si="36">IF(H33=0,0,(H33/H36))</f>
        <v>0</v>
      </c>
      <c r="I34" s="122">
        <f t="shared" si="36"/>
        <v>0</v>
      </c>
      <c r="J34" s="122">
        <f t="shared" si="36"/>
        <v>0</v>
      </c>
      <c r="K34" s="122">
        <f t="shared" si="36"/>
        <v>0</v>
      </c>
      <c r="L34" s="122">
        <f t="shared" si="36"/>
        <v>0</v>
      </c>
      <c r="M34" s="122">
        <f t="shared" si="36"/>
        <v>0</v>
      </c>
      <c r="N34" s="122">
        <f t="shared" si="36"/>
        <v>0</v>
      </c>
      <c r="O34" s="122">
        <f t="shared" si="36"/>
        <v>0</v>
      </c>
      <c r="P34" s="97">
        <f t="shared" si="36"/>
        <v>112.2695652173913</v>
      </c>
      <c r="Q34" s="101"/>
      <c r="R34" s="79"/>
      <c r="S34" s="79"/>
      <c r="U34" s="68"/>
    </row>
    <row r="35" spans="1:21" ht="14.4" x14ac:dyDescent="0.35">
      <c r="A35" s="188"/>
      <c r="B35" s="132"/>
      <c r="C35" s="132" t="s">
        <v>41</v>
      </c>
      <c r="D35" s="133">
        <f t="shared" ref="D35" si="37">IF(D33=0,0,(D33/D37))</f>
        <v>56.134782608695652</v>
      </c>
      <c r="E35" s="133">
        <f t="shared" ref="E35:G35" si="38">IF(E33=0,0,(E33/E37))</f>
        <v>0</v>
      </c>
      <c r="F35" s="133">
        <f t="shared" si="38"/>
        <v>0</v>
      </c>
      <c r="G35" s="133">
        <f t="shared" si="38"/>
        <v>0</v>
      </c>
      <c r="H35" s="133">
        <f t="shared" ref="H35:P35" si="39">IF(H33=0,0,(H33/H37))</f>
        <v>0</v>
      </c>
      <c r="I35" s="133">
        <f t="shared" si="39"/>
        <v>0</v>
      </c>
      <c r="J35" s="133">
        <f t="shared" si="39"/>
        <v>0</v>
      </c>
      <c r="K35" s="133">
        <f t="shared" si="39"/>
        <v>0</v>
      </c>
      <c r="L35" s="133">
        <f t="shared" si="39"/>
        <v>0</v>
      </c>
      <c r="M35" s="133">
        <f t="shared" si="39"/>
        <v>0</v>
      </c>
      <c r="N35" s="133">
        <f t="shared" si="39"/>
        <v>0</v>
      </c>
      <c r="O35" s="133">
        <f t="shared" si="39"/>
        <v>0</v>
      </c>
      <c r="P35" s="98">
        <f t="shared" si="39"/>
        <v>56.134782608695652</v>
      </c>
      <c r="Q35" s="102"/>
      <c r="R35" s="104"/>
      <c r="S35" s="104"/>
      <c r="U35" s="68"/>
    </row>
    <row r="36" spans="1:21" ht="14.4" x14ac:dyDescent="0.35">
      <c r="A36" s="188"/>
      <c r="B36" s="129" t="s">
        <v>42</v>
      </c>
      <c r="C36" s="129" t="s">
        <v>43</v>
      </c>
      <c r="D36" s="134">
        <v>5</v>
      </c>
      <c r="E36" s="134">
        <v>0</v>
      </c>
      <c r="F36" s="134">
        <v>0</v>
      </c>
      <c r="G36" s="134">
        <v>0</v>
      </c>
      <c r="H36" s="134"/>
      <c r="I36" s="134"/>
      <c r="J36" s="134">
        <v>0</v>
      </c>
      <c r="K36" s="134">
        <v>0</v>
      </c>
      <c r="L36" s="134"/>
      <c r="M36" s="134"/>
      <c r="N36" s="134"/>
      <c r="O36" s="134"/>
      <c r="P36" s="105">
        <f>SUM(D36:O36)</f>
        <v>5</v>
      </c>
      <c r="Q36" s="100"/>
      <c r="R36" s="100"/>
      <c r="S36" s="100"/>
      <c r="U36" s="67"/>
    </row>
    <row r="37" spans="1:21" ht="14.4" x14ac:dyDescent="0.35">
      <c r="A37" s="188"/>
      <c r="B37" s="135"/>
      <c r="C37" s="135" t="s">
        <v>44</v>
      </c>
      <c r="D37" s="136">
        <v>10</v>
      </c>
      <c r="E37" s="136">
        <v>0</v>
      </c>
      <c r="F37" s="136">
        <v>0</v>
      </c>
      <c r="G37" s="136">
        <v>0</v>
      </c>
      <c r="H37" s="136"/>
      <c r="I37" s="136"/>
      <c r="J37" s="136">
        <v>0</v>
      </c>
      <c r="K37" s="136">
        <v>0</v>
      </c>
      <c r="L37" s="136"/>
      <c r="M37" s="136"/>
      <c r="N37" s="136"/>
      <c r="O37" s="136"/>
      <c r="P37" s="106">
        <f>SUM(D37:O37)</f>
        <v>10</v>
      </c>
      <c r="Q37" s="104"/>
      <c r="R37" s="103" t="e">
        <f>P37/$R$2</f>
        <v>#DIV/0!</v>
      </c>
      <c r="S37" s="103" t="e">
        <f>P37/$S$2</f>
        <v>#DIV/0!</v>
      </c>
      <c r="U37" s="67"/>
    </row>
    <row r="38" spans="1:21" ht="14.4" x14ac:dyDescent="0.35">
      <c r="A38" s="188" t="s">
        <v>32</v>
      </c>
      <c r="B38" s="129" t="s">
        <v>33</v>
      </c>
      <c r="C38" s="129" t="s">
        <v>18</v>
      </c>
      <c r="D38" s="130"/>
      <c r="E38" s="130">
        <v>439.57142857142856</v>
      </c>
      <c r="F38" s="130">
        <v>0</v>
      </c>
      <c r="G38" s="130">
        <v>0</v>
      </c>
      <c r="H38" s="130"/>
      <c r="I38" s="130"/>
      <c r="J38" s="130"/>
      <c r="K38" s="130">
        <v>0</v>
      </c>
      <c r="L38" s="130"/>
      <c r="M38" s="130"/>
      <c r="N38" s="130"/>
      <c r="O38" s="130"/>
      <c r="P38" s="47">
        <f>SUM(D38:O38)</f>
        <v>439.57142857142856</v>
      </c>
      <c r="Q38" s="99">
        <f>P38/$P$3</f>
        <v>2.9502972656141185E-3</v>
      </c>
      <c r="R38" s="100"/>
      <c r="S38" s="100"/>
      <c r="U38" s="68"/>
    </row>
    <row r="39" spans="1:21" ht="14.4" x14ac:dyDescent="0.35">
      <c r="A39" s="188"/>
      <c r="B39" s="131"/>
      <c r="C39" s="131" t="s">
        <v>40</v>
      </c>
      <c r="D39" s="122"/>
      <c r="E39" s="122">
        <f t="shared" ref="E39:G39" si="40">IF(E38=0,0,(E38/E41))</f>
        <v>146.52380952380952</v>
      </c>
      <c r="F39" s="122">
        <f t="shared" si="40"/>
        <v>0</v>
      </c>
      <c r="G39" s="122">
        <f t="shared" si="40"/>
        <v>0</v>
      </c>
      <c r="H39" s="122">
        <f t="shared" ref="H39:P39" si="41">IF(H38=0,0,(H38/H41))</f>
        <v>0</v>
      </c>
      <c r="I39" s="122">
        <f t="shared" si="41"/>
        <v>0</v>
      </c>
      <c r="J39" s="122">
        <f t="shared" si="41"/>
        <v>0</v>
      </c>
      <c r="K39" s="122">
        <f t="shared" si="41"/>
        <v>0</v>
      </c>
      <c r="L39" s="122">
        <f t="shared" si="41"/>
        <v>0</v>
      </c>
      <c r="M39" s="122">
        <f t="shared" si="41"/>
        <v>0</v>
      </c>
      <c r="N39" s="122">
        <f t="shared" si="41"/>
        <v>0</v>
      </c>
      <c r="O39" s="122">
        <f t="shared" si="41"/>
        <v>0</v>
      </c>
      <c r="P39" s="97">
        <f t="shared" si="41"/>
        <v>146.52380952380952</v>
      </c>
      <c r="Q39" s="101"/>
      <c r="R39" s="79"/>
      <c r="S39" s="79"/>
      <c r="U39" s="68"/>
    </row>
    <row r="40" spans="1:21" ht="14.4" x14ac:dyDescent="0.35">
      <c r="A40" s="188"/>
      <c r="B40" s="132"/>
      <c r="C40" s="132" t="s">
        <v>41</v>
      </c>
      <c r="D40" s="133"/>
      <c r="E40" s="133">
        <f t="shared" ref="E40:G40" si="42">IF(E38=0,0,(E38/E42))</f>
        <v>54.946428571428569</v>
      </c>
      <c r="F40" s="133">
        <f t="shared" si="42"/>
        <v>0</v>
      </c>
      <c r="G40" s="133">
        <f t="shared" si="42"/>
        <v>0</v>
      </c>
      <c r="H40" s="133">
        <f t="shared" ref="H40:P40" si="43">IF(H38=0,0,(H38/H42))</f>
        <v>0</v>
      </c>
      <c r="I40" s="133">
        <f t="shared" si="43"/>
        <v>0</v>
      </c>
      <c r="J40" s="133">
        <f t="shared" si="43"/>
        <v>0</v>
      </c>
      <c r="K40" s="133">
        <f t="shared" si="43"/>
        <v>0</v>
      </c>
      <c r="L40" s="133">
        <f t="shared" si="43"/>
        <v>0</v>
      </c>
      <c r="M40" s="133">
        <f t="shared" si="43"/>
        <v>0</v>
      </c>
      <c r="N40" s="133">
        <f t="shared" si="43"/>
        <v>0</v>
      </c>
      <c r="O40" s="133">
        <f t="shared" si="43"/>
        <v>0</v>
      </c>
      <c r="P40" s="98">
        <f t="shared" si="43"/>
        <v>54.946428571428569</v>
      </c>
      <c r="Q40" s="102"/>
      <c r="R40" s="104"/>
      <c r="S40" s="104"/>
      <c r="U40" s="68"/>
    </row>
    <row r="41" spans="1:21" ht="14.4" x14ac:dyDescent="0.35">
      <c r="A41" s="188"/>
      <c r="B41" s="129" t="s">
        <v>42</v>
      </c>
      <c r="C41" s="129" t="s">
        <v>43</v>
      </c>
      <c r="D41" s="134"/>
      <c r="E41" s="134">
        <v>3</v>
      </c>
      <c r="F41" s="134">
        <v>0</v>
      </c>
      <c r="G41" s="134">
        <v>0</v>
      </c>
      <c r="H41" s="134"/>
      <c r="I41" s="134"/>
      <c r="J41" s="134"/>
      <c r="K41" s="134">
        <v>0</v>
      </c>
      <c r="L41" s="134"/>
      <c r="M41" s="134"/>
      <c r="N41" s="134"/>
      <c r="O41" s="134"/>
      <c r="P41" s="105">
        <f>SUM(D41:O41)</f>
        <v>3</v>
      </c>
      <c r="Q41" s="100"/>
      <c r="R41" s="100"/>
      <c r="S41" s="100"/>
      <c r="U41" s="67"/>
    </row>
    <row r="42" spans="1:21" ht="14.4" x14ac:dyDescent="0.35">
      <c r="A42" s="188"/>
      <c r="B42" s="135"/>
      <c r="C42" s="135" t="s">
        <v>44</v>
      </c>
      <c r="D42" s="136"/>
      <c r="E42" s="136">
        <v>8</v>
      </c>
      <c r="F42" s="136">
        <v>0</v>
      </c>
      <c r="G42" s="136">
        <v>0</v>
      </c>
      <c r="H42" s="136"/>
      <c r="I42" s="136"/>
      <c r="J42" s="136"/>
      <c r="K42" s="136">
        <v>0</v>
      </c>
      <c r="L42" s="136"/>
      <c r="M42" s="136"/>
      <c r="N42" s="136"/>
      <c r="O42" s="136"/>
      <c r="P42" s="106">
        <f>SUM(D42:O42)</f>
        <v>8</v>
      </c>
      <c r="Q42" s="104"/>
      <c r="R42" s="103" t="e">
        <f>P42/$R$2</f>
        <v>#DIV/0!</v>
      </c>
      <c r="S42" s="103" t="e">
        <f>P42/$S$2</f>
        <v>#DIV/0!</v>
      </c>
      <c r="U42" s="67"/>
    </row>
  </sheetData>
  <autoFilter ref="A2:B42"/>
  <mergeCells count="11">
    <mergeCell ref="A18:A22"/>
    <mergeCell ref="A23:A27"/>
    <mergeCell ref="A28:A32"/>
    <mergeCell ref="A33:A37"/>
    <mergeCell ref="A38:A42"/>
    <mergeCell ref="A13:A17"/>
    <mergeCell ref="A1:T1"/>
    <mergeCell ref="A3:A7"/>
    <mergeCell ref="Q3:Q7"/>
    <mergeCell ref="R3:S5"/>
    <mergeCell ref="A8:A12"/>
  </mergeCells>
  <conditionalFormatting sqref="T2:XFD7 A2:P2 A3 H3:P7 S9:XFD12 Q9:Q12 Q8:XFD8 A43:XFD1048576 Q13:XFD42">
    <cfRule type="cellIs" dxfId="244" priority="72" operator="equal">
      <formula>0</formula>
    </cfRule>
  </conditionalFormatting>
  <conditionalFormatting sqref="Q3:S7">
    <cfRule type="cellIs" dxfId="243" priority="71" operator="equal">
      <formula>0</formula>
    </cfRule>
  </conditionalFormatting>
  <conditionalFormatting sqref="Q2:S2">
    <cfRule type="cellIs" dxfId="242" priority="70" operator="equal">
      <formula>0</formula>
    </cfRule>
  </conditionalFormatting>
  <conditionalFormatting sqref="B3:C7">
    <cfRule type="cellIs" dxfId="241" priority="69" operator="equal">
      <formula>0</formula>
    </cfRule>
  </conditionalFormatting>
  <conditionalFormatting sqref="A38:C38 B39:C42 P38:P42 H41:I42 H38:I38">
    <cfRule type="cellIs" dxfId="240" priority="68" operator="equal">
      <formula>0</formula>
    </cfRule>
  </conditionalFormatting>
  <conditionalFormatting sqref="A8:C8 B9:C12 P8:P12 H11:I12 H8:I8">
    <cfRule type="cellIs" dxfId="239" priority="67" operator="equal">
      <formula>0</formula>
    </cfRule>
  </conditionalFormatting>
  <conditionalFormatting sqref="A13:C13 B14:C17 P13:P17 H16:I17 H13:I13">
    <cfRule type="cellIs" dxfId="238" priority="66" operator="equal">
      <formula>0</formula>
    </cfRule>
  </conditionalFormatting>
  <conditionalFormatting sqref="A18:C18 B19:C22 P18:P22 H21:I22 H18:I18">
    <cfRule type="cellIs" dxfId="237" priority="65" operator="equal">
      <formula>0</formula>
    </cfRule>
  </conditionalFormatting>
  <conditionalFormatting sqref="A23:C23 B24:C27 P23:P27 H26:I27 H23:I23">
    <cfRule type="cellIs" dxfId="236" priority="64" operator="equal">
      <formula>0</formula>
    </cfRule>
  </conditionalFormatting>
  <conditionalFormatting sqref="A28:C28 B29:C32 P28:P32 H31:I32 H28:I28">
    <cfRule type="cellIs" dxfId="235" priority="63" operator="equal">
      <formula>0</formula>
    </cfRule>
  </conditionalFormatting>
  <conditionalFormatting sqref="A33:C33 B34:C37 P33:P37 H36:I37 H33:I33">
    <cfRule type="cellIs" dxfId="234" priority="62" operator="equal">
      <formula>0</formula>
    </cfRule>
  </conditionalFormatting>
  <conditionalFormatting sqref="U1:XFD1 A1">
    <cfRule type="cellIs" dxfId="233" priority="61" operator="equal">
      <formula>0</formula>
    </cfRule>
  </conditionalFormatting>
  <conditionalFormatting sqref="H9:I10">
    <cfRule type="cellIs" dxfId="232" priority="60" operator="equal">
      <formula>0</formula>
    </cfRule>
  </conditionalFormatting>
  <conditionalFormatting sqref="H14:I15">
    <cfRule type="cellIs" dxfId="231" priority="59" operator="equal">
      <formula>0</formula>
    </cfRule>
  </conditionalFormatting>
  <conditionalFormatting sqref="H19:I20">
    <cfRule type="cellIs" dxfId="230" priority="58" operator="equal">
      <formula>0</formula>
    </cfRule>
  </conditionalFormatting>
  <conditionalFormatting sqref="H24:I25">
    <cfRule type="cellIs" dxfId="229" priority="57" operator="equal">
      <formula>0</formula>
    </cfRule>
  </conditionalFormatting>
  <conditionalFormatting sqref="H29:I30">
    <cfRule type="cellIs" dxfId="228" priority="56" operator="equal">
      <formula>0</formula>
    </cfRule>
  </conditionalFormatting>
  <conditionalFormatting sqref="H34:I35">
    <cfRule type="cellIs" dxfId="227" priority="55" operator="equal">
      <formula>0</formula>
    </cfRule>
  </conditionalFormatting>
  <conditionalFormatting sqref="H39:I40">
    <cfRule type="cellIs" dxfId="226" priority="54" operator="equal">
      <formula>0</formula>
    </cfRule>
  </conditionalFormatting>
  <conditionalFormatting sqref="J38:O38 J41:O42">
    <cfRule type="cellIs" dxfId="225" priority="53" operator="equal">
      <formula>0</formula>
    </cfRule>
  </conditionalFormatting>
  <conditionalFormatting sqref="J8:K8 J11:K12">
    <cfRule type="cellIs" dxfId="224" priority="52" operator="equal">
      <formula>0</formula>
    </cfRule>
  </conditionalFormatting>
  <conditionalFormatting sqref="J13:K13 J16:K17">
    <cfRule type="cellIs" dxfId="223" priority="51" operator="equal">
      <formula>0</formula>
    </cfRule>
  </conditionalFormatting>
  <conditionalFormatting sqref="J18:K18 J21:K22">
    <cfRule type="cellIs" dxfId="222" priority="50" operator="equal">
      <formula>0</formula>
    </cfRule>
  </conditionalFormatting>
  <conditionalFormatting sqref="J23:O23 J26:O27">
    <cfRule type="cellIs" dxfId="221" priority="49" operator="equal">
      <formula>0</formula>
    </cfRule>
  </conditionalFormatting>
  <conditionalFormatting sqref="J28:O28 J31:O32">
    <cfRule type="cellIs" dxfId="220" priority="48" operator="equal">
      <formula>0</formula>
    </cfRule>
  </conditionalFormatting>
  <conditionalFormatting sqref="J33:O33 J36:O37">
    <cfRule type="cellIs" dxfId="219" priority="47" operator="equal">
      <formula>0</formula>
    </cfRule>
  </conditionalFormatting>
  <conditionalFormatting sqref="J9:K10">
    <cfRule type="cellIs" dxfId="218" priority="46" operator="equal">
      <formula>0</formula>
    </cfRule>
  </conditionalFormatting>
  <conditionalFormatting sqref="J14:K15">
    <cfRule type="cellIs" dxfId="217" priority="45" operator="equal">
      <formula>0</formula>
    </cfRule>
  </conditionalFormatting>
  <conditionalFormatting sqref="J19:K20">
    <cfRule type="cellIs" dxfId="216" priority="44" operator="equal">
      <formula>0</formula>
    </cfRule>
  </conditionalFormatting>
  <conditionalFormatting sqref="J24:O25">
    <cfRule type="cellIs" dxfId="215" priority="43" operator="equal">
      <formula>0</formula>
    </cfRule>
  </conditionalFormatting>
  <conditionalFormatting sqref="J29:O30">
    <cfRule type="cellIs" dxfId="214" priority="42" operator="equal">
      <formula>0</formula>
    </cfRule>
  </conditionalFormatting>
  <conditionalFormatting sqref="J34:O35">
    <cfRule type="cellIs" dxfId="213" priority="41" operator="equal">
      <formula>0</formula>
    </cfRule>
  </conditionalFormatting>
  <conditionalFormatting sqref="J39:O40">
    <cfRule type="cellIs" dxfId="212" priority="40" operator="equal">
      <formula>0</formula>
    </cfRule>
  </conditionalFormatting>
  <conditionalFormatting sqref="D3:G7">
    <cfRule type="cellIs" dxfId="211" priority="39" operator="equal">
      <formula>0</formula>
    </cfRule>
  </conditionalFormatting>
  <conditionalFormatting sqref="E38:G38 E41:G42">
    <cfRule type="cellIs" dxfId="210" priority="38" operator="equal">
      <formula>0</formula>
    </cfRule>
  </conditionalFormatting>
  <conditionalFormatting sqref="E8:G8 E11:G12">
    <cfRule type="cellIs" dxfId="209" priority="37" operator="equal">
      <formula>0</formula>
    </cfRule>
  </conditionalFormatting>
  <conditionalFormatting sqref="E13:G13 E16:G17">
    <cfRule type="cellIs" dxfId="208" priority="36" operator="equal">
      <formula>0</formula>
    </cfRule>
  </conditionalFormatting>
  <conditionalFormatting sqref="E18:G18 E21:G22">
    <cfRule type="cellIs" dxfId="207" priority="35" operator="equal">
      <formula>0</formula>
    </cfRule>
  </conditionalFormatting>
  <conditionalFormatting sqref="E23:G23 E26:G27">
    <cfRule type="cellIs" dxfId="206" priority="34" operator="equal">
      <formula>0</formula>
    </cfRule>
  </conditionalFormatting>
  <conditionalFormatting sqref="E28:G28 E31:G32">
    <cfRule type="cellIs" dxfId="205" priority="33" operator="equal">
      <formula>0</formula>
    </cfRule>
  </conditionalFormatting>
  <conditionalFormatting sqref="E33:G33 E36:G37">
    <cfRule type="cellIs" dxfId="204" priority="32" operator="equal">
      <formula>0</formula>
    </cfRule>
  </conditionalFormatting>
  <conditionalFormatting sqref="E9:G10">
    <cfRule type="cellIs" dxfId="203" priority="31" operator="equal">
      <formula>0</formula>
    </cfRule>
  </conditionalFormatting>
  <conditionalFormatting sqref="E14:G15">
    <cfRule type="cellIs" dxfId="202" priority="30" operator="equal">
      <formula>0</formula>
    </cfRule>
  </conditionalFormatting>
  <conditionalFormatting sqref="E19:G20">
    <cfRule type="cellIs" dxfId="201" priority="29" operator="equal">
      <formula>0</formula>
    </cfRule>
  </conditionalFormatting>
  <conditionalFormatting sqref="E24:G25">
    <cfRule type="cellIs" dxfId="200" priority="28" operator="equal">
      <formula>0</formula>
    </cfRule>
  </conditionalFormatting>
  <conditionalFormatting sqref="E29:G30">
    <cfRule type="cellIs" dxfId="199" priority="27" operator="equal">
      <formula>0</formula>
    </cfRule>
  </conditionalFormatting>
  <conditionalFormatting sqref="E34:G35">
    <cfRule type="cellIs" dxfId="198" priority="26" operator="equal">
      <formula>0</formula>
    </cfRule>
  </conditionalFormatting>
  <conditionalFormatting sqref="E39:G40">
    <cfRule type="cellIs" dxfId="197" priority="25" operator="equal">
      <formula>0</formula>
    </cfRule>
  </conditionalFormatting>
  <conditionalFormatting sqref="D38:D42">
    <cfRule type="cellIs" dxfId="196" priority="23" operator="equal">
      <formula>0</formula>
    </cfRule>
  </conditionalFormatting>
  <conditionalFormatting sqref="D8 D11:D12">
    <cfRule type="cellIs" dxfId="195" priority="22" operator="equal">
      <formula>0</formula>
    </cfRule>
  </conditionalFormatting>
  <conditionalFormatting sqref="D13 D16:D17">
    <cfRule type="cellIs" dxfId="194" priority="21" operator="equal">
      <formula>0</formula>
    </cfRule>
  </conditionalFormatting>
  <conditionalFormatting sqref="D18 D21:D22">
    <cfRule type="cellIs" dxfId="193" priority="20" operator="equal">
      <formula>0</formula>
    </cfRule>
  </conditionalFormatting>
  <conditionalFormatting sqref="D23 D26:D27">
    <cfRule type="cellIs" dxfId="192" priority="19" operator="equal">
      <formula>0</formula>
    </cfRule>
  </conditionalFormatting>
  <conditionalFormatting sqref="D28:D32">
    <cfRule type="cellIs" dxfId="191" priority="18" operator="equal">
      <formula>0</formula>
    </cfRule>
  </conditionalFormatting>
  <conditionalFormatting sqref="D33 D36:D37">
    <cfRule type="cellIs" dxfId="190" priority="17" operator="equal">
      <formula>0</formula>
    </cfRule>
  </conditionalFormatting>
  <conditionalFormatting sqref="D9:D10">
    <cfRule type="cellIs" dxfId="189" priority="16" operator="equal">
      <formula>0</formula>
    </cfRule>
  </conditionalFormatting>
  <conditionalFormatting sqref="D14:D15">
    <cfRule type="cellIs" dxfId="188" priority="15" operator="equal">
      <formula>0</formula>
    </cfRule>
  </conditionalFormatting>
  <conditionalFormatting sqref="D19:D20">
    <cfRule type="cellIs" dxfId="187" priority="14" operator="equal">
      <formula>0</formula>
    </cfRule>
  </conditionalFormatting>
  <conditionalFormatting sqref="D24:D25">
    <cfRule type="cellIs" dxfId="186" priority="13" operator="equal">
      <formula>0</formula>
    </cfRule>
  </conditionalFormatting>
  <conditionalFormatting sqref="D34:D35">
    <cfRule type="cellIs" dxfId="185" priority="12" operator="equal">
      <formula>0</formula>
    </cfRule>
  </conditionalFormatting>
  <conditionalFormatting sqref="L8:O8 L11:L12 N11:O12">
    <cfRule type="cellIs" dxfId="184" priority="11" operator="equal">
      <formula>0</formula>
    </cfRule>
  </conditionalFormatting>
  <conditionalFormatting sqref="L13:M13 L16:M17">
    <cfRule type="cellIs" dxfId="183" priority="10" operator="equal">
      <formula>0</formula>
    </cfRule>
  </conditionalFormatting>
  <conditionalFormatting sqref="L18:M18 L21:M22">
    <cfRule type="cellIs" dxfId="182" priority="9" operator="equal">
      <formula>0</formula>
    </cfRule>
  </conditionalFormatting>
  <conditionalFormatting sqref="L9:O10">
    <cfRule type="cellIs" dxfId="181" priority="8" operator="equal">
      <formula>0</formula>
    </cfRule>
  </conditionalFormatting>
  <conditionalFormatting sqref="L14:M15">
    <cfRule type="cellIs" dxfId="180" priority="7" operator="equal">
      <formula>0</formula>
    </cfRule>
  </conditionalFormatting>
  <conditionalFormatting sqref="L19:M20">
    <cfRule type="cellIs" dxfId="179" priority="6" operator="equal">
      <formula>0</formula>
    </cfRule>
  </conditionalFormatting>
  <conditionalFormatting sqref="M11:M12">
    <cfRule type="cellIs" dxfId="178" priority="5" operator="equal">
      <formula>0</formula>
    </cfRule>
  </conditionalFormatting>
  <conditionalFormatting sqref="N13:O13 N16:O17">
    <cfRule type="cellIs" dxfId="177" priority="4" operator="equal">
      <formula>0</formula>
    </cfRule>
  </conditionalFormatting>
  <conditionalFormatting sqref="N18:O18 N21:O22">
    <cfRule type="cellIs" dxfId="176" priority="3" operator="equal">
      <formula>0</formula>
    </cfRule>
  </conditionalFormatting>
  <conditionalFormatting sqref="N14:O15">
    <cfRule type="cellIs" dxfId="175" priority="2" operator="equal">
      <formula>0</formula>
    </cfRule>
  </conditionalFormatting>
  <conditionalFormatting sqref="N19:O20">
    <cfRule type="cellIs" dxfId="17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2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ColWidth="9.109375" defaultRowHeight="13.8" x14ac:dyDescent="0.3"/>
  <cols>
    <col min="1" max="1" width="15.88671875" style="116" customWidth="1"/>
    <col min="2" max="2" width="7.44140625" style="114" bestFit="1" customWidth="1"/>
    <col min="3" max="3" width="11.5546875" style="114" customWidth="1"/>
    <col min="4" max="4" width="9" style="3" customWidth="1"/>
    <col min="5" max="5" width="9.44140625" style="3" customWidth="1"/>
    <col min="6" max="6" width="8.44140625" style="3" customWidth="1"/>
    <col min="7" max="7" width="9.5546875" style="3" customWidth="1"/>
    <col min="8" max="9" width="7.44140625" style="3" customWidth="1"/>
    <col min="10" max="10" width="10.33203125" style="3" customWidth="1"/>
    <col min="11" max="11" width="12.33203125" style="3" customWidth="1"/>
    <col min="12" max="12" width="10" style="3" customWidth="1"/>
    <col min="13" max="13" width="10.33203125" style="3" customWidth="1"/>
    <col min="14" max="14" width="9.44140625" style="3" customWidth="1"/>
    <col min="15" max="15" width="8.6640625" style="3" customWidth="1"/>
    <col min="16" max="16" width="11.109375" style="115" customWidth="1"/>
    <col min="17" max="17" width="4.33203125" style="113" bestFit="1" customWidth="1"/>
    <col min="18" max="19" width="7" style="113" customWidth="1"/>
    <col min="20" max="16384" width="9.109375" style="113"/>
  </cols>
  <sheetData>
    <row r="1" spans="1:25" s="126" customFormat="1" ht="18" x14ac:dyDescent="0.25">
      <c r="A1" s="189">
        <v>2020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  <c r="U1" s="108"/>
      <c r="V1" s="109"/>
      <c r="W1" s="110"/>
      <c r="X1" s="111"/>
      <c r="Y1" s="112"/>
    </row>
    <row r="2" spans="1:25" x14ac:dyDescent="0.25">
      <c r="A2" s="127"/>
      <c r="B2" s="127"/>
      <c r="C2" s="127"/>
      <c r="D2" s="127" t="s">
        <v>14</v>
      </c>
      <c r="E2" s="127" t="s">
        <v>15</v>
      </c>
      <c r="F2" s="127" t="s">
        <v>16</v>
      </c>
      <c r="G2" s="127" t="s">
        <v>17</v>
      </c>
      <c r="H2" s="127" t="s">
        <v>6</v>
      </c>
      <c r="I2" s="127" t="s">
        <v>7</v>
      </c>
      <c r="J2" s="127" t="s">
        <v>8</v>
      </c>
      <c r="K2" s="127" t="s">
        <v>9</v>
      </c>
      <c r="L2" s="127" t="s">
        <v>10</v>
      </c>
      <c r="M2" s="127" t="s">
        <v>11</v>
      </c>
      <c r="N2" s="127" t="s">
        <v>12</v>
      </c>
      <c r="O2" s="127" t="s">
        <v>13</v>
      </c>
      <c r="P2" s="127" t="s">
        <v>18</v>
      </c>
      <c r="Q2" s="127"/>
      <c r="R2" s="127"/>
      <c r="S2" s="127"/>
    </row>
    <row r="3" spans="1:25" s="126" customFormat="1" x14ac:dyDescent="0.25">
      <c r="A3" s="197" t="s">
        <v>34</v>
      </c>
      <c r="B3" s="117" t="s">
        <v>33</v>
      </c>
      <c r="C3" s="117" t="s">
        <v>18</v>
      </c>
      <c r="D3" s="118">
        <f>D8+D13+D18+D23+D33+D38</f>
        <v>12511</v>
      </c>
      <c r="E3" s="118">
        <f>E8+E13+E18+E23+E33+E38</f>
        <v>28969</v>
      </c>
      <c r="F3" s="118">
        <f>F8+F13+F18+F23+F33+F38</f>
        <v>3170</v>
      </c>
      <c r="G3" s="118">
        <f>G8+G13+G18+G23+G33+G38</f>
        <v>0</v>
      </c>
      <c r="H3" s="118"/>
      <c r="I3" s="118">
        <f t="shared" ref="I3:P3" si="0">I8+I13+I18+I23+I33+I38</f>
        <v>0</v>
      </c>
      <c r="J3" s="118">
        <f t="shared" si="0"/>
        <v>0</v>
      </c>
      <c r="K3" s="118">
        <f t="shared" si="0"/>
        <v>1028</v>
      </c>
      <c r="L3" s="118">
        <f t="shared" si="0"/>
        <v>1614</v>
      </c>
      <c r="M3" s="118">
        <f t="shared" si="0"/>
        <v>4746</v>
      </c>
      <c r="N3" s="118">
        <f t="shared" si="0"/>
        <v>6892</v>
      </c>
      <c r="O3" s="118">
        <f t="shared" si="0"/>
        <v>20719</v>
      </c>
      <c r="P3" s="121">
        <f t="shared" si="0"/>
        <v>79649</v>
      </c>
      <c r="Q3" s="192" t="s">
        <v>20</v>
      </c>
      <c r="R3" s="193" t="s">
        <v>19</v>
      </c>
      <c r="S3" s="193"/>
    </row>
    <row r="4" spans="1:25" x14ac:dyDescent="0.25">
      <c r="A4" s="198"/>
      <c r="B4" s="123"/>
      <c r="C4" s="123" t="s">
        <v>40</v>
      </c>
      <c r="D4" s="124">
        <f t="shared" ref="D4:G4" si="1">IF(D3=0,0,(D3/D6))</f>
        <v>81.771241830065364</v>
      </c>
      <c r="E4" s="124">
        <f t="shared" si="1"/>
        <v>84.704678362573105</v>
      </c>
      <c r="F4" s="124">
        <f t="shared" si="1"/>
        <v>105.66666666666667</v>
      </c>
      <c r="G4" s="124">
        <f t="shared" si="1"/>
        <v>0</v>
      </c>
      <c r="H4" s="124"/>
      <c r="I4" s="124">
        <f t="shared" ref="I4:P4" si="2">IF(I3=0,0,(I3/I6))</f>
        <v>0</v>
      </c>
      <c r="J4" s="124">
        <f t="shared" si="2"/>
        <v>0</v>
      </c>
      <c r="K4" s="124">
        <f t="shared" si="2"/>
        <v>102.8</v>
      </c>
      <c r="L4" s="124">
        <f t="shared" si="2"/>
        <v>94.941176470588232</v>
      </c>
      <c r="M4" s="124">
        <f t="shared" si="2"/>
        <v>189.84</v>
      </c>
      <c r="N4" s="124">
        <f t="shared" si="2"/>
        <v>140.65306122448979</v>
      </c>
      <c r="O4" s="124">
        <f t="shared" si="2"/>
        <v>163.14173228346456</v>
      </c>
      <c r="P4" s="128">
        <f t="shared" si="2"/>
        <v>105.77556440903055</v>
      </c>
      <c r="Q4" s="192"/>
      <c r="R4" s="193"/>
      <c r="S4" s="193"/>
    </row>
    <row r="5" spans="1:25" x14ac:dyDescent="0.25">
      <c r="A5" s="198"/>
      <c r="B5" s="119"/>
      <c r="C5" s="119" t="s">
        <v>41</v>
      </c>
      <c r="D5" s="158">
        <f t="shared" ref="D5:G5" si="3">IF(D3=0,0,(D3/D7))</f>
        <v>56.868181818181817</v>
      </c>
      <c r="E5" s="158">
        <f t="shared" si="3"/>
        <v>58.641700404858298</v>
      </c>
      <c r="F5" s="158">
        <f t="shared" si="3"/>
        <v>48.769230769230766</v>
      </c>
      <c r="G5" s="158">
        <f t="shared" si="3"/>
        <v>0</v>
      </c>
      <c r="H5" s="158"/>
      <c r="I5" s="158">
        <f t="shared" ref="I5:P5" si="4">IF(I3=0,0,(I3/I7))</f>
        <v>0</v>
      </c>
      <c r="J5" s="158">
        <f t="shared" si="4"/>
        <v>0</v>
      </c>
      <c r="K5" s="158">
        <f t="shared" si="4"/>
        <v>60.470588235294116</v>
      </c>
      <c r="L5" s="158">
        <f t="shared" si="4"/>
        <v>52.064516129032256</v>
      </c>
      <c r="M5" s="158">
        <f t="shared" si="4"/>
        <v>77.803278688524586</v>
      </c>
      <c r="N5" s="158">
        <f t="shared" si="4"/>
        <v>90.684210526315795</v>
      </c>
      <c r="O5" s="158">
        <f t="shared" si="4"/>
        <v>87.054621848739501</v>
      </c>
      <c r="P5" s="154">
        <f t="shared" si="4"/>
        <v>66.263727121464228</v>
      </c>
      <c r="Q5" s="192"/>
      <c r="R5" s="193"/>
      <c r="S5" s="193"/>
    </row>
    <row r="6" spans="1:25" ht="13.2" customHeight="1" x14ac:dyDescent="0.25">
      <c r="A6" s="198"/>
      <c r="B6" s="123" t="s">
        <v>42</v>
      </c>
      <c r="C6" s="123" t="s">
        <v>43</v>
      </c>
      <c r="D6" s="81">
        <f t="shared" ref="D6:P7" si="5">D11+D16+D21+D26+D36+D41</f>
        <v>153</v>
      </c>
      <c r="E6" s="81">
        <f t="shared" si="5"/>
        <v>342</v>
      </c>
      <c r="F6" s="81">
        <f t="shared" si="5"/>
        <v>30</v>
      </c>
      <c r="G6" s="81">
        <f t="shared" si="5"/>
        <v>0</v>
      </c>
      <c r="H6" s="81">
        <f t="shared" si="5"/>
        <v>0</v>
      </c>
      <c r="I6" s="81">
        <f t="shared" si="5"/>
        <v>0</v>
      </c>
      <c r="J6" s="81">
        <f t="shared" si="5"/>
        <v>0</v>
      </c>
      <c r="K6" s="81">
        <f t="shared" si="5"/>
        <v>10</v>
      </c>
      <c r="L6" s="81">
        <f t="shared" si="5"/>
        <v>17</v>
      </c>
      <c r="M6" s="81">
        <f t="shared" si="5"/>
        <v>25</v>
      </c>
      <c r="N6" s="81">
        <f t="shared" si="5"/>
        <v>49</v>
      </c>
      <c r="O6" s="81">
        <f t="shared" si="5"/>
        <v>127</v>
      </c>
      <c r="P6" s="88">
        <f t="shared" si="5"/>
        <v>753</v>
      </c>
      <c r="Q6" s="192"/>
      <c r="R6" s="62">
        <f>P6/$R$7</f>
        <v>107.57142857142857</v>
      </c>
      <c r="S6" s="62">
        <f>P6/$S$7</f>
        <v>83.666666666666671</v>
      </c>
    </row>
    <row r="7" spans="1:25" x14ac:dyDescent="0.25">
      <c r="A7" s="199"/>
      <c r="B7" s="119"/>
      <c r="C7" s="119" t="s">
        <v>44</v>
      </c>
      <c r="D7" s="82">
        <f t="shared" si="5"/>
        <v>220</v>
      </c>
      <c r="E7" s="82">
        <f t="shared" si="5"/>
        <v>494</v>
      </c>
      <c r="F7" s="82">
        <f t="shared" si="5"/>
        <v>65</v>
      </c>
      <c r="G7" s="82">
        <f t="shared" si="5"/>
        <v>0</v>
      </c>
      <c r="H7" s="82">
        <f t="shared" si="5"/>
        <v>0</v>
      </c>
      <c r="I7" s="82">
        <f t="shared" si="5"/>
        <v>0</v>
      </c>
      <c r="J7" s="82">
        <f t="shared" si="5"/>
        <v>0</v>
      </c>
      <c r="K7" s="82">
        <f t="shared" si="5"/>
        <v>17</v>
      </c>
      <c r="L7" s="82">
        <f t="shared" si="5"/>
        <v>31</v>
      </c>
      <c r="M7" s="82">
        <f t="shared" si="5"/>
        <v>61</v>
      </c>
      <c r="N7" s="82">
        <f t="shared" si="5"/>
        <v>76</v>
      </c>
      <c r="O7" s="82">
        <f t="shared" si="5"/>
        <v>238</v>
      </c>
      <c r="P7" s="125">
        <f t="shared" si="5"/>
        <v>1202</v>
      </c>
      <c r="Q7" s="192"/>
      <c r="R7" s="167">
        <v>7</v>
      </c>
      <c r="S7" s="167">
        <v>9</v>
      </c>
    </row>
    <row r="8" spans="1:25" ht="12.75" customHeight="1" x14ac:dyDescent="0.25">
      <c r="A8" s="188" t="s">
        <v>27</v>
      </c>
      <c r="B8" s="129" t="s">
        <v>33</v>
      </c>
      <c r="C8" s="129" t="s">
        <v>18</v>
      </c>
      <c r="D8" s="130">
        <v>0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47">
        <f>SUM(D8:O8)</f>
        <v>0</v>
      </c>
      <c r="Q8" s="99">
        <f>P8/$P$3</f>
        <v>0</v>
      </c>
      <c r="R8" s="85" t="e">
        <f>P12/$R$2</f>
        <v>#DIV/0!</v>
      </c>
      <c r="S8" s="100"/>
      <c r="U8" s="66"/>
    </row>
    <row r="9" spans="1:25" ht="14.4" x14ac:dyDescent="0.25">
      <c r="A9" s="188"/>
      <c r="B9" s="131"/>
      <c r="C9" s="131" t="s">
        <v>40</v>
      </c>
      <c r="D9" s="122">
        <f>IF(D8=0,0,(D8/D11))</f>
        <v>0</v>
      </c>
      <c r="E9" s="122">
        <f t="shared" ref="E9:P9" si="6">IF(E8=0,0,(E8/E11))</f>
        <v>0</v>
      </c>
      <c r="F9" s="122">
        <f t="shared" si="6"/>
        <v>0</v>
      </c>
      <c r="G9" s="122">
        <f t="shared" si="6"/>
        <v>0</v>
      </c>
      <c r="H9" s="122">
        <f t="shared" si="6"/>
        <v>0</v>
      </c>
      <c r="I9" s="122">
        <f t="shared" si="6"/>
        <v>0</v>
      </c>
      <c r="J9" s="122">
        <f t="shared" si="6"/>
        <v>0</v>
      </c>
      <c r="K9" s="122">
        <f t="shared" si="6"/>
        <v>0</v>
      </c>
      <c r="L9" s="122">
        <f t="shared" si="6"/>
        <v>0</v>
      </c>
      <c r="M9" s="122">
        <f t="shared" si="6"/>
        <v>0</v>
      </c>
      <c r="N9" s="122">
        <f t="shared" si="6"/>
        <v>0</v>
      </c>
      <c r="O9" s="122">
        <f t="shared" si="6"/>
        <v>0</v>
      </c>
      <c r="P9" s="97">
        <f t="shared" si="6"/>
        <v>0</v>
      </c>
      <c r="Q9" s="101"/>
      <c r="R9" s="86"/>
      <c r="S9" s="79"/>
      <c r="U9" s="66"/>
    </row>
    <row r="10" spans="1:25" ht="14.4" x14ac:dyDescent="0.25">
      <c r="A10" s="188"/>
      <c r="B10" s="132"/>
      <c r="C10" s="132" t="s">
        <v>41</v>
      </c>
      <c r="D10" s="133">
        <f t="shared" ref="D10:P10" si="7">IF(D8=0,0,(D8/D12))</f>
        <v>0</v>
      </c>
      <c r="E10" s="133">
        <f t="shared" si="7"/>
        <v>0</v>
      </c>
      <c r="F10" s="133">
        <f t="shared" si="7"/>
        <v>0</v>
      </c>
      <c r="G10" s="133">
        <f t="shared" si="7"/>
        <v>0</v>
      </c>
      <c r="H10" s="133">
        <f t="shared" si="7"/>
        <v>0</v>
      </c>
      <c r="I10" s="133">
        <f t="shared" si="7"/>
        <v>0</v>
      </c>
      <c r="J10" s="133">
        <f t="shared" si="7"/>
        <v>0</v>
      </c>
      <c r="K10" s="133">
        <f t="shared" si="7"/>
        <v>0</v>
      </c>
      <c r="L10" s="133">
        <f t="shared" si="7"/>
        <v>0</v>
      </c>
      <c r="M10" s="133">
        <f t="shared" si="7"/>
        <v>0</v>
      </c>
      <c r="N10" s="133">
        <f t="shared" si="7"/>
        <v>0</v>
      </c>
      <c r="O10" s="133">
        <f t="shared" si="7"/>
        <v>0</v>
      </c>
      <c r="P10" s="98">
        <f t="shared" si="7"/>
        <v>0</v>
      </c>
      <c r="Q10" s="102"/>
      <c r="R10" s="103"/>
      <c r="S10" s="104"/>
      <c r="U10" s="66"/>
    </row>
    <row r="11" spans="1:25" ht="14.4" x14ac:dyDescent="0.25">
      <c r="A11" s="188"/>
      <c r="B11" s="129" t="s">
        <v>42</v>
      </c>
      <c r="C11" s="129" t="s">
        <v>43</v>
      </c>
      <c r="D11" s="134">
        <v>0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05">
        <f>SUM(D11:O11)</f>
        <v>0</v>
      </c>
      <c r="Q11" s="100"/>
      <c r="R11" s="85"/>
      <c r="S11" s="100"/>
      <c r="U11" s="65"/>
    </row>
    <row r="12" spans="1:25" ht="14.4" x14ac:dyDescent="0.25">
      <c r="A12" s="188"/>
      <c r="B12" s="135"/>
      <c r="C12" s="135" t="s">
        <v>44</v>
      </c>
      <c r="D12" s="136">
        <v>0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06">
        <f>SUM(D12:O12)</f>
        <v>0</v>
      </c>
      <c r="Q12" s="79"/>
      <c r="R12" s="86"/>
      <c r="S12" s="86" t="e">
        <f>P12/$S$2</f>
        <v>#DIV/0!</v>
      </c>
      <c r="U12" s="65"/>
    </row>
    <row r="13" spans="1:25" ht="14.4" x14ac:dyDescent="0.35">
      <c r="A13" s="188" t="s">
        <v>23</v>
      </c>
      <c r="B13" s="129" t="s">
        <v>33</v>
      </c>
      <c r="C13" s="129" t="s">
        <v>18</v>
      </c>
      <c r="D13" s="130">
        <v>4333</v>
      </c>
      <c r="E13" s="130">
        <v>20279</v>
      </c>
      <c r="F13" s="130">
        <v>1430</v>
      </c>
      <c r="G13" s="130"/>
      <c r="H13" s="130"/>
      <c r="I13" s="130"/>
      <c r="J13" s="130"/>
      <c r="K13" s="130"/>
      <c r="L13" s="130">
        <v>467</v>
      </c>
      <c r="M13" s="130">
        <v>2268</v>
      </c>
      <c r="N13" s="130">
        <v>1502</v>
      </c>
      <c r="O13" s="130">
        <v>2525</v>
      </c>
      <c r="P13" s="47">
        <f>SUM(D13:O13)</f>
        <v>32804</v>
      </c>
      <c r="Q13" s="99">
        <f>P13/$P$3</f>
        <v>0.41185702268703939</v>
      </c>
      <c r="R13" s="100"/>
      <c r="S13" s="100"/>
      <c r="U13" s="68"/>
    </row>
    <row r="14" spans="1:25" ht="14.4" x14ac:dyDescent="0.35">
      <c r="A14" s="188"/>
      <c r="B14" s="131"/>
      <c r="C14" s="131" t="s">
        <v>40</v>
      </c>
      <c r="D14" s="122">
        <f t="shared" ref="D14:P14" si="8">IF(D13=0,0,(D13/D16))</f>
        <v>55.551282051282051</v>
      </c>
      <c r="E14" s="122">
        <f t="shared" si="8"/>
        <v>77.69731800766283</v>
      </c>
      <c r="F14" s="122">
        <f t="shared" si="8"/>
        <v>102.14285714285714</v>
      </c>
      <c r="G14" s="122">
        <f t="shared" si="8"/>
        <v>0</v>
      </c>
      <c r="H14" s="122">
        <f t="shared" si="8"/>
        <v>0</v>
      </c>
      <c r="I14" s="122">
        <f t="shared" si="8"/>
        <v>0</v>
      </c>
      <c r="J14" s="122">
        <f t="shared" si="8"/>
        <v>0</v>
      </c>
      <c r="K14" s="122">
        <f t="shared" si="8"/>
        <v>0</v>
      </c>
      <c r="L14" s="122">
        <f t="shared" si="8"/>
        <v>77.833333333333329</v>
      </c>
      <c r="M14" s="122">
        <f t="shared" si="8"/>
        <v>189</v>
      </c>
      <c r="N14" s="122">
        <f t="shared" si="8"/>
        <v>71.523809523809518</v>
      </c>
      <c r="O14" s="122">
        <f t="shared" si="8"/>
        <v>68.243243243243242</v>
      </c>
      <c r="P14" s="97">
        <f t="shared" si="8"/>
        <v>76.466200466200462</v>
      </c>
      <c r="Q14" s="101"/>
      <c r="R14" s="79"/>
      <c r="S14" s="79"/>
      <c r="U14" s="68"/>
    </row>
    <row r="15" spans="1:25" ht="14.4" x14ac:dyDescent="0.35">
      <c r="A15" s="188"/>
      <c r="B15" s="132"/>
      <c r="C15" s="132" t="s">
        <v>41</v>
      </c>
      <c r="D15" s="133">
        <f t="shared" ref="D15:P15" si="9">IF(D13=0,0,(D13/D17))</f>
        <v>40.877358490566039</v>
      </c>
      <c r="E15" s="133">
        <f t="shared" si="9"/>
        <v>56.019337016574589</v>
      </c>
      <c r="F15" s="133">
        <f t="shared" si="9"/>
        <v>43.333333333333336</v>
      </c>
      <c r="G15" s="133">
        <f t="shared" si="9"/>
        <v>0</v>
      </c>
      <c r="H15" s="133">
        <f t="shared" si="9"/>
        <v>0</v>
      </c>
      <c r="I15" s="133">
        <f t="shared" si="9"/>
        <v>0</v>
      </c>
      <c r="J15" s="133">
        <f t="shared" si="9"/>
        <v>0</v>
      </c>
      <c r="K15" s="133">
        <f t="shared" si="9"/>
        <v>0</v>
      </c>
      <c r="L15" s="133">
        <f t="shared" si="9"/>
        <v>38.916666666666664</v>
      </c>
      <c r="M15" s="133">
        <f t="shared" si="9"/>
        <v>68.727272727272734</v>
      </c>
      <c r="N15" s="133">
        <f t="shared" si="9"/>
        <v>51.793103448275865</v>
      </c>
      <c r="O15" s="133">
        <f t="shared" si="9"/>
        <v>36.594202898550726</v>
      </c>
      <c r="P15" s="98">
        <f t="shared" si="9"/>
        <v>50.937888198757761</v>
      </c>
      <c r="Q15" s="102"/>
      <c r="R15" s="104"/>
      <c r="S15" s="104"/>
      <c r="U15" s="68"/>
    </row>
    <row r="16" spans="1:25" ht="14.4" x14ac:dyDescent="0.35">
      <c r="A16" s="188"/>
      <c r="B16" s="129" t="s">
        <v>42</v>
      </c>
      <c r="C16" s="129" t="s">
        <v>43</v>
      </c>
      <c r="D16" s="134">
        <v>78</v>
      </c>
      <c r="E16" s="134">
        <f>129+132</f>
        <v>261</v>
      </c>
      <c r="F16" s="134">
        <v>14</v>
      </c>
      <c r="G16" s="134"/>
      <c r="H16" s="134"/>
      <c r="I16" s="134"/>
      <c r="J16" s="134"/>
      <c r="K16" s="134"/>
      <c r="L16" s="134">
        <f>6</f>
        <v>6</v>
      </c>
      <c r="M16" s="134">
        <f>6+6</f>
        <v>12</v>
      </c>
      <c r="N16" s="134">
        <v>21</v>
      </c>
      <c r="O16" s="134">
        <f>37</f>
        <v>37</v>
      </c>
      <c r="P16" s="105">
        <f>SUM(D16:O16)</f>
        <v>429</v>
      </c>
      <c r="Q16" s="100"/>
      <c r="R16" s="100"/>
      <c r="S16" s="100"/>
      <c r="U16" s="67"/>
    </row>
    <row r="17" spans="1:21" ht="14.4" x14ac:dyDescent="0.35">
      <c r="A17" s="188"/>
      <c r="B17" s="135"/>
      <c r="C17" s="135" t="s">
        <v>44</v>
      </c>
      <c r="D17" s="136">
        <v>106</v>
      </c>
      <c r="E17" s="136">
        <f>178+184</f>
        <v>362</v>
      </c>
      <c r="F17" s="136">
        <v>33</v>
      </c>
      <c r="G17" s="136"/>
      <c r="H17" s="136"/>
      <c r="I17" s="136"/>
      <c r="J17" s="136"/>
      <c r="K17" s="136"/>
      <c r="L17" s="136">
        <v>12</v>
      </c>
      <c r="M17" s="136">
        <f>12+21</f>
        <v>33</v>
      </c>
      <c r="N17" s="136">
        <v>29</v>
      </c>
      <c r="O17" s="136">
        <f>34+35</f>
        <v>69</v>
      </c>
      <c r="P17" s="106">
        <f>SUM(D17:O17)</f>
        <v>644</v>
      </c>
      <c r="Q17" s="104"/>
      <c r="R17" s="103" t="e">
        <f>P17/$R$2</f>
        <v>#DIV/0!</v>
      </c>
      <c r="S17" s="103" t="e">
        <f>P17/$S$2</f>
        <v>#DIV/0!</v>
      </c>
      <c r="U17" s="67"/>
    </row>
    <row r="18" spans="1:21" ht="14.4" x14ac:dyDescent="0.35">
      <c r="A18" s="188" t="s">
        <v>24</v>
      </c>
      <c r="B18" s="129" t="s">
        <v>33</v>
      </c>
      <c r="C18" s="129" t="s">
        <v>18</v>
      </c>
      <c r="D18" s="130">
        <v>8178</v>
      </c>
      <c r="E18" s="130">
        <v>8690</v>
      </c>
      <c r="F18" s="130">
        <v>1740</v>
      </c>
      <c r="G18" s="130"/>
      <c r="H18" s="130"/>
      <c r="I18" s="130"/>
      <c r="J18" s="130"/>
      <c r="K18" s="130">
        <v>382</v>
      </c>
      <c r="L18" s="130">
        <v>1147</v>
      </c>
      <c r="M18" s="130">
        <v>2478</v>
      </c>
      <c r="N18" s="130">
        <v>5390</v>
      </c>
      <c r="O18" s="130">
        <v>18194</v>
      </c>
      <c r="P18" s="47">
        <f>SUM(D18:O18)</f>
        <v>46199</v>
      </c>
      <c r="Q18" s="99">
        <f>P18/$P$3</f>
        <v>0.58003239212042834</v>
      </c>
      <c r="R18" s="100"/>
      <c r="S18" s="100"/>
      <c r="U18" s="68"/>
    </row>
    <row r="19" spans="1:21" ht="14.4" x14ac:dyDescent="0.35">
      <c r="A19" s="188"/>
      <c r="B19" s="131"/>
      <c r="C19" s="131" t="s">
        <v>40</v>
      </c>
      <c r="D19" s="122">
        <f t="shared" ref="D19" si="10">IF(D18=0,0,(D18/D21))</f>
        <v>109.04</v>
      </c>
      <c r="E19" s="122">
        <f>IF(E18=0,0,(E18/E21))</f>
        <v>107.28395061728395</v>
      </c>
      <c r="F19" s="122">
        <f t="shared" ref="F19:P19" si="11">IF(F18=0,0,(F18/F21))</f>
        <v>108.75</v>
      </c>
      <c r="G19" s="122">
        <f t="shared" si="11"/>
        <v>0</v>
      </c>
      <c r="H19" s="122">
        <f t="shared" si="11"/>
        <v>0</v>
      </c>
      <c r="I19" s="122">
        <f t="shared" si="11"/>
        <v>0</v>
      </c>
      <c r="J19" s="122">
        <f t="shared" si="11"/>
        <v>0</v>
      </c>
      <c r="K19" s="122">
        <f t="shared" si="11"/>
        <v>127.33333333333333</v>
      </c>
      <c r="L19" s="122">
        <f t="shared" si="11"/>
        <v>104.27272727272727</v>
      </c>
      <c r="M19" s="122">
        <f t="shared" si="11"/>
        <v>190.61538461538461</v>
      </c>
      <c r="N19" s="122">
        <f t="shared" si="11"/>
        <v>192.5</v>
      </c>
      <c r="O19" s="122">
        <f>IF(O18=0,0,(O18/O21))</f>
        <v>202.15555555555557</v>
      </c>
      <c r="P19" s="97">
        <f t="shared" si="11"/>
        <v>145.73817034700315</v>
      </c>
      <c r="Q19" s="101"/>
      <c r="R19" s="79"/>
      <c r="S19" s="79"/>
      <c r="U19" s="68"/>
    </row>
    <row r="20" spans="1:21" ht="14.4" x14ac:dyDescent="0.35">
      <c r="A20" s="188"/>
      <c r="B20" s="132"/>
      <c r="C20" s="132" t="s">
        <v>41</v>
      </c>
      <c r="D20" s="133">
        <f t="shared" ref="D20:P20" si="12">IF(D18=0,0,(D18/D22))</f>
        <v>71.736842105263165</v>
      </c>
      <c r="E20" s="133">
        <f t="shared" si="12"/>
        <v>65.833333333333329</v>
      </c>
      <c r="F20" s="133">
        <f t="shared" si="12"/>
        <v>54.375</v>
      </c>
      <c r="G20" s="133">
        <f t="shared" si="12"/>
        <v>0</v>
      </c>
      <c r="H20" s="133">
        <f t="shared" si="12"/>
        <v>0</v>
      </c>
      <c r="I20" s="133">
        <f t="shared" si="12"/>
        <v>0</v>
      </c>
      <c r="J20" s="133">
        <f t="shared" si="12"/>
        <v>0</v>
      </c>
      <c r="K20" s="133">
        <f t="shared" si="12"/>
        <v>127.33333333333333</v>
      </c>
      <c r="L20" s="133">
        <f t="shared" si="12"/>
        <v>60.368421052631582</v>
      </c>
      <c r="M20" s="133">
        <f t="shared" si="12"/>
        <v>88.5</v>
      </c>
      <c r="N20" s="133">
        <f t="shared" si="12"/>
        <v>114.68085106382979</v>
      </c>
      <c r="O20" s="133">
        <f t="shared" si="12"/>
        <v>107.65680473372781</v>
      </c>
      <c r="P20" s="98">
        <f t="shared" si="12"/>
        <v>84.924632352941174</v>
      </c>
      <c r="Q20" s="102"/>
      <c r="R20" s="104"/>
      <c r="S20" s="104"/>
      <c r="U20" s="68"/>
    </row>
    <row r="21" spans="1:21" ht="14.4" x14ac:dyDescent="0.35">
      <c r="A21" s="188"/>
      <c r="B21" s="129" t="s">
        <v>42</v>
      </c>
      <c r="C21" s="129" t="s">
        <v>43</v>
      </c>
      <c r="D21" s="134">
        <f>53+22+0</f>
        <v>75</v>
      </c>
      <c r="E21" s="134">
        <v>81</v>
      </c>
      <c r="F21" s="134">
        <v>16</v>
      </c>
      <c r="G21" s="134"/>
      <c r="H21" s="134"/>
      <c r="I21" s="134"/>
      <c r="J21" s="134"/>
      <c r="K21" s="134">
        <v>3</v>
      </c>
      <c r="L21" s="134">
        <v>11</v>
      </c>
      <c r="M21" s="134">
        <v>13</v>
      </c>
      <c r="N21" s="134">
        <f>19+9</f>
        <v>28</v>
      </c>
      <c r="O21" s="134">
        <f>67+23</f>
        <v>90</v>
      </c>
      <c r="P21" s="105">
        <f>SUM(D21:O21)</f>
        <v>317</v>
      </c>
      <c r="Q21" s="100"/>
      <c r="R21" s="100"/>
      <c r="S21" s="100"/>
      <c r="U21" s="67"/>
    </row>
    <row r="22" spans="1:21" ht="14.4" x14ac:dyDescent="0.35">
      <c r="A22" s="188"/>
      <c r="B22" s="135"/>
      <c r="C22" s="135" t="s">
        <v>44</v>
      </c>
      <c r="D22" s="136">
        <f>82+32</f>
        <v>114</v>
      </c>
      <c r="E22" s="136">
        <v>132</v>
      </c>
      <c r="F22" s="136">
        <v>32</v>
      </c>
      <c r="G22" s="136"/>
      <c r="H22" s="136"/>
      <c r="I22" s="136"/>
      <c r="J22" s="136"/>
      <c r="K22" s="136">
        <v>3</v>
      </c>
      <c r="L22" s="136">
        <v>19</v>
      </c>
      <c r="M22" s="136">
        <v>28</v>
      </c>
      <c r="N22" s="136">
        <v>47</v>
      </c>
      <c r="O22" s="136">
        <f>124+45</f>
        <v>169</v>
      </c>
      <c r="P22" s="106">
        <f>SUM(D22:O22)</f>
        <v>544</v>
      </c>
      <c r="Q22" s="104"/>
      <c r="R22" s="103" t="e">
        <f>P22/$R$2</f>
        <v>#DIV/0!</v>
      </c>
      <c r="S22" s="103" t="e">
        <f>P22/$S$2</f>
        <v>#DIV/0!</v>
      </c>
      <c r="U22" s="67"/>
    </row>
    <row r="23" spans="1:21" ht="14.4" x14ac:dyDescent="0.35">
      <c r="A23" s="188" t="s">
        <v>31</v>
      </c>
      <c r="B23" s="129" t="s">
        <v>33</v>
      </c>
      <c r="C23" s="129" t="s">
        <v>18</v>
      </c>
      <c r="D23" s="130">
        <v>0</v>
      </c>
      <c r="E23" s="130">
        <v>0</v>
      </c>
      <c r="F23" s="130">
        <v>0</v>
      </c>
      <c r="G23" s="130">
        <v>0</v>
      </c>
      <c r="H23" s="130">
        <v>0</v>
      </c>
      <c r="I23" s="130">
        <v>0</v>
      </c>
      <c r="J23" s="130">
        <v>0</v>
      </c>
      <c r="K23" s="130">
        <v>646</v>
      </c>
      <c r="L23" s="130"/>
      <c r="M23" s="130"/>
      <c r="N23" s="130"/>
      <c r="O23" s="130"/>
      <c r="P23" s="47">
        <f>SUM(D23:O23)</f>
        <v>646</v>
      </c>
      <c r="Q23" s="99">
        <f>P23/$P$3</f>
        <v>8.110585192532235E-3</v>
      </c>
      <c r="R23" s="100"/>
      <c r="S23" s="100"/>
      <c r="U23" s="68"/>
    </row>
    <row r="24" spans="1:21" ht="14.4" x14ac:dyDescent="0.35">
      <c r="A24" s="188"/>
      <c r="B24" s="131"/>
      <c r="C24" s="131" t="s">
        <v>40</v>
      </c>
      <c r="D24" s="122">
        <f t="shared" ref="D24:P24" si="13">IF(D23=0,0,(D23/D26))</f>
        <v>0</v>
      </c>
      <c r="E24" s="122">
        <f t="shared" si="13"/>
        <v>0</v>
      </c>
      <c r="F24" s="122">
        <f t="shared" si="13"/>
        <v>0</v>
      </c>
      <c r="G24" s="122">
        <f t="shared" si="13"/>
        <v>0</v>
      </c>
      <c r="H24" s="122">
        <f t="shared" si="13"/>
        <v>0</v>
      </c>
      <c r="I24" s="122">
        <f t="shared" si="13"/>
        <v>0</v>
      </c>
      <c r="J24" s="122">
        <f t="shared" si="13"/>
        <v>0</v>
      </c>
      <c r="K24" s="122">
        <f t="shared" si="13"/>
        <v>92.285714285714292</v>
      </c>
      <c r="L24" s="122">
        <f t="shared" si="13"/>
        <v>0</v>
      </c>
      <c r="M24" s="122">
        <f t="shared" si="13"/>
        <v>0</v>
      </c>
      <c r="N24" s="122">
        <f t="shared" si="13"/>
        <v>0</v>
      </c>
      <c r="O24" s="122">
        <f t="shared" si="13"/>
        <v>0</v>
      </c>
      <c r="P24" s="97">
        <f t="shared" si="13"/>
        <v>92.285714285714292</v>
      </c>
      <c r="Q24" s="101"/>
      <c r="R24" s="79"/>
      <c r="S24" s="79"/>
      <c r="U24" s="68"/>
    </row>
    <row r="25" spans="1:21" ht="14.4" x14ac:dyDescent="0.35">
      <c r="A25" s="188"/>
      <c r="B25" s="132"/>
      <c r="C25" s="132" t="s">
        <v>41</v>
      </c>
      <c r="D25" s="133">
        <f t="shared" ref="D25:P25" si="14">IF(D23=0,0,(D23/D27))</f>
        <v>0</v>
      </c>
      <c r="E25" s="133">
        <f t="shared" si="14"/>
        <v>0</v>
      </c>
      <c r="F25" s="133">
        <f t="shared" si="14"/>
        <v>0</v>
      </c>
      <c r="G25" s="133">
        <f t="shared" si="14"/>
        <v>0</v>
      </c>
      <c r="H25" s="133">
        <f t="shared" si="14"/>
        <v>0</v>
      </c>
      <c r="I25" s="133">
        <f t="shared" si="14"/>
        <v>0</v>
      </c>
      <c r="J25" s="133">
        <f t="shared" si="14"/>
        <v>0</v>
      </c>
      <c r="K25" s="133">
        <f t="shared" si="14"/>
        <v>46.142857142857146</v>
      </c>
      <c r="L25" s="133">
        <f t="shared" si="14"/>
        <v>0</v>
      </c>
      <c r="M25" s="133">
        <f t="shared" si="14"/>
        <v>0</v>
      </c>
      <c r="N25" s="133">
        <f t="shared" si="14"/>
        <v>0</v>
      </c>
      <c r="O25" s="133">
        <f t="shared" si="14"/>
        <v>0</v>
      </c>
      <c r="P25" s="98">
        <f t="shared" si="14"/>
        <v>46.142857142857146</v>
      </c>
      <c r="Q25" s="102"/>
      <c r="R25" s="104"/>
      <c r="S25" s="104"/>
      <c r="U25" s="68"/>
    </row>
    <row r="26" spans="1:21" ht="14.4" x14ac:dyDescent="0.35">
      <c r="A26" s="188"/>
      <c r="B26" s="129" t="s">
        <v>42</v>
      </c>
      <c r="C26" s="129" t="s">
        <v>43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7</v>
      </c>
      <c r="L26" s="134"/>
      <c r="M26" s="134"/>
      <c r="N26" s="134"/>
      <c r="O26" s="134"/>
      <c r="P26" s="105">
        <f>SUM(D26:O26)</f>
        <v>7</v>
      </c>
      <c r="Q26" s="100"/>
      <c r="R26" s="100"/>
      <c r="S26" s="100"/>
      <c r="U26" s="67"/>
    </row>
    <row r="27" spans="1:21" ht="14.4" x14ac:dyDescent="0.35">
      <c r="A27" s="188"/>
      <c r="B27" s="135"/>
      <c r="C27" s="135" t="s">
        <v>44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  <c r="I27" s="136">
        <v>0</v>
      </c>
      <c r="J27" s="136">
        <v>0</v>
      </c>
      <c r="K27" s="136">
        <v>14</v>
      </c>
      <c r="L27" s="136"/>
      <c r="M27" s="136"/>
      <c r="N27" s="136"/>
      <c r="O27" s="136"/>
      <c r="P27" s="106">
        <f>SUM(D27:O27)</f>
        <v>14</v>
      </c>
      <c r="Q27" s="104"/>
      <c r="R27" s="103" t="e">
        <f>P27/$R$2</f>
        <v>#DIV/0!</v>
      </c>
      <c r="S27" s="103" t="e">
        <f>P27/$S$2</f>
        <v>#DIV/0!</v>
      </c>
      <c r="U27" s="67"/>
    </row>
    <row r="28" spans="1:21" ht="14.4" x14ac:dyDescent="0.35">
      <c r="A28" s="188" t="s">
        <v>26</v>
      </c>
      <c r="B28" s="129" t="s">
        <v>33</v>
      </c>
      <c r="C28" s="129" t="s">
        <v>18</v>
      </c>
      <c r="D28" s="130"/>
      <c r="E28" s="130"/>
      <c r="F28" s="130">
        <v>0</v>
      </c>
      <c r="G28" s="130"/>
      <c r="H28" s="130"/>
      <c r="I28" s="130"/>
      <c r="J28" s="130"/>
      <c r="K28" s="130"/>
      <c r="L28" s="130"/>
      <c r="M28" s="130"/>
      <c r="N28" s="130"/>
      <c r="O28" s="130"/>
      <c r="P28" s="47"/>
      <c r="Q28" s="99">
        <f>P28/$P$3</f>
        <v>0</v>
      </c>
      <c r="R28" s="100"/>
      <c r="S28" s="100"/>
      <c r="U28" s="68"/>
    </row>
    <row r="29" spans="1:21" ht="14.4" x14ac:dyDescent="0.35">
      <c r="A29" s="188"/>
      <c r="B29" s="131"/>
      <c r="C29" s="131" t="s">
        <v>40</v>
      </c>
      <c r="D29" s="122"/>
      <c r="E29" s="122">
        <f t="shared" ref="E29:O29" si="15">IF(E28=0,0,(E28/E31))</f>
        <v>0</v>
      </c>
      <c r="F29" s="122">
        <f t="shared" si="15"/>
        <v>0</v>
      </c>
      <c r="G29" s="122">
        <f t="shared" si="15"/>
        <v>0</v>
      </c>
      <c r="H29" s="122">
        <f t="shared" si="15"/>
        <v>0</v>
      </c>
      <c r="I29" s="122">
        <f t="shared" si="15"/>
        <v>0</v>
      </c>
      <c r="J29" s="122">
        <f t="shared" si="15"/>
        <v>0</v>
      </c>
      <c r="K29" s="122">
        <f t="shared" si="15"/>
        <v>0</v>
      </c>
      <c r="L29" s="122">
        <f t="shared" si="15"/>
        <v>0</v>
      </c>
      <c r="M29" s="122">
        <f t="shared" si="15"/>
        <v>0</v>
      </c>
      <c r="N29" s="122">
        <f t="shared" si="15"/>
        <v>0</v>
      </c>
      <c r="O29" s="122">
        <f t="shared" si="15"/>
        <v>0</v>
      </c>
      <c r="P29" s="97"/>
      <c r="Q29" s="101"/>
      <c r="R29" s="79"/>
      <c r="S29" s="79"/>
      <c r="U29" s="68"/>
    </row>
    <row r="30" spans="1:21" ht="14.4" x14ac:dyDescent="0.35">
      <c r="A30" s="188"/>
      <c r="B30" s="132"/>
      <c r="C30" s="132" t="s">
        <v>41</v>
      </c>
      <c r="D30" s="133"/>
      <c r="E30" s="133">
        <f t="shared" ref="E30:O30" si="16">IF(E28=0,0,(E28/E32))</f>
        <v>0</v>
      </c>
      <c r="F30" s="133">
        <f t="shared" si="16"/>
        <v>0</v>
      </c>
      <c r="G30" s="133">
        <f t="shared" si="16"/>
        <v>0</v>
      </c>
      <c r="H30" s="133">
        <f t="shared" si="16"/>
        <v>0</v>
      </c>
      <c r="I30" s="133">
        <f t="shared" si="16"/>
        <v>0</v>
      </c>
      <c r="J30" s="133">
        <f t="shared" si="16"/>
        <v>0</v>
      </c>
      <c r="K30" s="133">
        <f t="shared" si="16"/>
        <v>0</v>
      </c>
      <c r="L30" s="133">
        <f t="shared" si="16"/>
        <v>0</v>
      </c>
      <c r="M30" s="133">
        <f t="shared" si="16"/>
        <v>0</v>
      </c>
      <c r="N30" s="133">
        <f t="shared" si="16"/>
        <v>0</v>
      </c>
      <c r="O30" s="133">
        <f t="shared" si="16"/>
        <v>0</v>
      </c>
      <c r="P30" s="98"/>
      <c r="Q30" s="101"/>
      <c r="R30" s="79"/>
      <c r="S30" s="79"/>
      <c r="U30" s="68"/>
    </row>
    <row r="31" spans="1:21" ht="14.4" x14ac:dyDescent="0.35">
      <c r="A31" s="188"/>
      <c r="B31" s="129" t="s">
        <v>42</v>
      </c>
      <c r="C31" s="129" t="s">
        <v>43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05"/>
      <c r="Q31" s="100"/>
      <c r="R31" s="100"/>
      <c r="S31" s="100"/>
      <c r="U31" s="67"/>
    </row>
    <row r="32" spans="1:21" ht="14.4" x14ac:dyDescent="0.35">
      <c r="A32" s="188"/>
      <c r="B32" s="135"/>
      <c r="C32" s="135" t="s">
        <v>44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06"/>
      <c r="Q32" s="104"/>
      <c r="R32" s="103" t="e">
        <f>P32/$R$2</f>
        <v>#DIV/0!</v>
      </c>
      <c r="S32" s="103" t="e">
        <f>P32/$S$2</f>
        <v>#DIV/0!</v>
      </c>
      <c r="U32" s="67"/>
    </row>
    <row r="33" spans="1:21" ht="14.4" x14ac:dyDescent="0.35">
      <c r="A33" s="188" t="s">
        <v>29</v>
      </c>
      <c r="B33" s="129" t="s">
        <v>33</v>
      </c>
      <c r="C33" s="129" t="s">
        <v>18</v>
      </c>
      <c r="D33" s="130"/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0">
        <v>0</v>
      </c>
      <c r="K33" s="130">
        <v>0</v>
      </c>
      <c r="L33" s="130"/>
      <c r="M33" s="130"/>
      <c r="N33" s="130">
        <v>0</v>
      </c>
      <c r="O33" s="130">
        <v>0</v>
      </c>
      <c r="P33" s="47">
        <f>SUM(D33:O33)</f>
        <v>0</v>
      </c>
      <c r="Q33" s="99">
        <f>P33/$P$3</f>
        <v>0</v>
      </c>
      <c r="R33" s="100"/>
      <c r="S33" s="100"/>
      <c r="U33" s="68"/>
    </row>
    <row r="34" spans="1:21" ht="14.4" x14ac:dyDescent="0.35">
      <c r="A34" s="188"/>
      <c r="B34" s="131"/>
      <c r="C34" s="131" t="s">
        <v>40</v>
      </c>
      <c r="D34" s="122">
        <f t="shared" ref="D34:P34" si="17">IF(D33=0,0,(D33/D36))</f>
        <v>0</v>
      </c>
      <c r="E34" s="122">
        <f t="shared" si="17"/>
        <v>0</v>
      </c>
      <c r="F34" s="122">
        <f t="shared" si="17"/>
        <v>0</v>
      </c>
      <c r="G34" s="122">
        <f t="shared" si="17"/>
        <v>0</v>
      </c>
      <c r="H34" s="122">
        <f t="shared" si="17"/>
        <v>0</v>
      </c>
      <c r="I34" s="122">
        <f t="shared" si="17"/>
        <v>0</v>
      </c>
      <c r="J34" s="122">
        <f t="shared" si="17"/>
        <v>0</v>
      </c>
      <c r="K34" s="122">
        <f t="shared" si="17"/>
        <v>0</v>
      </c>
      <c r="L34" s="122">
        <f t="shared" si="17"/>
        <v>0</v>
      </c>
      <c r="M34" s="122">
        <f t="shared" si="17"/>
        <v>0</v>
      </c>
      <c r="N34" s="122">
        <f t="shared" si="17"/>
        <v>0</v>
      </c>
      <c r="O34" s="122">
        <f t="shared" si="17"/>
        <v>0</v>
      </c>
      <c r="P34" s="97">
        <f t="shared" si="17"/>
        <v>0</v>
      </c>
      <c r="Q34" s="101"/>
      <c r="R34" s="79"/>
      <c r="S34" s="79"/>
      <c r="U34" s="68"/>
    </row>
    <row r="35" spans="1:21" ht="14.4" x14ac:dyDescent="0.35">
      <c r="A35" s="188"/>
      <c r="B35" s="132"/>
      <c r="C35" s="132" t="s">
        <v>41</v>
      </c>
      <c r="D35" s="133">
        <f t="shared" ref="D35:P35" si="18">IF(D33=0,0,(D33/D37))</f>
        <v>0</v>
      </c>
      <c r="E35" s="133">
        <f t="shared" si="18"/>
        <v>0</v>
      </c>
      <c r="F35" s="133">
        <f t="shared" si="18"/>
        <v>0</v>
      </c>
      <c r="G35" s="133">
        <f t="shared" si="18"/>
        <v>0</v>
      </c>
      <c r="H35" s="133">
        <f t="shared" si="18"/>
        <v>0</v>
      </c>
      <c r="I35" s="133">
        <f t="shared" si="18"/>
        <v>0</v>
      </c>
      <c r="J35" s="133">
        <f t="shared" si="18"/>
        <v>0</v>
      </c>
      <c r="K35" s="133">
        <f t="shared" si="18"/>
        <v>0</v>
      </c>
      <c r="L35" s="133">
        <f t="shared" si="18"/>
        <v>0</v>
      </c>
      <c r="M35" s="133">
        <f t="shared" si="18"/>
        <v>0</v>
      </c>
      <c r="N35" s="133">
        <f t="shared" si="18"/>
        <v>0</v>
      </c>
      <c r="O35" s="133">
        <f t="shared" si="18"/>
        <v>0</v>
      </c>
      <c r="P35" s="98">
        <f t="shared" si="18"/>
        <v>0</v>
      </c>
      <c r="Q35" s="102"/>
      <c r="R35" s="104"/>
      <c r="S35" s="104"/>
      <c r="U35" s="68"/>
    </row>
    <row r="36" spans="1:21" ht="14.4" x14ac:dyDescent="0.35">
      <c r="A36" s="188"/>
      <c r="B36" s="129" t="s">
        <v>42</v>
      </c>
      <c r="C36" s="129" t="s">
        <v>43</v>
      </c>
      <c r="D36" s="134"/>
      <c r="E36" s="134">
        <v>0</v>
      </c>
      <c r="F36" s="134">
        <v>0</v>
      </c>
      <c r="G36" s="134">
        <v>0</v>
      </c>
      <c r="H36" s="134"/>
      <c r="I36" s="134"/>
      <c r="J36" s="134">
        <v>0</v>
      </c>
      <c r="K36" s="134">
        <v>0</v>
      </c>
      <c r="L36" s="134"/>
      <c r="M36" s="134"/>
      <c r="N36" s="134"/>
      <c r="O36" s="134"/>
      <c r="P36" s="105">
        <f>SUM(D36:O36)</f>
        <v>0</v>
      </c>
      <c r="Q36" s="100"/>
      <c r="R36" s="100"/>
      <c r="S36" s="100"/>
      <c r="U36" s="67"/>
    </row>
    <row r="37" spans="1:21" ht="14.4" x14ac:dyDescent="0.35">
      <c r="A37" s="188"/>
      <c r="B37" s="135"/>
      <c r="C37" s="135" t="s">
        <v>44</v>
      </c>
      <c r="D37" s="136"/>
      <c r="E37" s="136">
        <v>0</v>
      </c>
      <c r="F37" s="136">
        <v>0</v>
      </c>
      <c r="G37" s="136">
        <v>0</v>
      </c>
      <c r="H37" s="136"/>
      <c r="I37" s="136"/>
      <c r="J37" s="136">
        <v>0</v>
      </c>
      <c r="K37" s="136">
        <v>0</v>
      </c>
      <c r="L37" s="136"/>
      <c r="M37" s="136"/>
      <c r="N37" s="136"/>
      <c r="O37" s="136"/>
      <c r="P37" s="106">
        <f>SUM(D37:O37)</f>
        <v>0</v>
      </c>
      <c r="Q37" s="104"/>
      <c r="R37" s="103" t="e">
        <f>P37/$R$2</f>
        <v>#DIV/0!</v>
      </c>
      <c r="S37" s="103" t="e">
        <f>P37/$S$2</f>
        <v>#DIV/0!</v>
      </c>
      <c r="U37" s="67"/>
    </row>
    <row r="38" spans="1:21" ht="14.4" x14ac:dyDescent="0.35">
      <c r="A38" s="188" t="s">
        <v>32</v>
      </c>
      <c r="B38" s="129" t="s">
        <v>33</v>
      </c>
      <c r="C38" s="129" t="s">
        <v>18</v>
      </c>
      <c r="D38" s="130"/>
      <c r="E38" s="130"/>
      <c r="F38" s="130">
        <v>0</v>
      </c>
      <c r="G38" s="130">
        <v>0</v>
      </c>
      <c r="H38" s="130"/>
      <c r="I38" s="130"/>
      <c r="J38" s="130"/>
      <c r="K38" s="130">
        <v>0</v>
      </c>
      <c r="L38" s="130"/>
      <c r="M38" s="130"/>
      <c r="N38" s="130"/>
      <c r="O38" s="130"/>
      <c r="P38" s="47">
        <f>SUM(D38:O38)</f>
        <v>0</v>
      </c>
      <c r="Q38" s="99">
        <f>P38/$P$3</f>
        <v>0</v>
      </c>
      <c r="R38" s="100"/>
      <c r="S38" s="100"/>
      <c r="U38" s="68"/>
    </row>
    <row r="39" spans="1:21" ht="14.4" x14ac:dyDescent="0.35">
      <c r="A39" s="188"/>
      <c r="B39" s="131"/>
      <c r="C39" s="131" t="s">
        <v>40</v>
      </c>
      <c r="D39" s="122"/>
      <c r="E39" s="122">
        <f t="shared" ref="E39:P39" si="19">IF(E38=0,0,(E38/E41))</f>
        <v>0</v>
      </c>
      <c r="F39" s="122">
        <f t="shared" si="19"/>
        <v>0</v>
      </c>
      <c r="G39" s="122">
        <f t="shared" si="19"/>
        <v>0</v>
      </c>
      <c r="H39" s="122">
        <f t="shared" si="19"/>
        <v>0</v>
      </c>
      <c r="I39" s="122">
        <f t="shared" si="19"/>
        <v>0</v>
      </c>
      <c r="J39" s="122">
        <f t="shared" si="19"/>
        <v>0</v>
      </c>
      <c r="K39" s="122">
        <f t="shared" si="19"/>
        <v>0</v>
      </c>
      <c r="L39" s="122">
        <f t="shared" si="19"/>
        <v>0</v>
      </c>
      <c r="M39" s="122">
        <f t="shared" si="19"/>
        <v>0</v>
      </c>
      <c r="N39" s="122">
        <f t="shared" si="19"/>
        <v>0</v>
      </c>
      <c r="O39" s="122">
        <f t="shared" si="19"/>
        <v>0</v>
      </c>
      <c r="P39" s="97">
        <f t="shared" si="19"/>
        <v>0</v>
      </c>
      <c r="Q39" s="101"/>
      <c r="R39" s="79"/>
      <c r="S39" s="79"/>
      <c r="U39" s="68"/>
    </row>
    <row r="40" spans="1:21" ht="14.4" x14ac:dyDescent="0.35">
      <c r="A40" s="188"/>
      <c r="B40" s="132"/>
      <c r="C40" s="132" t="s">
        <v>41</v>
      </c>
      <c r="D40" s="133"/>
      <c r="E40" s="133">
        <f t="shared" ref="E40:P40" si="20">IF(E38=0,0,(E38/E42))</f>
        <v>0</v>
      </c>
      <c r="F40" s="133">
        <f t="shared" si="20"/>
        <v>0</v>
      </c>
      <c r="G40" s="133">
        <f t="shared" si="20"/>
        <v>0</v>
      </c>
      <c r="H40" s="133">
        <f t="shared" si="20"/>
        <v>0</v>
      </c>
      <c r="I40" s="133">
        <f t="shared" si="20"/>
        <v>0</v>
      </c>
      <c r="J40" s="133">
        <f t="shared" si="20"/>
        <v>0</v>
      </c>
      <c r="K40" s="133">
        <f t="shared" si="20"/>
        <v>0</v>
      </c>
      <c r="L40" s="133">
        <f t="shared" si="20"/>
        <v>0</v>
      </c>
      <c r="M40" s="133">
        <f t="shared" si="20"/>
        <v>0</v>
      </c>
      <c r="N40" s="133">
        <f t="shared" si="20"/>
        <v>0</v>
      </c>
      <c r="O40" s="133">
        <f t="shared" si="20"/>
        <v>0</v>
      </c>
      <c r="P40" s="98">
        <f t="shared" si="20"/>
        <v>0</v>
      </c>
      <c r="Q40" s="102"/>
      <c r="R40" s="104"/>
      <c r="S40" s="104"/>
      <c r="U40" s="68"/>
    </row>
    <row r="41" spans="1:21" ht="14.4" x14ac:dyDescent="0.35">
      <c r="A41" s="188"/>
      <c r="B41" s="129" t="s">
        <v>42</v>
      </c>
      <c r="C41" s="129" t="s">
        <v>43</v>
      </c>
      <c r="D41" s="134"/>
      <c r="E41" s="134"/>
      <c r="F41" s="134">
        <v>0</v>
      </c>
      <c r="G41" s="134">
        <v>0</v>
      </c>
      <c r="H41" s="134"/>
      <c r="I41" s="134"/>
      <c r="J41" s="134"/>
      <c r="K41" s="134">
        <v>0</v>
      </c>
      <c r="L41" s="134"/>
      <c r="M41" s="134"/>
      <c r="N41" s="134"/>
      <c r="O41" s="134"/>
      <c r="P41" s="105">
        <f>SUM(D41:O41)</f>
        <v>0</v>
      </c>
      <c r="Q41" s="100"/>
      <c r="R41" s="100"/>
      <c r="S41" s="100"/>
      <c r="U41" s="67"/>
    </row>
    <row r="42" spans="1:21" ht="14.4" x14ac:dyDescent="0.35">
      <c r="A42" s="188"/>
      <c r="B42" s="135"/>
      <c r="C42" s="135" t="s">
        <v>44</v>
      </c>
      <c r="D42" s="136"/>
      <c r="E42" s="136"/>
      <c r="F42" s="136">
        <v>0</v>
      </c>
      <c r="G42" s="136">
        <v>0</v>
      </c>
      <c r="H42" s="136"/>
      <c r="I42" s="136"/>
      <c r="J42" s="136"/>
      <c r="K42" s="136">
        <v>0</v>
      </c>
      <c r="L42" s="136"/>
      <c r="M42" s="136"/>
      <c r="N42" s="136"/>
      <c r="O42" s="136"/>
      <c r="P42" s="106">
        <f>SUM(D42:O42)</f>
        <v>0</v>
      </c>
      <c r="Q42" s="104"/>
      <c r="R42" s="103" t="e">
        <f>P42/$R$2</f>
        <v>#DIV/0!</v>
      </c>
      <c r="S42" s="103" t="e">
        <f>P42/$S$2</f>
        <v>#DIV/0!</v>
      </c>
      <c r="U42" s="67"/>
    </row>
  </sheetData>
  <autoFilter ref="A2:B42"/>
  <mergeCells count="11">
    <mergeCell ref="A13:A17"/>
    <mergeCell ref="A1:T1"/>
    <mergeCell ref="A3:A7"/>
    <mergeCell ref="Q3:Q7"/>
    <mergeCell ref="R3:S5"/>
    <mergeCell ref="A8:A12"/>
    <mergeCell ref="A18:A22"/>
    <mergeCell ref="A23:A27"/>
    <mergeCell ref="A28:A32"/>
    <mergeCell ref="A33:A37"/>
    <mergeCell ref="A38:A42"/>
  </mergeCells>
  <conditionalFormatting sqref="T2:XFD7 A2:P2 A3 H3:P7 S9:XFD12 Q9:Q12 Q8:XFD8 A43:XFD1048576 Q13:XFD42">
    <cfRule type="cellIs" dxfId="173" priority="71" operator="equal">
      <formula>0</formula>
    </cfRule>
  </conditionalFormatting>
  <conditionalFormatting sqref="Q3:S7">
    <cfRule type="cellIs" dxfId="172" priority="70" operator="equal">
      <formula>0</formula>
    </cfRule>
  </conditionalFormatting>
  <conditionalFormatting sqref="Q2:S2">
    <cfRule type="cellIs" dxfId="171" priority="69" operator="equal">
      <formula>0</formula>
    </cfRule>
  </conditionalFormatting>
  <conditionalFormatting sqref="B3:C7">
    <cfRule type="cellIs" dxfId="170" priority="68" operator="equal">
      <formula>0</formula>
    </cfRule>
  </conditionalFormatting>
  <conditionalFormatting sqref="A38:C38 B39:C42 P38:P42 H41:I42 H38:I38">
    <cfRule type="cellIs" dxfId="169" priority="67" operator="equal">
      <formula>0</formula>
    </cfRule>
  </conditionalFormatting>
  <conditionalFormatting sqref="A8:C8 B9:C12 P8:P12 H11:I12 H8:I8">
    <cfRule type="cellIs" dxfId="168" priority="66" operator="equal">
      <formula>0</formula>
    </cfRule>
  </conditionalFormatting>
  <conditionalFormatting sqref="A13:C13 B14:C17 P13:P17 H16:I17 H13:I13">
    <cfRule type="cellIs" dxfId="167" priority="65" operator="equal">
      <formula>0</formula>
    </cfRule>
  </conditionalFormatting>
  <conditionalFormatting sqref="A18:C18 B19:C22 P18:P22 H21:I22 H18:I18">
    <cfRule type="cellIs" dxfId="166" priority="64" operator="equal">
      <formula>0</formula>
    </cfRule>
  </conditionalFormatting>
  <conditionalFormatting sqref="A23:C23 B24:C27 P23:P27 H26:I27 H23:I23">
    <cfRule type="cellIs" dxfId="165" priority="63" operator="equal">
      <formula>0</formula>
    </cfRule>
  </conditionalFormatting>
  <conditionalFormatting sqref="A28:C28 B29:C32 P28:P32 H31:I32 H28:I28">
    <cfRule type="cellIs" dxfId="164" priority="62" operator="equal">
      <formula>0</formula>
    </cfRule>
  </conditionalFormatting>
  <conditionalFormatting sqref="A33:C33 B34:C37 P33:P37 H36:I37 H33:I33">
    <cfRule type="cellIs" dxfId="163" priority="61" operator="equal">
      <formula>0</formula>
    </cfRule>
  </conditionalFormatting>
  <conditionalFormatting sqref="U1:XFD1 A1">
    <cfRule type="cellIs" dxfId="162" priority="60" operator="equal">
      <formula>0</formula>
    </cfRule>
  </conditionalFormatting>
  <conditionalFormatting sqref="H9:I10">
    <cfRule type="cellIs" dxfId="161" priority="59" operator="equal">
      <formula>0</formula>
    </cfRule>
  </conditionalFormatting>
  <conditionalFormatting sqref="H14:I15">
    <cfRule type="cellIs" dxfId="160" priority="58" operator="equal">
      <formula>0</formula>
    </cfRule>
  </conditionalFormatting>
  <conditionalFormatting sqref="H19:I20">
    <cfRule type="cellIs" dxfId="159" priority="57" operator="equal">
      <formula>0</formula>
    </cfRule>
  </conditionalFormatting>
  <conditionalFormatting sqref="H24:I25">
    <cfRule type="cellIs" dxfId="158" priority="56" operator="equal">
      <formula>0</formula>
    </cfRule>
  </conditionalFormatting>
  <conditionalFormatting sqref="H29:I30">
    <cfRule type="cellIs" dxfId="157" priority="55" operator="equal">
      <formula>0</formula>
    </cfRule>
  </conditionalFormatting>
  <conditionalFormatting sqref="H34:I35">
    <cfRule type="cellIs" dxfId="156" priority="54" operator="equal">
      <formula>0</formula>
    </cfRule>
  </conditionalFormatting>
  <conditionalFormatting sqref="H39:I40">
    <cfRule type="cellIs" dxfId="155" priority="53" operator="equal">
      <formula>0</formula>
    </cfRule>
  </conditionalFormatting>
  <conditionalFormatting sqref="J38:O38 J41:O42">
    <cfRule type="cellIs" dxfId="154" priority="52" operator="equal">
      <formula>0</formula>
    </cfRule>
  </conditionalFormatting>
  <conditionalFormatting sqref="J8:K8 J11:K12">
    <cfRule type="cellIs" dxfId="153" priority="51" operator="equal">
      <formula>0</formula>
    </cfRule>
  </conditionalFormatting>
  <conditionalFormatting sqref="J13:K13 J16:K17">
    <cfRule type="cellIs" dxfId="152" priority="50" operator="equal">
      <formula>0</formula>
    </cfRule>
  </conditionalFormatting>
  <conditionalFormatting sqref="J18:K18 J21:K22">
    <cfRule type="cellIs" dxfId="151" priority="49" operator="equal">
      <formula>0</formula>
    </cfRule>
  </conditionalFormatting>
  <conditionalFormatting sqref="J23:O23 J26:O27">
    <cfRule type="cellIs" dxfId="150" priority="48" operator="equal">
      <formula>0</formula>
    </cfRule>
  </conditionalFormatting>
  <conditionalFormatting sqref="J28:O28 J31:O32">
    <cfRule type="cellIs" dxfId="149" priority="47" operator="equal">
      <formula>0</formula>
    </cfRule>
  </conditionalFormatting>
  <conditionalFormatting sqref="J33:O33 J36:O37">
    <cfRule type="cellIs" dxfId="148" priority="46" operator="equal">
      <formula>0</formula>
    </cfRule>
  </conditionalFormatting>
  <conditionalFormatting sqref="J9:K10">
    <cfRule type="cellIs" dxfId="147" priority="45" operator="equal">
      <formula>0</formula>
    </cfRule>
  </conditionalFormatting>
  <conditionalFormatting sqref="J14:K15">
    <cfRule type="cellIs" dxfId="146" priority="44" operator="equal">
      <formula>0</formula>
    </cfRule>
  </conditionalFormatting>
  <conditionalFormatting sqref="J19:K20">
    <cfRule type="cellIs" dxfId="145" priority="43" operator="equal">
      <formula>0</formula>
    </cfRule>
  </conditionalFormatting>
  <conditionalFormatting sqref="J24:O25">
    <cfRule type="cellIs" dxfId="144" priority="42" operator="equal">
      <formula>0</formula>
    </cfRule>
  </conditionalFormatting>
  <conditionalFormatting sqref="J29:O30">
    <cfRule type="cellIs" dxfId="143" priority="41" operator="equal">
      <formula>0</formula>
    </cfRule>
  </conditionalFormatting>
  <conditionalFormatting sqref="J34:O35">
    <cfRule type="cellIs" dxfId="142" priority="40" operator="equal">
      <formula>0</formula>
    </cfRule>
  </conditionalFormatting>
  <conditionalFormatting sqref="J39:O40">
    <cfRule type="cellIs" dxfId="141" priority="39" operator="equal">
      <formula>0</formula>
    </cfRule>
  </conditionalFormatting>
  <conditionalFormatting sqref="D3:G7">
    <cfRule type="cellIs" dxfId="140" priority="38" operator="equal">
      <formula>0</formula>
    </cfRule>
  </conditionalFormatting>
  <conditionalFormatting sqref="E38:G38 E41:G42">
    <cfRule type="cellIs" dxfId="139" priority="37" operator="equal">
      <formula>0</formula>
    </cfRule>
  </conditionalFormatting>
  <conditionalFormatting sqref="E8:G8 E11:G12">
    <cfRule type="cellIs" dxfId="138" priority="36" operator="equal">
      <formula>0</formula>
    </cfRule>
  </conditionalFormatting>
  <conditionalFormatting sqref="E13:G13 E16:G17">
    <cfRule type="cellIs" dxfId="137" priority="35" operator="equal">
      <formula>0</formula>
    </cfRule>
  </conditionalFormatting>
  <conditionalFormatting sqref="E18:G18 E21:G22">
    <cfRule type="cellIs" dxfId="136" priority="34" operator="equal">
      <formula>0</formula>
    </cfRule>
  </conditionalFormatting>
  <conditionalFormatting sqref="E23:G23 E26:G27">
    <cfRule type="cellIs" dxfId="135" priority="33" operator="equal">
      <formula>0</formula>
    </cfRule>
  </conditionalFormatting>
  <conditionalFormatting sqref="E28:G28 E31:G32">
    <cfRule type="cellIs" dxfId="134" priority="32" operator="equal">
      <formula>0</formula>
    </cfRule>
  </conditionalFormatting>
  <conditionalFormatting sqref="E33:G33 E36:G37">
    <cfRule type="cellIs" dxfId="133" priority="31" operator="equal">
      <formula>0</formula>
    </cfRule>
  </conditionalFormatting>
  <conditionalFormatting sqref="E9:G10">
    <cfRule type="cellIs" dxfId="132" priority="30" operator="equal">
      <formula>0</formula>
    </cfRule>
  </conditionalFormatting>
  <conditionalFormatting sqref="E14:G15">
    <cfRule type="cellIs" dxfId="131" priority="29" operator="equal">
      <formula>0</formula>
    </cfRule>
  </conditionalFormatting>
  <conditionalFormatting sqref="E19:G20">
    <cfRule type="cellIs" dxfId="130" priority="28" operator="equal">
      <formula>0</formula>
    </cfRule>
  </conditionalFormatting>
  <conditionalFormatting sqref="E24:G25">
    <cfRule type="cellIs" dxfId="129" priority="27" operator="equal">
      <formula>0</formula>
    </cfRule>
  </conditionalFormatting>
  <conditionalFormatting sqref="E29:G30">
    <cfRule type="cellIs" dxfId="128" priority="26" operator="equal">
      <formula>0</formula>
    </cfRule>
  </conditionalFormatting>
  <conditionalFormatting sqref="E34:G35">
    <cfRule type="cellIs" dxfId="127" priority="25" operator="equal">
      <formula>0</formula>
    </cfRule>
  </conditionalFormatting>
  <conditionalFormatting sqref="E39:G40">
    <cfRule type="cellIs" dxfId="126" priority="24" operator="equal">
      <formula>0</formula>
    </cfRule>
  </conditionalFormatting>
  <conditionalFormatting sqref="D38:D42">
    <cfRule type="cellIs" dxfId="125" priority="23" operator="equal">
      <formula>0</formula>
    </cfRule>
  </conditionalFormatting>
  <conditionalFormatting sqref="D8 D11:D12">
    <cfRule type="cellIs" dxfId="124" priority="22" operator="equal">
      <formula>0</formula>
    </cfRule>
  </conditionalFormatting>
  <conditionalFormatting sqref="D13 D16:D17">
    <cfRule type="cellIs" dxfId="123" priority="21" operator="equal">
      <formula>0</formula>
    </cfRule>
  </conditionalFormatting>
  <conditionalFormatting sqref="D18 D21:D22">
    <cfRule type="cellIs" dxfId="122" priority="20" operator="equal">
      <formula>0</formula>
    </cfRule>
  </conditionalFormatting>
  <conditionalFormatting sqref="D23 D26:D27">
    <cfRule type="cellIs" dxfId="121" priority="19" operator="equal">
      <formula>0</formula>
    </cfRule>
  </conditionalFormatting>
  <conditionalFormatting sqref="D28:D32">
    <cfRule type="cellIs" dxfId="120" priority="18" operator="equal">
      <formula>0</formula>
    </cfRule>
  </conditionalFormatting>
  <conditionalFormatting sqref="D33 D36:D37">
    <cfRule type="cellIs" dxfId="119" priority="17" operator="equal">
      <formula>0</formula>
    </cfRule>
  </conditionalFormatting>
  <conditionalFormatting sqref="D9:D10">
    <cfRule type="cellIs" dxfId="118" priority="16" operator="equal">
      <formula>0</formula>
    </cfRule>
  </conditionalFormatting>
  <conditionalFormatting sqref="D14:D15">
    <cfRule type="cellIs" dxfId="117" priority="15" operator="equal">
      <formula>0</formula>
    </cfRule>
  </conditionalFormatting>
  <conditionalFormatting sqref="D19:D20">
    <cfRule type="cellIs" dxfId="116" priority="14" operator="equal">
      <formula>0</formula>
    </cfRule>
  </conditionalFormatting>
  <conditionalFormatting sqref="D24:D25">
    <cfRule type="cellIs" dxfId="115" priority="13" operator="equal">
      <formula>0</formula>
    </cfRule>
  </conditionalFormatting>
  <conditionalFormatting sqref="D34:D35">
    <cfRule type="cellIs" dxfId="114" priority="12" operator="equal">
      <formula>0</formula>
    </cfRule>
  </conditionalFormatting>
  <conditionalFormatting sqref="L8:O8 L11:L12 N11:O12">
    <cfRule type="cellIs" dxfId="113" priority="11" operator="equal">
      <formula>0</formula>
    </cfRule>
  </conditionalFormatting>
  <conditionalFormatting sqref="L13:M13 L16:M17">
    <cfRule type="cellIs" dxfId="112" priority="10" operator="equal">
      <formula>0</formula>
    </cfRule>
  </conditionalFormatting>
  <conditionalFormatting sqref="L18:M18 L21:M22">
    <cfRule type="cellIs" dxfId="111" priority="9" operator="equal">
      <formula>0</formula>
    </cfRule>
  </conditionalFormatting>
  <conditionalFormatting sqref="L9:O10">
    <cfRule type="cellIs" dxfId="110" priority="8" operator="equal">
      <formula>0</formula>
    </cfRule>
  </conditionalFormatting>
  <conditionalFormatting sqref="L14:M15">
    <cfRule type="cellIs" dxfId="109" priority="7" operator="equal">
      <formula>0</formula>
    </cfRule>
  </conditionalFormatting>
  <conditionalFormatting sqref="L19:M20">
    <cfRule type="cellIs" dxfId="108" priority="6" operator="equal">
      <formula>0</formula>
    </cfRule>
  </conditionalFormatting>
  <conditionalFormatting sqref="M11:M12">
    <cfRule type="cellIs" dxfId="107" priority="5" operator="equal">
      <formula>0</formula>
    </cfRule>
  </conditionalFormatting>
  <conditionalFormatting sqref="N13:O13 N16:O17">
    <cfRule type="cellIs" dxfId="106" priority="4" operator="equal">
      <formula>0</formula>
    </cfRule>
  </conditionalFormatting>
  <conditionalFormatting sqref="N18:O18 N21:O22">
    <cfRule type="cellIs" dxfId="105" priority="3" operator="equal">
      <formula>0</formula>
    </cfRule>
  </conditionalFormatting>
  <conditionalFormatting sqref="N14:O15">
    <cfRule type="cellIs" dxfId="104" priority="2" operator="equal">
      <formula>0</formula>
    </cfRule>
  </conditionalFormatting>
  <conditionalFormatting sqref="N19:O20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42"/>
  <sheetViews>
    <sheetView showGridLines="0" tabSelected="1"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F10" sqref="F10"/>
    </sheetView>
  </sheetViews>
  <sheetFormatPr defaultColWidth="9.109375" defaultRowHeight="13.8" x14ac:dyDescent="0.3"/>
  <cols>
    <col min="1" max="1" width="15.88671875" style="116" customWidth="1"/>
    <col min="2" max="2" width="7.44140625" style="114" bestFit="1" customWidth="1"/>
    <col min="3" max="3" width="11.5546875" style="114" customWidth="1"/>
    <col min="4" max="4" width="9" style="3" customWidth="1"/>
    <col min="5" max="5" width="9.44140625" style="3" customWidth="1"/>
    <col min="6" max="6" width="8.44140625" style="3" customWidth="1"/>
    <col min="7" max="7" width="9.5546875" style="3" customWidth="1"/>
    <col min="8" max="9" width="7.88671875" style="3" bestFit="1" customWidth="1"/>
    <col min="10" max="10" width="10.33203125" style="3" customWidth="1"/>
    <col min="11" max="11" width="12.33203125" style="3" customWidth="1"/>
    <col min="12" max="12" width="10" style="3" customWidth="1"/>
    <col min="13" max="13" width="10.33203125" style="3" customWidth="1"/>
    <col min="14" max="14" width="9.44140625" style="3" customWidth="1"/>
    <col min="15" max="15" width="8.6640625" style="3" customWidth="1"/>
    <col min="16" max="16" width="11.109375" style="115" customWidth="1"/>
    <col min="17" max="17" width="4.33203125" style="113" bestFit="1" customWidth="1"/>
    <col min="18" max="19" width="7" style="113" customWidth="1"/>
    <col min="20" max="16384" width="9.109375" style="113"/>
  </cols>
  <sheetData>
    <row r="1" spans="1:25" s="126" customFormat="1" ht="18" x14ac:dyDescent="0.25">
      <c r="A1" s="189">
        <v>2021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1"/>
      <c r="U1" s="108"/>
      <c r="V1" s="109"/>
      <c r="W1" s="110"/>
      <c r="X1" s="111"/>
      <c r="Y1" s="112"/>
    </row>
    <row r="2" spans="1:25" x14ac:dyDescent="0.25">
      <c r="A2" s="127"/>
      <c r="B2" s="127"/>
      <c r="C2" s="127"/>
      <c r="D2" s="127" t="s">
        <v>14</v>
      </c>
      <c r="E2" s="127" t="s">
        <v>15</v>
      </c>
      <c r="F2" s="127" t="s">
        <v>16</v>
      </c>
      <c r="G2" s="127" t="s">
        <v>17</v>
      </c>
      <c r="H2" s="127" t="s">
        <v>6</v>
      </c>
      <c r="I2" s="127" t="s">
        <v>7</v>
      </c>
      <c r="J2" s="127" t="s">
        <v>8</v>
      </c>
      <c r="K2" s="127" t="s">
        <v>9</v>
      </c>
      <c r="L2" s="127" t="s">
        <v>10</v>
      </c>
      <c r="M2" s="127" t="s">
        <v>11</v>
      </c>
      <c r="N2" s="127" t="s">
        <v>12</v>
      </c>
      <c r="O2" s="127" t="s">
        <v>13</v>
      </c>
      <c r="P2" s="127" t="s">
        <v>18</v>
      </c>
      <c r="Q2" s="127"/>
      <c r="R2" s="127"/>
      <c r="S2" s="127"/>
    </row>
    <row r="3" spans="1:25" s="126" customFormat="1" x14ac:dyDescent="0.25">
      <c r="A3" s="197" t="s">
        <v>34</v>
      </c>
      <c r="B3" s="117" t="s">
        <v>33</v>
      </c>
      <c r="C3" s="117" t="s">
        <v>18</v>
      </c>
      <c r="D3" s="118">
        <f>D8+D13+D18+D23+D33+D38</f>
        <v>30978</v>
      </c>
      <c r="E3" s="118">
        <f>E8+E13+E18+E23+E33+E38</f>
        <v>15855</v>
      </c>
      <c r="F3" s="118">
        <f>F8+F13+F18+F23+F33+F38</f>
        <v>14633</v>
      </c>
      <c r="G3" s="118">
        <f>G8+G13+G18+G23+G33+G38</f>
        <v>16453</v>
      </c>
      <c r="H3" s="118"/>
      <c r="I3" s="118">
        <f t="shared" ref="I3:P3" si="0">I8+I13+I18+I23+I33+I38</f>
        <v>23028</v>
      </c>
      <c r="J3" s="118">
        <f t="shared" si="0"/>
        <v>32267</v>
      </c>
      <c r="K3" s="118">
        <f t="shared" si="0"/>
        <v>21993</v>
      </c>
      <c r="L3" s="118">
        <f t="shared" si="0"/>
        <v>17868</v>
      </c>
      <c r="M3" s="118">
        <f t="shared" si="0"/>
        <v>17701</v>
      </c>
      <c r="N3" s="118">
        <f t="shared" si="0"/>
        <v>16305</v>
      </c>
      <c r="O3" s="118">
        <f t="shared" si="0"/>
        <v>29702</v>
      </c>
      <c r="P3" s="121">
        <f t="shared" si="0"/>
        <v>246645</v>
      </c>
      <c r="Q3" s="192" t="s">
        <v>20</v>
      </c>
      <c r="R3" s="193" t="s">
        <v>19</v>
      </c>
      <c r="S3" s="193"/>
    </row>
    <row r="4" spans="1:25" x14ac:dyDescent="0.25">
      <c r="A4" s="198"/>
      <c r="B4" s="123"/>
      <c r="C4" s="123" t="s">
        <v>40</v>
      </c>
      <c r="D4" s="124">
        <f t="shared" ref="D4:G4" si="1">IF(D3=0,0,(D3/D6))</f>
        <v>242.015625</v>
      </c>
      <c r="E4" s="124">
        <f t="shared" si="1"/>
        <v>198.1875</v>
      </c>
      <c r="F4" s="124">
        <f t="shared" si="1"/>
        <v>185.22784810126583</v>
      </c>
      <c r="G4" s="124">
        <f t="shared" si="1"/>
        <v>189.11494252873564</v>
      </c>
      <c r="H4" s="124"/>
      <c r="I4" s="124">
        <f t="shared" ref="I4:P4" si="2">IF(I3=0,0,(I3/I6))</f>
        <v>110.71153846153847</v>
      </c>
      <c r="J4" s="124">
        <f t="shared" si="2"/>
        <v>101.46855345911949</v>
      </c>
      <c r="K4" s="124">
        <f t="shared" si="2"/>
        <v>76.63066202090593</v>
      </c>
      <c r="L4" s="124">
        <f t="shared" si="2"/>
        <v>66.423791821561338</v>
      </c>
      <c r="M4" s="124">
        <f t="shared" si="2"/>
        <v>66.545112781954884</v>
      </c>
      <c r="N4" s="124">
        <f t="shared" si="2"/>
        <v>75.138248847926263</v>
      </c>
      <c r="O4" s="124">
        <f t="shared" si="2"/>
        <v>90.006060606060601</v>
      </c>
      <c r="P4" s="128">
        <f t="shared" si="2"/>
        <v>103.11245819397993</v>
      </c>
      <c r="Q4" s="192"/>
      <c r="R4" s="193"/>
      <c r="S4" s="193"/>
    </row>
    <row r="5" spans="1:25" x14ac:dyDescent="0.25">
      <c r="A5" s="198"/>
      <c r="B5" s="119"/>
      <c r="C5" s="119" t="s">
        <v>41</v>
      </c>
      <c r="D5" s="158">
        <f t="shared" ref="D5:G5" si="3">IF(D3=0,0,(D3/D7))</f>
        <v>127.48148148148148</v>
      </c>
      <c r="E5" s="158">
        <f t="shared" si="3"/>
        <v>107.12837837837837</v>
      </c>
      <c r="F5" s="158">
        <f t="shared" si="3"/>
        <v>135.49074074074073</v>
      </c>
      <c r="G5" s="158">
        <f t="shared" si="3"/>
        <v>115.05594405594405</v>
      </c>
      <c r="H5" s="158"/>
      <c r="I5" s="158">
        <f t="shared" ref="I5:P5" si="4">IF(I3=0,0,(I3/I7))</f>
        <v>75.009771986970691</v>
      </c>
      <c r="J5" s="158">
        <f t="shared" si="4"/>
        <v>69.841991341991346</v>
      </c>
      <c r="K5" s="158">
        <f t="shared" si="4"/>
        <v>47.296774193548387</v>
      </c>
      <c r="L5" s="158">
        <f t="shared" si="4"/>
        <v>39.098468271334795</v>
      </c>
      <c r="M5" s="158">
        <f t="shared" si="4"/>
        <v>42.550480769230766</v>
      </c>
      <c r="N5" s="158">
        <f t="shared" si="4"/>
        <v>43.713136729222519</v>
      </c>
      <c r="O5" s="158">
        <f t="shared" si="4"/>
        <v>51.476603119584055</v>
      </c>
      <c r="P5" s="154">
        <f t="shared" si="4"/>
        <v>63.765511892450881</v>
      </c>
      <c r="Q5" s="192"/>
      <c r="R5" s="193"/>
      <c r="S5" s="193"/>
    </row>
    <row r="6" spans="1:25" ht="13.2" customHeight="1" x14ac:dyDescent="0.25">
      <c r="A6" s="198"/>
      <c r="B6" s="123" t="s">
        <v>42</v>
      </c>
      <c r="C6" s="123" t="s">
        <v>43</v>
      </c>
      <c r="D6" s="81">
        <f t="shared" ref="D6:P7" si="5">D11+D16+D21+D26+D36+D41</f>
        <v>128</v>
      </c>
      <c r="E6" s="81">
        <f t="shared" si="5"/>
        <v>80</v>
      </c>
      <c r="F6" s="81">
        <f t="shared" si="5"/>
        <v>79</v>
      </c>
      <c r="G6" s="81">
        <f t="shared" si="5"/>
        <v>87</v>
      </c>
      <c r="H6" s="81">
        <f t="shared" si="5"/>
        <v>123</v>
      </c>
      <c r="I6" s="81">
        <f t="shared" si="5"/>
        <v>208</v>
      </c>
      <c r="J6" s="81">
        <f t="shared" si="5"/>
        <v>318</v>
      </c>
      <c r="K6" s="81">
        <f t="shared" si="5"/>
        <v>287</v>
      </c>
      <c r="L6" s="81">
        <f t="shared" si="5"/>
        <v>269</v>
      </c>
      <c r="M6" s="81">
        <f t="shared" si="5"/>
        <v>266</v>
      </c>
      <c r="N6" s="81">
        <f t="shared" si="5"/>
        <v>217</v>
      </c>
      <c r="O6" s="81">
        <f t="shared" si="5"/>
        <v>330</v>
      </c>
      <c r="P6" s="88">
        <f t="shared" si="5"/>
        <v>2392</v>
      </c>
      <c r="Q6" s="192"/>
      <c r="R6" s="62">
        <f>P6/$R$7</f>
        <v>341.71428571428572</v>
      </c>
      <c r="S6" s="62">
        <f>P6/$S$7</f>
        <v>265.77777777777777</v>
      </c>
    </row>
    <row r="7" spans="1:25" x14ac:dyDescent="0.25">
      <c r="A7" s="199"/>
      <c r="B7" s="119"/>
      <c r="C7" s="119" t="s">
        <v>44</v>
      </c>
      <c r="D7" s="82">
        <f t="shared" si="5"/>
        <v>243</v>
      </c>
      <c r="E7" s="82">
        <f t="shared" si="5"/>
        <v>148</v>
      </c>
      <c r="F7" s="82">
        <f t="shared" si="5"/>
        <v>108</v>
      </c>
      <c r="G7" s="82">
        <f t="shared" si="5"/>
        <v>143</v>
      </c>
      <c r="H7" s="82">
        <f t="shared" si="5"/>
        <v>169</v>
      </c>
      <c r="I7" s="82">
        <f t="shared" si="5"/>
        <v>307</v>
      </c>
      <c r="J7" s="82">
        <f t="shared" si="5"/>
        <v>462</v>
      </c>
      <c r="K7" s="82">
        <f t="shared" si="5"/>
        <v>465</v>
      </c>
      <c r="L7" s="82">
        <f t="shared" si="5"/>
        <v>457</v>
      </c>
      <c r="M7" s="82">
        <f t="shared" si="5"/>
        <v>416</v>
      </c>
      <c r="N7" s="82">
        <f t="shared" si="5"/>
        <v>373</v>
      </c>
      <c r="O7" s="82">
        <f t="shared" si="5"/>
        <v>577</v>
      </c>
      <c r="P7" s="125">
        <f t="shared" si="5"/>
        <v>3868</v>
      </c>
      <c r="Q7" s="192"/>
      <c r="R7" s="167">
        <v>7</v>
      </c>
      <c r="S7" s="167">
        <v>9</v>
      </c>
    </row>
    <row r="8" spans="1:25" ht="12.75" customHeight="1" x14ac:dyDescent="0.25">
      <c r="A8" s="188" t="s">
        <v>27</v>
      </c>
      <c r="B8" s="129" t="s">
        <v>33</v>
      </c>
      <c r="C8" s="129" t="s">
        <v>18</v>
      </c>
      <c r="D8" s="130">
        <v>0</v>
      </c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47">
        <f>SUM(D8:O8)</f>
        <v>0</v>
      </c>
      <c r="Q8" s="99">
        <f>P8/$P$3</f>
        <v>0</v>
      </c>
      <c r="R8" s="85" t="e">
        <f>P12/$R$2</f>
        <v>#DIV/0!</v>
      </c>
      <c r="S8" s="100"/>
      <c r="U8" s="66"/>
    </row>
    <row r="9" spans="1:25" ht="14.4" x14ac:dyDescent="0.25">
      <c r="A9" s="188"/>
      <c r="B9" s="131"/>
      <c r="C9" s="131" t="s">
        <v>40</v>
      </c>
      <c r="D9" s="122">
        <f>IF(D8=0,0,(D8/D11))</f>
        <v>0</v>
      </c>
      <c r="E9" s="122">
        <f t="shared" ref="E9:P9" si="6">IF(E8=0,0,(E8/E11))</f>
        <v>0</v>
      </c>
      <c r="F9" s="122">
        <f t="shared" si="6"/>
        <v>0</v>
      </c>
      <c r="G9" s="122">
        <f t="shared" si="6"/>
        <v>0</v>
      </c>
      <c r="H9" s="122">
        <f t="shared" si="6"/>
        <v>0</v>
      </c>
      <c r="I9" s="122">
        <f t="shared" si="6"/>
        <v>0</v>
      </c>
      <c r="J9" s="122">
        <f t="shared" si="6"/>
        <v>0</v>
      </c>
      <c r="K9" s="122">
        <f t="shared" si="6"/>
        <v>0</v>
      </c>
      <c r="L9" s="122">
        <f t="shared" si="6"/>
        <v>0</v>
      </c>
      <c r="M9" s="122">
        <f t="shared" si="6"/>
        <v>0</v>
      </c>
      <c r="N9" s="122">
        <f t="shared" si="6"/>
        <v>0</v>
      </c>
      <c r="O9" s="122">
        <f t="shared" si="6"/>
        <v>0</v>
      </c>
      <c r="P9" s="97">
        <f t="shared" si="6"/>
        <v>0</v>
      </c>
      <c r="Q9" s="101"/>
      <c r="R9" s="86"/>
      <c r="S9" s="79"/>
      <c r="U9" s="66"/>
    </row>
    <row r="10" spans="1:25" ht="14.4" x14ac:dyDescent="0.25">
      <c r="A10" s="188"/>
      <c r="B10" s="132"/>
      <c r="C10" s="132" t="s">
        <v>41</v>
      </c>
      <c r="D10" s="133">
        <f t="shared" ref="D10:P10" si="7">IF(D8=0,0,(D8/D12))</f>
        <v>0</v>
      </c>
      <c r="E10" s="133">
        <f t="shared" si="7"/>
        <v>0</v>
      </c>
      <c r="F10" s="133">
        <f t="shared" si="7"/>
        <v>0</v>
      </c>
      <c r="G10" s="133">
        <f t="shared" si="7"/>
        <v>0</v>
      </c>
      <c r="H10" s="133">
        <f t="shared" si="7"/>
        <v>0</v>
      </c>
      <c r="I10" s="133">
        <f t="shared" si="7"/>
        <v>0</v>
      </c>
      <c r="J10" s="133">
        <f t="shared" si="7"/>
        <v>0</v>
      </c>
      <c r="K10" s="133">
        <f t="shared" si="7"/>
        <v>0</v>
      </c>
      <c r="L10" s="133">
        <f t="shared" si="7"/>
        <v>0</v>
      </c>
      <c r="M10" s="133">
        <f t="shared" si="7"/>
        <v>0</v>
      </c>
      <c r="N10" s="133">
        <f t="shared" si="7"/>
        <v>0</v>
      </c>
      <c r="O10" s="133">
        <f t="shared" si="7"/>
        <v>0</v>
      </c>
      <c r="P10" s="98">
        <f t="shared" si="7"/>
        <v>0</v>
      </c>
      <c r="Q10" s="102"/>
      <c r="R10" s="103"/>
      <c r="S10" s="104"/>
      <c r="U10" s="66"/>
    </row>
    <row r="11" spans="1:25" ht="14.4" x14ac:dyDescent="0.25">
      <c r="A11" s="188"/>
      <c r="B11" s="129" t="s">
        <v>42</v>
      </c>
      <c r="C11" s="129" t="s">
        <v>43</v>
      </c>
      <c r="D11" s="134">
        <v>0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05">
        <f>SUM(D11:O11)</f>
        <v>0</v>
      </c>
      <c r="Q11" s="100"/>
      <c r="R11" s="85"/>
      <c r="S11" s="100"/>
      <c r="U11" s="65"/>
    </row>
    <row r="12" spans="1:25" ht="14.4" x14ac:dyDescent="0.25">
      <c r="A12" s="188"/>
      <c r="B12" s="135"/>
      <c r="C12" s="135" t="s">
        <v>44</v>
      </c>
      <c r="D12" s="136">
        <v>0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06">
        <f>SUM(D12:O12)</f>
        <v>0</v>
      </c>
      <c r="Q12" s="79"/>
      <c r="R12" s="86"/>
      <c r="S12" s="86" t="e">
        <f>P12/$S$2</f>
        <v>#DIV/0!</v>
      </c>
      <c r="U12" s="65"/>
    </row>
    <row r="13" spans="1:25" ht="14.4" x14ac:dyDescent="0.35">
      <c r="A13" s="188" t="s">
        <v>23</v>
      </c>
      <c r="B13" s="129" t="s">
        <v>33</v>
      </c>
      <c r="C13" s="129" t="s">
        <v>18</v>
      </c>
      <c r="D13" s="130">
        <v>207</v>
      </c>
      <c r="E13" s="130">
        <v>253</v>
      </c>
      <c r="F13" s="130">
        <v>843</v>
      </c>
      <c r="G13" s="130">
        <v>80</v>
      </c>
      <c r="H13" s="130">
        <v>559</v>
      </c>
      <c r="I13" s="130">
        <v>2202</v>
      </c>
      <c r="J13" s="130">
        <v>4129</v>
      </c>
      <c r="K13" s="130">
        <v>7165</v>
      </c>
      <c r="L13" s="130">
        <v>7002</v>
      </c>
      <c r="M13" s="130">
        <v>2502</v>
      </c>
      <c r="N13" s="130">
        <v>5028</v>
      </c>
      <c r="O13" s="130">
        <v>9327</v>
      </c>
      <c r="P13" s="47">
        <f>SUM(D13:O13)</f>
        <v>39297</v>
      </c>
      <c r="Q13" s="99">
        <f>P13/$P$3</f>
        <v>0.15932615702730646</v>
      </c>
      <c r="R13" s="100"/>
      <c r="S13" s="100"/>
      <c r="U13" s="68"/>
    </row>
    <row r="14" spans="1:25" ht="14.4" x14ac:dyDescent="0.35">
      <c r="A14" s="188"/>
      <c r="B14" s="131"/>
      <c r="C14" s="131" t="s">
        <v>40</v>
      </c>
      <c r="D14" s="122">
        <f t="shared" ref="D14:P14" si="8">IF(D13=0,0,(D13/D16))</f>
        <v>207</v>
      </c>
      <c r="E14" s="122">
        <f t="shared" si="8"/>
        <v>84.333333333333329</v>
      </c>
      <c r="F14" s="122">
        <f t="shared" si="8"/>
        <v>76.63636363636364</v>
      </c>
      <c r="G14" s="122">
        <f t="shared" si="8"/>
        <v>80</v>
      </c>
      <c r="H14" s="122">
        <f t="shared" si="8"/>
        <v>50.81818181818182</v>
      </c>
      <c r="I14" s="122">
        <f t="shared" si="8"/>
        <v>55.05</v>
      </c>
      <c r="J14" s="122">
        <f t="shared" si="8"/>
        <v>64.515625</v>
      </c>
      <c r="K14" s="122">
        <f t="shared" si="8"/>
        <v>61.239316239316238</v>
      </c>
      <c r="L14" s="122">
        <f t="shared" si="8"/>
        <v>58.35</v>
      </c>
      <c r="M14" s="122">
        <f t="shared" si="8"/>
        <v>64.15384615384616</v>
      </c>
      <c r="N14" s="122">
        <f t="shared" si="8"/>
        <v>67.945945945945951</v>
      </c>
      <c r="O14" s="122">
        <f t="shared" si="8"/>
        <v>79.042372881355931</v>
      </c>
      <c r="P14" s="97">
        <f t="shared" si="8"/>
        <v>65.604340567612681</v>
      </c>
      <c r="Q14" s="101"/>
      <c r="R14" s="79"/>
      <c r="S14" s="79"/>
      <c r="U14" s="68"/>
    </row>
    <row r="15" spans="1:25" ht="14.4" x14ac:dyDescent="0.35">
      <c r="A15" s="188"/>
      <c r="B15" s="132"/>
      <c r="C15" s="132" t="s">
        <v>41</v>
      </c>
      <c r="D15" s="133">
        <f t="shared" ref="D15:P15" si="9">IF(D13=0,0,(D13/D17))</f>
        <v>103.5</v>
      </c>
      <c r="E15" s="133">
        <f t="shared" si="9"/>
        <v>42.166666666666664</v>
      </c>
      <c r="F15" s="133">
        <f t="shared" si="9"/>
        <v>44.368421052631582</v>
      </c>
      <c r="G15" s="133">
        <f t="shared" si="9"/>
        <v>26.666666666666668</v>
      </c>
      <c r="H15" s="133">
        <f t="shared" si="9"/>
        <v>37.266666666666666</v>
      </c>
      <c r="I15" s="133">
        <f t="shared" si="9"/>
        <v>30.164383561643834</v>
      </c>
      <c r="J15" s="133">
        <f t="shared" si="9"/>
        <v>40.881188118811885</v>
      </c>
      <c r="K15" s="133">
        <f t="shared" si="9"/>
        <v>38.729729729729726</v>
      </c>
      <c r="L15" s="133">
        <f t="shared" si="9"/>
        <v>38.472527472527474</v>
      </c>
      <c r="M15" s="133">
        <f t="shared" si="9"/>
        <v>30.512195121951219</v>
      </c>
      <c r="N15" s="133">
        <f t="shared" si="9"/>
        <v>40.548387096774192</v>
      </c>
      <c r="O15" s="133">
        <f t="shared" si="9"/>
        <v>43.7887323943662</v>
      </c>
      <c r="P15" s="98">
        <f t="shared" si="9"/>
        <v>39.101492537313433</v>
      </c>
      <c r="Q15" s="102"/>
      <c r="R15" s="104"/>
      <c r="S15" s="104"/>
      <c r="U15" s="68"/>
    </row>
    <row r="16" spans="1:25" ht="14.4" x14ac:dyDescent="0.35">
      <c r="A16" s="188"/>
      <c r="B16" s="129" t="s">
        <v>42</v>
      </c>
      <c r="C16" s="129" t="s">
        <v>43</v>
      </c>
      <c r="D16" s="134">
        <v>1</v>
      </c>
      <c r="E16" s="134">
        <v>3</v>
      </c>
      <c r="F16" s="134">
        <v>11</v>
      </c>
      <c r="G16" s="134">
        <v>1</v>
      </c>
      <c r="H16" s="134">
        <v>11</v>
      </c>
      <c r="I16" s="134">
        <f>24+16</f>
        <v>40</v>
      </c>
      <c r="J16" s="134">
        <f>41+23</f>
        <v>64</v>
      </c>
      <c r="K16" s="134">
        <v>117</v>
      </c>
      <c r="L16" s="134">
        <v>120</v>
      </c>
      <c r="M16" s="134">
        <v>39</v>
      </c>
      <c r="N16" s="134">
        <v>74</v>
      </c>
      <c r="O16" s="134">
        <v>118</v>
      </c>
      <c r="P16" s="105">
        <f>SUM(D16:O16)</f>
        <v>599</v>
      </c>
      <c r="Q16" s="100"/>
      <c r="R16" s="100"/>
      <c r="S16" s="100"/>
      <c r="U16" s="67"/>
    </row>
    <row r="17" spans="1:21" ht="14.4" x14ac:dyDescent="0.35">
      <c r="A17" s="188"/>
      <c r="B17" s="135"/>
      <c r="C17" s="135" t="s">
        <v>44</v>
      </c>
      <c r="D17" s="136">
        <v>2</v>
      </c>
      <c r="E17" s="136">
        <v>6</v>
      </c>
      <c r="F17" s="136">
        <v>19</v>
      </c>
      <c r="G17" s="136">
        <v>3</v>
      </c>
      <c r="H17" s="136">
        <v>15</v>
      </c>
      <c r="I17" s="136">
        <f>45+28</f>
        <v>73</v>
      </c>
      <c r="J17" s="136">
        <f>65+36</f>
        <v>101</v>
      </c>
      <c r="K17" s="136">
        <v>185</v>
      </c>
      <c r="L17" s="136">
        <v>182</v>
      </c>
      <c r="M17" s="136">
        <v>82</v>
      </c>
      <c r="N17" s="136">
        <v>124</v>
      </c>
      <c r="O17" s="136">
        <v>213</v>
      </c>
      <c r="P17" s="106">
        <f>SUM(D17:O17)</f>
        <v>1005</v>
      </c>
      <c r="Q17" s="104"/>
      <c r="R17" s="103" t="e">
        <f>P17/$R$2</f>
        <v>#DIV/0!</v>
      </c>
      <c r="S17" s="103" t="e">
        <f>P17/$S$2</f>
        <v>#DIV/0!</v>
      </c>
      <c r="U17" s="67"/>
    </row>
    <row r="18" spans="1:21" ht="14.4" x14ac:dyDescent="0.35">
      <c r="A18" s="188" t="s">
        <v>24</v>
      </c>
      <c r="B18" s="129" t="s">
        <v>33</v>
      </c>
      <c r="C18" s="129" t="s">
        <v>18</v>
      </c>
      <c r="D18" s="130">
        <v>30771</v>
      </c>
      <c r="E18" s="130">
        <v>15602</v>
      </c>
      <c r="F18" s="130">
        <v>13536</v>
      </c>
      <c r="G18" s="130">
        <v>15669</v>
      </c>
      <c r="H18" s="130">
        <v>9303</v>
      </c>
      <c r="I18" s="130">
        <v>19822</v>
      </c>
      <c r="J18" s="130">
        <v>22217</v>
      </c>
      <c r="K18" s="130">
        <v>10210</v>
      </c>
      <c r="L18" s="130">
        <v>9292</v>
      </c>
      <c r="M18" s="130">
        <v>7420</v>
      </c>
      <c r="N18" s="130">
        <v>6271</v>
      </c>
      <c r="O18" s="130">
        <v>13789</v>
      </c>
      <c r="P18" s="47">
        <f>SUM(D18:O18)</f>
        <v>173902</v>
      </c>
      <c r="Q18" s="99">
        <f>P18/$P$3</f>
        <v>0.70507003993594031</v>
      </c>
      <c r="R18" s="100"/>
      <c r="S18" s="100"/>
      <c r="U18" s="68"/>
    </row>
    <row r="19" spans="1:21" ht="14.4" x14ac:dyDescent="0.35">
      <c r="A19" s="188"/>
      <c r="B19" s="131"/>
      <c r="C19" s="131" t="s">
        <v>40</v>
      </c>
      <c r="D19" s="122">
        <f t="shared" ref="D19" si="10">IF(D18=0,0,(D18/D21))</f>
        <v>242.29133858267716</v>
      </c>
      <c r="E19" s="122">
        <f>IF(E18=0,0,(E18/E21))</f>
        <v>202.62337662337663</v>
      </c>
      <c r="F19" s="122">
        <f t="shared" ref="F19:P19" si="11">IF(F18=0,0,(F18/F21))</f>
        <v>205.09090909090909</v>
      </c>
      <c r="G19" s="122">
        <f t="shared" si="11"/>
        <v>198.34177215189874</v>
      </c>
      <c r="H19" s="122">
        <f t="shared" si="11"/>
        <v>83.0625</v>
      </c>
      <c r="I19" s="122">
        <f t="shared" si="11"/>
        <v>129.55555555555554</v>
      </c>
      <c r="J19" s="122">
        <f t="shared" si="11"/>
        <v>116.31937172774869</v>
      </c>
      <c r="K19" s="122">
        <f t="shared" si="11"/>
        <v>93.669724770642205</v>
      </c>
      <c r="L19" s="122">
        <f t="shared" si="11"/>
        <v>76.163934426229503</v>
      </c>
      <c r="M19" s="122">
        <f t="shared" si="11"/>
        <v>68.703703703703709</v>
      </c>
      <c r="N19" s="122">
        <f t="shared" si="11"/>
        <v>85.904109589041099</v>
      </c>
      <c r="O19" s="122">
        <f>IF(O18=0,0,(O18/O21))</f>
        <v>95.756944444444443</v>
      </c>
      <c r="P19" s="97">
        <f t="shared" si="11"/>
        <v>127.77516531961793</v>
      </c>
      <c r="Q19" s="101"/>
      <c r="R19" s="79"/>
      <c r="S19" s="79"/>
      <c r="U19" s="68"/>
    </row>
    <row r="20" spans="1:21" ht="14.4" x14ac:dyDescent="0.35">
      <c r="A20" s="188"/>
      <c r="B20" s="132"/>
      <c r="C20" s="132" t="s">
        <v>41</v>
      </c>
      <c r="D20" s="133">
        <f t="shared" ref="D20:P20" si="12">IF(D18=0,0,(D18/D22))</f>
        <v>127.6804979253112</v>
      </c>
      <c r="E20" s="133">
        <f t="shared" si="12"/>
        <v>109.87323943661971</v>
      </c>
      <c r="F20" s="133">
        <f t="shared" si="12"/>
        <v>157.3953488372093</v>
      </c>
      <c r="G20" s="133">
        <f t="shared" si="12"/>
        <v>120.53076923076924</v>
      </c>
      <c r="H20" s="133">
        <f t="shared" si="12"/>
        <v>60.409090909090907</v>
      </c>
      <c r="I20" s="133">
        <f t="shared" si="12"/>
        <v>92.195348837209309</v>
      </c>
      <c r="J20" s="133">
        <f t="shared" si="12"/>
        <v>81.083941605839414</v>
      </c>
      <c r="K20" s="133">
        <f t="shared" si="12"/>
        <v>59.707602339181285</v>
      </c>
      <c r="L20" s="133">
        <f t="shared" si="12"/>
        <v>40.4</v>
      </c>
      <c r="M20" s="133">
        <f t="shared" si="12"/>
        <v>49.798657718120808</v>
      </c>
      <c r="N20" s="133">
        <f t="shared" si="12"/>
        <v>52.69747899159664</v>
      </c>
      <c r="O20" s="133">
        <f t="shared" si="12"/>
        <v>55.825910931174086</v>
      </c>
      <c r="P20" s="98">
        <f t="shared" si="12"/>
        <v>80.584800741427244</v>
      </c>
      <c r="Q20" s="102"/>
      <c r="R20" s="104"/>
      <c r="S20" s="104"/>
      <c r="U20" s="68"/>
    </row>
    <row r="21" spans="1:21" ht="14.4" x14ac:dyDescent="0.35">
      <c r="A21" s="188"/>
      <c r="B21" s="129" t="s">
        <v>42</v>
      </c>
      <c r="C21" s="129" t="s">
        <v>43</v>
      </c>
      <c r="D21" s="134">
        <f>36+78+13</f>
        <v>127</v>
      </c>
      <c r="E21" s="134">
        <f>37+39+1</f>
        <v>77</v>
      </c>
      <c r="F21" s="134">
        <f>21+35+10</f>
        <v>66</v>
      </c>
      <c r="G21" s="134">
        <f>33+41+5</f>
        <v>79</v>
      </c>
      <c r="H21" s="134">
        <f>56+52+4</f>
        <v>112</v>
      </c>
      <c r="I21" s="134">
        <f>38+94+21</f>
        <v>153</v>
      </c>
      <c r="J21" s="134">
        <f>61+130</f>
        <v>191</v>
      </c>
      <c r="K21" s="134">
        <v>109</v>
      </c>
      <c r="L21" s="134">
        <v>122</v>
      </c>
      <c r="M21" s="134">
        <v>108</v>
      </c>
      <c r="N21" s="134">
        <v>73</v>
      </c>
      <c r="O21" s="134">
        <v>144</v>
      </c>
      <c r="P21" s="105">
        <f>SUM(D21:O21)</f>
        <v>1361</v>
      </c>
      <c r="Q21" s="100"/>
      <c r="R21" s="100"/>
      <c r="S21" s="100"/>
      <c r="U21" s="67"/>
    </row>
    <row r="22" spans="1:21" ht="14.4" x14ac:dyDescent="0.35">
      <c r="A22" s="188"/>
      <c r="B22" s="135"/>
      <c r="C22" s="135" t="s">
        <v>44</v>
      </c>
      <c r="D22" s="136">
        <f>62+151+28</f>
        <v>241</v>
      </c>
      <c r="E22" s="136">
        <f>68+72+2</f>
        <v>142</v>
      </c>
      <c r="F22" s="136">
        <f>29+47+10</f>
        <v>86</v>
      </c>
      <c r="G22" s="136">
        <f>54+67+9</f>
        <v>130</v>
      </c>
      <c r="H22" s="136">
        <f>72+77+5</f>
        <v>154</v>
      </c>
      <c r="I22" s="136">
        <f>56+128+31</f>
        <v>215</v>
      </c>
      <c r="J22" s="136">
        <f>87+187</f>
        <v>274</v>
      </c>
      <c r="K22" s="136">
        <v>171</v>
      </c>
      <c r="L22" s="136">
        <v>230</v>
      </c>
      <c r="M22" s="136">
        <v>149</v>
      </c>
      <c r="N22" s="136">
        <v>119</v>
      </c>
      <c r="O22" s="136">
        <v>247</v>
      </c>
      <c r="P22" s="106">
        <f>SUM(D22:O22)</f>
        <v>2158</v>
      </c>
      <c r="Q22" s="104"/>
      <c r="R22" s="103" t="e">
        <f>P22/$R$2</f>
        <v>#DIV/0!</v>
      </c>
      <c r="S22" s="103" t="e">
        <f>P22/$S$2</f>
        <v>#DIV/0!</v>
      </c>
      <c r="U22" s="67"/>
    </row>
    <row r="23" spans="1:21" ht="14.4" x14ac:dyDescent="0.35">
      <c r="A23" s="188" t="s">
        <v>31</v>
      </c>
      <c r="B23" s="129" t="s">
        <v>33</v>
      </c>
      <c r="C23" s="129" t="s">
        <v>18</v>
      </c>
      <c r="D23" s="130"/>
      <c r="E23" s="130"/>
      <c r="F23" s="130">
        <v>254</v>
      </c>
      <c r="G23" s="130">
        <v>704</v>
      </c>
      <c r="H23" s="130"/>
      <c r="I23" s="130">
        <v>1004</v>
      </c>
      <c r="J23" s="130">
        <v>5921</v>
      </c>
      <c r="K23" s="130">
        <v>4618</v>
      </c>
      <c r="L23" s="130">
        <v>1574</v>
      </c>
      <c r="M23" s="130">
        <v>7779</v>
      </c>
      <c r="N23" s="130">
        <v>5006</v>
      </c>
      <c r="O23" s="130">
        <v>6586</v>
      </c>
      <c r="P23" s="47">
        <f>SUM(D23:O23)</f>
        <v>33446</v>
      </c>
      <c r="Q23" s="99">
        <f>P23/$P$3</f>
        <v>0.13560380303675323</v>
      </c>
      <c r="R23" s="100"/>
      <c r="S23" s="100"/>
      <c r="U23" s="68"/>
    </row>
    <row r="24" spans="1:21" ht="14.4" x14ac:dyDescent="0.35">
      <c r="A24" s="188"/>
      <c r="B24" s="131"/>
      <c r="C24" s="131" t="s">
        <v>40</v>
      </c>
      <c r="D24" s="122">
        <f t="shared" ref="D24:P24" si="13">IF(D23=0,0,(D23/D26))</f>
        <v>0</v>
      </c>
      <c r="E24" s="122">
        <f t="shared" si="13"/>
        <v>0</v>
      </c>
      <c r="F24" s="122">
        <f t="shared" si="13"/>
        <v>127</v>
      </c>
      <c r="G24" s="122">
        <f t="shared" si="13"/>
        <v>100.57142857142857</v>
      </c>
      <c r="H24" s="122">
        <f t="shared" si="13"/>
        <v>0</v>
      </c>
      <c r="I24" s="122">
        <f t="shared" si="13"/>
        <v>66.933333333333337</v>
      </c>
      <c r="J24" s="122">
        <f t="shared" si="13"/>
        <v>93.984126984126988</v>
      </c>
      <c r="K24" s="122">
        <f t="shared" si="13"/>
        <v>75.704918032786878</v>
      </c>
      <c r="L24" s="122">
        <f t="shared" si="13"/>
        <v>58.296296296296298</v>
      </c>
      <c r="M24" s="122">
        <f t="shared" si="13"/>
        <v>65.369747899159663</v>
      </c>
      <c r="N24" s="122">
        <f t="shared" si="13"/>
        <v>71.51428571428572</v>
      </c>
      <c r="O24" s="122">
        <f t="shared" si="13"/>
        <v>96.852941176470594</v>
      </c>
      <c r="P24" s="97">
        <f t="shared" si="13"/>
        <v>77.421296296296291</v>
      </c>
      <c r="Q24" s="101"/>
      <c r="R24" s="79"/>
      <c r="S24" s="79"/>
      <c r="U24" s="68"/>
    </row>
    <row r="25" spans="1:21" ht="14.4" x14ac:dyDescent="0.35">
      <c r="A25" s="188"/>
      <c r="B25" s="132"/>
      <c r="C25" s="132" t="s">
        <v>41</v>
      </c>
      <c r="D25" s="133">
        <f t="shared" ref="D25:P25" si="14">IF(D23=0,0,(D23/D27))</f>
        <v>0</v>
      </c>
      <c r="E25" s="133">
        <f t="shared" si="14"/>
        <v>0</v>
      </c>
      <c r="F25" s="133">
        <f t="shared" si="14"/>
        <v>84.666666666666671</v>
      </c>
      <c r="G25" s="133">
        <f t="shared" si="14"/>
        <v>70.400000000000006</v>
      </c>
      <c r="H25" s="133">
        <f t="shared" si="14"/>
        <v>0</v>
      </c>
      <c r="I25" s="133">
        <f t="shared" si="14"/>
        <v>52.842105263157897</v>
      </c>
      <c r="J25" s="133">
        <f t="shared" si="14"/>
        <v>68.05747126436782</v>
      </c>
      <c r="K25" s="133">
        <f t="shared" si="14"/>
        <v>42.366972477064223</v>
      </c>
      <c r="L25" s="133">
        <f t="shared" si="14"/>
        <v>34.977777777777774</v>
      </c>
      <c r="M25" s="133">
        <f t="shared" si="14"/>
        <v>42.048648648648651</v>
      </c>
      <c r="N25" s="133">
        <f t="shared" si="14"/>
        <v>38.507692307692309</v>
      </c>
      <c r="O25" s="133">
        <f t="shared" si="14"/>
        <v>56.29059829059829</v>
      </c>
      <c r="P25" s="98">
        <f t="shared" si="14"/>
        <v>47.441134751773049</v>
      </c>
      <c r="Q25" s="102"/>
      <c r="R25" s="104"/>
      <c r="S25" s="104"/>
      <c r="U25" s="68"/>
    </row>
    <row r="26" spans="1:21" ht="14.4" x14ac:dyDescent="0.35">
      <c r="A26" s="188"/>
      <c r="B26" s="129" t="s">
        <v>42</v>
      </c>
      <c r="C26" s="129" t="s">
        <v>43</v>
      </c>
      <c r="D26" s="134">
        <v>0</v>
      </c>
      <c r="E26" s="134">
        <v>0</v>
      </c>
      <c r="F26" s="134">
        <v>2</v>
      </c>
      <c r="G26" s="134">
        <v>7</v>
      </c>
      <c r="H26" s="134"/>
      <c r="I26" s="134">
        <f>9+2+4</f>
        <v>15</v>
      </c>
      <c r="J26" s="134">
        <f>30+33</f>
        <v>63</v>
      </c>
      <c r="K26" s="134">
        <v>61</v>
      </c>
      <c r="L26" s="134">
        <v>27</v>
      </c>
      <c r="M26" s="134">
        <v>119</v>
      </c>
      <c r="N26" s="134">
        <v>70</v>
      </c>
      <c r="O26" s="134">
        <v>68</v>
      </c>
      <c r="P26" s="105">
        <f>SUM(D26:O26)</f>
        <v>432</v>
      </c>
      <c r="Q26" s="100"/>
      <c r="R26" s="100"/>
      <c r="S26" s="100"/>
      <c r="U26" s="67"/>
    </row>
    <row r="27" spans="1:21" ht="14.4" x14ac:dyDescent="0.35">
      <c r="A27" s="188"/>
      <c r="B27" s="135"/>
      <c r="C27" s="135" t="s">
        <v>44</v>
      </c>
      <c r="D27" s="136">
        <v>0</v>
      </c>
      <c r="E27" s="136">
        <v>0</v>
      </c>
      <c r="F27" s="136">
        <v>3</v>
      </c>
      <c r="G27" s="136">
        <v>10</v>
      </c>
      <c r="H27" s="136"/>
      <c r="I27" s="136">
        <f>11+4+4</f>
        <v>19</v>
      </c>
      <c r="J27" s="136">
        <f>42+45</f>
        <v>87</v>
      </c>
      <c r="K27" s="136">
        <v>109</v>
      </c>
      <c r="L27" s="136">
        <v>45</v>
      </c>
      <c r="M27" s="136">
        <v>185</v>
      </c>
      <c r="N27" s="136">
        <v>130</v>
      </c>
      <c r="O27" s="136">
        <v>117</v>
      </c>
      <c r="P27" s="106">
        <f>SUM(D27:O27)</f>
        <v>705</v>
      </c>
      <c r="Q27" s="104"/>
      <c r="R27" s="103" t="e">
        <f>P27/$R$2</f>
        <v>#DIV/0!</v>
      </c>
      <c r="S27" s="103" t="e">
        <f>P27/$S$2</f>
        <v>#DIV/0!</v>
      </c>
      <c r="U27" s="67"/>
    </row>
    <row r="28" spans="1:21" ht="14.4" x14ac:dyDescent="0.35">
      <c r="A28" s="188" t="s">
        <v>26</v>
      </c>
      <c r="B28" s="129" t="s">
        <v>33</v>
      </c>
      <c r="C28" s="129" t="s">
        <v>18</v>
      </c>
      <c r="D28" s="130"/>
      <c r="E28" s="130"/>
      <c r="F28" s="130">
        <v>0</v>
      </c>
      <c r="G28" s="130"/>
      <c r="H28" s="130"/>
      <c r="I28" s="130"/>
      <c r="J28" s="130"/>
      <c r="K28" s="130"/>
      <c r="L28" s="130"/>
      <c r="M28" s="130"/>
      <c r="N28" s="130"/>
      <c r="O28" s="130"/>
      <c r="P28" s="47"/>
      <c r="Q28" s="99">
        <f>P28/$P$3</f>
        <v>0</v>
      </c>
      <c r="R28" s="100"/>
      <c r="S28" s="100"/>
      <c r="U28" s="68"/>
    </row>
    <row r="29" spans="1:21" ht="14.4" x14ac:dyDescent="0.35">
      <c r="A29" s="188"/>
      <c r="B29" s="131"/>
      <c r="C29" s="131" t="s">
        <v>40</v>
      </c>
      <c r="D29" s="122"/>
      <c r="E29" s="122">
        <f t="shared" ref="E29:O29" si="15">IF(E28=0,0,(E28/E31))</f>
        <v>0</v>
      </c>
      <c r="F29" s="122">
        <f t="shared" si="15"/>
        <v>0</v>
      </c>
      <c r="G29" s="122">
        <f t="shared" si="15"/>
        <v>0</v>
      </c>
      <c r="H29" s="122">
        <f t="shared" si="15"/>
        <v>0</v>
      </c>
      <c r="I29" s="122">
        <f t="shared" si="15"/>
        <v>0</v>
      </c>
      <c r="J29" s="122">
        <f t="shared" si="15"/>
        <v>0</v>
      </c>
      <c r="K29" s="122">
        <f t="shared" si="15"/>
        <v>0</v>
      </c>
      <c r="L29" s="122">
        <f t="shared" si="15"/>
        <v>0</v>
      </c>
      <c r="M29" s="122">
        <f t="shared" si="15"/>
        <v>0</v>
      </c>
      <c r="N29" s="122">
        <f t="shared" si="15"/>
        <v>0</v>
      </c>
      <c r="O29" s="122">
        <f t="shared" si="15"/>
        <v>0</v>
      </c>
      <c r="P29" s="97"/>
      <c r="Q29" s="101"/>
      <c r="R29" s="79"/>
      <c r="S29" s="79"/>
      <c r="U29" s="68"/>
    </row>
    <row r="30" spans="1:21" ht="14.4" x14ac:dyDescent="0.35">
      <c r="A30" s="188"/>
      <c r="B30" s="132"/>
      <c r="C30" s="132" t="s">
        <v>41</v>
      </c>
      <c r="D30" s="133"/>
      <c r="E30" s="133">
        <f t="shared" ref="E30:O30" si="16">IF(E28=0,0,(E28/E32))</f>
        <v>0</v>
      </c>
      <c r="F30" s="133">
        <f t="shared" si="16"/>
        <v>0</v>
      </c>
      <c r="G30" s="133">
        <f t="shared" si="16"/>
        <v>0</v>
      </c>
      <c r="H30" s="133">
        <f t="shared" si="16"/>
        <v>0</v>
      </c>
      <c r="I30" s="133">
        <f t="shared" si="16"/>
        <v>0</v>
      </c>
      <c r="J30" s="133">
        <f t="shared" si="16"/>
        <v>0</v>
      </c>
      <c r="K30" s="133">
        <f t="shared" si="16"/>
        <v>0</v>
      </c>
      <c r="L30" s="133">
        <f t="shared" si="16"/>
        <v>0</v>
      </c>
      <c r="M30" s="133">
        <f t="shared" si="16"/>
        <v>0</v>
      </c>
      <c r="N30" s="133">
        <f t="shared" si="16"/>
        <v>0</v>
      </c>
      <c r="O30" s="133">
        <f t="shared" si="16"/>
        <v>0</v>
      </c>
      <c r="P30" s="98"/>
      <c r="Q30" s="101"/>
      <c r="R30" s="79"/>
      <c r="S30" s="79"/>
      <c r="U30" s="68"/>
    </row>
    <row r="31" spans="1:21" ht="14.4" x14ac:dyDescent="0.35">
      <c r="A31" s="188"/>
      <c r="B31" s="129" t="s">
        <v>42</v>
      </c>
      <c r="C31" s="129" t="s">
        <v>43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05"/>
      <c r="Q31" s="100"/>
      <c r="R31" s="100"/>
      <c r="S31" s="100"/>
      <c r="U31" s="67"/>
    </row>
    <row r="32" spans="1:21" ht="14.4" x14ac:dyDescent="0.35">
      <c r="A32" s="188"/>
      <c r="B32" s="135"/>
      <c r="C32" s="135" t="s">
        <v>44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06"/>
      <c r="Q32" s="104"/>
      <c r="R32" s="103" t="e">
        <f>P32/$R$2</f>
        <v>#DIV/0!</v>
      </c>
      <c r="S32" s="103" t="e">
        <f>P32/$S$2</f>
        <v>#DIV/0!</v>
      </c>
      <c r="U32" s="67"/>
    </row>
    <row r="33" spans="1:21" ht="14.4" x14ac:dyDescent="0.35">
      <c r="A33" s="188" t="s">
        <v>29</v>
      </c>
      <c r="B33" s="129" t="s">
        <v>33</v>
      </c>
      <c r="C33" s="129" t="s">
        <v>18</v>
      </c>
      <c r="D33" s="130"/>
      <c r="E33" s="130">
        <v>0</v>
      </c>
      <c r="F33" s="130">
        <v>0</v>
      </c>
      <c r="G33" s="130">
        <v>0</v>
      </c>
      <c r="H33" s="130">
        <v>0</v>
      </c>
      <c r="I33" s="130">
        <v>0</v>
      </c>
      <c r="J33" s="130">
        <v>0</v>
      </c>
      <c r="K33" s="130">
        <v>0</v>
      </c>
      <c r="L33" s="130"/>
      <c r="M33" s="130"/>
      <c r="N33" s="130">
        <v>0</v>
      </c>
      <c r="O33" s="130">
        <v>0</v>
      </c>
      <c r="P33" s="47">
        <f>SUM(D33:O33)</f>
        <v>0</v>
      </c>
      <c r="Q33" s="99">
        <f>P33/$P$3</f>
        <v>0</v>
      </c>
      <c r="R33" s="100"/>
      <c r="S33" s="100"/>
      <c r="U33" s="68"/>
    </row>
    <row r="34" spans="1:21" ht="14.4" x14ac:dyDescent="0.35">
      <c r="A34" s="188"/>
      <c r="B34" s="131"/>
      <c r="C34" s="131" t="s">
        <v>40</v>
      </c>
      <c r="D34" s="122">
        <f t="shared" ref="D34:P34" si="17">IF(D33=0,0,(D33/D36))</f>
        <v>0</v>
      </c>
      <c r="E34" s="122">
        <f t="shared" si="17"/>
        <v>0</v>
      </c>
      <c r="F34" s="122">
        <f t="shared" si="17"/>
        <v>0</v>
      </c>
      <c r="G34" s="122">
        <f t="shared" si="17"/>
        <v>0</v>
      </c>
      <c r="H34" s="122">
        <f t="shared" si="17"/>
        <v>0</v>
      </c>
      <c r="I34" s="122">
        <f t="shared" si="17"/>
        <v>0</v>
      </c>
      <c r="J34" s="122">
        <f t="shared" si="17"/>
        <v>0</v>
      </c>
      <c r="K34" s="122">
        <f t="shared" si="17"/>
        <v>0</v>
      </c>
      <c r="L34" s="122">
        <f t="shared" si="17"/>
        <v>0</v>
      </c>
      <c r="M34" s="122">
        <f t="shared" si="17"/>
        <v>0</v>
      </c>
      <c r="N34" s="122">
        <f t="shared" si="17"/>
        <v>0</v>
      </c>
      <c r="O34" s="122">
        <f t="shared" si="17"/>
        <v>0</v>
      </c>
      <c r="P34" s="97">
        <f t="shared" si="17"/>
        <v>0</v>
      </c>
      <c r="Q34" s="101"/>
      <c r="R34" s="79"/>
      <c r="S34" s="79"/>
      <c r="U34" s="68"/>
    </row>
    <row r="35" spans="1:21" ht="14.4" x14ac:dyDescent="0.35">
      <c r="A35" s="188"/>
      <c r="B35" s="132"/>
      <c r="C35" s="132" t="s">
        <v>41</v>
      </c>
      <c r="D35" s="133">
        <f t="shared" ref="D35:P35" si="18">IF(D33=0,0,(D33/D37))</f>
        <v>0</v>
      </c>
      <c r="E35" s="133">
        <f t="shared" si="18"/>
        <v>0</v>
      </c>
      <c r="F35" s="133">
        <f t="shared" si="18"/>
        <v>0</v>
      </c>
      <c r="G35" s="133">
        <f t="shared" si="18"/>
        <v>0</v>
      </c>
      <c r="H35" s="133">
        <f t="shared" si="18"/>
        <v>0</v>
      </c>
      <c r="I35" s="133">
        <f t="shared" si="18"/>
        <v>0</v>
      </c>
      <c r="J35" s="133">
        <f t="shared" si="18"/>
        <v>0</v>
      </c>
      <c r="K35" s="133">
        <f t="shared" si="18"/>
        <v>0</v>
      </c>
      <c r="L35" s="133">
        <f t="shared" si="18"/>
        <v>0</v>
      </c>
      <c r="M35" s="133">
        <f t="shared" si="18"/>
        <v>0</v>
      </c>
      <c r="N35" s="133">
        <f t="shared" si="18"/>
        <v>0</v>
      </c>
      <c r="O35" s="133">
        <f t="shared" si="18"/>
        <v>0</v>
      </c>
      <c r="P35" s="98">
        <f t="shared" si="18"/>
        <v>0</v>
      </c>
      <c r="Q35" s="102"/>
      <c r="R35" s="104"/>
      <c r="S35" s="104"/>
      <c r="U35" s="68"/>
    </row>
    <row r="36" spans="1:21" ht="14.4" x14ac:dyDescent="0.35">
      <c r="A36" s="188"/>
      <c r="B36" s="129" t="s">
        <v>42</v>
      </c>
      <c r="C36" s="129" t="s">
        <v>43</v>
      </c>
      <c r="D36" s="134"/>
      <c r="E36" s="134"/>
      <c r="F36" s="134">
        <v>0</v>
      </c>
      <c r="G36" s="134">
        <v>0</v>
      </c>
      <c r="H36" s="134"/>
      <c r="I36" s="134"/>
      <c r="J36" s="134">
        <v>0</v>
      </c>
      <c r="K36" s="134">
        <v>0</v>
      </c>
      <c r="L36" s="134"/>
      <c r="M36" s="134"/>
      <c r="N36" s="134"/>
      <c r="O36" s="134"/>
      <c r="P36" s="105">
        <f>SUM(D36:O36)</f>
        <v>0</v>
      </c>
      <c r="Q36" s="100"/>
      <c r="R36" s="100"/>
      <c r="S36" s="100"/>
      <c r="U36" s="67"/>
    </row>
    <row r="37" spans="1:21" ht="14.4" x14ac:dyDescent="0.35">
      <c r="A37" s="188"/>
      <c r="B37" s="135"/>
      <c r="C37" s="135" t="s">
        <v>44</v>
      </c>
      <c r="D37" s="136"/>
      <c r="E37" s="136"/>
      <c r="F37" s="136">
        <v>0</v>
      </c>
      <c r="G37" s="136">
        <v>0</v>
      </c>
      <c r="H37" s="136"/>
      <c r="I37" s="136"/>
      <c r="J37" s="136">
        <v>0</v>
      </c>
      <c r="K37" s="136">
        <v>0</v>
      </c>
      <c r="L37" s="136"/>
      <c r="M37" s="136"/>
      <c r="N37" s="136"/>
      <c r="O37" s="136"/>
      <c r="P37" s="106">
        <f>SUM(D37:O37)</f>
        <v>0</v>
      </c>
      <c r="Q37" s="104"/>
      <c r="R37" s="103" t="e">
        <f>P37/$R$2</f>
        <v>#DIV/0!</v>
      </c>
      <c r="S37" s="103" t="e">
        <f>P37/$S$2</f>
        <v>#DIV/0!</v>
      </c>
      <c r="U37" s="67"/>
    </row>
    <row r="38" spans="1:21" ht="14.4" x14ac:dyDescent="0.35">
      <c r="A38" s="188" t="s">
        <v>32</v>
      </c>
      <c r="B38" s="129" t="s">
        <v>33</v>
      </c>
      <c r="C38" s="129" t="s">
        <v>18</v>
      </c>
      <c r="D38" s="130"/>
      <c r="E38" s="130"/>
      <c r="F38" s="130">
        <v>0</v>
      </c>
      <c r="G38" s="130">
        <v>0</v>
      </c>
      <c r="H38" s="130"/>
      <c r="I38" s="130"/>
      <c r="J38" s="130"/>
      <c r="K38" s="130">
        <v>0</v>
      </c>
      <c r="L38" s="130"/>
      <c r="M38" s="130"/>
      <c r="N38" s="130"/>
      <c r="O38" s="130"/>
      <c r="P38" s="47">
        <f>SUM(D38:O38)</f>
        <v>0</v>
      </c>
      <c r="Q38" s="99">
        <f>P38/$P$3</f>
        <v>0</v>
      </c>
      <c r="R38" s="100"/>
      <c r="S38" s="100"/>
      <c r="U38" s="68"/>
    </row>
    <row r="39" spans="1:21" ht="14.4" x14ac:dyDescent="0.35">
      <c r="A39" s="188"/>
      <c r="B39" s="131"/>
      <c r="C39" s="131" t="s">
        <v>40</v>
      </c>
      <c r="D39" s="122"/>
      <c r="E39" s="122">
        <f t="shared" ref="E39:P39" si="19">IF(E38=0,0,(E38/E41))</f>
        <v>0</v>
      </c>
      <c r="F39" s="122">
        <f t="shared" si="19"/>
        <v>0</v>
      </c>
      <c r="G39" s="122">
        <f t="shared" si="19"/>
        <v>0</v>
      </c>
      <c r="H39" s="122">
        <f t="shared" si="19"/>
        <v>0</v>
      </c>
      <c r="I39" s="122">
        <f t="shared" si="19"/>
        <v>0</v>
      </c>
      <c r="J39" s="122">
        <f t="shared" si="19"/>
        <v>0</v>
      </c>
      <c r="K39" s="122">
        <f t="shared" si="19"/>
        <v>0</v>
      </c>
      <c r="L39" s="122">
        <f t="shared" si="19"/>
        <v>0</v>
      </c>
      <c r="M39" s="122">
        <f t="shared" si="19"/>
        <v>0</v>
      </c>
      <c r="N39" s="122">
        <f t="shared" si="19"/>
        <v>0</v>
      </c>
      <c r="O39" s="122">
        <f t="shared" si="19"/>
        <v>0</v>
      </c>
      <c r="P39" s="97">
        <f t="shared" si="19"/>
        <v>0</v>
      </c>
      <c r="Q39" s="101"/>
      <c r="R39" s="79"/>
      <c r="S39" s="79"/>
      <c r="U39" s="68"/>
    </row>
    <row r="40" spans="1:21" ht="14.4" x14ac:dyDescent="0.35">
      <c r="A40" s="188"/>
      <c r="B40" s="132"/>
      <c r="C40" s="132" t="s">
        <v>41</v>
      </c>
      <c r="D40" s="133"/>
      <c r="E40" s="133">
        <f t="shared" ref="E40:P40" si="20">IF(E38=0,0,(E38/E42))</f>
        <v>0</v>
      </c>
      <c r="F40" s="133">
        <f t="shared" si="20"/>
        <v>0</v>
      </c>
      <c r="G40" s="133">
        <f t="shared" si="20"/>
        <v>0</v>
      </c>
      <c r="H40" s="133">
        <f t="shared" si="20"/>
        <v>0</v>
      </c>
      <c r="I40" s="133">
        <f t="shared" si="20"/>
        <v>0</v>
      </c>
      <c r="J40" s="133">
        <f t="shared" si="20"/>
        <v>0</v>
      </c>
      <c r="K40" s="133">
        <f t="shared" si="20"/>
        <v>0</v>
      </c>
      <c r="L40" s="133">
        <f t="shared" si="20"/>
        <v>0</v>
      </c>
      <c r="M40" s="133">
        <f t="shared" si="20"/>
        <v>0</v>
      </c>
      <c r="N40" s="133">
        <f t="shared" si="20"/>
        <v>0</v>
      </c>
      <c r="O40" s="133">
        <f t="shared" si="20"/>
        <v>0</v>
      </c>
      <c r="P40" s="98">
        <f t="shared" si="20"/>
        <v>0</v>
      </c>
      <c r="Q40" s="102"/>
      <c r="R40" s="104"/>
      <c r="S40" s="104"/>
      <c r="U40" s="68"/>
    </row>
    <row r="41" spans="1:21" ht="14.4" x14ac:dyDescent="0.35">
      <c r="A41" s="188"/>
      <c r="B41" s="129" t="s">
        <v>42</v>
      </c>
      <c r="C41" s="129" t="s">
        <v>43</v>
      </c>
      <c r="D41" s="134"/>
      <c r="E41" s="134"/>
      <c r="F41" s="134">
        <v>0</v>
      </c>
      <c r="G41" s="134">
        <v>0</v>
      </c>
      <c r="H41" s="134"/>
      <c r="I41" s="134"/>
      <c r="J41" s="134"/>
      <c r="K41" s="134">
        <v>0</v>
      </c>
      <c r="L41" s="134"/>
      <c r="M41" s="134"/>
      <c r="N41" s="134"/>
      <c r="O41" s="134"/>
      <c r="P41" s="105">
        <f>SUM(D41:O41)</f>
        <v>0</v>
      </c>
      <c r="Q41" s="100"/>
      <c r="R41" s="100"/>
      <c r="S41" s="100"/>
      <c r="U41" s="67"/>
    </row>
    <row r="42" spans="1:21" ht="14.4" x14ac:dyDescent="0.35">
      <c r="A42" s="188"/>
      <c r="B42" s="135"/>
      <c r="C42" s="135" t="s">
        <v>44</v>
      </c>
      <c r="D42" s="136"/>
      <c r="E42" s="136"/>
      <c r="F42" s="136">
        <v>0</v>
      </c>
      <c r="G42" s="136">
        <v>0</v>
      </c>
      <c r="H42" s="136"/>
      <c r="I42" s="136"/>
      <c r="J42" s="136"/>
      <c r="K42" s="136">
        <v>0</v>
      </c>
      <c r="L42" s="136"/>
      <c r="M42" s="136"/>
      <c r="N42" s="136"/>
      <c r="O42" s="136"/>
      <c r="P42" s="106">
        <f>SUM(D42:O42)</f>
        <v>0</v>
      </c>
      <c r="Q42" s="104"/>
      <c r="R42" s="103" t="e">
        <f>P42/$R$2</f>
        <v>#DIV/0!</v>
      </c>
      <c r="S42" s="103" t="e">
        <f>P42/$S$2</f>
        <v>#DIV/0!</v>
      </c>
      <c r="U42" s="67"/>
    </row>
  </sheetData>
  <autoFilter ref="A2:B42"/>
  <mergeCells count="11">
    <mergeCell ref="A13:A17"/>
    <mergeCell ref="A1:T1"/>
    <mergeCell ref="A3:A7"/>
    <mergeCell ref="Q3:Q7"/>
    <mergeCell ref="R3:S5"/>
    <mergeCell ref="A8:A12"/>
    <mergeCell ref="A18:A22"/>
    <mergeCell ref="A23:A27"/>
    <mergeCell ref="A28:A32"/>
    <mergeCell ref="A33:A37"/>
    <mergeCell ref="A38:A42"/>
  </mergeCells>
  <conditionalFormatting sqref="T2:XFD7 A2:P2 A3 H3:P7 S9:XFD12 Q9:Q12 Q8:XFD8 A43:XFD1048576 Q13:XFD42">
    <cfRule type="cellIs" dxfId="102" priority="79" operator="equal">
      <formula>0</formula>
    </cfRule>
  </conditionalFormatting>
  <conditionalFormatting sqref="Q3:S7">
    <cfRule type="cellIs" dxfId="101" priority="78" operator="equal">
      <formula>0</formula>
    </cfRule>
  </conditionalFormatting>
  <conditionalFormatting sqref="Q2:S2">
    <cfRule type="cellIs" dxfId="100" priority="77" operator="equal">
      <formula>0</formula>
    </cfRule>
  </conditionalFormatting>
  <conditionalFormatting sqref="B3:C7">
    <cfRule type="cellIs" dxfId="99" priority="76" operator="equal">
      <formula>0</formula>
    </cfRule>
  </conditionalFormatting>
  <conditionalFormatting sqref="A38:C38 B39:C42 P38:P42 H41:I42 H38:I38">
    <cfRule type="cellIs" dxfId="98" priority="75" operator="equal">
      <formula>0</formula>
    </cfRule>
  </conditionalFormatting>
  <conditionalFormatting sqref="A8:C8 B9:C12 P8:P12 H11:I12 H8:I8">
    <cfRule type="cellIs" dxfId="97" priority="74" operator="equal">
      <formula>0</formula>
    </cfRule>
  </conditionalFormatting>
  <conditionalFormatting sqref="A13:C13 B14:C17 P13:P17">
    <cfRule type="cellIs" dxfId="96" priority="73" operator="equal">
      <formula>0</formula>
    </cfRule>
  </conditionalFormatting>
  <conditionalFormatting sqref="A18:C18 B19:C22 P18:P22 H21:I22 H18:I18">
    <cfRule type="cellIs" dxfId="95" priority="72" operator="equal">
      <formula>0</formula>
    </cfRule>
  </conditionalFormatting>
  <conditionalFormatting sqref="A23:C23 B24:C27 P23:P27 H26:I27 H23:I23">
    <cfRule type="cellIs" dxfId="94" priority="71" operator="equal">
      <formula>0</formula>
    </cfRule>
  </conditionalFormatting>
  <conditionalFormatting sqref="A28:C28 B29:C32 P28:P32 H31:I32 H28:I28">
    <cfRule type="cellIs" dxfId="93" priority="70" operator="equal">
      <formula>0</formula>
    </cfRule>
  </conditionalFormatting>
  <conditionalFormatting sqref="A33:C33 B34:C37 P33:P37 H36:I37 H33:I33">
    <cfRule type="cellIs" dxfId="92" priority="69" operator="equal">
      <formula>0</formula>
    </cfRule>
  </conditionalFormatting>
  <conditionalFormatting sqref="U1:XFD1 A1">
    <cfRule type="cellIs" dxfId="91" priority="68" operator="equal">
      <formula>0</formula>
    </cfRule>
  </conditionalFormatting>
  <conditionalFormatting sqref="H9:I10">
    <cfRule type="cellIs" dxfId="90" priority="67" operator="equal">
      <formula>0</formula>
    </cfRule>
  </conditionalFormatting>
  <conditionalFormatting sqref="H14:I15">
    <cfRule type="cellIs" dxfId="89" priority="66" operator="equal">
      <formula>0</formula>
    </cfRule>
  </conditionalFormatting>
  <conditionalFormatting sqref="H19:I20">
    <cfRule type="cellIs" dxfId="88" priority="65" operator="equal">
      <formula>0</formula>
    </cfRule>
  </conditionalFormatting>
  <conditionalFormatting sqref="H24:I25">
    <cfRule type="cellIs" dxfId="87" priority="64" operator="equal">
      <formula>0</formula>
    </cfRule>
  </conditionalFormatting>
  <conditionalFormatting sqref="H29:I30">
    <cfRule type="cellIs" dxfId="86" priority="63" operator="equal">
      <formula>0</formula>
    </cfRule>
  </conditionalFormatting>
  <conditionalFormatting sqref="H34:I35">
    <cfRule type="cellIs" dxfId="85" priority="62" operator="equal">
      <formula>0</formula>
    </cfRule>
  </conditionalFormatting>
  <conditionalFormatting sqref="H39:I40">
    <cfRule type="cellIs" dxfId="84" priority="61" operator="equal">
      <formula>0</formula>
    </cfRule>
  </conditionalFormatting>
  <conditionalFormatting sqref="J38:O38 J41:O42">
    <cfRule type="cellIs" dxfId="83" priority="60" operator="equal">
      <formula>0</formula>
    </cfRule>
  </conditionalFormatting>
  <conditionalFormatting sqref="J8:K8 J11:K12">
    <cfRule type="cellIs" dxfId="82" priority="59" operator="equal">
      <formula>0</formula>
    </cfRule>
  </conditionalFormatting>
  <conditionalFormatting sqref="K13 K16:K17">
    <cfRule type="cellIs" dxfId="81" priority="58" operator="equal">
      <formula>0</formula>
    </cfRule>
  </conditionalFormatting>
  <conditionalFormatting sqref="J18:K18 J21:K22">
    <cfRule type="cellIs" dxfId="80" priority="57" operator="equal">
      <formula>0</formula>
    </cfRule>
  </conditionalFormatting>
  <conditionalFormatting sqref="J23:O23 J26:O27">
    <cfRule type="cellIs" dxfId="79" priority="56" operator="equal">
      <formula>0</formula>
    </cfRule>
  </conditionalFormatting>
  <conditionalFormatting sqref="J28:O28 J31:O32">
    <cfRule type="cellIs" dxfId="78" priority="55" operator="equal">
      <formula>0</formula>
    </cfRule>
  </conditionalFormatting>
  <conditionalFormatting sqref="J33:O33 J36:O37">
    <cfRule type="cellIs" dxfId="77" priority="54" operator="equal">
      <formula>0</formula>
    </cfRule>
  </conditionalFormatting>
  <conditionalFormatting sqref="J9:K10">
    <cfRule type="cellIs" dxfId="76" priority="53" operator="equal">
      <formula>0</formula>
    </cfRule>
  </conditionalFormatting>
  <conditionalFormatting sqref="J14:K15">
    <cfRule type="cellIs" dxfId="75" priority="52" operator="equal">
      <formula>0</formula>
    </cfRule>
  </conditionalFormatting>
  <conditionalFormatting sqref="J19:K20">
    <cfRule type="cellIs" dxfId="74" priority="51" operator="equal">
      <formula>0</formula>
    </cfRule>
  </conditionalFormatting>
  <conditionalFormatting sqref="J24:O25">
    <cfRule type="cellIs" dxfId="73" priority="50" operator="equal">
      <formula>0</formula>
    </cfRule>
  </conditionalFormatting>
  <conditionalFormatting sqref="J29:O30">
    <cfRule type="cellIs" dxfId="72" priority="49" operator="equal">
      <formula>0</formula>
    </cfRule>
  </conditionalFormatting>
  <conditionalFormatting sqref="J34:O35">
    <cfRule type="cellIs" dxfId="71" priority="48" operator="equal">
      <formula>0</formula>
    </cfRule>
  </conditionalFormatting>
  <conditionalFormatting sqref="J39:O40">
    <cfRule type="cellIs" dxfId="70" priority="47" operator="equal">
      <formula>0</formula>
    </cfRule>
  </conditionalFormatting>
  <conditionalFormatting sqref="D3:G7">
    <cfRule type="cellIs" dxfId="69" priority="46" operator="equal">
      <formula>0</formula>
    </cfRule>
  </conditionalFormatting>
  <conditionalFormatting sqref="E38:G38 E41:G42">
    <cfRule type="cellIs" dxfId="68" priority="45" operator="equal">
      <formula>0</formula>
    </cfRule>
  </conditionalFormatting>
  <conditionalFormatting sqref="E8:G8 E11:G12">
    <cfRule type="cellIs" dxfId="67" priority="44" operator="equal">
      <formula>0</formula>
    </cfRule>
  </conditionalFormatting>
  <conditionalFormatting sqref="E18:G18 E21:G22">
    <cfRule type="cellIs" dxfId="66" priority="42" operator="equal">
      <formula>0</formula>
    </cfRule>
  </conditionalFormatting>
  <conditionalFormatting sqref="E23:G23 E26:G27">
    <cfRule type="cellIs" dxfId="65" priority="41" operator="equal">
      <formula>0</formula>
    </cfRule>
  </conditionalFormatting>
  <conditionalFormatting sqref="E28:G28 E31:G32">
    <cfRule type="cellIs" dxfId="64" priority="40" operator="equal">
      <formula>0</formula>
    </cfRule>
  </conditionalFormatting>
  <conditionalFormatting sqref="E33:G33 E36:G37">
    <cfRule type="cellIs" dxfId="63" priority="39" operator="equal">
      <formula>0</formula>
    </cfRule>
  </conditionalFormatting>
  <conditionalFormatting sqref="E9:G10">
    <cfRule type="cellIs" dxfId="62" priority="38" operator="equal">
      <formula>0</formula>
    </cfRule>
  </conditionalFormatting>
  <conditionalFormatting sqref="E14:G15">
    <cfRule type="cellIs" dxfId="61" priority="37" operator="equal">
      <formula>0</formula>
    </cfRule>
  </conditionalFormatting>
  <conditionalFormatting sqref="E19:G20">
    <cfRule type="cellIs" dxfId="60" priority="36" operator="equal">
      <formula>0</formula>
    </cfRule>
  </conditionalFormatting>
  <conditionalFormatting sqref="E24:G25">
    <cfRule type="cellIs" dxfId="59" priority="35" operator="equal">
      <formula>0</formula>
    </cfRule>
  </conditionalFormatting>
  <conditionalFormatting sqref="E29:G30">
    <cfRule type="cellIs" dxfId="58" priority="34" operator="equal">
      <formula>0</formula>
    </cfRule>
  </conditionalFormatting>
  <conditionalFormatting sqref="E34:G35">
    <cfRule type="cellIs" dxfId="57" priority="33" operator="equal">
      <formula>0</formula>
    </cfRule>
  </conditionalFormatting>
  <conditionalFormatting sqref="E39:G40">
    <cfRule type="cellIs" dxfId="56" priority="32" operator="equal">
      <formula>0</formula>
    </cfRule>
  </conditionalFormatting>
  <conditionalFormatting sqref="D38:D42">
    <cfRule type="cellIs" dxfId="55" priority="31" operator="equal">
      <formula>0</formula>
    </cfRule>
  </conditionalFormatting>
  <conditionalFormatting sqref="D8 D11:D12">
    <cfRule type="cellIs" dxfId="54" priority="30" operator="equal">
      <formula>0</formula>
    </cfRule>
  </conditionalFormatting>
  <conditionalFormatting sqref="D18 D21:D22">
    <cfRule type="cellIs" dxfId="53" priority="28" operator="equal">
      <formula>0</formula>
    </cfRule>
  </conditionalFormatting>
  <conditionalFormatting sqref="D23 D26:D27">
    <cfRule type="cellIs" dxfId="52" priority="27" operator="equal">
      <formula>0</formula>
    </cfRule>
  </conditionalFormatting>
  <conditionalFormatting sqref="D28:D32">
    <cfRule type="cellIs" dxfId="51" priority="26" operator="equal">
      <formula>0</formula>
    </cfRule>
  </conditionalFormatting>
  <conditionalFormatting sqref="D33 D36:D37">
    <cfRule type="cellIs" dxfId="50" priority="25" operator="equal">
      <formula>0</formula>
    </cfRule>
  </conditionalFormatting>
  <conditionalFormatting sqref="D9:D10">
    <cfRule type="cellIs" dxfId="49" priority="24" operator="equal">
      <formula>0</formula>
    </cfRule>
  </conditionalFormatting>
  <conditionalFormatting sqref="D14:D15">
    <cfRule type="cellIs" dxfId="48" priority="23" operator="equal">
      <formula>0</formula>
    </cfRule>
  </conditionalFormatting>
  <conditionalFormatting sqref="D19:D20">
    <cfRule type="cellIs" dxfId="47" priority="22" operator="equal">
      <formula>0</formula>
    </cfRule>
  </conditionalFormatting>
  <conditionalFormatting sqref="D24:D25">
    <cfRule type="cellIs" dxfId="46" priority="21" operator="equal">
      <formula>0</formula>
    </cfRule>
  </conditionalFormatting>
  <conditionalFormatting sqref="D34:D35">
    <cfRule type="cellIs" dxfId="45" priority="20" operator="equal">
      <formula>0</formula>
    </cfRule>
  </conditionalFormatting>
  <conditionalFormatting sqref="L8:O8 L11:L12 N11:O12">
    <cfRule type="cellIs" dxfId="44" priority="19" operator="equal">
      <formula>0</formula>
    </cfRule>
  </conditionalFormatting>
  <conditionalFormatting sqref="L13:M13 L16:M17">
    <cfRule type="cellIs" dxfId="43" priority="18" operator="equal">
      <formula>0</formula>
    </cfRule>
  </conditionalFormatting>
  <conditionalFormatting sqref="L18:M18 L21:M22">
    <cfRule type="cellIs" dxfId="42" priority="17" operator="equal">
      <formula>0</formula>
    </cfRule>
  </conditionalFormatting>
  <conditionalFormatting sqref="L9:O10">
    <cfRule type="cellIs" dxfId="41" priority="16" operator="equal">
      <formula>0</formula>
    </cfRule>
  </conditionalFormatting>
  <conditionalFormatting sqref="L14:M15">
    <cfRule type="cellIs" dxfId="40" priority="15" operator="equal">
      <formula>0</formula>
    </cfRule>
  </conditionalFormatting>
  <conditionalFormatting sqref="L19:M20">
    <cfRule type="cellIs" dxfId="39" priority="14" operator="equal">
      <formula>0</formula>
    </cfRule>
  </conditionalFormatting>
  <conditionalFormatting sqref="M11:M12">
    <cfRule type="cellIs" dxfId="38" priority="13" operator="equal">
      <formula>0</formula>
    </cfRule>
  </conditionalFormatting>
  <conditionalFormatting sqref="N13:O13 N16:O17">
    <cfRule type="cellIs" dxfId="37" priority="12" operator="equal">
      <formula>0</formula>
    </cfRule>
  </conditionalFormatting>
  <conditionalFormatting sqref="N18:O18 N21:O22">
    <cfRule type="cellIs" dxfId="36" priority="11" operator="equal">
      <formula>0</formula>
    </cfRule>
  </conditionalFormatting>
  <conditionalFormatting sqref="N14:O15">
    <cfRule type="cellIs" dxfId="35" priority="10" operator="equal">
      <formula>0</formula>
    </cfRule>
  </conditionalFormatting>
  <conditionalFormatting sqref="N19:O20">
    <cfRule type="cellIs" dxfId="34" priority="9" operator="equal">
      <formula>0</formula>
    </cfRule>
  </conditionalFormatting>
  <conditionalFormatting sqref="H16:I17">
    <cfRule type="cellIs" dxfId="33" priority="8" operator="equal">
      <formula>0</formula>
    </cfRule>
  </conditionalFormatting>
  <conditionalFormatting sqref="J16:J17">
    <cfRule type="cellIs" dxfId="32" priority="7" operator="equal">
      <formula>0</formula>
    </cfRule>
  </conditionalFormatting>
  <conditionalFormatting sqref="E16:G17">
    <cfRule type="cellIs" dxfId="31" priority="6" operator="equal">
      <formula>0</formula>
    </cfRule>
  </conditionalFormatting>
  <conditionalFormatting sqref="D16:D17">
    <cfRule type="cellIs" dxfId="30" priority="5" operator="equal">
      <formula>0</formula>
    </cfRule>
  </conditionalFormatting>
  <conditionalFormatting sqref="H13:I13">
    <cfRule type="cellIs" dxfId="29" priority="4" operator="equal">
      <formula>0</formula>
    </cfRule>
  </conditionalFormatting>
  <conditionalFormatting sqref="J13">
    <cfRule type="cellIs" dxfId="28" priority="3" operator="equal">
      <formula>0</formula>
    </cfRule>
  </conditionalFormatting>
  <conditionalFormatting sqref="E13:G13">
    <cfRule type="cellIs" dxfId="27" priority="2" operator="equal">
      <formula>0</formula>
    </cfRule>
  </conditionalFormatting>
  <conditionalFormatting sqref="D13">
    <cfRule type="cellIs" dxfId="2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outlinePr summaryBelow="0" summaryRight="0"/>
  </sheetPr>
  <dimension ref="A1:AF42"/>
  <sheetViews>
    <sheetView showGridLines="0" zoomScaleNormal="100" workbookViewId="0">
      <pane xSplit="1" ySplit="7" topLeftCell="B23" activePane="bottomRight" state="frozen"/>
      <selection pane="topRight" activeCell="B1" sqref="B1"/>
      <selection pane="bottomLeft" activeCell="A7" sqref="A7"/>
      <selection pane="bottomRight" activeCell="Y9" sqref="Y9"/>
    </sheetView>
  </sheetViews>
  <sheetFormatPr defaultColWidth="9.109375" defaultRowHeight="13.8" x14ac:dyDescent="0.3"/>
  <cols>
    <col min="1" max="1" width="13.5546875" style="116" bestFit="1" customWidth="1"/>
    <col min="2" max="2" width="7.44140625" style="2" bestFit="1" customWidth="1"/>
    <col min="3" max="3" width="8" style="140" bestFit="1" customWidth="1"/>
    <col min="4" max="4" width="8.88671875" style="4" customWidth="1"/>
    <col min="5" max="5" width="9" style="4" customWidth="1"/>
    <col min="6" max="6" width="10" style="4" customWidth="1"/>
    <col min="7" max="7" width="6.88671875" style="69" bestFit="1" customWidth="1"/>
    <col min="8" max="8" width="1.44140625" style="1" customWidth="1"/>
    <col min="9" max="11" width="9" style="4" bestFit="1" customWidth="1"/>
    <col min="12" max="12" width="8.109375" style="69" bestFit="1" customWidth="1"/>
    <col min="13" max="13" width="2" style="113" customWidth="1"/>
    <col min="14" max="14" width="9" style="115" bestFit="1" customWidth="1"/>
    <col min="15" max="15" width="10.33203125" style="115" customWidth="1"/>
    <col min="16" max="16" width="10.44140625" style="115" customWidth="1"/>
    <col min="17" max="17" width="7" style="120" bestFit="1" customWidth="1"/>
    <col min="18" max="18" width="4.109375" style="116" customWidth="1"/>
    <col min="19" max="19" width="10.109375" style="115" bestFit="1" customWidth="1"/>
    <col min="20" max="20" width="10.33203125" style="115" customWidth="1"/>
    <col min="21" max="21" width="10.88671875" style="115" bestFit="1" customWidth="1"/>
    <col min="22" max="22" width="7" style="120" bestFit="1" customWidth="1"/>
    <col min="23" max="23" width="2.109375" style="1" customWidth="1"/>
    <col min="24" max="24" width="10.109375" style="115" bestFit="1" customWidth="1"/>
    <col min="25" max="25" width="10.33203125" style="115" customWidth="1"/>
    <col min="26" max="26" width="10.88671875" style="115" bestFit="1" customWidth="1"/>
    <col min="27" max="27" width="7" style="120" bestFit="1" customWidth="1"/>
    <col min="28" max="28" width="3.109375" style="1" customWidth="1"/>
    <col min="29" max="29" width="10.109375" style="115" bestFit="1" customWidth="1"/>
    <col min="30" max="30" width="10.33203125" style="115" customWidth="1"/>
    <col min="31" max="31" width="10.88671875" style="115" bestFit="1" customWidth="1"/>
    <col min="32" max="32" width="7" style="120" bestFit="1" customWidth="1"/>
    <col min="33" max="16384" width="9.109375" style="1"/>
  </cols>
  <sheetData>
    <row r="1" spans="1:32" ht="34.950000000000003" customHeight="1" x14ac:dyDescent="0.3">
      <c r="A1" s="159"/>
      <c r="B1" s="160"/>
      <c r="C1" s="161"/>
      <c r="D1" s="234" t="s">
        <v>35</v>
      </c>
      <c r="E1" s="235"/>
      <c r="F1" s="235"/>
      <c r="G1" s="236"/>
      <c r="H1" s="137"/>
      <c r="I1" s="233" t="s">
        <v>46</v>
      </c>
      <c r="J1" s="233"/>
      <c r="K1" s="233"/>
      <c r="L1" s="233"/>
      <c r="M1" s="137"/>
      <c r="N1" s="225" t="s">
        <v>50</v>
      </c>
      <c r="O1" s="226"/>
      <c r="P1" s="226"/>
      <c r="Q1" s="226"/>
      <c r="R1" s="219" t="s">
        <v>48</v>
      </c>
      <c r="S1" s="200" t="s">
        <v>53</v>
      </c>
      <c r="T1" s="201"/>
      <c r="U1" s="201"/>
      <c r="V1" s="201"/>
      <c r="X1" s="204" t="s">
        <v>54</v>
      </c>
      <c r="Y1" s="205"/>
      <c r="Z1" s="205"/>
      <c r="AA1" s="205"/>
      <c r="AC1" s="208" t="s">
        <v>57</v>
      </c>
      <c r="AD1" s="209"/>
      <c r="AE1" s="209"/>
      <c r="AF1" s="209"/>
    </row>
    <row r="2" spans="1:32" ht="48.75" customHeight="1" x14ac:dyDescent="0.3">
      <c r="A2" s="162"/>
      <c r="B2" s="163"/>
      <c r="C2" s="164"/>
      <c r="D2" s="138" t="s">
        <v>36</v>
      </c>
      <c r="E2" s="138" t="s">
        <v>37</v>
      </c>
      <c r="F2" s="229" t="s">
        <v>38</v>
      </c>
      <c r="G2" s="230"/>
      <c r="H2" s="126"/>
      <c r="I2" s="139" t="s">
        <v>37</v>
      </c>
      <c r="J2" s="139" t="s">
        <v>39</v>
      </c>
      <c r="K2" s="231" t="s">
        <v>38</v>
      </c>
      <c r="L2" s="232"/>
      <c r="M2" s="126"/>
      <c r="N2" s="165" t="s">
        <v>21</v>
      </c>
      <c r="O2" s="165" t="s">
        <v>45</v>
      </c>
      <c r="P2" s="227" t="s">
        <v>49</v>
      </c>
      <c r="Q2" s="228"/>
      <c r="R2" s="219"/>
      <c r="S2" s="168" t="s">
        <v>45</v>
      </c>
      <c r="T2" s="168" t="s">
        <v>51</v>
      </c>
      <c r="U2" s="202" t="s">
        <v>52</v>
      </c>
      <c r="V2" s="203"/>
      <c r="X2" s="169" t="s">
        <v>55</v>
      </c>
      <c r="Y2" s="169" t="s">
        <v>56</v>
      </c>
      <c r="Z2" s="206" t="s">
        <v>52</v>
      </c>
      <c r="AA2" s="207"/>
      <c r="AC2" s="170" t="s">
        <v>56</v>
      </c>
      <c r="AD2" s="170" t="s">
        <v>58</v>
      </c>
      <c r="AE2" s="210" t="s">
        <v>59</v>
      </c>
      <c r="AF2" s="211"/>
    </row>
    <row r="3" spans="1:32" x14ac:dyDescent="0.25">
      <c r="A3" s="221" t="s">
        <v>0</v>
      </c>
      <c r="B3" s="143" t="s">
        <v>33</v>
      </c>
      <c r="C3" s="143" t="s">
        <v>18</v>
      </c>
      <c r="D3" s="121">
        <f>'2015'!O4</f>
        <v>28889.020175438589</v>
      </c>
      <c r="E3" s="121">
        <f>'2016'!O4</f>
        <v>36355.863293382572</v>
      </c>
      <c r="F3" s="121">
        <f t="shared" ref="F3:F42" si="0">E3-D3</f>
        <v>7466.8431179439831</v>
      </c>
      <c r="G3" s="157">
        <f>IF(D3=0,0,(F3/D3))</f>
        <v>0.25846647178059312</v>
      </c>
      <c r="I3" s="121">
        <f>'2016 status'!O4</f>
        <v>21617.989143059407</v>
      </c>
      <c r="J3" s="121">
        <f>'2017 '!P3</f>
        <v>77053.626886842103</v>
      </c>
      <c r="K3" s="121">
        <f t="shared" ref="K3:K42" si="1">J3-I3</f>
        <v>55435.637743782696</v>
      </c>
      <c r="L3" s="157">
        <f>IF(I3=0,0,(K3/I3))</f>
        <v>2.5643290584027638</v>
      </c>
      <c r="N3" s="121">
        <f>'2017 '!O3</f>
        <v>34526.620044736846</v>
      </c>
      <c r="O3" s="121">
        <f>+'2018'!O3</f>
        <v>57543.304940000002</v>
      </c>
      <c r="P3" s="121">
        <f>O3-N3</f>
        <v>23016.684895263155</v>
      </c>
      <c r="Q3" s="157">
        <f>IF(N3=0,0,(P3/N3))</f>
        <v>0.66663591354844365</v>
      </c>
      <c r="S3" s="121">
        <f>'2018'!P3</f>
        <v>314225.0523377934</v>
      </c>
      <c r="T3" s="121">
        <f>'2019'!P3</f>
        <v>148992.2502707298</v>
      </c>
      <c r="U3" s="121">
        <f>T3-S3</f>
        <v>-165232.8020670636</v>
      </c>
      <c r="V3" s="157">
        <f>IF(S3=0,0,(U3/S3))</f>
        <v>-0.52584222943954695</v>
      </c>
      <c r="X3" s="121">
        <f>'2019'!P3</f>
        <v>148992.2502707298</v>
      </c>
      <c r="Y3" s="121">
        <f>'2020'!P3</f>
        <v>79649</v>
      </c>
      <c r="Z3" s="121">
        <f>Y3-X3</f>
        <v>-69343.250270729797</v>
      </c>
      <c r="AA3" s="157">
        <f>IF(X3=0,0,(Z3/X3))</f>
        <v>-0.46541514840354481</v>
      </c>
      <c r="AC3" s="121">
        <f>'2020'!P3</f>
        <v>79649</v>
      </c>
      <c r="AD3" s="121">
        <f>'2021'!P3</f>
        <v>246645</v>
      </c>
      <c r="AE3" s="121">
        <f>AD3-AC3</f>
        <v>166996</v>
      </c>
      <c r="AF3" s="157">
        <f>IF(AC3=0,0,(AE3/AC3))</f>
        <v>2.0966490476967694</v>
      </c>
    </row>
    <row r="4" spans="1:32" x14ac:dyDescent="0.25">
      <c r="A4" s="222"/>
      <c r="B4" s="141"/>
      <c r="C4" s="141" t="s">
        <v>40</v>
      </c>
      <c r="D4" s="128">
        <f>'2015'!O3</f>
        <v>174.03024202071438</v>
      </c>
      <c r="E4" s="128">
        <f>'2016'!O3</f>
        <v>93.700678591192201</v>
      </c>
      <c r="F4" s="128">
        <f t="shared" si="0"/>
        <v>-80.329563429522182</v>
      </c>
      <c r="G4" s="153">
        <f t="shared" ref="G4:G42" si="2">IF(D4=0,0,(F4/D4))</f>
        <v>-0.46158393217634414</v>
      </c>
      <c r="I4" s="128">
        <f>'2016 status'!O3</f>
        <v>84.77642801199768</v>
      </c>
      <c r="J4" s="128">
        <f>'2017 '!P4</f>
        <v>116.74791952551834</v>
      </c>
      <c r="K4" s="128">
        <f t="shared" si="1"/>
        <v>31.971491513520661</v>
      </c>
      <c r="L4" s="153">
        <f t="shared" ref="L4:L42" si="3">IF(I4=0,0,(K4/I4))</f>
        <v>0.37712713620106769</v>
      </c>
      <c r="N4" s="128">
        <f>'2017 '!O4</f>
        <v>145.06983212074306</v>
      </c>
      <c r="O4" s="121">
        <f>+'2018'!O4</f>
        <v>181.52462126182965</v>
      </c>
      <c r="P4" s="128">
        <f t="shared" ref="P4:P42" si="4">O4-N4</f>
        <v>36.454789141086593</v>
      </c>
      <c r="Q4" s="153">
        <f t="shared" ref="Q4:Q42" si="5">IF(N4=0,0,(P4/N4))</f>
        <v>0.25129131679662325</v>
      </c>
      <c r="S4" s="128">
        <f>'2018'!P4</f>
        <v>101.69095544912408</v>
      </c>
      <c r="T4" s="121">
        <f>'2019'!P4</f>
        <v>136.81565681426059</v>
      </c>
      <c r="U4" s="128">
        <f t="shared" ref="U4:U42" si="6">T4-S4</f>
        <v>35.124701365136517</v>
      </c>
      <c r="V4" s="153">
        <f t="shared" ref="V4:V42" si="7">IF(S4=0,0,(U4/S4))</f>
        <v>0.34540634621836536</v>
      </c>
      <c r="X4" s="128">
        <f>'2019'!P4</f>
        <v>136.81565681426059</v>
      </c>
      <c r="Y4" s="128">
        <f>'2020'!P4</f>
        <v>105.77556440903055</v>
      </c>
      <c r="Z4" s="128">
        <f t="shared" ref="Z4:Z42" si="8">Y4-X4</f>
        <v>-31.040092405230041</v>
      </c>
      <c r="AA4" s="153">
        <f t="shared" ref="AA4:AA42" si="9">IF(X4=0,0,(Z4/X4))</f>
        <v>-0.22687529430472803</v>
      </c>
      <c r="AC4" s="121">
        <f>'2020'!P4</f>
        <v>105.77556440903055</v>
      </c>
      <c r="AD4" s="121">
        <f>'2021'!P4</f>
        <v>103.11245819397993</v>
      </c>
      <c r="AE4" s="128">
        <f t="shared" ref="AE4:AE42" si="10">AD4-AC4</f>
        <v>-2.6631062150506182</v>
      </c>
      <c r="AF4" s="153">
        <f t="shared" ref="AF4:AF42" si="11">IF(AC4=0,0,(AE4/AC4))</f>
        <v>-2.5176951122212649E-2</v>
      </c>
    </row>
    <row r="5" spans="1:32" x14ac:dyDescent="0.25">
      <c r="A5" s="222"/>
      <c r="B5" s="142"/>
      <c r="C5" s="142" t="s">
        <v>41</v>
      </c>
      <c r="D5" s="154">
        <f>'2015'!O6</f>
        <v>108.19857743609958</v>
      </c>
      <c r="E5" s="154">
        <f>'2016'!O6</f>
        <v>59.599775890791101</v>
      </c>
      <c r="F5" s="154">
        <f t="shared" si="0"/>
        <v>-48.598801545308483</v>
      </c>
      <c r="G5" s="155">
        <f t="shared" si="2"/>
        <v>-0.44916303612226499</v>
      </c>
      <c r="I5" s="154">
        <f>'2016 status'!O6</f>
        <v>50.746453387463397</v>
      </c>
      <c r="J5" s="154">
        <f>'2017 '!P5</f>
        <v>68.189050342338149</v>
      </c>
      <c r="K5" s="154">
        <f t="shared" si="1"/>
        <v>17.442596954874752</v>
      </c>
      <c r="L5" s="155">
        <f t="shared" si="3"/>
        <v>0.34372051228281186</v>
      </c>
      <c r="N5" s="154">
        <f>'2017 '!O5</f>
        <v>79.922731585039003</v>
      </c>
      <c r="O5" s="121">
        <f>+'2018'!O5</f>
        <v>103.49515276978417</v>
      </c>
      <c r="P5" s="154">
        <f t="shared" si="4"/>
        <v>23.572421184745167</v>
      </c>
      <c r="Q5" s="155">
        <f t="shared" si="5"/>
        <v>0.29494013426785537</v>
      </c>
      <c r="S5" s="154">
        <f>'2018'!P5</f>
        <v>58.103744884947005</v>
      </c>
      <c r="T5" s="121">
        <f>'2019'!P5</f>
        <v>72.679146473526728</v>
      </c>
      <c r="U5" s="154">
        <f t="shared" si="6"/>
        <v>14.575401588579723</v>
      </c>
      <c r="V5" s="155">
        <f t="shared" si="7"/>
        <v>0.25085132838581953</v>
      </c>
      <c r="X5" s="154">
        <f>'2019'!P5</f>
        <v>72.679146473526728</v>
      </c>
      <c r="Y5" s="154">
        <f>'2020'!P5</f>
        <v>66.263727121464228</v>
      </c>
      <c r="Z5" s="154">
        <f t="shared" si="8"/>
        <v>-6.4154193520625</v>
      </c>
      <c r="AA5" s="155">
        <f t="shared" si="9"/>
        <v>-8.8270427809706148E-2</v>
      </c>
      <c r="AC5" s="121">
        <f>'2020'!P5</f>
        <v>66.263727121464228</v>
      </c>
      <c r="AD5" s="121">
        <f>'2021'!P5</f>
        <v>63.765511892450881</v>
      </c>
      <c r="AE5" s="154">
        <f t="shared" si="10"/>
        <v>-2.498215229013347</v>
      </c>
      <c r="AF5" s="155">
        <f t="shared" si="11"/>
        <v>-3.7701097380683286E-2</v>
      </c>
    </row>
    <row r="6" spans="1:32" ht="13.2" customHeight="1" x14ac:dyDescent="0.25">
      <c r="A6" s="222"/>
      <c r="B6" s="143" t="s">
        <v>42</v>
      </c>
      <c r="C6" s="143" t="s">
        <v>43</v>
      </c>
      <c r="D6" s="156">
        <f>'2015'!O2</f>
        <v>166</v>
      </c>
      <c r="E6" s="156">
        <f>'2016'!O2</f>
        <v>388</v>
      </c>
      <c r="F6" s="156">
        <f t="shared" si="0"/>
        <v>222</v>
      </c>
      <c r="G6" s="157">
        <f t="shared" si="2"/>
        <v>1.3373493975903614</v>
      </c>
      <c r="I6" s="156">
        <f>'2016 status'!O2</f>
        <v>255</v>
      </c>
      <c r="J6" s="156">
        <f>'2017 '!P6</f>
        <v>660</v>
      </c>
      <c r="K6" s="156">
        <f t="shared" si="1"/>
        <v>405</v>
      </c>
      <c r="L6" s="157">
        <f t="shared" si="3"/>
        <v>1.588235294117647</v>
      </c>
      <c r="N6" s="156">
        <f>'2017 '!O6</f>
        <v>238</v>
      </c>
      <c r="O6" s="121">
        <f>+'2018'!O6</f>
        <v>317</v>
      </c>
      <c r="P6" s="156">
        <f t="shared" si="4"/>
        <v>79</v>
      </c>
      <c r="Q6" s="157">
        <f t="shared" si="5"/>
        <v>0.33193277310924368</v>
      </c>
      <c r="S6" s="156">
        <f>'2018'!P6</f>
        <v>3090</v>
      </c>
      <c r="T6" s="121">
        <f>'2019'!P6</f>
        <v>1089</v>
      </c>
      <c r="U6" s="156">
        <f t="shared" si="6"/>
        <v>-2001</v>
      </c>
      <c r="V6" s="157">
        <f t="shared" si="7"/>
        <v>-0.64757281553398061</v>
      </c>
      <c r="X6" s="156">
        <f>'2019'!P6</f>
        <v>1089</v>
      </c>
      <c r="Y6" s="156">
        <f>'2020'!P6</f>
        <v>753</v>
      </c>
      <c r="Z6" s="156">
        <f t="shared" si="8"/>
        <v>-336</v>
      </c>
      <c r="AA6" s="157">
        <f t="shared" si="9"/>
        <v>-0.30853994490358128</v>
      </c>
      <c r="AC6" s="121">
        <f>'2020'!P6</f>
        <v>753</v>
      </c>
      <c r="AD6" s="121">
        <f>'2021'!P6</f>
        <v>2392</v>
      </c>
      <c r="AE6" s="156">
        <f t="shared" si="10"/>
        <v>1639</v>
      </c>
      <c r="AF6" s="157">
        <f t="shared" si="11"/>
        <v>2.1766268260292163</v>
      </c>
    </row>
    <row r="7" spans="1:32" x14ac:dyDescent="0.25">
      <c r="A7" s="223"/>
      <c r="B7" s="144"/>
      <c r="C7" s="144" t="s">
        <v>44</v>
      </c>
      <c r="D7" s="125">
        <f>'2015'!O5</f>
        <v>267</v>
      </c>
      <c r="E7" s="125">
        <f>'2016'!O5</f>
        <v>610</v>
      </c>
      <c r="F7" s="125">
        <f t="shared" si="0"/>
        <v>343</v>
      </c>
      <c r="G7" s="155">
        <f t="shared" si="2"/>
        <v>1.2846441947565543</v>
      </c>
      <c r="I7" s="125">
        <f>'2016 status'!O5</f>
        <v>426</v>
      </c>
      <c r="J7" s="125">
        <f>'2017 '!P7</f>
        <v>1130</v>
      </c>
      <c r="K7" s="125">
        <f t="shared" si="1"/>
        <v>704</v>
      </c>
      <c r="L7" s="155">
        <f t="shared" si="3"/>
        <v>1.6525821596244132</v>
      </c>
      <c r="N7" s="125">
        <f>'2017 '!O7</f>
        <v>432</v>
      </c>
      <c r="O7" s="121">
        <f>+'2018'!O7</f>
        <v>556</v>
      </c>
      <c r="P7" s="125">
        <f t="shared" si="4"/>
        <v>124</v>
      </c>
      <c r="Q7" s="155">
        <f t="shared" si="5"/>
        <v>0.28703703703703703</v>
      </c>
      <c r="S7" s="125">
        <f>'2018'!P7</f>
        <v>5408</v>
      </c>
      <c r="T7" s="121">
        <f>'2019'!P7</f>
        <v>2050</v>
      </c>
      <c r="U7" s="125">
        <f t="shared" si="6"/>
        <v>-3358</v>
      </c>
      <c r="V7" s="155">
        <f t="shared" si="7"/>
        <v>-0.62093195266272194</v>
      </c>
      <c r="X7" s="125">
        <f>'2019'!P7</f>
        <v>2050</v>
      </c>
      <c r="Y7" s="125">
        <f>'2020'!P7</f>
        <v>1202</v>
      </c>
      <c r="Z7" s="125">
        <f t="shared" si="8"/>
        <v>-848</v>
      </c>
      <c r="AA7" s="155">
        <f t="shared" si="9"/>
        <v>-0.41365853658536583</v>
      </c>
      <c r="AC7" s="121">
        <f>'2020'!P7</f>
        <v>1202</v>
      </c>
      <c r="AD7" s="121">
        <f>'2021'!P7</f>
        <v>3868</v>
      </c>
      <c r="AE7" s="125">
        <f t="shared" si="10"/>
        <v>2666</v>
      </c>
      <c r="AF7" s="155">
        <f t="shared" si="11"/>
        <v>2.2179700499168051</v>
      </c>
    </row>
    <row r="8" spans="1:32" x14ac:dyDescent="0.25">
      <c r="A8" s="216" t="s">
        <v>27</v>
      </c>
      <c r="B8" s="145" t="s">
        <v>33</v>
      </c>
      <c r="C8" s="145" t="s">
        <v>18</v>
      </c>
      <c r="D8" s="150">
        <f>'2015'!O9</f>
        <v>5829.3859649122805</v>
      </c>
      <c r="E8" s="150">
        <f>'2016'!O9</f>
        <v>18330.060102631578</v>
      </c>
      <c r="F8" s="150">
        <f t="shared" si="0"/>
        <v>12500.674137719298</v>
      </c>
      <c r="G8" s="146">
        <f t="shared" si="2"/>
        <v>2.1444238231886237</v>
      </c>
      <c r="I8" s="150">
        <f>'2016 status'!O9</f>
        <v>7583.3050473684207</v>
      </c>
      <c r="J8" s="150">
        <f>'2017 '!P8</f>
        <v>14447.553728947369</v>
      </c>
      <c r="K8" s="150">
        <f t="shared" si="1"/>
        <v>6864.248681578948</v>
      </c>
      <c r="L8" s="146">
        <f t="shared" si="3"/>
        <v>0.90517902665157834</v>
      </c>
      <c r="N8" s="149">
        <f>'2017 '!O8</f>
        <v>5762.0292552631581</v>
      </c>
      <c r="O8" s="121">
        <f>+'2018'!O8</f>
        <v>7443.312406956522</v>
      </c>
      <c r="P8" s="149">
        <f t="shared" si="4"/>
        <v>1681.2831516933638</v>
      </c>
      <c r="Q8" s="146">
        <f t="shared" si="5"/>
        <v>0.29178663925693271</v>
      </c>
      <c r="S8" s="149">
        <f>'2018'!P8</f>
        <v>23334.511613606526</v>
      </c>
      <c r="T8" s="121">
        <f>'2019'!P8</f>
        <v>10605.706998214286</v>
      </c>
      <c r="U8" s="149">
        <f t="shared" si="6"/>
        <v>-12728.804615392241</v>
      </c>
      <c r="V8" s="146">
        <f t="shared" si="7"/>
        <v>-0.54549265166406913</v>
      </c>
      <c r="X8" s="150">
        <f>'2019'!P8</f>
        <v>10605.706998214286</v>
      </c>
      <c r="Y8" s="150">
        <f>'2020'!P8</f>
        <v>0</v>
      </c>
      <c r="Z8" s="150">
        <f t="shared" si="8"/>
        <v>-10605.706998214286</v>
      </c>
      <c r="AA8" s="146">
        <f t="shared" si="9"/>
        <v>-1</v>
      </c>
      <c r="AC8" s="121">
        <f>'2020'!P8</f>
        <v>0</v>
      </c>
      <c r="AD8" s="121">
        <f>'2021'!P8</f>
        <v>0</v>
      </c>
      <c r="AE8" s="150">
        <f t="shared" si="10"/>
        <v>0</v>
      </c>
      <c r="AF8" s="146">
        <f t="shared" si="11"/>
        <v>0</v>
      </c>
    </row>
    <row r="9" spans="1:32" x14ac:dyDescent="0.25">
      <c r="A9" s="217"/>
      <c r="B9" s="131"/>
      <c r="C9" s="131" t="s">
        <v>40</v>
      </c>
      <c r="D9" s="150">
        <f>'2015'!O8</f>
        <v>291.46929824561403</v>
      </c>
      <c r="E9" s="150">
        <f>'2016'!O8</f>
        <v>142.09348916768664</v>
      </c>
      <c r="F9" s="150">
        <f t="shared" si="0"/>
        <v>-149.37580907792739</v>
      </c>
      <c r="G9" s="147">
        <f t="shared" si="2"/>
        <v>-0.51249243051339166</v>
      </c>
      <c r="I9" s="150">
        <f>'2016 status'!O8</f>
        <v>135.41616156015036</v>
      </c>
      <c r="J9" s="150">
        <f>'2017 '!P9</f>
        <v>141.64268361713107</v>
      </c>
      <c r="K9" s="150">
        <f t="shared" si="1"/>
        <v>6.2265220569807127</v>
      </c>
      <c r="L9" s="147">
        <f t="shared" si="3"/>
        <v>4.5980642083219593E-2</v>
      </c>
      <c r="N9" s="150">
        <f>'2017 '!O9</f>
        <v>160.0563682017544</v>
      </c>
      <c r="O9" s="121">
        <f>+'2018'!O9</f>
        <v>195.87664228832952</v>
      </c>
      <c r="P9" s="150">
        <f t="shared" si="4"/>
        <v>35.820274086575125</v>
      </c>
      <c r="Q9" s="147">
        <f t="shared" si="5"/>
        <v>0.22379786876972568</v>
      </c>
      <c r="S9" s="149">
        <f>'2018'!P9</f>
        <v>148.62746250704794</v>
      </c>
      <c r="T9" s="121">
        <f>'2019'!P9</f>
        <v>151.5100999744898</v>
      </c>
      <c r="U9" s="150">
        <f t="shared" si="6"/>
        <v>2.8826374674418673</v>
      </c>
      <c r="V9" s="147">
        <f t="shared" si="7"/>
        <v>1.9395052696302154E-2</v>
      </c>
      <c r="X9" s="150">
        <f>'2019'!P9</f>
        <v>151.5100999744898</v>
      </c>
      <c r="Y9" s="150">
        <f>'2020'!P9</f>
        <v>0</v>
      </c>
      <c r="Z9" s="150">
        <f t="shared" si="8"/>
        <v>-151.5100999744898</v>
      </c>
      <c r="AA9" s="147">
        <f t="shared" si="9"/>
        <v>-1</v>
      </c>
      <c r="AC9" s="121">
        <f>'2020'!P9</f>
        <v>0</v>
      </c>
      <c r="AD9" s="121">
        <f>'2021'!P9</f>
        <v>0</v>
      </c>
      <c r="AE9" s="150">
        <f t="shared" si="10"/>
        <v>0</v>
      </c>
      <c r="AF9" s="147">
        <f t="shared" si="11"/>
        <v>0</v>
      </c>
    </row>
    <row r="10" spans="1:32" x14ac:dyDescent="0.25">
      <c r="A10" s="217"/>
      <c r="B10" s="131"/>
      <c r="C10" s="131" t="s">
        <v>41</v>
      </c>
      <c r="D10" s="150">
        <f>'2015'!O11</f>
        <v>188.04470854555743</v>
      </c>
      <c r="E10" s="150">
        <f>'2016'!O11</f>
        <v>128.18223847994111</v>
      </c>
      <c r="F10" s="150">
        <f t="shared" si="0"/>
        <v>-59.862470065616321</v>
      </c>
      <c r="G10" s="147">
        <f t="shared" si="2"/>
        <v>-0.31834168867938922</v>
      </c>
      <c r="I10" s="150">
        <f>'2016 status'!O11</f>
        <v>111.51919187306501</v>
      </c>
      <c r="J10" s="150">
        <f>'2017 '!P10</f>
        <v>107.01891651072125</v>
      </c>
      <c r="K10" s="150">
        <f t="shared" si="1"/>
        <v>-4.500275362343757</v>
      </c>
      <c r="L10" s="147">
        <f t="shared" si="3"/>
        <v>-4.0354268056982744E-2</v>
      </c>
      <c r="N10" s="150">
        <f>'2017 '!O10</f>
        <v>198.69066397459167</v>
      </c>
      <c r="O10" s="121">
        <f>+'2018'!O10</f>
        <v>130.58442819221969</v>
      </c>
      <c r="P10" s="150">
        <f t="shared" si="4"/>
        <v>-68.106235782371982</v>
      </c>
      <c r="Q10" s="147">
        <f t="shared" si="5"/>
        <v>-0.34277521862366583</v>
      </c>
      <c r="S10" s="149">
        <f>'2018'!P10</f>
        <v>85.162451144549365</v>
      </c>
      <c r="T10" s="121">
        <f>'2019'!P10</f>
        <v>95.546909893822388</v>
      </c>
      <c r="U10" s="150">
        <f t="shared" si="6"/>
        <v>10.384458749273023</v>
      </c>
      <c r="V10" s="147">
        <f t="shared" si="7"/>
        <v>0.12193705805445992</v>
      </c>
      <c r="X10" s="150">
        <f>'2019'!P10</f>
        <v>95.546909893822388</v>
      </c>
      <c r="Y10" s="150">
        <f>'2020'!P10</f>
        <v>0</v>
      </c>
      <c r="Z10" s="150">
        <f t="shared" si="8"/>
        <v>-95.546909893822388</v>
      </c>
      <c r="AA10" s="147">
        <f t="shared" si="9"/>
        <v>-1</v>
      </c>
      <c r="AC10" s="121">
        <f>'2020'!P10</f>
        <v>0</v>
      </c>
      <c r="AD10" s="121">
        <f>'2021'!P10</f>
        <v>0</v>
      </c>
      <c r="AE10" s="150">
        <f t="shared" si="10"/>
        <v>0</v>
      </c>
      <c r="AF10" s="147">
        <f t="shared" si="11"/>
        <v>0</v>
      </c>
    </row>
    <row r="11" spans="1:32" x14ac:dyDescent="0.25">
      <c r="A11" s="217"/>
      <c r="B11" s="129" t="s">
        <v>42</v>
      </c>
      <c r="C11" s="129" t="s">
        <v>43</v>
      </c>
      <c r="D11" s="151">
        <f>'2015'!O7</f>
        <v>20</v>
      </c>
      <c r="E11" s="151">
        <f>'2016'!O7</f>
        <v>129</v>
      </c>
      <c r="F11" s="151">
        <f t="shared" si="0"/>
        <v>109</v>
      </c>
      <c r="G11" s="146">
        <f t="shared" si="2"/>
        <v>5.45</v>
      </c>
      <c r="I11" s="151">
        <f>'2016 status'!O7</f>
        <v>56</v>
      </c>
      <c r="J11" s="151">
        <f>'2017 '!P11</f>
        <v>102</v>
      </c>
      <c r="K11" s="151">
        <f t="shared" si="1"/>
        <v>46</v>
      </c>
      <c r="L11" s="146">
        <f t="shared" si="3"/>
        <v>0.8214285714285714</v>
      </c>
      <c r="N11" s="151">
        <f>'2017 '!O11</f>
        <v>36</v>
      </c>
      <c r="O11" s="121">
        <f>+'2018'!O11</f>
        <v>38</v>
      </c>
      <c r="P11" s="151">
        <f t="shared" si="4"/>
        <v>2</v>
      </c>
      <c r="Q11" s="146">
        <f t="shared" si="5"/>
        <v>5.5555555555555552E-2</v>
      </c>
      <c r="S11" s="149">
        <f>'2018'!P11</f>
        <v>157</v>
      </c>
      <c r="T11" s="121">
        <f>'2019'!P11</f>
        <v>70</v>
      </c>
      <c r="U11" s="151">
        <f t="shared" si="6"/>
        <v>-87</v>
      </c>
      <c r="V11" s="146">
        <f t="shared" si="7"/>
        <v>-0.55414012738853502</v>
      </c>
      <c r="X11" s="151">
        <f>'2019'!P11</f>
        <v>70</v>
      </c>
      <c r="Y11" s="151">
        <f>'2020'!P11</f>
        <v>0</v>
      </c>
      <c r="Z11" s="151">
        <f t="shared" si="8"/>
        <v>-70</v>
      </c>
      <c r="AA11" s="146">
        <f t="shared" si="9"/>
        <v>-1</v>
      </c>
      <c r="AC11" s="121">
        <f>'2020'!P11</f>
        <v>0</v>
      </c>
      <c r="AD11" s="121">
        <f>'2021'!P11</f>
        <v>0</v>
      </c>
      <c r="AE11" s="151">
        <f t="shared" si="10"/>
        <v>0</v>
      </c>
      <c r="AF11" s="146">
        <f t="shared" si="11"/>
        <v>0</v>
      </c>
    </row>
    <row r="12" spans="1:32" x14ac:dyDescent="0.25">
      <c r="A12" s="218"/>
      <c r="B12" s="135"/>
      <c r="C12" s="135" t="s">
        <v>44</v>
      </c>
      <c r="D12" s="152">
        <f>'2015'!O10</f>
        <v>31</v>
      </c>
      <c r="E12" s="152">
        <f>'2016'!O10</f>
        <v>143</v>
      </c>
      <c r="F12" s="152">
        <f t="shared" si="0"/>
        <v>112</v>
      </c>
      <c r="G12" s="148">
        <f t="shared" si="2"/>
        <v>3.6129032258064515</v>
      </c>
      <c r="I12" s="152">
        <f>'2016 status'!O10</f>
        <v>68</v>
      </c>
      <c r="J12" s="152">
        <f>'2017 '!P12</f>
        <v>135</v>
      </c>
      <c r="K12" s="152">
        <f t="shared" si="1"/>
        <v>67</v>
      </c>
      <c r="L12" s="148">
        <f t="shared" si="3"/>
        <v>0.98529411764705888</v>
      </c>
      <c r="N12" s="152">
        <f>'2017 '!O12</f>
        <v>29</v>
      </c>
      <c r="O12" s="121">
        <f>+'2018'!O12</f>
        <v>57</v>
      </c>
      <c r="P12" s="152">
        <f t="shared" si="4"/>
        <v>28</v>
      </c>
      <c r="Q12" s="148">
        <f t="shared" si="5"/>
        <v>0.96551724137931039</v>
      </c>
      <c r="S12" s="149">
        <f>'2018'!P12</f>
        <v>274</v>
      </c>
      <c r="T12" s="121">
        <f>'2019'!P12</f>
        <v>111</v>
      </c>
      <c r="U12" s="152">
        <f t="shared" si="6"/>
        <v>-163</v>
      </c>
      <c r="V12" s="148">
        <f t="shared" si="7"/>
        <v>-0.5948905109489051</v>
      </c>
      <c r="X12" s="152">
        <f>'2019'!P12</f>
        <v>111</v>
      </c>
      <c r="Y12" s="152">
        <f>'2020'!P12</f>
        <v>0</v>
      </c>
      <c r="Z12" s="152">
        <f t="shared" si="8"/>
        <v>-111</v>
      </c>
      <c r="AA12" s="148">
        <f t="shared" si="9"/>
        <v>-1</v>
      </c>
      <c r="AC12" s="121">
        <f>'2020'!P12</f>
        <v>0</v>
      </c>
      <c r="AD12" s="121">
        <f>'2021'!P12</f>
        <v>0</v>
      </c>
      <c r="AE12" s="152">
        <f t="shared" si="10"/>
        <v>0</v>
      </c>
      <c r="AF12" s="148">
        <f t="shared" si="11"/>
        <v>0</v>
      </c>
    </row>
    <row r="13" spans="1:32" x14ac:dyDescent="0.25">
      <c r="A13" s="212" t="s">
        <v>23</v>
      </c>
      <c r="B13" s="129" t="s">
        <v>33</v>
      </c>
      <c r="C13" s="129" t="s">
        <v>18</v>
      </c>
      <c r="D13" s="149">
        <f>'2015'!O14</f>
        <v>10570.178070175436</v>
      </c>
      <c r="E13" s="149">
        <f>'2016'!O14</f>
        <v>96.040866189596798</v>
      </c>
      <c r="F13" s="149">
        <f t="shared" si="0"/>
        <v>-10474.13720398584</v>
      </c>
      <c r="G13" s="146">
        <f t="shared" si="2"/>
        <v>-0.99091397840679873</v>
      </c>
      <c r="H13" s="113"/>
      <c r="I13" s="149">
        <f>'2016 status'!O14</f>
        <v>69.834305340104649</v>
      </c>
      <c r="J13" s="149">
        <f>'2017 '!P13</f>
        <v>16079.050701754386</v>
      </c>
      <c r="K13" s="149">
        <f t="shared" si="1"/>
        <v>16009.216396414282</v>
      </c>
      <c r="L13" s="146">
        <f t="shared" si="3"/>
        <v>229.24573128416961</v>
      </c>
      <c r="N13" s="149">
        <f>'2017 '!O13</f>
        <v>8353.821491228071</v>
      </c>
      <c r="O13" s="121">
        <f>+'2018'!O13</f>
        <v>7823.8875243478251</v>
      </c>
      <c r="P13" s="149">
        <f t="shared" si="4"/>
        <v>-529.93396688024586</v>
      </c>
      <c r="Q13" s="146">
        <f t="shared" si="5"/>
        <v>-6.3436113332886387E-2</v>
      </c>
      <c r="S13" s="149">
        <f>'2018'!P13</f>
        <v>59992.220786059945</v>
      </c>
      <c r="T13" s="121">
        <f>'2019'!P13</f>
        <v>44496.777589285717</v>
      </c>
      <c r="U13" s="149">
        <f t="shared" si="6"/>
        <v>-15495.443196774228</v>
      </c>
      <c r="V13" s="146">
        <f t="shared" si="7"/>
        <v>-0.25829087494581993</v>
      </c>
      <c r="X13" s="149">
        <f>'2019'!P13</f>
        <v>44496.777589285717</v>
      </c>
      <c r="Y13" s="149">
        <f>'2020'!P13</f>
        <v>32804</v>
      </c>
      <c r="Z13" s="149">
        <f t="shared" si="8"/>
        <v>-11692.777589285717</v>
      </c>
      <c r="AA13" s="146">
        <f t="shared" si="9"/>
        <v>-0.26277807568926509</v>
      </c>
      <c r="AC13" s="121">
        <f>'2020'!P13</f>
        <v>32804</v>
      </c>
      <c r="AD13" s="121">
        <f>'2021'!P13</f>
        <v>39297</v>
      </c>
      <c r="AE13" s="149">
        <f t="shared" si="10"/>
        <v>6493</v>
      </c>
      <c r="AF13" s="146">
        <f t="shared" si="11"/>
        <v>0.19793317888062431</v>
      </c>
    </row>
    <row r="14" spans="1:32" x14ac:dyDescent="0.25">
      <c r="A14" s="213"/>
      <c r="B14" s="131"/>
      <c r="C14" s="131" t="s">
        <v>40</v>
      </c>
      <c r="D14" s="150">
        <f>'2015'!O13</f>
        <v>151.00254385964908</v>
      </c>
      <c r="E14" s="150">
        <f>'2016'!O13</f>
        <v>0.78082005032192514</v>
      </c>
      <c r="F14" s="150">
        <f t="shared" si="0"/>
        <v>-150.22172380932716</v>
      </c>
      <c r="G14" s="147">
        <f t="shared" si="2"/>
        <v>-0.99482909340224324</v>
      </c>
      <c r="H14" s="113"/>
      <c r="I14" s="150">
        <f>'2016 status'!O13</f>
        <v>0.74291814191600691</v>
      </c>
      <c r="J14" s="150">
        <f>'2017 '!P14</f>
        <v>107.19367134502924</v>
      </c>
      <c r="K14" s="150">
        <f t="shared" si="1"/>
        <v>106.45075320311324</v>
      </c>
      <c r="L14" s="147">
        <f t="shared" si="3"/>
        <v>143.28732493807962</v>
      </c>
      <c r="N14" s="150">
        <f>'2017 '!O14</f>
        <v>185.64047758284602</v>
      </c>
      <c r="O14" s="121">
        <f>+'2018'!O14</f>
        <v>147.62051932731745</v>
      </c>
      <c r="P14" s="150">
        <f t="shared" si="4"/>
        <v>-38.019958255528564</v>
      </c>
      <c r="Q14" s="147">
        <f t="shared" si="5"/>
        <v>-0.20480424716943182</v>
      </c>
      <c r="S14" s="149">
        <f>'2018'!P14</f>
        <v>78.729948538136412</v>
      </c>
      <c r="T14" s="121">
        <f>'2019'!P14</f>
        <v>115.27662587897854</v>
      </c>
      <c r="U14" s="150">
        <f t="shared" si="6"/>
        <v>36.546677340842123</v>
      </c>
      <c r="V14" s="147">
        <f t="shared" si="7"/>
        <v>0.46420298780125696</v>
      </c>
      <c r="X14" s="150">
        <f>'2019'!P14</f>
        <v>115.27662587897854</v>
      </c>
      <c r="Y14" s="150">
        <f>'2020'!P14</f>
        <v>76.466200466200462</v>
      </c>
      <c r="Z14" s="150">
        <f t="shared" si="8"/>
        <v>-38.810425412778073</v>
      </c>
      <c r="AA14" s="147">
        <f t="shared" si="9"/>
        <v>-0.336672114722742</v>
      </c>
      <c r="AC14" s="121">
        <f>'2020'!P14</f>
        <v>76.466200466200462</v>
      </c>
      <c r="AD14" s="121">
        <f>'2021'!P14</f>
        <v>65.604340567612681</v>
      </c>
      <c r="AE14" s="150">
        <f t="shared" si="10"/>
        <v>-10.861859898587781</v>
      </c>
      <c r="AF14" s="147">
        <f t="shared" si="11"/>
        <v>-0.14204785686178997</v>
      </c>
    </row>
    <row r="15" spans="1:32" x14ac:dyDescent="0.25">
      <c r="A15" s="213"/>
      <c r="B15" s="131"/>
      <c r="C15" s="131" t="s">
        <v>41</v>
      </c>
      <c r="D15" s="150">
        <f>'2015'!O16</f>
        <v>91.914591914569016</v>
      </c>
      <c r="E15" s="150">
        <f>'2016'!O16</f>
        <v>0.41396925081722757</v>
      </c>
      <c r="F15" s="150">
        <f t="shared" si="0"/>
        <v>-91.500622663751784</v>
      </c>
      <c r="G15" s="147">
        <f t="shared" si="2"/>
        <v>-0.99549615308957695</v>
      </c>
      <c r="H15" s="113"/>
      <c r="I15" s="150">
        <f>'2016 status'!O16</f>
        <v>0.3837049743961794</v>
      </c>
      <c r="J15" s="150">
        <f>'2017 '!P15</f>
        <v>65.097371262163506</v>
      </c>
      <c r="K15" s="150">
        <f t="shared" si="1"/>
        <v>64.713666287767325</v>
      </c>
      <c r="L15" s="147">
        <f t="shared" si="3"/>
        <v>168.65474936728288</v>
      </c>
      <c r="N15" s="150">
        <f>'2017 '!O15</f>
        <v>107.10027552856501</v>
      </c>
      <c r="O15" s="121">
        <f>+'2018'!O15</f>
        <v>72.44340300322061</v>
      </c>
      <c r="P15" s="150">
        <f t="shared" si="4"/>
        <v>-34.656872525344397</v>
      </c>
      <c r="Q15" s="147">
        <f t="shared" si="5"/>
        <v>-0.32359274851819564</v>
      </c>
      <c r="S15" s="149">
        <f>'2018'!P15</f>
        <v>45.073043415522122</v>
      </c>
      <c r="T15" s="121">
        <f>'2019'!P15</f>
        <v>59.250036736731978</v>
      </c>
      <c r="U15" s="150">
        <f t="shared" si="6"/>
        <v>14.176993321209856</v>
      </c>
      <c r="V15" s="147">
        <f t="shared" si="7"/>
        <v>0.31453374893091035</v>
      </c>
      <c r="X15" s="150">
        <f>'2019'!P15</f>
        <v>59.250036736731978</v>
      </c>
      <c r="Y15" s="150">
        <f>'2020'!P15</f>
        <v>50.937888198757761</v>
      </c>
      <c r="Z15" s="150">
        <f t="shared" si="8"/>
        <v>-8.3121485379742168</v>
      </c>
      <c r="AA15" s="147">
        <f t="shared" si="9"/>
        <v>-0.14028933981776101</v>
      </c>
      <c r="AC15" s="121">
        <f>'2020'!P15</f>
        <v>50.937888198757761</v>
      </c>
      <c r="AD15" s="121">
        <f>'2021'!P15</f>
        <v>39.101492537313433</v>
      </c>
      <c r="AE15" s="150">
        <f t="shared" si="10"/>
        <v>-11.836395661444328</v>
      </c>
      <c r="AF15" s="147">
        <f t="shared" si="11"/>
        <v>-0.23236918686654517</v>
      </c>
    </row>
    <row r="16" spans="1:32" x14ac:dyDescent="0.25">
      <c r="A16" s="213"/>
      <c r="B16" s="129" t="s">
        <v>42</v>
      </c>
      <c r="C16" s="129" t="s">
        <v>43</v>
      </c>
      <c r="D16" s="151">
        <f>'2015'!O12</f>
        <v>70</v>
      </c>
      <c r="E16" s="151">
        <f>'2016'!O12</f>
        <v>123</v>
      </c>
      <c r="F16" s="151">
        <f t="shared" si="0"/>
        <v>53</v>
      </c>
      <c r="G16" s="146">
        <f t="shared" si="2"/>
        <v>0.75714285714285712</v>
      </c>
      <c r="H16" s="113"/>
      <c r="I16" s="151">
        <f>'2016 status'!O12</f>
        <v>94</v>
      </c>
      <c r="J16" s="151">
        <f>'2017 '!P16</f>
        <v>150</v>
      </c>
      <c r="K16" s="151">
        <f t="shared" si="1"/>
        <v>56</v>
      </c>
      <c r="L16" s="146">
        <f t="shared" si="3"/>
        <v>0.5957446808510638</v>
      </c>
      <c r="N16" s="151">
        <f>'2017 '!O16</f>
        <v>45</v>
      </c>
      <c r="O16" s="121">
        <f>+'2018'!O16</f>
        <v>53</v>
      </c>
      <c r="P16" s="151">
        <f t="shared" si="4"/>
        <v>8</v>
      </c>
      <c r="Q16" s="146">
        <f t="shared" si="5"/>
        <v>0.17777777777777778</v>
      </c>
      <c r="S16" s="149">
        <f>'2018'!P16</f>
        <v>762</v>
      </c>
      <c r="T16" s="121">
        <f>'2019'!P16</f>
        <v>386</v>
      </c>
      <c r="U16" s="151">
        <f t="shared" si="6"/>
        <v>-376</v>
      </c>
      <c r="V16" s="146">
        <f t="shared" si="7"/>
        <v>-0.49343832020997375</v>
      </c>
      <c r="X16" s="151">
        <f>'2019'!P16</f>
        <v>386</v>
      </c>
      <c r="Y16" s="151">
        <f>'2020'!P16</f>
        <v>429</v>
      </c>
      <c r="Z16" s="151">
        <f t="shared" si="8"/>
        <v>43</v>
      </c>
      <c r="AA16" s="146">
        <f t="shared" si="9"/>
        <v>0.11139896373056994</v>
      </c>
      <c r="AC16" s="121">
        <f>'2020'!P16</f>
        <v>429</v>
      </c>
      <c r="AD16" s="121">
        <f>'2021'!P16</f>
        <v>599</v>
      </c>
      <c r="AE16" s="151">
        <f t="shared" si="10"/>
        <v>170</v>
      </c>
      <c r="AF16" s="146">
        <f t="shared" si="11"/>
        <v>0.39627039627039629</v>
      </c>
    </row>
    <row r="17" spans="1:32" x14ac:dyDescent="0.25">
      <c r="A17" s="215"/>
      <c r="B17" s="135"/>
      <c r="C17" s="135" t="s">
        <v>44</v>
      </c>
      <c r="D17" s="152">
        <f>'2015'!O15</f>
        <v>115</v>
      </c>
      <c r="E17" s="152">
        <f>'2016'!O15</f>
        <v>232</v>
      </c>
      <c r="F17" s="152">
        <f t="shared" si="0"/>
        <v>117</v>
      </c>
      <c r="G17" s="148">
        <f t="shared" si="2"/>
        <v>1.017391304347826</v>
      </c>
      <c r="H17" s="113"/>
      <c r="I17" s="152">
        <f>'2016 status'!O15</f>
        <v>182</v>
      </c>
      <c r="J17" s="152">
        <f>'2017 '!P17</f>
        <v>247</v>
      </c>
      <c r="K17" s="152">
        <f t="shared" si="1"/>
        <v>65</v>
      </c>
      <c r="L17" s="148">
        <f t="shared" si="3"/>
        <v>0.35714285714285715</v>
      </c>
      <c r="N17" s="152">
        <f>'2017 '!O17</f>
        <v>78</v>
      </c>
      <c r="O17" s="121">
        <f>+'2018'!O17</f>
        <v>108</v>
      </c>
      <c r="P17" s="152">
        <f t="shared" si="4"/>
        <v>30</v>
      </c>
      <c r="Q17" s="148">
        <f t="shared" si="5"/>
        <v>0.38461538461538464</v>
      </c>
      <c r="S17" s="149">
        <f>'2018'!P17</f>
        <v>1331</v>
      </c>
      <c r="T17" s="121">
        <f>'2019'!P17</f>
        <v>751</v>
      </c>
      <c r="U17" s="152">
        <f t="shared" si="6"/>
        <v>-580</v>
      </c>
      <c r="V17" s="148">
        <f t="shared" si="7"/>
        <v>-0.43576258452291511</v>
      </c>
      <c r="X17" s="152">
        <f>'2019'!P17</f>
        <v>751</v>
      </c>
      <c r="Y17" s="152">
        <f>'2020'!P17</f>
        <v>644</v>
      </c>
      <c r="Z17" s="152">
        <f t="shared" si="8"/>
        <v>-107</v>
      </c>
      <c r="AA17" s="148">
        <f t="shared" si="9"/>
        <v>-0.14247669773635152</v>
      </c>
      <c r="AC17" s="121">
        <f>'2020'!P17</f>
        <v>644</v>
      </c>
      <c r="AD17" s="121">
        <f>'2021'!P17</f>
        <v>1005</v>
      </c>
      <c r="AE17" s="152">
        <f t="shared" si="10"/>
        <v>361</v>
      </c>
      <c r="AF17" s="148">
        <f t="shared" si="11"/>
        <v>0.56055900621118016</v>
      </c>
    </row>
    <row r="18" spans="1:32" x14ac:dyDescent="0.25">
      <c r="A18" s="212" t="s">
        <v>24</v>
      </c>
      <c r="B18" s="129" t="s">
        <v>33</v>
      </c>
      <c r="C18" s="129" t="s">
        <v>18</v>
      </c>
      <c r="D18" s="149">
        <f>'2015'!O19</f>
        <v>7687.6140350877195</v>
      </c>
      <c r="E18" s="149">
        <f>'2016'!O19</f>
        <v>12412.544395614035</v>
      </c>
      <c r="F18" s="149">
        <f t="shared" si="0"/>
        <v>4724.9303605263158</v>
      </c>
      <c r="G18" s="146">
        <f t="shared" si="2"/>
        <v>0.61461597043775129</v>
      </c>
      <c r="H18" s="113"/>
      <c r="I18" s="149">
        <f>'2016 status'!O19</f>
        <v>9568.0931456140352</v>
      </c>
      <c r="J18" s="149">
        <f>'2017 '!P18</f>
        <v>25131.258684210527</v>
      </c>
      <c r="K18" s="149">
        <f t="shared" si="1"/>
        <v>15563.165538596491</v>
      </c>
      <c r="L18" s="146">
        <f t="shared" si="3"/>
        <v>1.6265691921833523</v>
      </c>
      <c r="N18" s="149">
        <f>'2017 '!O18</f>
        <v>13774.944736842104</v>
      </c>
      <c r="O18" s="121">
        <f>+'2018'!O18</f>
        <v>42276.105008695653</v>
      </c>
      <c r="P18" s="149">
        <f t="shared" si="4"/>
        <v>28501.160271853551</v>
      </c>
      <c r="Q18" s="146">
        <f t="shared" si="5"/>
        <v>2.0690580482421175</v>
      </c>
      <c r="S18" s="149">
        <f>'2018'!P18</f>
        <v>191137.36563839877</v>
      </c>
      <c r="T18" s="121">
        <f>'2019'!P18</f>
        <v>92888.846428571429</v>
      </c>
      <c r="U18" s="149">
        <f t="shared" si="6"/>
        <v>-98248.51920982734</v>
      </c>
      <c r="V18" s="146">
        <f t="shared" si="7"/>
        <v>-0.51402047360900527</v>
      </c>
      <c r="X18" s="149">
        <f>'2019'!P18</f>
        <v>92888.846428571429</v>
      </c>
      <c r="Y18" s="149">
        <f>'2020'!P18</f>
        <v>46199</v>
      </c>
      <c r="Z18" s="149">
        <f t="shared" si="8"/>
        <v>-46689.846428571429</v>
      </c>
      <c r="AA18" s="146">
        <f t="shared" si="9"/>
        <v>-0.50264211715100193</v>
      </c>
      <c r="AC18" s="121">
        <f>'2020'!P18</f>
        <v>46199</v>
      </c>
      <c r="AD18" s="121">
        <f>'2021'!P18</f>
        <v>173902</v>
      </c>
      <c r="AE18" s="149">
        <f t="shared" si="10"/>
        <v>127703</v>
      </c>
      <c r="AF18" s="146">
        <f t="shared" si="11"/>
        <v>2.7641940301738135</v>
      </c>
    </row>
    <row r="19" spans="1:32" x14ac:dyDescent="0.25">
      <c r="A19" s="213"/>
      <c r="B19" s="131"/>
      <c r="C19" s="131" t="s">
        <v>40</v>
      </c>
      <c r="D19" s="150">
        <f>'2015'!O18</f>
        <v>153.75228070175439</v>
      </c>
      <c r="E19" s="150">
        <f>'2016'!O18</f>
        <v>139.46679096195544</v>
      </c>
      <c r="F19" s="150">
        <f t="shared" si="0"/>
        <v>-14.285489739798948</v>
      </c>
      <c r="G19" s="147">
        <f t="shared" si="2"/>
        <v>-9.2912376158566748E-2</v>
      </c>
      <c r="H19" s="113"/>
      <c r="I19" s="150">
        <f>'2016 status'!O18</f>
        <v>134.76187529033854</v>
      </c>
      <c r="J19" s="150">
        <f>'2017 '!P19</f>
        <v>135.84464153627312</v>
      </c>
      <c r="K19" s="150">
        <f t="shared" si="1"/>
        <v>1.0827662459345788</v>
      </c>
      <c r="L19" s="147">
        <f t="shared" si="3"/>
        <v>8.0346629460432088E-3</v>
      </c>
      <c r="N19" s="150">
        <f>'2017 '!O19</f>
        <v>156.53346291866026</v>
      </c>
      <c r="O19" s="121">
        <f>+'2018'!O19</f>
        <v>187.06241154290112</v>
      </c>
      <c r="P19" s="150">
        <f t="shared" si="4"/>
        <v>30.528948624240854</v>
      </c>
      <c r="Q19" s="147">
        <f t="shared" si="5"/>
        <v>0.19503145241285988</v>
      </c>
      <c r="S19" s="149">
        <f>'2018'!P19</f>
        <v>119.98579136120451</v>
      </c>
      <c r="T19" s="121">
        <f>'2019'!P19</f>
        <v>148.62215428571429</v>
      </c>
      <c r="U19" s="150">
        <f t="shared" si="6"/>
        <v>28.636362924509783</v>
      </c>
      <c r="V19" s="147">
        <f t="shared" si="7"/>
        <v>0.23866461686536738</v>
      </c>
      <c r="X19" s="150">
        <f>'2019'!P19</f>
        <v>148.62215428571429</v>
      </c>
      <c r="Y19" s="150">
        <f>'2020'!P19</f>
        <v>145.73817034700315</v>
      </c>
      <c r="Z19" s="150">
        <f t="shared" si="8"/>
        <v>-2.8839839387111397</v>
      </c>
      <c r="AA19" s="147">
        <f t="shared" si="9"/>
        <v>-1.9404805108442377E-2</v>
      </c>
      <c r="AC19" s="121">
        <f>'2020'!P19</f>
        <v>145.73817034700315</v>
      </c>
      <c r="AD19" s="121">
        <f>'2021'!P19</f>
        <v>127.77516531961793</v>
      </c>
      <c r="AE19" s="150">
        <f t="shared" si="10"/>
        <v>-17.963005027385222</v>
      </c>
      <c r="AF19" s="147">
        <f t="shared" si="11"/>
        <v>-0.12325532140698101</v>
      </c>
    </row>
    <row r="20" spans="1:32" x14ac:dyDescent="0.25">
      <c r="A20" s="213"/>
      <c r="B20" s="131"/>
      <c r="C20" s="131" t="s">
        <v>41</v>
      </c>
      <c r="D20" s="150">
        <f>'2015'!O21</f>
        <v>98.559154295996407</v>
      </c>
      <c r="E20" s="150">
        <f>'2016'!O21</f>
        <v>86.801009759538701</v>
      </c>
      <c r="F20" s="150">
        <f t="shared" si="0"/>
        <v>-11.758144536457706</v>
      </c>
      <c r="G20" s="147">
        <f t="shared" si="2"/>
        <v>-0.11930037976122668</v>
      </c>
      <c r="H20" s="113"/>
      <c r="I20" s="150">
        <f>'2016 status'!O21</f>
        <v>89.421431267420886</v>
      </c>
      <c r="J20" s="150">
        <f>'2017 '!P20</f>
        <v>69.809051900584791</v>
      </c>
      <c r="K20" s="150">
        <f t="shared" si="1"/>
        <v>-19.612379366836095</v>
      </c>
      <c r="L20" s="147">
        <f t="shared" si="3"/>
        <v>-0.21932526787883697</v>
      </c>
      <c r="N20" s="150">
        <f>'2017 '!O20</f>
        <v>76.104667054376264</v>
      </c>
      <c r="O20" s="121">
        <f>+'2018'!O20</f>
        <v>108.12303071277661</v>
      </c>
      <c r="P20" s="150">
        <f t="shared" si="4"/>
        <v>32.018363658400347</v>
      </c>
      <c r="Q20" s="147">
        <f t="shared" si="5"/>
        <v>0.42071485097653005</v>
      </c>
      <c r="S20" s="149">
        <f>'2018'!P20</f>
        <v>67.923726239658407</v>
      </c>
      <c r="T20" s="121">
        <f>'2019'!P20</f>
        <v>79.392176434676429</v>
      </c>
      <c r="U20" s="150">
        <f t="shared" si="6"/>
        <v>11.468450195018022</v>
      </c>
      <c r="V20" s="147">
        <f t="shared" si="7"/>
        <v>0.16884306603782839</v>
      </c>
      <c r="X20" s="150">
        <f>'2019'!P20</f>
        <v>79.392176434676429</v>
      </c>
      <c r="Y20" s="150">
        <f>'2020'!P20</f>
        <v>84.924632352941174</v>
      </c>
      <c r="Z20" s="150">
        <f t="shared" si="8"/>
        <v>5.5324559182647448</v>
      </c>
      <c r="AA20" s="147">
        <f t="shared" si="9"/>
        <v>6.9685152450970123E-2</v>
      </c>
      <c r="AC20" s="121">
        <f>'2020'!P20</f>
        <v>84.924632352941174</v>
      </c>
      <c r="AD20" s="121">
        <f>'2021'!P20</f>
        <v>80.584800741427244</v>
      </c>
      <c r="AE20" s="150">
        <f t="shared" si="10"/>
        <v>-4.3398316115139295</v>
      </c>
      <c r="AF20" s="147">
        <f t="shared" si="11"/>
        <v>-5.1102153654052636E-2</v>
      </c>
    </row>
    <row r="21" spans="1:32" ht="13.2" customHeight="1" x14ac:dyDescent="0.25">
      <c r="A21" s="213"/>
      <c r="B21" s="129" t="s">
        <v>42</v>
      </c>
      <c r="C21" s="129" t="s">
        <v>43</v>
      </c>
      <c r="D21" s="151">
        <f>'2015'!O17</f>
        <v>50</v>
      </c>
      <c r="E21" s="151">
        <f>'2016'!O17</f>
        <v>89</v>
      </c>
      <c r="F21" s="151">
        <f t="shared" si="0"/>
        <v>39</v>
      </c>
      <c r="G21" s="146">
        <f t="shared" si="2"/>
        <v>0.78</v>
      </c>
      <c r="H21" s="113"/>
      <c r="I21" s="151">
        <f>'2016 status'!O17</f>
        <v>71</v>
      </c>
      <c r="J21" s="151">
        <f>'2017 '!P21</f>
        <v>185</v>
      </c>
      <c r="K21" s="151">
        <f t="shared" si="1"/>
        <v>114</v>
      </c>
      <c r="L21" s="146">
        <f t="shared" si="3"/>
        <v>1.6056338028169015</v>
      </c>
      <c r="N21" s="151">
        <f>'2017 '!O21</f>
        <v>88</v>
      </c>
      <c r="O21" s="121">
        <f>+'2018'!O21</f>
        <v>226</v>
      </c>
      <c r="P21" s="151">
        <f t="shared" si="4"/>
        <v>138</v>
      </c>
      <c r="Q21" s="146">
        <f t="shared" si="5"/>
        <v>1.5681818181818181</v>
      </c>
      <c r="S21" s="149">
        <f>'2018'!P21</f>
        <v>1593</v>
      </c>
      <c r="T21" s="121">
        <f>'2019'!P21</f>
        <v>625</v>
      </c>
      <c r="U21" s="151">
        <f t="shared" si="6"/>
        <v>-968</v>
      </c>
      <c r="V21" s="146">
        <f t="shared" si="7"/>
        <v>-0.60765850596359072</v>
      </c>
      <c r="X21" s="151">
        <f>'2019'!P21</f>
        <v>625</v>
      </c>
      <c r="Y21" s="151">
        <f>'2020'!P21</f>
        <v>317</v>
      </c>
      <c r="Z21" s="151">
        <f t="shared" si="8"/>
        <v>-308</v>
      </c>
      <c r="AA21" s="146">
        <f t="shared" si="9"/>
        <v>-0.49280000000000002</v>
      </c>
      <c r="AC21" s="121">
        <f>'2020'!P21</f>
        <v>317</v>
      </c>
      <c r="AD21" s="121">
        <f>'2021'!P21</f>
        <v>1361</v>
      </c>
      <c r="AE21" s="151">
        <f t="shared" si="10"/>
        <v>1044</v>
      </c>
      <c r="AF21" s="146">
        <f t="shared" si="11"/>
        <v>3.2933753943217665</v>
      </c>
    </row>
    <row r="22" spans="1:32" x14ac:dyDescent="0.25">
      <c r="A22" s="215"/>
      <c r="B22" s="135"/>
      <c r="C22" s="135" t="s">
        <v>44</v>
      </c>
      <c r="D22" s="152">
        <f>'2015'!O20</f>
        <v>78</v>
      </c>
      <c r="E22" s="152">
        <f>'2016'!O20</f>
        <v>143</v>
      </c>
      <c r="F22" s="152">
        <f t="shared" si="0"/>
        <v>65</v>
      </c>
      <c r="G22" s="148">
        <f t="shared" si="2"/>
        <v>0.83333333333333337</v>
      </c>
      <c r="H22" s="113"/>
      <c r="I22" s="152">
        <f>'2016 status'!O20</f>
        <v>107</v>
      </c>
      <c r="J22" s="152">
        <f>'2017 '!P22</f>
        <v>360</v>
      </c>
      <c r="K22" s="152">
        <f t="shared" si="1"/>
        <v>253</v>
      </c>
      <c r="L22" s="148">
        <f t="shared" si="3"/>
        <v>2.3644859813084111</v>
      </c>
      <c r="N22" s="152">
        <f>'2017 '!O22</f>
        <v>181</v>
      </c>
      <c r="O22" s="121">
        <f>+'2018'!O22</f>
        <v>391</v>
      </c>
      <c r="P22" s="152">
        <f t="shared" si="4"/>
        <v>210</v>
      </c>
      <c r="Q22" s="148">
        <f t="shared" si="5"/>
        <v>1.160220994475138</v>
      </c>
      <c r="S22" s="149">
        <f>'2018'!P22</f>
        <v>2814</v>
      </c>
      <c r="T22" s="121">
        <f>'2019'!P22</f>
        <v>1170</v>
      </c>
      <c r="U22" s="152">
        <f t="shared" si="6"/>
        <v>-1644</v>
      </c>
      <c r="V22" s="148">
        <f t="shared" si="7"/>
        <v>-0.58422174840085284</v>
      </c>
      <c r="X22" s="152">
        <f>'2019'!P22</f>
        <v>1170</v>
      </c>
      <c r="Y22" s="152">
        <f>'2020'!P22</f>
        <v>544</v>
      </c>
      <c r="Z22" s="152">
        <f t="shared" si="8"/>
        <v>-626</v>
      </c>
      <c r="AA22" s="148">
        <f t="shared" si="9"/>
        <v>-0.53504273504273503</v>
      </c>
      <c r="AC22" s="121">
        <f>'2020'!P22</f>
        <v>544</v>
      </c>
      <c r="AD22" s="121">
        <f>'2021'!P22</f>
        <v>2158</v>
      </c>
      <c r="AE22" s="152">
        <f t="shared" si="10"/>
        <v>1614</v>
      </c>
      <c r="AF22" s="148">
        <f t="shared" si="11"/>
        <v>2.9669117647058822</v>
      </c>
    </row>
    <row r="23" spans="1:32" x14ac:dyDescent="0.25">
      <c r="A23" s="212" t="s">
        <v>31</v>
      </c>
      <c r="B23" s="129" t="s">
        <v>33</v>
      </c>
      <c r="C23" s="129" t="s">
        <v>18</v>
      </c>
      <c r="D23" s="149">
        <f>'2015'!O24</f>
        <v>708.77192982456131</v>
      </c>
      <c r="E23" s="149">
        <f>'2016'!O29</f>
        <v>954.01205000000004</v>
      </c>
      <c r="F23" s="149">
        <f t="shared" si="0"/>
        <v>245.24012017543873</v>
      </c>
      <c r="G23" s="146">
        <f t="shared" si="2"/>
        <v>0.34600710024752501</v>
      </c>
      <c r="H23" s="113"/>
      <c r="I23" s="149">
        <f>'2016 status'!O24</f>
        <v>0</v>
      </c>
      <c r="J23" s="149">
        <f>'2017 '!P23</f>
        <v>11990.938421052633</v>
      </c>
      <c r="K23" s="149">
        <f t="shared" si="1"/>
        <v>11990.938421052633</v>
      </c>
      <c r="L23" s="146">
        <f t="shared" si="3"/>
        <v>0</v>
      </c>
      <c r="N23" s="149">
        <f>'2017 '!O23</f>
        <v>6283.0471052631583</v>
      </c>
      <c r="O23" s="121">
        <f>+'2018'!O23</f>
        <v>0</v>
      </c>
      <c r="P23" s="149">
        <f t="shared" si="4"/>
        <v>-6283.0471052631583</v>
      </c>
      <c r="Q23" s="146">
        <f t="shared" si="5"/>
        <v>-1</v>
      </c>
      <c r="S23" s="149">
        <f>'2018'!P23</f>
        <v>25206.985141813624</v>
      </c>
      <c r="T23" s="121">
        <f>'2019'!P23</f>
        <v>0</v>
      </c>
      <c r="U23" s="149">
        <f t="shared" si="6"/>
        <v>-25206.985141813624</v>
      </c>
      <c r="V23" s="146">
        <f t="shared" si="7"/>
        <v>-1</v>
      </c>
      <c r="X23" s="149">
        <f>'2019'!P23</f>
        <v>0</v>
      </c>
      <c r="Y23" s="149">
        <f>'2020'!P23</f>
        <v>646</v>
      </c>
      <c r="Z23" s="149">
        <f t="shared" si="8"/>
        <v>646</v>
      </c>
      <c r="AA23" s="146">
        <f t="shared" si="9"/>
        <v>0</v>
      </c>
      <c r="AC23" s="121">
        <f>'2020'!P23</f>
        <v>646</v>
      </c>
      <c r="AD23" s="121">
        <f>'2021'!P23</f>
        <v>33446</v>
      </c>
      <c r="AE23" s="149">
        <f t="shared" si="10"/>
        <v>32800</v>
      </c>
      <c r="AF23" s="146">
        <f t="shared" si="11"/>
        <v>50.773993808049532</v>
      </c>
    </row>
    <row r="24" spans="1:32" x14ac:dyDescent="0.25">
      <c r="A24" s="213"/>
      <c r="B24" s="131"/>
      <c r="C24" s="131" t="s">
        <v>40</v>
      </c>
      <c r="D24" s="150">
        <f>'2015'!O23</f>
        <v>101.25313283208018</v>
      </c>
      <c r="E24" s="150">
        <f>'2016'!O28</f>
        <v>190.80241000000001</v>
      </c>
      <c r="F24" s="150">
        <f t="shared" si="0"/>
        <v>89.549277167919826</v>
      </c>
      <c r="G24" s="147">
        <f t="shared" si="2"/>
        <v>0.88440994034653508</v>
      </c>
      <c r="H24" s="113"/>
      <c r="I24" s="150">
        <f>'2016 status'!O23</f>
        <v>0</v>
      </c>
      <c r="J24" s="150">
        <f>'2017 '!P24</f>
        <v>96.701116298811556</v>
      </c>
      <c r="K24" s="150">
        <f t="shared" si="1"/>
        <v>96.701116298811556</v>
      </c>
      <c r="L24" s="147">
        <f t="shared" si="3"/>
        <v>0</v>
      </c>
      <c r="N24" s="150">
        <f>'2017 '!O24</f>
        <v>98.172611019736848</v>
      </c>
      <c r="O24" s="121">
        <f>+'2018'!O24</f>
        <v>0</v>
      </c>
      <c r="P24" s="150">
        <f t="shared" si="4"/>
        <v>-98.172611019736848</v>
      </c>
      <c r="Q24" s="147">
        <f t="shared" si="5"/>
        <v>-1</v>
      </c>
      <c r="S24" s="149">
        <f>'2018'!P24</f>
        <v>63.01746285453406</v>
      </c>
      <c r="T24" s="121">
        <f>'2019'!P24</f>
        <v>0</v>
      </c>
      <c r="U24" s="150">
        <f t="shared" si="6"/>
        <v>-63.01746285453406</v>
      </c>
      <c r="V24" s="147">
        <f t="shared" si="7"/>
        <v>-1</v>
      </c>
      <c r="X24" s="150">
        <f>'2019'!P24</f>
        <v>0</v>
      </c>
      <c r="Y24" s="150">
        <f>'2020'!P24</f>
        <v>92.285714285714292</v>
      </c>
      <c r="Z24" s="150">
        <f t="shared" si="8"/>
        <v>92.285714285714292</v>
      </c>
      <c r="AA24" s="147">
        <f t="shared" si="9"/>
        <v>0</v>
      </c>
      <c r="AC24" s="121">
        <f>'2020'!P24</f>
        <v>92.285714285714292</v>
      </c>
      <c r="AD24" s="121">
        <f>'2021'!P24</f>
        <v>77.421296296296291</v>
      </c>
      <c r="AE24" s="150">
        <f t="shared" si="10"/>
        <v>-14.864417989418001</v>
      </c>
      <c r="AF24" s="147">
        <f t="shared" si="11"/>
        <v>-0.16106954477697524</v>
      </c>
    </row>
    <row r="25" spans="1:32" x14ac:dyDescent="0.25">
      <c r="A25" s="213"/>
      <c r="B25" s="131"/>
      <c r="C25" s="131" t="s">
        <v>41</v>
      </c>
      <c r="D25" s="150">
        <f>'2015'!O26</f>
        <v>101.25313283208018</v>
      </c>
      <c r="E25" s="150">
        <f>'2016'!O31</f>
        <v>95.401205000000004</v>
      </c>
      <c r="F25" s="150">
        <f t="shared" si="0"/>
        <v>-5.8519278320801789</v>
      </c>
      <c r="G25" s="147">
        <f t="shared" si="2"/>
        <v>-5.7795029826732472E-2</v>
      </c>
      <c r="H25" s="113"/>
      <c r="I25" s="150">
        <f>'2016 status'!O26</f>
        <v>0</v>
      </c>
      <c r="J25" s="150">
        <f>'2017 '!P25</f>
        <v>49.962243421052641</v>
      </c>
      <c r="K25" s="150">
        <f t="shared" si="1"/>
        <v>49.962243421052641</v>
      </c>
      <c r="L25" s="147">
        <f t="shared" si="3"/>
        <v>0</v>
      </c>
      <c r="N25" s="150">
        <f>'2017 '!O25</f>
        <v>46.888411233307153</v>
      </c>
      <c r="O25" s="121">
        <f>+'2018'!O25</f>
        <v>0</v>
      </c>
      <c r="P25" s="150">
        <f t="shared" si="4"/>
        <v>-46.888411233307153</v>
      </c>
      <c r="Q25" s="147">
        <f t="shared" si="5"/>
        <v>-1</v>
      </c>
      <c r="S25" s="149">
        <f>'2018'!P25</f>
        <v>35.603086358493819</v>
      </c>
      <c r="T25" s="121">
        <f>'2019'!P25</f>
        <v>0</v>
      </c>
      <c r="U25" s="150">
        <f t="shared" si="6"/>
        <v>-35.603086358493819</v>
      </c>
      <c r="V25" s="147">
        <f t="shared" si="7"/>
        <v>-1</v>
      </c>
      <c r="X25" s="150">
        <f>'2019'!P25</f>
        <v>0</v>
      </c>
      <c r="Y25" s="150">
        <f>'2020'!P25</f>
        <v>46.142857142857146</v>
      </c>
      <c r="Z25" s="150">
        <f t="shared" si="8"/>
        <v>46.142857142857146</v>
      </c>
      <c r="AA25" s="147">
        <f t="shared" si="9"/>
        <v>0</v>
      </c>
      <c r="AC25" s="121">
        <f>'2020'!P25</f>
        <v>46.142857142857146</v>
      </c>
      <c r="AD25" s="121">
        <f>'2021'!P25</f>
        <v>47.441134751773049</v>
      </c>
      <c r="AE25" s="150">
        <f t="shared" si="10"/>
        <v>1.2982776089159032</v>
      </c>
      <c r="AF25" s="147">
        <f t="shared" si="11"/>
        <v>2.8136047252047436E-2</v>
      </c>
    </row>
    <row r="26" spans="1:32" x14ac:dyDescent="0.25">
      <c r="A26" s="213"/>
      <c r="B26" s="129" t="s">
        <v>42</v>
      </c>
      <c r="C26" s="129" t="s">
        <v>43</v>
      </c>
      <c r="D26" s="151">
        <f>'2015'!O22</f>
        <v>7</v>
      </c>
      <c r="E26" s="151">
        <f>'2016'!O27</f>
        <v>5</v>
      </c>
      <c r="F26" s="151">
        <f t="shared" si="0"/>
        <v>-2</v>
      </c>
      <c r="G26" s="146">
        <f t="shared" si="2"/>
        <v>-0.2857142857142857</v>
      </c>
      <c r="H26" s="113"/>
      <c r="I26" s="151">
        <f>'2016 status'!O22</f>
        <v>0</v>
      </c>
      <c r="J26" s="151">
        <f>'2017 '!P26</f>
        <v>124</v>
      </c>
      <c r="K26" s="151">
        <f t="shared" si="1"/>
        <v>124</v>
      </c>
      <c r="L26" s="146">
        <f t="shared" si="3"/>
        <v>0</v>
      </c>
      <c r="N26" s="151">
        <f>'2017 '!O26</f>
        <v>64</v>
      </c>
      <c r="O26" s="121">
        <f>+'2018'!O26</f>
        <v>0</v>
      </c>
      <c r="P26" s="151">
        <f t="shared" si="4"/>
        <v>-64</v>
      </c>
      <c r="Q26" s="146">
        <f t="shared" si="5"/>
        <v>-1</v>
      </c>
      <c r="S26" s="149">
        <f>'2018'!P26</f>
        <v>400</v>
      </c>
      <c r="T26" s="121">
        <f>'2019'!P26</f>
        <v>0</v>
      </c>
      <c r="U26" s="151">
        <f t="shared" si="6"/>
        <v>-400</v>
      </c>
      <c r="V26" s="146">
        <f t="shared" si="7"/>
        <v>-1</v>
      </c>
      <c r="X26" s="151">
        <f>'2019'!P26</f>
        <v>0</v>
      </c>
      <c r="Y26" s="151">
        <f>'2020'!P26</f>
        <v>7</v>
      </c>
      <c r="Z26" s="151">
        <f t="shared" si="8"/>
        <v>7</v>
      </c>
      <c r="AA26" s="146">
        <f t="shared" si="9"/>
        <v>0</v>
      </c>
      <c r="AC26" s="121">
        <f>'2020'!P26</f>
        <v>7</v>
      </c>
      <c r="AD26" s="121">
        <f>'2021'!P26</f>
        <v>432</v>
      </c>
      <c r="AE26" s="151">
        <f t="shared" si="10"/>
        <v>425</v>
      </c>
      <c r="AF26" s="146">
        <f t="shared" si="11"/>
        <v>60.714285714285715</v>
      </c>
    </row>
    <row r="27" spans="1:32" x14ac:dyDescent="0.25">
      <c r="A27" s="215"/>
      <c r="B27" s="135"/>
      <c r="C27" s="135" t="s">
        <v>44</v>
      </c>
      <c r="D27" s="152">
        <f>'2015'!O25</f>
        <v>7</v>
      </c>
      <c r="E27" s="152">
        <f>'2016'!O30</f>
        <v>10</v>
      </c>
      <c r="F27" s="152">
        <f t="shared" si="0"/>
        <v>3</v>
      </c>
      <c r="G27" s="148">
        <f t="shared" si="2"/>
        <v>0.42857142857142855</v>
      </c>
      <c r="H27" s="113"/>
      <c r="I27" s="152">
        <f>'2016 status'!O25</f>
        <v>0</v>
      </c>
      <c r="J27" s="152">
        <f>'2017 '!P27</f>
        <v>240</v>
      </c>
      <c r="K27" s="152">
        <f t="shared" si="1"/>
        <v>240</v>
      </c>
      <c r="L27" s="148">
        <f t="shared" si="3"/>
        <v>0</v>
      </c>
      <c r="N27" s="152">
        <f>'2017 '!O27</f>
        <v>134</v>
      </c>
      <c r="O27" s="121">
        <f>+'2018'!O27</f>
        <v>0</v>
      </c>
      <c r="P27" s="152">
        <f t="shared" si="4"/>
        <v>-134</v>
      </c>
      <c r="Q27" s="148">
        <f t="shared" si="5"/>
        <v>-1</v>
      </c>
      <c r="S27" s="149">
        <f>'2018'!P27</f>
        <v>708</v>
      </c>
      <c r="T27" s="121">
        <f>'2019'!P27</f>
        <v>0</v>
      </c>
      <c r="U27" s="152">
        <f t="shared" si="6"/>
        <v>-708</v>
      </c>
      <c r="V27" s="148">
        <f t="shared" si="7"/>
        <v>-1</v>
      </c>
      <c r="X27" s="152">
        <f>'2019'!P27</f>
        <v>0</v>
      </c>
      <c r="Y27" s="152">
        <f>'2020'!P27</f>
        <v>14</v>
      </c>
      <c r="Z27" s="152">
        <f t="shared" si="8"/>
        <v>14</v>
      </c>
      <c r="AA27" s="148">
        <f t="shared" si="9"/>
        <v>0</v>
      </c>
      <c r="AC27" s="121">
        <f>'2020'!P27</f>
        <v>14</v>
      </c>
      <c r="AD27" s="121">
        <f>'2021'!P27</f>
        <v>705</v>
      </c>
      <c r="AE27" s="152">
        <f t="shared" si="10"/>
        <v>691</v>
      </c>
      <c r="AF27" s="148">
        <f t="shared" si="11"/>
        <v>49.357142857142854</v>
      </c>
    </row>
    <row r="28" spans="1:32" ht="12.75" customHeight="1" x14ac:dyDescent="0.25">
      <c r="A28" s="220" t="s">
        <v>26</v>
      </c>
      <c r="B28" s="129" t="s">
        <v>33</v>
      </c>
      <c r="C28" s="129" t="s">
        <v>18</v>
      </c>
      <c r="D28" s="149">
        <f>'2015'!O29</f>
        <v>4093.0701754385964</v>
      </c>
      <c r="E28" s="149">
        <f>'2016'!O34</f>
        <v>2922.4292175438604</v>
      </c>
      <c r="F28" s="149">
        <f t="shared" si="0"/>
        <v>-1170.6409578947359</v>
      </c>
      <c r="G28" s="146">
        <f t="shared" si="2"/>
        <v>-0.28600559182186386</v>
      </c>
      <c r="H28" s="113"/>
      <c r="I28" s="149">
        <f>'2016 status'!O29</f>
        <v>954.01205000000004</v>
      </c>
      <c r="J28" s="149">
        <f>'2017 '!P28</f>
        <v>0</v>
      </c>
      <c r="K28" s="149">
        <f t="shared" si="1"/>
        <v>-954.01205000000004</v>
      </c>
      <c r="L28" s="146">
        <f t="shared" si="3"/>
        <v>-1</v>
      </c>
      <c r="N28" s="149">
        <f>'2017 '!O28</f>
        <v>0</v>
      </c>
      <c r="O28" s="121">
        <f>+'2018'!O28</f>
        <v>0</v>
      </c>
      <c r="P28" s="149">
        <f t="shared" si="4"/>
        <v>0</v>
      </c>
      <c r="Q28" s="146">
        <f t="shared" si="5"/>
        <v>0</v>
      </c>
      <c r="R28" s="224" t="s">
        <v>47</v>
      </c>
      <c r="S28" s="149">
        <f>'2017 '!T28</f>
        <v>0</v>
      </c>
      <c r="T28" s="121">
        <f>+'2018'!T28</f>
        <v>0</v>
      </c>
      <c r="U28" s="149">
        <f t="shared" si="6"/>
        <v>0</v>
      </c>
      <c r="V28" s="146">
        <f t="shared" si="7"/>
        <v>0</v>
      </c>
      <c r="X28" s="149">
        <f>'2017 '!Y28</f>
        <v>0</v>
      </c>
      <c r="Y28" s="149">
        <f>+'2018'!Y28</f>
        <v>0</v>
      </c>
      <c r="Z28" s="149">
        <f t="shared" si="8"/>
        <v>0</v>
      </c>
      <c r="AA28" s="146">
        <f t="shared" si="9"/>
        <v>0</v>
      </c>
      <c r="AC28" s="121">
        <f>'2020'!P28</f>
        <v>0</v>
      </c>
      <c r="AD28" s="149">
        <f>+'2018'!AD28</f>
        <v>0</v>
      </c>
      <c r="AE28" s="149">
        <f t="shared" si="10"/>
        <v>0</v>
      </c>
      <c r="AF28" s="146">
        <f t="shared" si="11"/>
        <v>0</v>
      </c>
    </row>
    <row r="29" spans="1:32" x14ac:dyDescent="0.25">
      <c r="A29" s="213"/>
      <c r="B29" s="131"/>
      <c r="C29" s="131" t="s">
        <v>40</v>
      </c>
      <c r="D29" s="150">
        <f>'2015'!O28</f>
        <v>215.4247460757156</v>
      </c>
      <c r="E29" s="150">
        <f>'2016'!O33</f>
        <v>121.76788406432752</v>
      </c>
      <c r="F29" s="150">
        <f t="shared" si="0"/>
        <v>-93.656862011388085</v>
      </c>
      <c r="G29" s="147">
        <f t="shared" si="2"/>
        <v>-0.43475442685897558</v>
      </c>
      <c r="H29" s="113"/>
      <c r="I29" s="150">
        <f>'2016 status'!O28</f>
        <v>190.80241000000001</v>
      </c>
      <c r="J29" s="150">
        <f>'2017 '!P29</f>
        <v>0</v>
      </c>
      <c r="K29" s="150">
        <f t="shared" si="1"/>
        <v>-190.80241000000001</v>
      </c>
      <c r="L29" s="147">
        <f t="shared" si="3"/>
        <v>-1</v>
      </c>
      <c r="N29" s="150">
        <f>'2017 '!O29</f>
        <v>0</v>
      </c>
      <c r="O29" s="121">
        <f>+'2018'!O29</f>
        <v>0</v>
      </c>
      <c r="P29" s="150">
        <f t="shared" si="4"/>
        <v>0</v>
      </c>
      <c r="Q29" s="147">
        <f t="shared" si="5"/>
        <v>0</v>
      </c>
      <c r="R29" s="224"/>
      <c r="S29" s="150">
        <f>'2017 '!T29</f>
        <v>0</v>
      </c>
      <c r="T29" s="121">
        <f>+'2018'!T29</f>
        <v>0</v>
      </c>
      <c r="U29" s="150">
        <f t="shared" si="6"/>
        <v>0</v>
      </c>
      <c r="V29" s="147">
        <f t="shared" si="7"/>
        <v>0</v>
      </c>
      <c r="X29" s="150">
        <f>'2017 '!Y29</f>
        <v>0</v>
      </c>
      <c r="Y29" s="150">
        <f>+'2018'!Y29</f>
        <v>0</v>
      </c>
      <c r="Z29" s="150">
        <f t="shared" si="8"/>
        <v>0</v>
      </c>
      <c r="AA29" s="147">
        <f t="shared" si="9"/>
        <v>0</v>
      </c>
      <c r="AC29" s="121">
        <f>'2020'!P29</f>
        <v>0</v>
      </c>
      <c r="AD29" s="150">
        <f>+'2018'!AD29</f>
        <v>0</v>
      </c>
      <c r="AE29" s="150">
        <f t="shared" si="10"/>
        <v>0</v>
      </c>
      <c r="AF29" s="147">
        <f t="shared" si="11"/>
        <v>0</v>
      </c>
    </row>
    <row r="30" spans="1:32" x14ac:dyDescent="0.25">
      <c r="A30" s="213"/>
      <c r="B30" s="131"/>
      <c r="C30" s="131" t="s">
        <v>41</v>
      </c>
      <c r="D30" s="150">
        <f>'2015'!O31</f>
        <v>113.69639376218323</v>
      </c>
      <c r="E30" s="150">
        <f>'2016'!O36</f>
        <v>60.883942032163759</v>
      </c>
      <c r="F30" s="150">
        <f t="shared" si="0"/>
        <v>-52.812451730019475</v>
      </c>
      <c r="G30" s="147">
        <f t="shared" si="2"/>
        <v>-0.46450419386639791</v>
      </c>
      <c r="H30" s="113"/>
      <c r="I30" s="150">
        <f>'2016 status'!O31</f>
        <v>95.401205000000004</v>
      </c>
      <c r="J30" s="150">
        <f>'2017 '!P30</f>
        <v>0</v>
      </c>
      <c r="K30" s="150">
        <f t="shared" si="1"/>
        <v>-95.401205000000004</v>
      </c>
      <c r="L30" s="147">
        <f t="shared" si="3"/>
        <v>-1</v>
      </c>
      <c r="N30" s="150">
        <f>'2017 '!O30</f>
        <v>0</v>
      </c>
      <c r="O30" s="121">
        <f>+'2018'!O30</f>
        <v>0</v>
      </c>
      <c r="P30" s="150">
        <f t="shared" si="4"/>
        <v>0</v>
      </c>
      <c r="Q30" s="147">
        <f t="shared" si="5"/>
        <v>0</v>
      </c>
      <c r="R30" s="224"/>
      <c r="S30" s="150">
        <f>'2017 '!T30</f>
        <v>0</v>
      </c>
      <c r="T30" s="121">
        <f>+'2018'!T30</f>
        <v>0</v>
      </c>
      <c r="U30" s="150">
        <f t="shared" si="6"/>
        <v>0</v>
      </c>
      <c r="V30" s="147">
        <f t="shared" si="7"/>
        <v>0</v>
      </c>
      <c r="X30" s="150">
        <f>'2017 '!Y30</f>
        <v>0</v>
      </c>
      <c r="Y30" s="150">
        <f>+'2018'!Y30</f>
        <v>0</v>
      </c>
      <c r="Z30" s="150">
        <f t="shared" si="8"/>
        <v>0</v>
      </c>
      <c r="AA30" s="147">
        <f t="shared" si="9"/>
        <v>0</v>
      </c>
      <c r="AC30" s="121">
        <f>'2020'!P30</f>
        <v>0</v>
      </c>
      <c r="AD30" s="150">
        <f>+'2018'!AD30</f>
        <v>0</v>
      </c>
      <c r="AE30" s="150">
        <f t="shared" si="10"/>
        <v>0</v>
      </c>
      <c r="AF30" s="147">
        <f t="shared" si="11"/>
        <v>0</v>
      </c>
    </row>
    <row r="31" spans="1:32" x14ac:dyDescent="0.25">
      <c r="A31" s="213"/>
      <c r="B31" s="129" t="s">
        <v>42</v>
      </c>
      <c r="C31" s="129" t="s">
        <v>43</v>
      </c>
      <c r="D31" s="151">
        <f>'2015'!O27</f>
        <v>19</v>
      </c>
      <c r="E31" s="151">
        <f>'2016'!O32</f>
        <v>24</v>
      </c>
      <c r="F31" s="151">
        <f t="shared" si="0"/>
        <v>5</v>
      </c>
      <c r="G31" s="146">
        <f t="shared" si="2"/>
        <v>0.26315789473684209</v>
      </c>
      <c r="H31" s="113"/>
      <c r="I31" s="151">
        <f>'2016 status'!O27</f>
        <v>5</v>
      </c>
      <c r="J31" s="151">
        <f>'2017 '!P31</f>
        <v>0</v>
      </c>
      <c r="K31" s="151">
        <f t="shared" si="1"/>
        <v>-5</v>
      </c>
      <c r="L31" s="146">
        <f t="shared" si="3"/>
        <v>-1</v>
      </c>
      <c r="N31" s="151">
        <f>'2017 '!O31</f>
        <v>0</v>
      </c>
      <c r="O31" s="121">
        <f>+'2018'!O31</f>
        <v>0</v>
      </c>
      <c r="P31" s="151">
        <f t="shared" si="4"/>
        <v>0</v>
      </c>
      <c r="Q31" s="146">
        <f t="shared" si="5"/>
        <v>0</v>
      </c>
      <c r="R31" s="224"/>
      <c r="S31" s="151">
        <f>'2017 '!T31</f>
        <v>0</v>
      </c>
      <c r="T31" s="121">
        <f>+'2018'!T31</f>
        <v>0</v>
      </c>
      <c r="U31" s="151">
        <f t="shared" si="6"/>
        <v>0</v>
      </c>
      <c r="V31" s="146">
        <f t="shared" si="7"/>
        <v>0</v>
      </c>
      <c r="X31" s="151">
        <f>'2017 '!Y31</f>
        <v>0</v>
      </c>
      <c r="Y31" s="151">
        <f>+'2018'!Y31</f>
        <v>0</v>
      </c>
      <c r="Z31" s="151">
        <f t="shared" si="8"/>
        <v>0</v>
      </c>
      <c r="AA31" s="146">
        <f t="shared" si="9"/>
        <v>0</v>
      </c>
      <c r="AC31" s="121">
        <f>'2020'!P31</f>
        <v>0</v>
      </c>
      <c r="AD31" s="151">
        <f>+'2018'!AD31</f>
        <v>0</v>
      </c>
      <c r="AE31" s="151">
        <f t="shared" si="10"/>
        <v>0</v>
      </c>
      <c r="AF31" s="146">
        <f t="shared" si="11"/>
        <v>0</v>
      </c>
    </row>
    <row r="32" spans="1:32" x14ac:dyDescent="0.25">
      <c r="A32" s="215"/>
      <c r="B32" s="135"/>
      <c r="C32" s="135" t="s">
        <v>44</v>
      </c>
      <c r="D32" s="152">
        <f>'2015'!O30</f>
        <v>36</v>
      </c>
      <c r="E32" s="152">
        <f>'2016'!O35</f>
        <v>48</v>
      </c>
      <c r="F32" s="152">
        <f t="shared" si="0"/>
        <v>12</v>
      </c>
      <c r="G32" s="148">
        <f t="shared" si="2"/>
        <v>0.33333333333333331</v>
      </c>
      <c r="H32" s="113"/>
      <c r="I32" s="152">
        <f>'2016 status'!O30</f>
        <v>10</v>
      </c>
      <c r="J32" s="152">
        <f>'2017 '!P32</f>
        <v>0</v>
      </c>
      <c r="K32" s="152">
        <f t="shared" si="1"/>
        <v>-10</v>
      </c>
      <c r="L32" s="148">
        <f t="shared" si="3"/>
        <v>-1</v>
      </c>
      <c r="N32" s="152">
        <f>'2017 '!O32</f>
        <v>0</v>
      </c>
      <c r="O32" s="121">
        <f>+'2018'!O32</f>
        <v>0</v>
      </c>
      <c r="P32" s="152">
        <f t="shared" si="4"/>
        <v>0</v>
      </c>
      <c r="Q32" s="148">
        <f t="shared" si="5"/>
        <v>0</v>
      </c>
      <c r="R32" s="224"/>
      <c r="S32" s="152">
        <f>'2017 '!T32</f>
        <v>0</v>
      </c>
      <c r="T32" s="121">
        <f>+'2018'!T32</f>
        <v>0</v>
      </c>
      <c r="U32" s="152">
        <f t="shared" si="6"/>
        <v>0</v>
      </c>
      <c r="V32" s="148">
        <f t="shared" si="7"/>
        <v>0</v>
      </c>
      <c r="X32" s="152">
        <f>'2017 '!Y32</f>
        <v>0</v>
      </c>
      <c r="Y32" s="152">
        <f>+'2018'!Y32</f>
        <v>0</v>
      </c>
      <c r="Z32" s="152">
        <f t="shared" si="8"/>
        <v>0</v>
      </c>
      <c r="AA32" s="148">
        <f t="shared" si="9"/>
        <v>0</v>
      </c>
      <c r="AC32" s="121">
        <f>'2020'!P32</f>
        <v>0</v>
      </c>
      <c r="AD32" s="152">
        <f>+'2018'!AD32</f>
        <v>0</v>
      </c>
      <c r="AE32" s="152">
        <f t="shared" si="10"/>
        <v>0</v>
      </c>
      <c r="AF32" s="148">
        <f t="shared" si="11"/>
        <v>0</v>
      </c>
    </row>
    <row r="33" spans="1:32" x14ac:dyDescent="0.25">
      <c r="A33" s="212" t="s">
        <v>29</v>
      </c>
      <c r="B33" s="129" t="s">
        <v>33</v>
      </c>
      <c r="C33" s="129" t="s">
        <v>18</v>
      </c>
      <c r="D33" s="149">
        <f>'2015'!O34</f>
        <v>0</v>
      </c>
      <c r="E33" s="149">
        <f>'2016'!O39</f>
        <v>1640.776661403509</v>
      </c>
      <c r="F33" s="149">
        <f t="shared" si="0"/>
        <v>1640.776661403509</v>
      </c>
      <c r="G33" s="146">
        <f t="shared" si="2"/>
        <v>0</v>
      </c>
      <c r="H33" s="113"/>
      <c r="I33" s="149">
        <f>'2016 status'!O34</f>
        <v>2922.4292175438604</v>
      </c>
      <c r="J33" s="149">
        <f>'2017 '!P33</f>
        <v>5014.7145614035089</v>
      </c>
      <c r="K33" s="149">
        <f t="shared" si="1"/>
        <v>2092.2853438596485</v>
      </c>
      <c r="L33" s="146">
        <f t="shared" si="3"/>
        <v>0.71594046873720285</v>
      </c>
      <c r="N33" s="149">
        <f>'2017 '!O33</f>
        <v>352.77745614035086</v>
      </c>
      <c r="O33" s="121">
        <f>+'2018'!O33</f>
        <v>0</v>
      </c>
      <c r="P33" s="149">
        <f t="shared" si="4"/>
        <v>-352.77745614035086</v>
      </c>
      <c r="Q33" s="146">
        <f t="shared" si="5"/>
        <v>-1</v>
      </c>
      <c r="S33" s="149">
        <f>'2018'!P33</f>
        <v>9015.9307225064367</v>
      </c>
      <c r="T33" s="121">
        <f>'2019'!P33</f>
        <v>561.3478260869565</v>
      </c>
      <c r="U33" s="149">
        <f t="shared" si="6"/>
        <v>-8454.5828964194807</v>
      </c>
      <c r="V33" s="146">
        <f t="shared" si="7"/>
        <v>-0.93773822765899639</v>
      </c>
      <c r="X33" s="149">
        <f>'2019'!P33</f>
        <v>561.3478260869565</v>
      </c>
      <c r="Y33" s="149">
        <f>'2020'!P33</f>
        <v>0</v>
      </c>
      <c r="Z33" s="149">
        <f t="shared" si="8"/>
        <v>-561.3478260869565</v>
      </c>
      <c r="AA33" s="146">
        <f t="shared" si="9"/>
        <v>-1</v>
      </c>
      <c r="AC33" s="121">
        <f>'2020'!P33</f>
        <v>0</v>
      </c>
      <c r="AD33" s="149">
        <f>'2021'!P33</f>
        <v>0</v>
      </c>
      <c r="AE33" s="149">
        <f t="shared" si="10"/>
        <v>0</v>
      </c>
      <c r="AF33" s="146">
        <f t="shared" si="11"/>
        <v>0</v>
      </c>
    </row>
    <row r="34" spans="1:32" x14ac:dyDescent="0.25">
      <c r="A34" s="213"/>
      <c r="B34" s="131"/>
      <c r="C34" s="131" t="s">
        <v>40</v>
      </c>
      <c r="D34" s="150">
        <f>'2015'!O33</f>
        <v>0</v>
      </c>
      <c r="E34" s="150">
        <f>'2016'!O38</f>
        <v>91.154258966861619</v>
      </c>
      <c r="F34" s="150">
        <f t="shared" si="0"/>
        <v>91.154258966861619</v>
      </c>
      <c r="G34" s="147">
        <f t="shared" si="2"/>
        <v>0</v>
      </c>
      <c r="H34" s="113"/>
      <c r="I34" s="150">
        <f>'2016 status'!O33</f>
        <v>121.76788406432752</v>
      </c>
      <c r="J34" s="150">
        <f>'2017 '!P34</f>
        <v>77.149454790823214</v>
      </c>
      <c r="K34" s="150">
        <f t="shared" si="1"/>
        <v>-44.618429273504304</v>
      </c>
      <c r="L34" s="147">
        <f t="shared" si="3"/>
        <v>-0.36642198077395588</v>
      </c>
      <c r="N34" s="150">
        <f>'2017 '!O34</f>
        <v>70.555491228070167</v>
      </c>
      <c r="O34" s="121">
        <f>+'2018'!O34</f>
        <v>0</v>
      </c>
      <c r="P34" s="150">
        <f t="shared" si="4"/>
        <v>-70.555491228070167</v>
      </c>
      <c r="Q34" s="147">
        <f t="shared" si="5"/>
        <v>-1</v>
      </c>
      <c r="S34" s="149">
        <f>'2018'!P34</f>
        <v>62.178832569009906</v>
      </c>
      <c r="T34" s="121">
        <f>'2019'!P34</f>
        <v>112.2695652173913</v>
      </c>
      <c r="U34" s="150">
        <f t="shared" si="6"/>
        <v>50.090732648381397</v>
      </c>
      <c r="V34" s="147">
        <f t="shared" si="7"/>
        <v>0.80559139788910661</v>
      </c>
      <c r="X34" s="150">
        <f>'2019'!P34</f>
        <v>112.2695652173913</v>
      </c>
      <c r="Y34" s="150">
        <f>'2020'!P34</f>
        <v>0</v>
      </c>
      <c r="Z34" s="150">
        <f t="shared" si="8"/>
        <v>-112.2695652173913</v>
      </c>
      <c r="AA34" s="147">
        <f t="shared" si="9"/>
        <v>-1</v>
      </c>
      <c r="AC34" s="121">
        <f>'2020'!P34</f>
        <v>0</v>
      </c>
      <c r="AD34" s="149">
        <f>'2021'!P34</f>
        <v>0</v>
      </c>
      <c r="AE34" s="150">
        <f t="shared" si="10"/>
        <v>0</v>
      </c>
      <c r="AF34" s="147">
        <f t="shared" si="11"/>
        <v>0</v>
      </c>
    </row>
    <row r="35" spans="1:32" x14ac:dyDescent="0.25">
      <c r="A35" s="213"/>
      <c r="B35" s="131"/>
      <c r="C35" s="131" t="s">
        <v>41</v>
      </c>
      <c r="D35" s="150">
        <f>'2015'!O36</f>
        <v>0</v>
      </c>
      <c r="E35" s="150">
        <f>'2016'!O41</f>
        <v>48.258137100103205</v>
      </c>
      <c r="F35" s="150">
        <f t="shared" si="0"/>
        <v>48.258137100103205</v>
      </c>
      <c r="G35" s="147">
        <f t="shared" si="2"/>
        <v>0</v>
      </c>
      <c r="H35" s="113"/>
      <c r="I35" s="150">
        <f>'2016 status'!O36</f>
        <v>60.883942032163759</v>
      </c>
      <c r="J35" s="150">
        <f>'2017 '!P35</f>
        <v>52.786469067405356</v>
      </c>
      <c r="K35" s="150">
        <f t="shared" si="1"/>
        <v>-8.0974729647584027</v>
      </c>
      <c r="L35" s="147">
        <f t="shared" si="3"/>
        <v>-0.13299850000646593</v>
      </c>
      <c r="N35" s="150">
        <f>'2017 '!O35</f>
        <v>35.277745614035084</v>
      </c>
      <c r="O35" s="121">
        <f>+'2018'!O35</f>
        <v>0</v>
      </c>
      <c r="P35" s="150">
        <f t="shared" si="4"/>
        <v>-35.277745614035084</v>
      </c>
      <c r="Q35" s="147">
        <f t="shared" si="5"/>
        <v>-1</v>
      </c>
      <c r="S35" s="149">
        <f>'2018'!P35</f>
        <v>40.249690725475162</v>
      </c>
      <c r="T35" s="121">
        <f>'2019'!P35</f>
        <v>56.134782608695652</v>
      </c>
      <c r="U35" s="150">
        <f t="shared" si="6"/>
        <v>15.88509188322049</v>
      </c>
      <c r="V35" s="147">
        <f t="shared" si="7"/>
        <v>0.39466370043848231</v>
      </c>
      <c r="X35" s="150">
        <f>'2019'!P35</f>
        <v>56.134782608695652</v>
      </c>
      <c r="Y35" s="150">
        <f>'2020'!P35</f>
        <v>0</v>
      </c>
      <c r="Z35" s="150">
        <f t="shared" si="8"/>
        <v>-56.134782608695652</v>
      </c>
      <c r="AA35" s="147">
        <f t="shared" si="9"/>
        <v>-1</v>
      </c>
      <c r="AC35" s="121">
        <f>'2020'!P35</f>
        <v>0</v>
      </c>
      <c r="AD35" s="149">
        <f>'2021'!P35</f>
        <v>0</v>
      </c>
      <c r="AE35" s="150">
        <f t="shared" si="10"/>
        <v>0</v>
      </c>
      <c r="AF35" s="147">
        <f t="shared" si="11"/>
        <v>0</v>
      </c>
    </row>
    <row r="36" spans="1:32" x14ac:dyDescent="0.25">
      <c r="A36" s="213"/>
      <c r="B36" s="129" t="s">
        <v>42</v>
      </c>
      <c r="C36" s="129" t="s">
        <v>43</v>
      </c>
      <c r="D36" s="151">
        <f>'2015'!O32</f>
        <v>0</v>
      </c>
      <c r="E36" s="151">
        <f>'2016'!O37</f>
        <v>18</v>
      </c>
      <c r="F36" s="151">
        <f t="shared" si="0"/>
        <v>18</v>
      </c>
      <c r="G36" s="146">
        <f t="shared" si="2"/>
        <v>0</v>
      </c>
      <c r="H36" s="113"/>
      <c r="I36" s="151">
        <f>'2016 status'!O32</f>
        <v>24</v>
      </c>
      <c r="J36" s="151">
        <f>'2017 '!P36</f>
        <v>65</v>
      </c>
      <c r="K36" s="151">
        <f t="shared" si="1"/>
        <v>41</v>
      </c>
      <c r="L36" s="146">
        <f t="shared" si="3"/>
        <v>1.7083333333333333</v>
      </c>
      <c r="N36" s="151">
        <f>'2017 '!O36</f>
        <v>5</v>
      </c>
      <c r="O36" s="121">
        <f>+'2018'!O36</f>
        <v>0</v>
      </c>
      <c r="P36" s="151">
        <f t="shared" si="4"/>
        <v>-5</v>
      </c>
      <c r="Q36" s="146">
        <f t="shared" si="5"/>
        <v>-1</v>
      </c>
      <c r="S36" s="149">
        <f>'2018'!P36</f>
        <v>145</v>
      </c>
      <c r="T36" s="121">
        <f>'2019'!P36</f>
        <v>5</v>
      </c>
      <c r="U36" s="151">
        <f t="shared" si="6"/>
        <v>-140</v>
      </c>
      <c r="V36" s="146">
        <f t="shared" si="7"/>
        <v>-0.96551724137931039</v>
      </c>
      <c r="X36" s="151">
        <f>'2019'!P36</f>
        <v>5</v>
      </c>
      <c r="Y36" s="151">
        <f>'2020'!P36</f>
        <v>0</v>
      </c>
      <c r="Z36" s="151">
        <f t="shared" si="8"/>
        <v>-5</v>
      </c>
      <c r="AA36" s="146">
        <f t="shared" si="9"/>
        <v>-1</v>
      </c>
      <c r="AC36" s="121">
        <f>'2020'!P36</f>
        <v>0</v>
      </c>
      <c r="AD36" s="149">
        <f>'2021'!P36</f>
        <v>0</v>
      </c>
      <c r="AE36" s="151">
        <f t="shared" si="10"/>
        <v>0</v>
      </c>
      <c r="AF36" s="146">
        <f t="shared" si="11"/>
        <v>0</v>
      </c>
    </row>
    <row r="37" spans="1:32" x14ac:dyDescent="0.25">
      <c r="A37" s="215"/>
      <c r="B37" s="135"/>
      <c r="C37" s="135" t="s">
        <v>44</v>
      </c>
      <c r="D37" s="152">
        <f>'2015'!O35</f>
        <v>0</v>
      </c>
      <c r="E37" s="152">
        <f>'2016'!O40</f>
        <v>34</v>
      </c>
      <c r="F37" s="152">
        <f t="shared" si="0"/>
        <v>34</v>
      </c>
      <c r="G37" s="148">
        <f t="shared" si="2"/>
        <v>0</v>
      </c>
      <c r="H37" s="113"/>
      <c r="I37" s="152">
        <f>'2016 status'!O35</f>
        <v>48</v>
      </c>
      <c r="J37" s="152">
        <f>'2017 '!P37</f>
        <v>95</v>
      </c>
      <c r="K37" s="152">
        <f t="shared" si="1"/>
        <v>47</v>
      </c>
      <c r="L37" s="148">
        <f t="shared" si="3"/>
        <v>0.97916666666666663</v>
      </c>
      <c r="N37" s="152">
        <f>'2017 '!O37</f>
        <v>10</v>
      </c>
      <c r="O37" s="121">
        <f>+'2018'!O37</f>
        <v>0</v>
      </c>
      <c r="P37" s="152">
        <f t="shared" si="4"/>
        <v>-10</v>
      </c>
      <c r="Q37" s="148">
        <f t="shared" si="5"/>
        <v>-1</v>
      </c>
      <c r="S37" s="149">
        <f>'2018'!P37</f>
        <v>224</v>
      </c>
      <c r="T37" s="121">
        <f>'2019'!P37</f>
        <v>10</v>
      </c>
      <c r="U37" s="152">
        <f t="shared" si="6"/>
        <v>-214</v>
      </c>
      <c r="V37" s="148">
        <f t="shared" si="7"/>
        <v>-0.9553571428571429</v>
      </c>
      <c r="X37" s="152">
        <f>'2019'!P37</f>
        <v>10</v>
      </c>
      <c r="Y37" s="152">
        <f>'2020'!P37</f>
        <v>0</v>
      </c>
      <c r="Z37" s="152">
        <f t="shared" si="8"/>
        <v>-10</v>
      </c>
      <c r="AA37" s="148">
        <f t="shared" si="9"/>
        <v>-1</v>
      </c>
      <c r="AC37" s="121">
        <f>'2020'!P37</f>
        <v>0</v>
      </c>
      <c r="AD37" s="149">
        <f>'2021'!P37</f>
        <v>0</v>
      </c>
      <c r="AE37" s="152">
        <f t="shared" si="10"/>
        <v>0</v>
      </c>
      <c r="AF37" s="148">
        <f t="shared" si="11"/>
        <v>0</v>
      </c>
    </row>
    <row r="38" spans="1:32" x14ac:dyDescent="0.25">
      <c r="A38" s="212" t="s">
        <v>32</v>
      </c>
      <c r="B38" s="129" t="s">
        <v>33</v>
      </c>
      <c r="C38" s="129" t="s">
        <v>18</v>
      </c>
      <c r="D38" s="149">
        <f>'2015'!O39</f>
        <v>0</v>
      </c>
      <c r="E38" s="149">
        <f>'2016'!O44</f>
        <v>0</v>
      </c>
      <c r="F38" s="149">
        <f t="shared" si="0"/>
        <v>0</v>
      </c>
      <c r="G38" s="146">
        <f t="shared" si="2"/>
        <v>0</v>
      </c>
      <c r="H38" s="113"/>
      <c r="I38" s="149">
        <f>'2016 status'!O39</f>
        <v>520.31537719298251</v>
      </c>
      <c r="J38" s="149">
        <f>'2017 '!P38</f>
        <v>4390.1107894736833</v>
      </c>
      <c r="K38" s="149">
        <f t="shared" si="1"/>
        <v>3869.7954122807009</v>
      </c>
      <c r="L38" s="146">
        <f t="shared" si="3"/>
        <v>7.4374035093054962</v>
      </c>
      <c r="N38" s="149">
        <f>'2017 '!O38</f>
        <v>0</v>
      </c>
      <c r="O38" s="121">
        <f>+'2018'!O38</f>
        <v>0</v>
      </c>
      <c r="P38" s="149">
        <f t="shared" si="4"/>
        <v>0</v>
      </c>
      <c r="Q38" s="146">
        <f t="shared" si="5"/>
        <v>0</v>
      </c>
      <c r="S38" s="149">
        <f>'2018'!P38</f>
        <v>5538.0384354080616</v>
      </c>
      <c r="T38" s="121">
        <f>'2019'!P38</f>
        <v>439.57142857142856</v>
      </c>
      <c r="U38" s="149">
        <f t="shared" si="6"/>
        <v>-5098.4670068366331</v>
      </c>
      <c r="V38" s="146">
        <f t="shared" si="7"/>
        <v>-0.9206268729084689</v>
      </c>
      <c r="X38" s="149">
        <f>'2019'!P38</f>
        <v>439.57142857142856</v>
      </c>
      <c r="Y38" s="149">
        <f>'2020'!P38</f>
        <v>0</v>
      </c>
      <c r="Z38" s="149">
        <f t="shared" si="8"/>
        <v>-439.57142857142856</v>
      </c>
      <c r="AA38" s="146">
        <f t="shared" si="9"/>
        <v>-1</v>
      </c>
      <c r="AC38" s="121">
        <f>'2020'!P38</f>
        <v>0</v>
      </c>
      <c r="AD38" s="149">
        <f>'2021'!P38</f>
        <v>0</v>
      </c>
      <c r="AE38" s="149">
        <f t="shared" si="10"/>
        <v>0</v>
      </c>
      <c r="AF38" s="146">
        <f t="shared" si="11"/>
        <v>0</v>
      </c>
    </row>
    <row r="39" spans="1:32" x14ac:dyDescent="0.25">
      <c r="A39" s="213"/>
      <c r="B39" s="131"/>
      <c r="C39" s="131" t="s">
        <v>40</v>
      </c>
      <c r="D39" s="150">
        <f>'2015'!O38</f>
        <v>0</v>
      </c>
      <c r="E39" s="150">
        <f>'2016'!O43</f>
        <v>0</v>
      </c>
      <c r="F39" s="150">
        <f t="shared" si="0"/>
        <v>0</v>
      </c>
      <c r="G39" s="147">
        <f t="shared" si="2"/>
        <v>0</v>
      </c>
      <c r="H39" s="113"/>
      <c r="I39" s="150">
        <f>'2016 status'!O38</f>
        <v>104.0630754385965</v>
      </c>
      <c r="J39" s="150">
        <f>'2017 '!P39</f>
        <v>129.12090557275539</v>
      </c>
      <c r="K39" s="150">
        <f t="shared" si="1"/>
        <v>25.057830134158891</v>
      </c>
      <c r="L39" s="147">
        <f t="shared" si="3"/>
        <v>0.24079463372139645</v>
      </c>
      <c r="N39" s="150">
        <f>'2017 '!O39</f>
        <v>0</v>
      </c>
      <c r="O39" s="121">
        <f>+'2018'!O39</f>
        <v>0</v>
      </c>
      <c r="P39" s="150">
        <f t="shared" si="4"/>
        <v>0</v>
      </c>
      <c r="Q39" s="147">
        <f t="shared" si="5"/>
        <v>0</v>
      </c>
      <c r="S39" s="149">
        <f>'2018'!P39</f>
        <v>167.81934652751701</v>
      </c>
      <c r="T39" s="121">
        <f>'2019'!P39</f>
        <v>146.52380952380952</v>
      </c>
      <c r="U39" s="150">
        <f t="shared" si="6"/>
        <v>-21.295537003707494</v>
      </c>
      <c r="V39" s="147">
        <f t="shared" si="7"/>
        <v>-0.126895601993157</v>
      </c>
      <c r="X39" s="150">
        <f>'2019'!P39</f>
        <v>146.52380952380952</v>
      </c>
      <c r="Y39" s="150">
        <f>'2020'!P39</f>
        <v>0</v>
      </c>
      <c r="Z39" s="150">
        <f t="shared" si="8"/>
        <v>-146.52380952380952</v>
      </c>
      <c r="AA39" s="147">
        <f t="shared" si="9"/>
        <v>-1</v>
      </c>
      <c r="AC39" s="121">
        <f>'2020'!P39</f>
        <v>0</v>
      </c>
      <c r="AD39" s="149">
        <f>'2021'!P39</f>
        <v>0</v>
      </c>
      <c r="AE39" s="150">
        <f t="shared" si="10"/>
        <v>0</v>
      </c>
      <c r="AF39" s="147">
        <f t="shared" si="11"/>
        <v>0</v>
      </c>
    </row>
    <row r="40" spans="1:32" x14ac:dyDescent="0.25">
      <c r="A40" s="213"/>
      <c r="B40" s="131"/>
      <c r="C40" s="131" t="s">
        <v>41</v>
      </c>
      <c r="D40" s="150">
        <f>'2015'!O41</f>
        <v>0</v>
      </c>
      <c r="E40" s="150">
        <f>'2016'!O46</f>
        <v>0</v>
      </c>
      <c r="F40" s="150">
        <f t="shared" si="0"/>
        <v>0</v>
      </c>
      <c r="G40" s="147">
        <f t="shared" si="2"/>
        <v>0</v>
      </c>
      <c r="H40" s="113"/>
      <c r="I40" s="150">
        <f>'2016 status'!O41</f>
        <v>47.30139792663477</v>
      </c>
      <c r="J40" s="150">
        <f>'2017 '!P40</f>
        <v>82.832279046673264</v>
      </c>
      <c r="K40" s="150">
        <f t="shared" si="1"/>
        <v>35.530881120038494</v>
      </c>
      <c r="L40" s="147">
        <f t="shared" si="3"/>
        <v>0.7511592189124614</v>
      </c>
      <c r="N40" s="150">
        <f>'2017 '!O40</f>
        <v>0</v>
      </c>
      <c r="O40" s="121">
        <f>+'2018'!O40</f>
        <v>0</v>
      </c>
      <c r="P40" s="150">
        <f t="shared" si="4"/>
        <v>0</v>
      </c>
      <c r="Q40" s="147">
        <f t="shared" si="5"/>
        <v>0</v>
      </c>
      <c r="S40" s="149">
        <f>'2018'!P40</f>
        <v>97.158569042246697</v>
      </c>
      <c r="T40" s="121">
        <f>'2019'!P40</f>
        <v>54.946428571428569</v>
      </c>
      <c r="U40" s="150">
        <f t="shared" si="6"/>
        <v>-42.212140470818127</v>
      </c>
      <c r="V40" s="147">
        <f t="shared" si="7"/>
        <v>-0.43446646947284034</v>
      </c>
      <c r="X40" s="150">
        <f>'2019'!P40</f>
        <v>54.946428571428569</v>
      </c>
      <c r="Y40" s="150">
        <f>'2020'!P40</f>
        <v>0</v>
      </c>
      <c r="Z40" s="150">
        <f t="shared" si="8"/>
        <v>-54.946428571428569</v>
      </c>
      <c r="AA40" s="147">
        <f t="shared" si="9"/>
        <v>-1</v>
      </c>
      <c r="AC40" s="121">
        <f>'2020'!P40</f>
        <v>0</v>
      </c>
      <c r="AD40" s="149">
        <f>'2021'!P40</f>
        <v>0</v>
      </c>
      <c r="AE40" s="150">
        <f t="shared" si="10"/>
        <v>0</v>
      </c>
      <c r="AF40" s="147">
        <f t="shared" si="11"/>
        <v>0</v>
      </c>
    </row>
    <row r="41" spans="1:32" x14ac:dyDescent="0.25">
      <c r="A41" s="213"/>
      <c r="B41" s="129" t="s">
        <v>42</v>
      </c>
      <c r="C41" s="129" t="s">
        <v>43</v>
      </c>
      <c r="D41" s="151">
        <f>'2015'!O37</f>
        <v>0</v>
      </c>
      <c r="E41" s="151">
        <f>'2016'!O42</f>
        <v>0</v>
      </c>
      <c r="F41" s="151">
        <f t="shared" si="0"/>
        <v>0</v>
      </c>
      <c r="G41" s="146">
        <f t="shared" si="2"/>
        <v>0</v>
      </c>
      <c r="H41" s="113"/>
      <c r="I41" s="151">
        <f>'2016 status'!O37</f>
        <v>5</v>
      </c>
      <c r="J41" s="151">
        <f>'2017 '!P41</f>
        <v>34</v>
      </c>
      <c r="K41" s="151">
        <f t="shared" si="1"/>
        <v>29</v>
      </c>
      <c r="L41" s="146">
        <f t="shared" si="3"/>
        <v>5.8</v>
      </c>
      <c r="N41" s="151">
        <f>'2017 '!O41</f>
        <v>0</v>
      </c>
      <c r="O41" s="121">
        <f>+'2018'!O41</f>
        <v>0</v>
      </c>
      <c r="P41" s="151">
        <f t="shared" si="4"/>
        <v>0</v>
      </c>
      <c r="Q41" s="146">
        <f t="shared" si="5"/>
        <v>0</v>
      </c>
      <c r="S41" s="149">
        <f>'2018'!P41</f>
        <v>33</v>
      </c>
      <c r="T41" s="121">
        <f>'2019'!P41</f>
        <v>3</v>
      </c>
      <c r="U41" s="151">
        <f t="shared" si="6"/>
        <v>-30</v>
      </c>
      <c r="V41" s="146">
        <f t="shared" si="7"/>
        <v>-0.90909090909090906</v>
      </c>
      <c r="X41" s="151">
        <f>'2019'!P41</f>
        <v>3</v>
      </c>
      <c r="Y41" s="151">
        <f>'2020'!P41</f>
        <v>0</v>
      </c>
      <c r="Z41" s="151">
        <f t="shared" si="8"/>
        <v>-3</v>
      </c>
      <c r="AA41" s="146">
        <f t="shared" si="9"/>
        <v>-1</v>
      </c>
      <c r="AC41" s="121">
        <f>'2020'!P41</f>
        <v>0</v>
      </c>
      <c r="AD41" s="149">
        <f>'2021'!P41</f>
        <v>0</v>
      </c>
      <c r="AE41" s="151">
        <f t="shared" si="10"/>
        <v>0</v>
      </c>
      <c r="AF41" s="146">
        <f t="shared" si="11"/>
        <v>0</v>
      </c>
    </row>
    <row r="42" spans="1:32" x14ac:dyDescent="0.25">
      <c r="A42" s="214"/>
      <c r="B42" s="135"/>
      <c r="C42" s="135" t="s">
        <v>44</v>
      </c>
      <c r="D42" s="152">
        <f>'2015'!O40</f>
        <v>0</v>
      </c>
      <c r="E42" s="152">
        <f>'2016'!O45</f>
        <v>0</v>
      </c>
      <c r="F42" s="152">
        <f t="shared" si="0"/>
        <v>0</v>
      </c>
      <c r="G42" s="148">
        <f t="shared" si="2"/>
        <v>0</v>
      </c>
      <c r="H42" s="113"/>
      <c r="I42" s="152">
        <f>'2016 status'!O40</f>
        <v>11</v>
      </c>
      <c r="J42" s="152">
        <f>'2017 '!P42</f>
        <v>53</v>
      </c>
      <c r="K42" s="152">
        <f t="shared" si="1"/>
        <v>42</v>
      </c>
      <c r="L42" s="148">
        <f t="shared" si="3"/>
        <v>3.8181818181818183</v>
      </c>
      <c r="N42" s="152">
        <f>'2017 '!O42</f>
        <v>0</v>
      </c>
      <c r="O42" s="121">
        <f>+'2018'!O42</f>
        <v>0</v>
      </c>
      <c r="P42" s="152">
        <f t="shared" si="4"/>
        <v>0</v>
      </c>
      <c r="Q42" s="148">
        <f t="shared" si="5"/>
        <v>0</v>
      </c>
      <c r="S42" s="149">
        <f>'2018'!P42</f>
        <v>57</v>
      </c>
      <c r="T42" s="121">
        <f>'2019'!P42</f>
        <v>8</v>
      </c>
      <c r="U42" s="152">
        <f t="shared" si="6"/>
        <v>-49</v>
      </c>
      <c r="V42" s="148">
        <f t="shared" si="7"/>
        <v>-0.85964912280701755</v>
      </c>
      <c r="X42" s="152">
        <f>'2019'!P42</f>
        <v>8</v>
      </c>
      <c r="Y42" s="152">
        <f>'2020'!P42</f>
        <v>0</v>
      </c>
      <c r="Z42" s="152">
        <f t="shared" si="8"/>
        <v>-8</v>
      </c>
      <c r="AA42" s="148">
        <f t="shared" si="9"/>
        <v>-1</v>
      </c>
      <c r="AC42" s="121">
        <f>'2020'!P42</f>
        <v>0</v>
      </c>
      <c r="AD42" s="149">
        <f>'2021'!P42</f>
        <v>0</v>
      </c>
      <c r="AE42" s="152">
        <f t="shared" si="10"/>
        <v>0</v>
      </c>
      <c r="AF42" s="148">
        <f t="shared" si="11"/>
        <v>0</v>
      </c>
    </row>
  </sheetData>
  <autoFilter ref="A2:C42"/>
  <mergeCells count="22">
    <mergeCell ref="R1:R2"/>
    <mergeCell ref="A23:A27"/>
    <mergeCell ref="A28:A32"/>
    <mergeCell ref="A3:A7"/>
    <mergeCell ref="R28:R32"/>
    <mergeCell ref="N1:Q1"/>
    <mergeCell ref="P2:Q2"/>
    <mergeCell ref="F2:G2"/>
    <mergeCell ref="K2:L2"/>
    <mergeCell ref="I1:L1"/>
    <mergeCell ref="D1:G1"/>
    <mergeCell ref="A38:A42"/>
    <mergeCell ref="A33:A37"/>
    <mergeCell ref="A8:A12"/>
    <mergeCell ref="A13:A17"/>
    <mergeCell ref="A18:A22"/>
    <mergeCell ref="S1:V1"/>
    <mergeCell ref="U2:V2"/>
    <mergeCell ref="X1:AA1"/>
    <mergeCell ref="Z2:AA2"/>
    <mergeCell ref="AC1:AF1"/>
    <mergeCell ref="AE2:AF2"/>
  </mergeCells>
  <conditionalFormatting sqref="A3 A8 A13 A18 A23 A28 A33 A38 A43:C1048576 R1 R33:R1048576 R3:R28 W1:W1048576 AB1:AB1048576 AG1:XFD1048576">
    <cfRule type="cellIs" dxfId="25" priority="90" operator="equal">
      <formula>0</formula>
    </cfRule>
  </conditionalFormatting>
  <conditionalFormatting sqref="B3:C7">
    <cfRule type="cellIs" dxfId="24" priority="71" operator="equal">
      <formula>0</formula>
    </cfRule>
  </conditionalFormatting>
  <conditionalFormatting sqref="B8:C12">
    <cfRule type="cellIs" dxfId="23" priority="70" operator="equal">
      <formula>0</formula>
    </cfRule>
  </conditionalFormatting>
  <conditionalFormatting sqref="B13:C42">
    <cfRule type="cellIs" dxfId="22" priority="59" operator="equal">
      <formula>0</formula>
    </cfRule>
  </conditionalFormatting>
  <conditionalFormatting sqref="D1:M2 D3:Q1048576">
    <cfRule type="cellIs" dxfId="21" priority="23" operator="lessThan">
      <formula>0</formula>
    </cfRule>
  </conditionalFormatting>
  <conditionalFormatting sqref="D1:M2 D3:Q1048576">
    <cfRule type="cellIs" dxfId="20" priority="22" operator="equal">
      <formula>0</formula>
    </cfRule>
  </conditionalFormatting>
  <conditionalFormatting sqref="N3:Q1048576">
    <cfRule type="cellIs" dxfId="19" priority="21" operator="greaterThan">
      <formula>"="</formula>
    </cfRule>
  </conditionalFormatting>
  <conditionalFormatting sqref="N3:Q42">
    <cfRule type="cellIs" dxfId="18" priority="20" operator="greaterThan">
      <formula>0</formula>
    </cfRule>
  </conditionalFormatting>
  <conditionalFormatting sqref="S3:V1048576">
    <cfRule type="cellIs" dxfId="17" priority="19" operator="lessThan">
      <formula>0</formula>
    </cfRule>
  </conditionalFormatting>
  <conditionalFormatting sqref="S3:V1048576">
    <cfRule type="cellIs" dxfId="16" priority="18" operator="equal">
      <formula>0</formula>
    </cfRule>
  </conditionalFormatting>
  <conditionalFormatting sqref="S3:V1048576">
    <cfRule type="cellIs" dxfId="15" priority="17" operator="greaterThan">
      <formula>"="</formula>
    </cfRule>
  </conditionalFormatting>
  <conditionalFormatting sqref="S3:V42">
    <cfRule type="cellIs" dxfId="14" priority="16" operator="greaterThan">
      <formula>0</formula>
    </cfRule>
  </conditionalFormatting>
  <conditionalFormatting sqref="X43:AA1048576">
    <cfRule type="cellIs" dxfId="13" priority="15" operator="lessThan">
      <formula>0</formula>
    </cfRule>
  </conditionalFormatting>
  <conditionalFormatting sqref="X43:AA1048576">
    <cfRule type="cellIs" dxfId="12" priority="14" operator="equal">
      <formula>0</formula>
    </cfRule>
  </conditionalFormatting>
  <conditionalFormatting sqref="X43:AA1048576">
    <cfRule type="cellIs" dxfId="11" priority="13" operator="greaterThan">
      <formula>"="</formula>
    </cfRule>
  </conditionalFormatting>
  <conditionalFormatting sqref="X3:AA7">
    <cfRule type="cellIs" dxfId="10" priority="11" operator="lessThan">
      <formula>0</formula>
    </cfRule>
  </conditionalFormatting>
  <conditionalFormatting sqref="X3:AA7">
    <cfRule type="cellIs" dxfId="9" priority="10" operator="equal">
      <formula>0</formula>
    </cfRule>
  </conditionalFormatting>
  <conditionalFormatting sqref="X8:AA42">
    <cfRule type="cellIs" dxfId="8" priority="9" operator="lessThan">
      <formula>0</formula>
    </cfRule>
  </conditionalFormatting>
  <conditionalFormatting sqref="X8:AA42">
    <cfRule type="cellIs" dxfId="7" priority="8" operator="equal">
      <formula>0</formula>
    </cfRule>
  </conditionalFormatting>
  <conditionalFormatting sqref="AC43:AF1048576">
    <cfRule type="cellIs" dxfId="6" priority="7" operator="lessThan">
      <formula>0</formula>
    </cfRule>
  </conditionalFormatting>
  <conditionalFormatting sqref="AC43:AF1048576">
    <cfRule type="cellIs" dxfId="5" priority="6" operator="equal">
      <formula>0</formula>
    </cfRule>
  </conditionalFormatting>
  <conditionalFormatting sqref="AC43:AF1048576">
    <cfRule type="cellIs" dxfId="4" priority="5" operator="greaterThan">
      <formula>"="</formula>
    </cfRule>
  </conditionalFormatting>
  <conditionalFormatting sqref="AC3:AF3 AE4:AF7 AC4:AC42 AD4:AD27">
    <cfRule type="cellIs" dxfId="3" priority="4" operator="lessThan">
      <formula>0</formula>
    </cfRule>
  </conditionalFormatting>
  <conditionalFormatting sqref="AC3:AF3 AE4:AF7 AC4:AC42 AD4:AD27">
    <cfRule type="cellIs" dxfId="2" priority="3" operator="equal">
      <formula>0</formula>
    </cfRule>
  </conditionalFormatting>
  <conditionalFormatting sqref="AE8:AF27 AD28:AF42">
    <cfRule type="cellIs" dxfId="1" priority="2" operator="lessThan">
      <formula>0</formula>
    </cfRule>
  </conditionalFormatting>
  <conditionalFormatting sqref="AE8:AF27 AD28:AF4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</vt:lpstr>
      <vt:lpstr>2016</vt:lpstr>
      <vt:lpstr>2016 status</vt:lpstr>
      <vt:lpstr>2017 </vt:lpstr>
      <vt:lpstr>2018</vt:lpstr>
      <vt:lpstr>2019</vt:lpstr>
      <vt:lpstr>2020</vt:lpstr>
      <vt:lpstr>2021</vt:lpstr>
      <vt:lpstr>developments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FINANCIAL CONTROLLER</cp:lastModifiedBy>
  <dcterms:created xsi:type="dcterms:W3CDTF">2017-09-28T07:03:40Z</dcterms:created>
  <dcterms:modified xsi:type="dcterms:W3CDTF">2023-02-06T09:06:55Z</dcterms:modified>
</cp:coreProperties>
</file>