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SI\Excel\"/>
    </mc:Choice>
  </mc:AlternateContent>
  <xr:revisionPtr revIDLastSave="0" documentId="13_ncr:1_{F086E634-DED5-4AAD-AFC3-0B6D2A423969}" xr6:coauthVersionLast="47" xr6:coauthVersionMax="47" xr10:uidLastSave="{00000000-0000-0000-0000-000000000000}"/>
  <bookViews>
    <workbookView xWindow="-108" yWindow="-108" windowWidth="23256" windowHeight="12456" firstSheet="7" activeTab="10" xr2:uid="{522F71E6-524C-417B-AE91-F69122975187}"/>
  </bookViews>
  <sheets>
    <sheet name="Textdateitypen" sheetId="1" r:id="rId1"/>
    <sheet name="Datumswert" sheetId="2" r:id="rId2"/>
    <sheet name="Tabellen" sheetId="4" r:id="rId3"/>
    <sheet name="Komplexe Funktionen" sheetId="6" r:id="rId4"/>
    <sheet name="Wahrheitstests" sheetId="7" r:id="rId5"/>
    <sheet name="Verschachtelte Funktionen" sheetId="8" r:id="rId6"/>
    <sheet name="Sverweis - Slookup" sheetId="9" r:id="rId7"/>
    <sheet name="Xverweis mit Tabelle" sheetId="12" r:id="rId8"/>
    <sheet name="Xverweis - Xlookup" sheetId="10" r:id="rId9"/>
    <sheet name="Lookup Tabellen" sheetId="11" r:id="rId10"/>
    <sheet name="Array - SummenProdukt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3" l="1"/>
  <c r="L4" i="13" a="1"/>
  <c r="L4" i="13"/>
  <c r="G3" i="10"/>
  <c r="G4" i="10"/>
  <c r="G5" i="10"/>
  <c r="G6" i="10"/>
  <c r="G7" i="10"/>
  <c r="G8" i="10"/>
  <c r="G9" i="10"/>
  <c r="G10" i="10"/>
  <c r="G11" i="10"/>
  <c r="G12" i="10"/>
  <c r="G13" i="10"/>
  <c r="F3" i="10"/>
  <c r="F4" i="10"/>
  <c r="F5" i="10"/>
  <c r="F6" i="10"/>
  <c r="F7" i="10"/>
  <c r="F8" i="10"/>
  <c r="F9" i="10"/>
  <c r="F10" i="10"/>
  <c r="F11" i="10"/>
  <c r="F12" i="10"/>
  <c r="F13" i="10"/>
  <c r="E3" i="10"/>
  <c r="E4" i="10"/>
  <c r="E5" i="10"/>
  <c r="E6" i="10"/>
  <c r="E7" i="10"/>
  <c r="E8" i="10"/>
  <c r="E9" i="10"/>
  <c r="E10" i="10"/>
  <c r="E11" i="10"/>
  <c r="E12" i="10"/>
  <c r="E13" i="10"/>
  <c r="D3" i="10"/>
  <c r="D4" i="10"/>
  <c r="D5" i="10"/>
  <c r="D6" i="10"/>
  <c r="D7" i="10"/>
  <c r="D8" i="10"/>
  <c r="D9" i="10"/>
  <c r="D10" i="10"/>
  <c r="D11" i="10"/>
  <c r="D12" i="10"/>
  <c r="D13" i="10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M18" i="12"/>
  <c r="M11" i="12"/>
  <c r="M10" i="12"/>
  <c r="M6" i="12"/>
  <c r="M5" i="12"/>
  <c r="M4" i="12"/>
  <c r="M3" i="12"/>
  <c r="M3" i="9"/>
  <c r="M11" i="9"/>
  <c r="M10" i="9"/>
  <c r="M6" i="9"/>
  <c r="M5" i="9"/>
  <c r="M4" i="9"/>
  <c r="I18" i="8"/>
  <c r="I19" i="8"/>
  <c r="F12" i="8"/>
  <c r="F24" i="8"/>
  <c r="I17" i="8" s="1"/>
  <c r="F17" i="8"/>
  <c r="F18" i="8"/>
  <c r="F19" i="8"/>
  <c r="F20" i="8"/>
  <c r="F21" i="8"/>
  <c r="F22" i="8"/>
  <c r="F23" i="8"/>
  <c r="I11" i="8"/>
  <c r="I12" i="8"/>
  <c r="I10" i="8"/>
  <c r="I7" i="8"/>
  <c r="I5" i="8"/>
  <c r="F11" i="8"/>
  <c r="F10" i="8"/>
  <c r="F9" i="8"/>
  <c r="F8" i="8"/>
  <c r="F7" i="8"/>
  <c r="F6" i="8"/>
  <c r="I6" i="8" s="1"/>
  <c r="F5" i="8"/>
  <c r="F6" i="7"/>
  <c r="F7" i="7"/>
  <c r="F8" i="7"/>
  <c r="F9" i="7"/>
  <c r="F10" i="7"/>
  <c r="F11" i="7"/>
  <c r="G11" i="7" s="1"/>
  <c r="F5" i="7"/>
  <c r="G5" i="7" s="1"/>
  <c r="G6" i="7"/>
  <c r="G7" i="7"/>
  <c r="G8" i="7"/>
  <c r="G9" i="7"/>
  <c r="G10" i="7"/>
  <c r="E3" i="6"/>
  <c r="E4" i="6"/>
  <c r="E2" i="6"/>
  <c r="D2" i="6" a="1"/>
  <c r="D2" i="6" s="1"/>
  <c r="D3" i="6" a="1"/>
  <c r="D3" i="6" s="1"/>
  <c r="D4" i="6" a="1"/>
  <c r="D4" i="6" s="1"/>
  <c r="C3" i="6"/>
  <c r="C4" i="6"/>
  <c r="C2" i="6"/>
  <c r="G12" i="4"/>
  <c r="H12" i="4"/>
  <c r="H9" i="4"/>
  <c r="H13" i="4"/>
  <c r="H10" i="4"/>
  <c r="H11" i="4"/>
  <c r="H7" i="4"/>
  <c r="H8" i="4"/>
  <c r="H14" i="4"/>
  <c r="G9" i="4"/>
  <c r="G13" i="4"/>
  <c r="G10" i="4"/>
  <c r="G11" i="4"/>
  <c r="G7" i="4"/>
  <c r="G8" i="4"/>
  <c r="G14" i="4"/>
  <c r="D24" i="4"/>
  <c r="D23" i="4"/>
  <c r="D22" i="4"/>
  <c r="D21" i="4"/>
  <c r="D20" i="4"/>
  <c r="D19" i="4"/>
  <c r="D18" i="4"/>
  <c r="C3" i="2"/>
  <c r="D3" i="2" s="1"/>
  <c r="E5" i="1"/>
  <c r="E6" i="1"/>
  <c r="E4" i="1"/>
  <c r="F10" i="1"/>
  <c r="F9" i="1"/>
  <c r="D5" i="1"/>
  <c r="D6" i="1"/>
  <c r="D4" i="1"/>
  <c r="E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<sst xmlns="http://schemas.openxmlformats.org/spreadsheetml/2006/main" count="554" uniqueCount="171">
  <si>
    <t>Vorname</t>
  </si>
  <si>
    <t>Nachname</t>
  </si>
  <si>
    <t>E-Mail</t>
  </si>
  <si>
    <t>Hans</t>
  </si>
  <si>
    <t>Müller</t>
  </si>
  <si>
    <t>Peter</t>
  </si>
  <si>
    <t>Zimmermann</t>
  </si>
  <si>
    <t>Ines</t>
  </si>
  <si>
    <t>Zimmerfrau</t>
  </si>
  <si>
    <t>Das ist</t>
  </si>
  <si>
    <t>EineExcel</t>
  </si>
  <si>
    <t>Übung</t>
  </si>
  <si>
    <t>Voller Name</t>
  </si>
  <si>
    <t>Geburtstag</t>
  </si>
  <si>
    <t>Heute</t>
  </si>
  <si>
    <t>Alter in Tagen</t>
  </si>
  <si>
    <t>KalendarWoche</t>
  </si>
  <si>
    <t>Umsatz-Kennzahlen</t>
  </si>
  <si>
    <t>Rabatt für Umsatz</t>
  </si>
  <si>
    <t>Nötige Kostensenkung</t>
  </si>
  <si>
    <t>Verkäufer</t>
  </si>
  <si>
    <t>Produkt</t>
  </si>
  <si>
    <t>Umsatz</t>
  </si>
  <si>
    <t>Kosten</t>
  </si>
  <si>
    <t>Gewinn</t>
  </si>
  <si>
    <t>Rabatt</t>
  </si>
  <si>
    <t>Anna</t>
  </si>
  <si>
    <t>Laptop</t>
  </si>
  <si>
    <t>Gesamt Umsatz</t>
  </si>
  <si>
    <t>Summe</t>
  </si>
  <si>
    <t>Bob</t>
  </si>
  <si>
    <t>Handy</t>
  </si>
  <si>
    <t>Durchschnittlicher Umsatz</t>
  </si>
  <si>
    <t>Mittelwert</t>
  </si>
  <si>
    <t>Tablet</t>
  </si>
  <si>
    <t>Günstigster Artikel</t>
  </si>
  <si>
    <t>Min</t>
  </si>
  <si>
    <t>Clara</t>
  </si>
  <si>
    <t>Teuerster Artikel</t>
  </si>
  <si>
    <t>Max</t>
  </si>
  <si>
    <t>Anzahl Umsatz Verkäufe</t>
  </si>
  <si>
    <t>Anzahl</t>
  </si>
  <si>
    <t>Anzahl Verkäufe</t>
  </si>
  <si>
    <t>Anzhal2</t>
  </si>
  <si>
    <t>Anzahl UmsatzLeer</t>
  </si>
  <si>
    <t>Anzhalleer</t>
  </si>
  <si>
    <t>Kostensenkung Ziel</t>
  </si>
  <si>
    <t>Sarah</t>
  </si>
  <si>
    <t>Schüler</t>
  </si>
  <si>
    <t>Punkte</t>
  </si>
  <si>
    <t>Bestanden?</t>
  </si>
  <si>
    <t>Note</t>
  </si>
  <si>
    <t>Fehler?</t>
  </si>
  <si>
    <t>Lisa</t>
  </si>
  <si>
    <t>Gut</t>
  </si>
  <si>
    <t>Nicht bestanden</t>
  </si>
  <si>
    <t>Tina</t>
  </si>
  <si>
    <t>Bestanden wenn Punkte &gt; 50, sonst Nicht bestanden</t>
  </si>
  <si>
    <t xml:space="preserve">Note </t>
  </si>
  <si>
    <t>Punkte &gt; 90 dann Note Exzellent</t>
  </si>
  <si>
    <t>Punkte&gt; 70 dann Note Gut</t>
  </si>
  <si>
    <t>Punkte&gt;=50 dann Note Okay</t>
  </si>
  <si>
    <t>Punkte &lt;50 dann Note Nicht bestanden</t>
  </si>
  <si>
    <t>Prüfe, ob die eingetragenen Punkte &gt; 0 sind, gebe sonst die Meldung Eingabe nicht Möglich aus</t>
  </si>
  <si>
    <t>Exzellent</t>
  </si>
  <si>
    <t>Okay</t>
  </si>
  <si>
    <t>"Eingabe nicht Möglich aus"</t>
  </si>
  <si>
    <t>Gewinn OK?</t>
  </si>
  <si>
    <t>Gewinnziel</t>
  </si>
  <si>
    <t>Python: Laura</t>
  </si>
  <si>
    <t>Excel: Donald</t>
  </si>
  <si>
    <t>ich: Dariusz</t>
  </si>
  <si>
    <t>Durchschnittlicher Produktgewinn</t>
  </si>
  <si>
    <t>Summe Produktgewinn</t>
  </si>
  <si>
    <t>Spaltenindex --&gt;</t>
  </si>
  <si>
    <t>Pers.-Nr.</t>
  </si>
  <si>
    <t>Email</t>
  </si>
  <si>
    <t>Abteilung</t>
  </si>
  <si>
    <t>Anstellung</t>
  </si>
  <si>
    <t>Bonus</t>
  </si>
  <si>
    <t>Tabelle A:</t>
  </si>
  <si>
    <t>Fritz</t>
  </si>
  <si>
    <t>Weller</t>
  </si>
  <si>
    <t>fritz.weller@DSI.de</t>
  </si>
  <si>
    <t>Produktion</t>
  </si>
  <si>
    <t>Freelancer</t>
  </si>
  <si>
    <t>Mijo</t>
  </si>
  <si>
    <t>Dussen van</t>
  </si>
  <si>
    <t>mijo.dussen van@DSI.de</t>
  </si>
  <si>
    <t>Marketing</t>
  </si>
  <si>
    <t>Teilzeit</t>
  </si>
  <si>
    <t>mijo.schueler@DSI.de</t>
  </si>
  <si>
    <t>Finanzen</t>
  </si>
  <si>
    <t>Dominik</t>
  </si>
  <si>
    <t>Wilms</t>
  </si>
  <si>
    <t>dominik.wilms@DSI.de</t>
  </si>
  <si>
    <t>IT</t>
  </si>
  <si>
    <t>Name</t>
  </si>
  <si>
    <t>Katherina</t>
  </si>
  <si>
    <t>Albers</t>
  </si>
  <si>
    <t>katherina.albers@DSI.de</t>
  </si>
  <si>
    <t>Thomas</t>
  </si>
  <si>
    <t>Biggen</t>
  </si>
  <si>
    <t>thomas.biggen@DSI.de</t>
  </si>
  <si>
    <t>Vertrieb</t>
  </si>
  <si>
    <t>Vollzeit</t>
  </si>
  <si>
    <t>Hakan</t>
  </si>
  <si>
    <t>Özgür</t>
  </si>
  <si>
    <t>hakan.özgür@DSI.de</t>
  </si>
  <si>
    <t>Personal</t>
  </si>
  <si>
    <t>Tabelle B:</t>
  </si>
  <si>
    <t>Hoffmann</t>
  </si>
  <si>
    <t>Sylvana</t>
  </si>
  <si>
    <t>Lachmann</t>
  </si>
  <si>
    <t>sylvana.lachmann@DSI.de</t>
  </si>
  <si>
    <t>James</t>
  </si>
  <si>
    <t>Kranz</t>
  </si>
  <si>
    <t>james.kranz@DSI.de</t>
  </si>
  <si>
    <t>Markus</t>
  </si>
  <si>
    <t>Nette</t>
  </si>
  <si>
    <t>markus.nette@DSI.de</t>
  </si>
  <si>
    <t>Vlado</t>
  </si>
  <si>
    <t>Blümel</t>
  </si>
  <si>
    <t>vlado.bluemel@DSI.de</t>
  </si>
  <si>
    <t>Marten</t>
  </si>
  <si>
    <t>Faust</t>
  </si>
  <si>
    <t>marten.faust@DSI.de</t>
  </si>
  <si>
    <t>Frieda</t>
  </si>
  <si>
    <t>Käster</t>
  </si>
  <si>
    <t>frieda.kaester@DSI.de</t>
  </si>
  <si>
    <t>Jana</t>
  </si>
  <si>
    <t>Reising</t>
  </si>
  <si>
    <t>jana.reising@DSI.de</t>
  </si>
  <si>
    <t>Ingo</t>
  </si>
  <si>
    <t>Kroker</t>
  </si>
  <si>
    <t>ingo.kroker@DSI.de</t>
  </si>
  <si>
    <t>Tabelle C:</t>
  </si>
  <si>
    <t>Lioba</t>
  </si>
  <si>
    <t>Rudolph</t>
  </si>
  <si>
    <t>lioba.rudolph@DSI.de</t>
  </si>
  <si>
    <t>Imelda</t>
  </si>
  <si>
    <t>Hörle</t>
  </si>
  <si>
    <t>imelda.hoerle@DSI.de</t>
  </si>
  <si>
    <t>Viktoria</t>
  </si>
  <si>
    <t>Barkholz</t>
  </si>
  <si>
    <t>viktoria.barkholz@DSI.de</t>
  </si>
  <si>
    <t>Nelli</t>
  </si>
  <si>
    <t>Geißler</t>
  </si>
  <si>
    <t>nelli.geissler@DSI.de</t>
  </si>
  <si>
    <t>Anatolij</t>
  </si>
  <si>
    <t>anatolij.hoffmann@DSI.de</t>
  </si>
  <si>
    <t>Standort</t>
  </si>
  <si>
    <t>Beschäftigte</t>
  </si>
  <si>
    <t>Beschäftigte aktuell</t>
  </si>
  <si>
    <t>Stufe</t>
  </si>
  <si>
    <t>Unterschied Beschäftigte</t>
  </si>
  <si>
    <t>Stuttgart</t>
  </si>
  <si>
    <t>Hamburg</t>
  </si>
  <si>
    <t>München</t>
  </si>
  <si>
    <t>Berlin</t>
  </si>
  <si>
    <t>Mannheim</t>
  </si>
  <si>
    <t>Nürnberg</t>
  </si>
  <si>
    <t>Rom</t>
  </si>
  <si>
    <t>Madrid</t>
  </si>
  <si>
    <t>Paris</t>
  </si>
  <si>
    <t>London</t>
  </si>
  <si>
    <t>Porto</t>
  </si>
  <si>
    <t>Umsatz/Jahr</t>
  </si>
  <si>
    <t>Datum</t>
  </si>
  <si>
    <r>
      <t>(ab /</t>
    </r>
    <r>
      <rPr>
        <sz val="11"/>
        <color theme="4" tint="-0.249977111117893"/>
        <rFont val="Aptos Narrow"/>
        <family val="2"/>
        <scheme val="minor"/>
      </rPr>
      <t xml:space="preserve"> from</t>
    </r>
    <r>
      <rPr>
        <sz val="11"/>
        <color theme="1"/>
        <rFont val="Aptos Narrow"/>
        <family val="2"/>
        <scheme val="minor"/>
      </rPr>
      <t>)</t>
    </r>
  </si>
  <si>
    <t>Gesamt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</si>
</sst>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7" formatCode="yyyy\-mm\-dd;@"/>
    <numFmt numFmtId="173" formatCode="#,##0\ [$€-1];[Red]\-#,##0\ [$€-1]"/>
    <numFmt numFmtId="176" formatCode="_-* #,##0\ [$€-407]_-;\-* #,##0\ [$€-407]_-;_-* &quot;-&quot;??\ [$€-407]_-;_-@_-"/>
    <numFmt numFmtId="178" formatCode="_([$€-2]\ * #,##0.00_);_([$€-2]\ * \(#,##0.00\);_([$€-2]\ * &quot;-&quot;??_);_(@_)"/>
    <numFmt numFmtId="180" formatCode="_([$€-2]\ * #,##0_);_([$€-2]\ * \(#,##0\);_([$€-2]\ * &quot;-&quot;??_);_(@_)"/>
    <numFmt numFmtId="181" formatCode="#,##0.00\ &quot;€&quot;"/>
    <numFmt numFmtId="182" formatCode="0.0%"/>
    <numFmt numFmtId="183" formatCode="#,##0\ &quot;€&quot;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color theme="4" tint="-0.249977111117893"/>
      <name val="Aptos Narrow"/>
      <family val="2"/>
      <scheme val="minor"/>
    </font>
    <font>
      <sz val="8"/>
      <color rgb="FF4D4D4C"/>
      <name val="Courier New"/>
      <family val="3"/>
    </font>
    <font>
      <sz val="10"/>
      <color rgb="FF4D4D4C"/>
      <name val="Inherit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 tint="0.249977111117893"/>
      </left>
      <right/>
      <top style="thin">
        <color theme="3" tint="0.249977111117893"/>
      </top>
      <bottom/>
      <diagonal/>
    </border>
    <border>
      <left/>
      <right/>
      <top style="thin">
        <color theme="3" tint="0.249977111117893"/>
      </top>
      <bottom/>
      <diagonal/>
    </border>
    <border>
      <left/>
      <right style="thin">
        <color theme="3" tint="0.249977111117893"/>
      </right>
      <top style="thin">
        <color theme="3" tint="0.249977111117893"/>
      </top>
      <bottom/>
      <diagonal/>
    </border>
    <border>
      <left style="thin">
        <color theme="3" tint="0.249977111117893"/>
      </left>
      <right/>
      <top/>
      <bottom style="thin">
        <color theme="3" tint="0.249977111117893"/>
      </bottom>
      <diagonal/>
    </border>
    <border>
      <left/>
      <right style="thin">
        <color theme="3" tint="0.249977111117893"/>
      </right>
      <top/>
      <bottom style="thin">
        <color theme="3" tint="0.249977111117893"/>
      </bottom>
      <diagonal/>
    </border>
    <border>
      <left style="thin">
        <color theme="3" tint="0.249977111117893"/>
      </left>
      <right/>
      <top style="thin">
        <color theme="3" tint="0.249977111117893"/>
      </top>
      <bottom style="thin">
        <color theme="3" tint="0.249977111117893"/>
      </bottom>
      <diagonal/>
    </border>
    <border>
      <left/>
      <right style="thin">
        <color theme="3" tint="0.249977111117893"/>
      </right>
      <top style="thin">
        <color theme="3" tint="0.249977111117893"/>
      </top>
      <bottom style="thin">
        <color theme="3" tint="0.249977111117893"/>
      </bottom>
      <diagonal/>
    </border>
    <border>
      <left/>
      <right style="thin">
        <color theme="3" tint="0.249977111117893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0.249977111117893"/>
      </left>
      <right/>
      <top style="thin">
        <color theme="4" tint="0.39997558519241921"/>
      </top>
      <bottom style="thin">
        <color theme="3" tint="0.249977111117893"/>
      </bottom>
      <diagonal/>
    </border>
    <border>
      <left/>
      <right/>
      <top style="thin">
        <color theme="4" tint="0.39997558519241921"/>
      </top>
      <bottom style="thin">
        <color theme="3" tint="0.249977111117893"/>
      </bottom>
      <diagonal/>
    </border>
    <border>
      <left style="thin">
        <color theme="3" tint="0.249977111117893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3" tint="0.249977111117893"/>
      </right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1" fontId="0" fillId="0" borderId="0" xfId="0" applyNumberFormat="1"/>
    <xf numFmtId="167" fontId="0" fillId="0" borderId="0" xfId="0" applyNumberFormat="1"/>
    <xf numFmtId="9" fontId="0" fillId="0" borderId="0" xfId="1" applyFont="1"/>
    <xf numFmtId="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0" xfId="0" applyNumberFormat="1"/>
    <xf numFmtId="176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0" fillId="3" borderId="1" xfId="0" applyFill="1" applyBorder="1"/>
    <xf numFmtId="173" fontId="0" fillId="0" borderId="1" xfId="0" applyNumberFormat="1" applyBorder="1"/>
    <xf numFmtId="0" fontId="0" fillId="3" borderId="2" xfId="0" applyFill="1" applyBorder="1"/>
    <xf numFmtId="0" fontId="0" fillId="2" borderId="1" xfId="0" applyFill="1" applyBorder="1"/>
    <xf numFmtId="0" fontId="4" fillId="0" borderId="0" xfId="0" applyFont="1"/>
    <xf numFmtId="180" fontId="0" fillId="0" borderId="0" xfId="0" applyNumberFormat="1"/>
    <xf numFmtId="180" fontId="0" fillId="0" borderId="1" xfId="0" applyNumberFormat="1" applyBorder="1"/>
    <xf numFmtId="0" fontId="0" fillId="0" borderId="4" xfId="0" applyBorder="1"/>
    <xf numFmtId="180" fontId="0" fillId="0" borderId="4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/>
    <xf numFmtId="173" fontId="0" fillId="0" borderId="7" xfId="0" applyNumberFormat="1" applyFill="1" applyBorder="1"/>
    <xf numFmtId="0" fontId="0" fillId="0" borderId="0" xfId="0"/>
    <xf numFmtId="0" fontId="0" fillId="0" borderId="11" xfId="0" applyBorder="1"/>
    <xf numFmtId="0" fontId="3" fillId="5" borderId="13" xfId="0" applyFont="1" applyFill="1" applyBorder="1"/>
    <xf numFmtId="183" fontId="0" fillId="0" borderId="14" xfId="0" applyNumberFormat="1" applyBorder="1"/>
    <xf numFmtId="0" fontId="0" fillId="0" borderId="11" xfId="0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5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left"/>
    </xf>
    <xf numFmtId="182" fontId="0" fillId="3" borderId="12" xfId="0" applyNumberFormat="1" applyFill="1" applyBorder="1"/>
    <xf numFmtId="0" fontId="0" fillId="3" borderId="1" xfId="0" applyFill="1" applyBorder="1"/>
    <xf numFmtId="0" fontId="0" fillId="0" borderId="0" xfId="0"/>
    <xf numFmtId="0" fontId="0" fillId="0" borderId="0" xfId="0" applyAlignment="1">
      <alignment horizontal="center"/>
    </xf>
    <xf numFmtId="181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5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vertical="center" indent="2"/>
    </xf>
    <xf numFmtId="0" fontId="0" fillId="0" borderId="0" xfId="0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0" fillId="4" borderId="8" xfId="0" applyFont="1" applyFill="1" applyBorder="1" applyAlignment="1">
      <alignment horizontal="left"/>
    </xf>
    <xf numFmtId="0" fontId="0" fillId="4" borderId="9" xfId="0" applyFont="1" applyFill="1" applyBorder="1"/>
    <xf numFmtId="183" fontId="0" fillId="4" borderId="9" xfId="0" applyNumberFormat="1" applyFont="1" applyFill="1" applyBorder="1"/>
    <xf numFmtId="182" fontId="0" fillId="3" borderId="10" xfId="0" applyNumberFormat="1" applyFont="1" applyFill="1" applyBorder="1"/>
    <xf numFmtId="0" fontId="0" fillId="0" borderId="18" xfId="0" applyFont="1" applyBorder="1" applyAlignment="1">
      <alignment horizontal="left"/>
    </xf>
    <xf numFmtId="0" fontId="0" fillId="0" borderId="19" xfId="0" applyFont="1" applyBorder="1"/>
    <xf numFmtId="183" fontId="0" fillId="0" borderId="19" xfId="0" applyNumberFormat="1" applyFont="1" applyBorder="1"/>
    <xf numFmtId="182" fontId="0" fillId="3" borderId="20" xfId="0" applyNumberFormat="1" applyFont="1" applyFill="1" applyBorder="1"/>
    <xf numFmtId="0" fontId="0" fillId="4" borderId="18" xfId="0" applyFont="1" applyFill="1" applyBorder="1" applyAlignment="1">
      <alignment horizontal="left"/>
    </xf>
    <xf numFmtId="0" fontId="0" fillId="4" borderId="19" xfId="0" applyFont="1" applyFill="1" applyBorder="1"/>
    <xf numFmtId="183" fontId="0" fillId="4" borderId="19" xfId="0" applyNumberFormat="1" applyFont="1" applyFill="1" applyBorder="1"/>
    <xf numFmtId="0" fontId="0" fillId="0" borderId="16" xfId="0" applyFont="1" applyBorder="1" applyAlignment="1">
      <alignment horizontal="left"/>
    </xf>
    <xf numFmtId="0" fontId="0" fillId="0" borderId="17" xfId="0" applyFont="1" applyBorder="1"/>
    <xf numFmtId="183" fontId="0" fillId="0" borderId="17" xfId="0" applyNumberFormat="1" applyFont="1" applyBorder="1"/>
    <xf numFmtId="182" fontId="0" fillId="3" borderId="15" xfId="0" applyNumberFormat="1" applyFont="1" applyFill="1" applyBorder="1"/>
    <xf numFmtId="0" fontId="0" fillId="4" borderId="9" xfId="0" applyFont="1" applyFill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4" borderId="19" xfId="0" applyFont="1" applyFill="1" applyBorder="1" applyAlignment="1">
      <alignment horizontal="left"/>
    </xf>
    <xf numFmtId="0" fontId="0" fillId="0" borderId="17" xfId="0" applyFont="1" applyBorder="1" applyAlignment="1">
      <alignment horizontal="left"/>
    </xf>
    <xf numFmtId="182" fontId="0" fillId="3" borderId="9" xfId="0" applyNumberFormat="1" applyFont="1" applyFill="1" applyBorder="1"/>
    <xf numFmtId="182" fontId="0" fillId="3" borderId="19" xfId="0" applyNumberFormat="1" applyFont="1" applyFill="1" applyBorder="1"/>
    <xf numFmtId="182" fontId="0" fillId="3" borderId="3" xfId="0" applyNumberFormat="1" applyFont="1" applyFill="1" applyBorder="1"/>
    <xf numFmtId="0" fontId="2" fillId="5" borderId="0" xfId="0" applyFont="1" applyFill="1" applyBorder="1"/>
    <xf numFmtId="182" fontId="0" fillId="0" borderId="0" xfId="1" applyNumberFormat="1" applyFont="1" applyBorder="1"/>
    <xf numFmtId="0" fontId="3" fillId="5" borderId="0" xfId="0" applyFont="1" applyFill="1" applyBorder="1"/>
    <xf numFmtId="181" fontId="0" fillId="0" borderId="0" xfId="0" applyNumberFormat="1" applyBorder="1"/>
    <xf numFmtId="14" fontId="0" fillId="0" borderId="0" xfId="0" applyNumberFormat="1" applyBorder="1"/>
    <xf numFmtId="182" fontId="0" fillId="3" borderId="1" xfId="0" applyNumberFormat="1" applyFill="1" applyBorder="1"/>
    <xf numFmtId="178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21" xfId="0" applyBorder="1"/>
    <xf numFmtId="0" fontId="0" fillId="3" borderId="22" xfId="0" applyFill="1" applyBorder="1"/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0" fillId="0" borderId="25" xfId="0" applyBorder="1"/>
    <xf numFmtId="0" fontId="0" fillId="3" borderId="26" xfId="0" applyFill="1" applyBorder="1"/>
    <xf numFmtId="0" fontId="0" fillId="0" borderId="27" xfId="0" applyBorder="1"/>
    <xf numFmtId="0" fontId="0" fillId="0" borderId="24" xfId="0" applyBorder="1"/>
    <xf numFmtId="0" fontId="0" fillId="0" borderId="29" xfId="0" applyBorder="1"/>
    <xf numFmtId="178" fontId="0" fillId="0" borderId="2" xfId="0" applyNumberFormat="1" applyBorder="1"/>
    <xf numFmtId="1" fontId="0" fillId="3" borderId="1" xfId="1" applyNumberFormat="1" applyFont="1" applyFill="1" applyBorder="1"/>
    <xf numFmtId="1" fontId="0" fillId="3" borderId="2" xfId="1" applyNumberFormat="1" applyFont="1" applyFill="1" applyBorder="1"/>
    <xf numFmtId="0" fontId="0" fillId="6" borderId="22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180" fontId="0" fillId="0" borderId="0" xfId="0" applyNumberFormat="1" applyBorder="1"/>
    <xf numFmtId="180" fontId="0" fillId="0" borderId="29" xfId="0" applyNumberFormat="1" applyBorder="1"/>
    <xf numFmtId="182" fontId="0" fillId="0" borderId="28" xfId="1" applyNumberFormat="1" applyFont="1" applyBorder="1"/>
    <xf numFmtId="182" fontId="0" fillId="0" borderId="23" xfId="1" applyNumberFormat="1" applyFont="1" applyBorder="1"/>
    <xf numFmtId="182" fontId="0" fillId="0" borderId="0" xfId="1" applyNumberFormat="1" applyFont="1"/>
  </cellXfs>
  <cellStyles count="2">
    <cellStyle name="Prozent" xfId="1" builtinId="5"/>
    <cellStyle name="Standard" xfId="0" builtinId="0"/>
  </cellStyles>
  <dxfs count="39"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8" formatCode="_([$€-2]\ * #,##0.00_);_([$€-2]\ * \(#,##0.00\);_([$€-2]\ 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82" formatCode="0.0%"/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</dxf>
    <dxf>
      <numFmt numFmtId="19" formatCode="m/d/yyyy"/>
    </dxf>
    <dxf>
      <border outline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82" formatCode="0.0%"/>
    </dxf>
    <dxf>
      <numFmt numFmtId="181" formatCode="#,##0.00\ &quot;€&quot;"/>
    </dxf>
    <dxf>
      <border outline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  <bottom style="thin">
          <color theme="3" tint="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83" formatCode="#,##0\ &quot;€&quot;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3" tint="0.249977111117893"/>
        </left>
        <right style="thin">
          <color theme="3" tint="0.249977111117893"/>
        </right>
        <top style="thin">
          <color theme="3" tint="0.249977111117893"/>
        </top>
      </border>
    </dxf>
    <dxf>
      <numFmt numFmtId="180" formatCode="_([$€-2]\ * #,##0_);_([$€-2]\ * \(#,##0\);_([$€-2]\ * &quot;-&quot;??_);_(@_)"/>
    </dxf>
    <dxf>
      <numFmt numFmtId="180" formatCode="_([$€-2]\ * #,##0_);_([$€-2]\ * \(#,##0\);_([$€-2]\ * &quot;-&quot;??_);_(@_)"/>
    </dxf>
    <dxf>
      <numFmt numFmtId="180" formatCode="_([$€-2]\ * #,##0_);_([$€-2]\ * \(#,##0\);_([$€-2]\ 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76" formatCode="_-* #,##0\ [$€-407]_-;\-* #,##0\ [$€-407]_-;_-* &quot;-&quot;??\ [$€-407]_-;_-@_-"/>
    </dxf>
    <dxf>
      <numFmt numFmtId="176" formatCode="_-* #,##0\ [$€-407]_-;\-* #,##0\ [$€-407]_-;_-* &quot;-&quot;??\ [$€-407]_-;_-@_-"/>
    </dxf>
    <dxf>
      <numFmt numFmtId="176" formatCode="_-* #,##0\ [$€-407]_-;\-* #,##0\ [$€-407]_-;_-* &quot;-&quot;??\ [$€-407]_-;_-@_-"/>
    </dxf>
    <dxf>
      <numFmt numFmtId="176" formatCode="_-* #,##0\ [$€-407]_-;\-* #,##0\ [$€-407]_-;_-* &quot;-&quot;??\ [$€-407]_-;_-@_-"/>
    </dxf>
    <dxf>
      <numFmt numFmtId="176" formatCode="_-* #,##0\ [$€-407]_-;\-* #,##0\ [$€-407]_-;_-* &quot;-&quot;??\ [$€-407]_-;_-@_-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723900</xdr:colOff>
      <xdr:row>0</xdr:row>
      <xdr:rowOff>152400</xdr:rowOff>
    </xdr:from>
    <xdr:to>
      <xdr:col>13</xdr:col>
      <xdr:colOff>209550</xdr:colOff>
      <xdr:row>20</xdr:row>
      <xdr:rowOff>126645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CE4EB1A-7521-4840-B226-E92C7DA29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7980" y="152400"/>
          <a:ext cx="4606290" cy="34794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8214E-8691-4765-B74B-30D46A70F5EE}" name="Tabelle1" displayName="Tabelle1" ref="B6:H14" totalsRowShown="0" headerRowDxfId="38">
  <autoFilter ref="B6:H14" xr:uid="{5E38214E-8691-4765-B74B-30D46A70F5EE}"/>
  <sortState xmlns:xlrd2="http://schemas.microsoft.com/office/spreadsheetml/2017/richdata2" ref="B7:H14">
    <sortCondition ref="E6:E14"/>
  </sortState>
  <tableColumns count="7">
    <tableColumn id="1" xr3:uid="{AACCE24C-CD60-4003-90CE-819ECF897E60}" name="Verkäufer"/>
    <tableColumn id="2" xr3:uid="{3B4A374C-FE92-4257-85B8-5CAF784D6003}" name="Produkt"/>
    <tableColumn id="3" xr3:uid="{0EE36623-4EF3-4BE4-A1F5-3267B16C3715}" name="Umsatz" dataDxfId="37"/>
    <tableColumn id="4" xr3:uid="{62541542-2367-4E9F-9876-B01F7EBE1193}" name="Kosten" dataDxfId="36"/>
    <tableColumn id="5" xr3:uid="{DA0F5AE6-3644-4DFD-8023-325B4B294100}" name="Gewinn" dataDxfId="35"/>
    <tableColumn id="6" xr3:uid="{6F34EFC3-241E-41EF-8EC7-A8B9EAF698C5}" name="Rabatt" dataDxfId="34">
      <calculatedColumnFormula>Tabelle1[[#This Row],[Umsatz]]*$B$3</calculatedColumnFormula>
    </tableColumn>
    <tableColumn id="7" xr3:uid="{7D2314AC-1129-4346-B4C1-6AFEBE6B478D}" name="Kostensenkung Ziel" dataDxfId="33">
      <calculatedColumnFormula>Tabelle1[[#This Row],[Kosten]]*$C$3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8AD084-D874-4738-96E7-F241E78E442E}" name="Tabelle7" displayName="Tabelle7" ref="A1:E4" totalsRowShown="0" headerRowDxfId="32">
  <autoFilter ref="A1:E4" xr:uid="{328AD084-D874-4738-96E7-F241E78E442E}"/>
  <tableColumns count="5">
    <tableColumn id="1" xr3:uid="{12479D42-86EF-4787-AFAB-97D5AEA493C9}" name="Schüler"/>
    <tableColumn id="2" xr3:uid="{77BEBCDC-A88F-49F1-A7A2-46854DF3357A}" name="Punkte"/>
    <tableColumn id="3" xr3:uid="{E1464F9E-D614-4A85-BCCF-FB598A38AE30}" name="Bestanden?">
      <calculatedColumnFormula>IF(B2&gt;$H$1,"Bestanden","Nicht bestanden")</calculatedColumnFormula>
    </tableColumn>
    <tableColumn id="4" xr3:uid="{233D090C-A993-4CF7-A2AB-DA039C71FF8A}" name="Note">
      <calculatedColumnFormula array="1">_xlfn.IFS(B2&gt;$H$5,$I$5,B2&gt;$H$6,$I$6,B2&gt;=$H$7,$I$7,B2&lt;$H$8,$I$8)</calculatedColumnFormula>
    </tableColumn>
    <tableColumn id="5" xr3:uid="{DCC12034-FCA5-436D-9520-2826FEAC6192}" name="Fehler?">
      <calculatedColumnFormula>IF(B2&gt;$H$11,"Keine Fehler",$I$11)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FD2042-23FC-41F6-A038-9190470ADAFE}" name="Tabelle8" displayName="Tabelle8" ref="B16:F24" totalsRowShown="0">
  <autoFilter ref="B16:F24" xr:uid="{18FD2042-23FC-41F6-A038-9190470ADAFE}"/>
  <tableColumns count="5">
    <tableColumn id="1" xr3:uid="{7994A608-7BDC-4C03-AF4B-585E0CFA8EC7}" name="Verkäufer"/>
    <tableColumn id="2" xr3:uid="{FD366AF3-A781-411F-80A0-64D271E0C73E}" name="Produkt"/>
    <tableColumn id="3" xr3:uid="{74CDB287-A79E-4924-B8D8-1751DAE5C6F3}" name="Umsatz" dataDxfId="31"/>
    <tableColumn id="4" xr3:uid="{C9D9A925-0E28-4A52-A744-917902412766}" name="Kosten" dataDxfId="30"/>
    <tableColumn id="5" xr3:uid="{C089FB3A-45C8-4EB4-BC9B-9AEA7AB3F915}" name="Gewinn" dataDxfId="29">
      <calculatedColumnFormula>Tabelle8[[#This Row],[Umsatz]]-Tabelle8[[#This Row],[Kosten]]</calculatedColumnFormula>
    </tableColumn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C4DCCE-B06E-4E66-878D-3B3B30E1ACCC}" name="Tabelle_Umsatz" displayName="Tabelle_Umsatz" ref="B2:I22" totalsRowShown="0" headerRowDxfId="19" dataDxfId="20" tableBorderDxfId="28">
  <autoFilter ref="B2:I22" xr:uid="{E7C4DCCE-B06E-4E66-878D-3B3B30E1ACCC}"/>
  <tableColumns count="8">
    <tableColumn id="1" xr3:uid="{496A7600-CA33-43C9-B3EF-7E4A3F7A2C30}" name="Pers.-Nr." dataDxfId="27"/>
    <tableColumn id="2" xr3:uid="{030224CB-E022-40D9-A31D-379851C855BF}" name="Vorname" dataDxfId="26"/>
    <tableColumn id="3" xr3:uid="{E69BB89F-D17B-477D-A33A-64565105C0DB}" name="Nachname" dataDxfId="25"/>
    <tableColumn id="4" xr3:uid="{74D93E7F-4FEC-4493-A017-B3FF37CCD31D}" name="Email" dataDxfId="24"/>
    <tableColumn id="5" xr3:uid="{CB30862A-8AB1-468D-9D13-929E1435ED67}" name="Abteilung" dataDxfId="23"/>
    <tableColumn id="6" xr3:uid="{1665A31A-7E91-482C-97F4-5461BB00A028}" name="Anstellung" dataDxfId="22"/>
    <tableColumn id="7" xr3:uid="{26BA55AB-374D-439C-A43B-CEB5C47D6F00}" name="Umsatz" dataDxfId="21"/>
    <tableColumn id="8" xr3:uid="{87BA4C14-B11B-4C02-AD1C-8E9D29BCCFBD}" name="Bonus" dataDxfId="11">
      <calculatedColumnFormula>_xlfn.XLOOKUP(Tabelle_Umsatz[[#This Row],[Umsatz]],Tabelle_Bonus[Umsatz/Jahr],Tabelle_Bonus[Bonus],,-1)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9A79032-C2A7-465D-9AF1-2B8D0CE3C300}" name="Tabelle_Beschaftigte" displayName="Tabelle_Beschaftigte" ref="B2:G13" totalsRowShown="0" headerRowDxfId="6" dataDxfId="7" headerRowBorderDxfId="9" tableBorderDxfId="10" totalsRowBorderDxfId="8">
  <autoFilter ref="B2:G13" xr:uid="{F9A79032-C2A7-465D-9AF1-2B8D0CE3C300}"/>
  <tableColumns count="6">
    <tableColumn id="1" xr3:uid="{6FFB5DA8-C205-4FD1-B465-45F7FAF1017C}" name="Standort" dataDxfId="5"/>
    <tableColumn id="2" xr3:uid="{8A157565-61A6-4E24-9F28-FDE58BBF54E9}" name="Umsatz" dataDxfId="3"/>
    <tableColumn id="3" xr3:uid="{E096FFC7-75EF-4C16-AF89-5C0B94C4D269}" name="Beschäftigte" dataDxfId="4">
      <calculatedColumnFormula>_xlfn.XLOOKUP(Tabelle_Beschaftigte[[#This Row],[Standort]],Tabelle_Standort[Standort],Tabelle_Standort[Beschäftigte],"Nicht gefunden",0)</calculatedColumnFormula>
    </tableColumn>
    <tableColumn id="4" xr3:uid="{12242928-36F2-407B-86E8-588DA0894C4E}" name="Beschäftigte aktuell" dataDxfId="2">
      <calculatedColumnFormula>_xlfn.XLOOKUP(Tabelle_Beschaftigte[[#This Row],[Standort]],Tabelle_Standort[Standort],Tabelle_Standort[Beschäftigte],"Nicht gefunden",0,-1)</calculatedColumnFormula>
    </tableColumn>
    <tableColumn id="5" xr3:uid="{6AA5C64E-0FBB-4119-BA5B-7DD7BCAF8CAA}" name="Stufe" dataDxfId="1" dataCellStyle="Prozent">
      <calculatedColumnFormula>_xlfn.XLOOKUP(Tabelle_Beschaftigte[[#This Row],[Umsatz]],Tabelle_Bonus[Umsatz/Jahr],Tabelle_Bonus[Stufe],,-1)</calculatedColumnFormula>
    </tableColumn>
    <tableColumn id="6" xr3:uid="{7B92C1A1-6038-40F8-8BA6-D86CE700E0A4}" name="Unterschied Beschäftigte" dataDxfId="0">
      <calculatedColumnFormula>IFERROR(Tabelle_Beschaftigte[[#This Row],[Beschäftigte aktuell]]-Tabelle_Beschaftigte[[#This Row],[Beschäftigte]],"Nicht gefunden")</calculatedColumn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A079C2-2043-4EEA-96C4-C8B0CFFAAC27}" name="Tabelle_Bonus" displayName="Tabelle_Bonus" ref="B2:D9" totalsRowShown="0" headerRowDxfId="15" tableBorderDxfId="18">
  <autoFilter ref="B2:D9" xr:uid="{1AA079C2-2043-4EEA-96C4-C8B0CFFAAC27}"/>
  <tableColumns count="3">
    <tableColumn id="1" xr3:uid="{EA79099D-41ED-48E5-B173-C19DB0D116CD}" name="Stufe"/>
    <tableColumn id="2" xr3:uid="{5516A2F8-2034-4AAC-9074-A4DEFA9E6825}" name="Umsatz/Jahr" dataDxfId="17"/>
    <tableColumn id="3" xr3:uid="{DC59245E-A3DC-456D-95E5-3AE779A0C5A4}" name="Bonus" dataDxfId="16" dataCellStyle="Proz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64AA213-E632-411F-AD5B-1F4B9C90C7E2}" name="Tabelle_Standort" displayName="Tabelle_Standort" ref="F2:H17" totalsRowShown="0" headerRowDxfId="12" tableBorderDxfId="14">
  <autoFilter ref="F2:H17" xr:uid="{664AA213-E632-411F-AD5B-1F4B9C90C7E2}"/>
  <sortState xmlns:xlrd2="http://schemas.microsoft.com/office/spreadsheetml/2017/richdata2" ref="F3:H17">
    <sortCondition ref="F2:F17"/>
  </sortState>
  <tableColumns count="3">
    <tableColumn id="1" xr3:uid="{9310F9D2-7CEB-44CC-BA7A-A9D892166998}" name="Datum" dataDxfId="13"/>
    <tableColumn id="2" xr3:uid="{E56B10DB-2E10-43A3-8B79-615C991FD027}" name="Beschäftigte"/>
    <tableColumn id="3" xr3:uid="{8CD72534-297B-4327-A479-140E5E89D2B0}" name="Stand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F68D-E9BA-49E9-859C-3834AB6B0738}">
  <dimension ref="B3:F10"/>
  <sheetViews>
    <sheetView topLeftCell="A4" zoomScale="140" zoomScaleNormal="140" workbookViewId="0">
      <selection activeCell="D12" sqref="D12"/>
    </sheetView>
  </sheetViews>
  <sheetFormatPr baseColWidth="10" defaultRowHeight="13.8"/>
  <cols>
    <col min="4" max="4" width="15.5" bestFit="1" customWidth="1"/>
  </cols>
  <sheetData>
    <row r="3" spans="2:6">
      <c r="B3" t="s">
        <v>0</v>
      </c>
      <c r="C3" t="s">
        <v>1</v>
      </c>
      <c r="D3" t="s">
        <v>12</v>
      </c>
      <c r="E3" t="s">
        <v>2</v>
      </c>
    </row>
    <row r="4" spans="2:6">
      <c r="B4" t="s">
        <v>3</v>
      </c>
      <c r="C4" t="s">
        <v>4</v>
      </c>
      <c r="D4" t="str">
        <f>B4&amp;" "&amp;C4</f>
        <v>Hans Müller</v>
      </c>
      <c r="E4" t="str">
        <f>_xlfn.CONCAT(B4, ".",C4,"@dsi.gmail")</f>
        <v>Hans.Müller@dsi.gmail</v>
      </c>
    </row>
    <row r="5" spans="2:6">
      <c r="B5" t="s">
        <v>5</v>
      </c>
      <c r="C5" t="s">
        <v>6</v>
      </c>
      <c r="D5" t="str">
        <f t="shared" ref="D5:D6" si="0">B5&amp;" "&amp;C5</f>
        <v>Peter Zimmermann</v>
      </c>
      <c r="E5" t="str">
        <f t="shared" ref="E5:E6" si="1">_xlfn.CONCAT(B5, ".",C5,"@dsi.gmail")</f>
        <v>Peter.Zimmermann@dsi.gmail</v>
      </c>
    </row>
    <row r="6" spans="2:6">
      <c r="B6" t="s">
        <v>7</v>
      </c>
      <c r="C6" t="s">
        <v>8</v>
      </c>
      <c r="D6" t="str">
        <f t="shared" si="0"/>
        <v>Ines Zimmerfrau</v>
      </c>
      <c r="E6" t="str">
        <f t="shared" si="1"/>
        <v>Ines.Zimmerfrau@dsi.gmail</v>
      </c>
    </row>
    <row r="9" spans="2:6">
      <c r="B9" t="s">
        <v>9</v>
      </c>
      <c r="C9" t="s">
        <v>10</v>
      </c>
      <c r="E9" t="s">
        <v>11</v>
      </c>
      <c r="F9" t="str">
        <f>_xlfn.TEXTJOIN(",",1,B9:E9)</f>
        <v>Das ist,EineExcel,Übung</v>
      </c>
    </row>
    <row r="10" spans="2:6">
      <c r="F10" t="str">
        <f>_xlfn.TEXTJOIN(",",0,B9:E9)</f>
        <v>Das ist,EineExcel,,Übung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30A7-3A49-4ED7-A849-F06EF5D56FB0}">
  <dimension ref="B2:E3"/>
  <sheetViews>
    <sheetView zoomScale="140" zoomScaleNormal="140" workbookViewId="0">
      <selection activeCell="G5" sqref="G5"/>
    </sheetView>
  </sheetViews>
  <sheetFormatPr baseColWidth="10" defaultRowHeight="13.8"/>
  <sheetData>
    <row r="2" spans="2:5">
      <c r="B2" t="s">
        <v>13</v>
      </c>
      <c r="C2" t="s">
        <v>14</v>
      </c>
      <c r="D2" t="s">
        <v>15</v>
      </c>
      <c r="E2" t="s">
        <v>16</v>
      </c>
    </row>
    <row r="3" spans="2:5">
      <c r="B3" s="2">
        <v>33236</v>
      </c>
      <c r="C3" s="2">
        <f ca="1">TODAY()</f>
        <v>45890</v>
      </c>
      <c r="D3" s="1">
        <f ca="1">C3-B3</f>
        <v>12654</v>
      </c>
      <c r="E3">
        <f ca="1">_xlfn.ISOWEEKNUM(C3)</f>
        <v>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4422-1D7E-4555-AC57-6489C46B4E02}">
  <dimension ref="B2:H24"/>
  <sheetViews>
    <sheetView zoomScale="110" zoomScaleNormal="110" workbookViewId="0">
      <selection activeCell="F18" sqref="F18"/>
    </sheetView>
  </sheetViews>
  <sheetFormatPr baseColWidth="10" defaultRowHeight="13.8"/>
  <cols>
    <col min="2" max="2" width="14.796875" customWidth="1"/>
    <col min="3" max="3" width="17.19921875" customWidth="1"/>
    <col min="4" max="4" width="12.19921875" customWidth="1"/>
    <col min="8" max="8" width="15" customWidth="1"/>
    <col min="10" max="10" width="21.796875" bestFit="1" customWidth="1"/>
  </cols>
  <sheetData>
    <row r="2" spans="2:8">
      <c r="B2" s="5" t="s">
        <v>18</v>
      </c>
      <c r="C2" s="5" t="s">
        <v>19</v>
      </c>
      <c r="E2" s="3"/>
    </row>
    <row r="3" spans="2:8">
      <c r="B3" s="4">
        <v>0.05</v>
      </c>
      <c r="C3" s="4">
        <v>0.02</v>
      </c>
    </row>
    <row r="6" spans="2:8" ht="27.6"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46</v>
      </c>
    </row>
    <row r="7" spans="2:8">
      <c r="B7" t="s">
        <v>37</v>
      </c>
      <c r="C7" t="s">
        <v>31</v>
      </c>
      <c r="D7" s="10">
        <v>500</v>
      </c>
      <c r="E7" s="10">
        <v>10</v>
      </c>
      <c r="F7" s="10">
        <v>490</v>
      </c>
      <c r="G7" s="10">
        <f>Tabelle1[[#This Row],[Umsatz]]*$B$3</f>
        <v>25</v>
      </c>
      <c r="H7" s="10">
        <f>Tabelle1[[#This Row],[Kosten]]*$C$3</f>
        <v>0.2</v>
      </c>
    </row>
    <row r="8" spans="2:8">
      <c r="B8" t="s">
        <v>26</v>
      </c>
      <c r="C8" t="s">
        <v>31</v>
      </c>
      <c r="D8" s="10">
        <v>650</v>
      </c>
      <c r="E8" s="10">
        <v>50</v>
      </c>
      <c r="F8" s="10">
        <v>600</v>
      </c>
      <c r="G8" s="10">
        <f>Tabelle1[[#This Row],[Umsatz]]*$B$3</f>
        <v>32.5</v>
      </c>
      <c r="H8" s="10">
        <f>Tabelle1[[#This Row],[Kosten]]*$C$3</f>
        <v>1</v>
      </c>
    </row>
    <row r="9" spans="2:8">
      <c r="B9" t="s">
        <v>30</v>
      </c>
      <c r="C9" t="s">
        <v>31</v>
      </c>
      <c r="D9" s="10">
        <v>600</v>
      </c>
      <c r="E9" s="10">
        <v>100</v>
      </c>
      <c r="F9" s="10">
        <v>500</v>
      </c>
      <c r="G9" s="10">
        <f>Tabelle1[[#This Row],[Umsatz]]*$B$3</f>
        <v>30</v>
      </c>
      <c r="H9" s="10">
        <f>Tabelle1[[#This Row],[Kosten]]*$C$3</f>
        <v>2</v>
      </c>
    </row>
    <row r="10" spans="2:8">
      <c r="B10" t="s">
        <v>37</v>
      </c>
      <c r="C10" t="s">
        <v>27</v>
      </c>
      <c r="D10" s="10">
        <v>1000</v>
      </c>
      <c r="E10" s="10">
        <v>200</v>
      </c>
      <c r="F10" s="10">
        <v>800</v>
      </c>
      <c r="G10" s="10">
        <f>Tabelle1[[#This Row],[Umsatz]]*$B$3</f>
        <v>50</v>
      </c>
      <c r="H10" s="10">
        <f>Tabelle1[[#This Row],[Kosten]]*$C$3</f>
        <v>4</v>
      </c>
    </row>
    <row r="11" spans="2:8">
      <c r="B11" t="s">
        <v>30</v>
      </c>
      <c r="C11" t="s">
        <v>34</v>
      </c>
      <c r="D11" s="10">
        <v>750</v>
      </c>
      <c r="E11" s="10">
        <v>300</v>
      </c>
      <c r="F11" s="10">
        <v>450</v>
      </c>
      <c r="G11" s="10">
        <f>Tabelle1[[#This Row],[Umsatz]]*$B$3</f>
        <v>37.5</v>
      </c>
      <c r="H11" s="10">
        <f>Tabelle1[[#This Row],[Kosten]]*$C$3</f>
        <v>6</v>
      </c>
    </row>
    <row r="12" spans="2:8">
      <c r="B12" t="s">
        <v>47</v>
      </c>
      <c r="C12" t="s">
        <v>34</v>
      </c>
      <c r="D12" s="10">
        <v>800</v>
      </c>
      <c r="E12" s="10">
        <v>300</v>
      </c>
      <c r="F12" s="10">
        <v>500</v>
      </c>
      <c r="G12" s="10">
        <f>Tabelle1[[#This Row],[Umsatz]]*$B$3</f>
        <v>40</v>
      </c>
      <c r="H12" s="10">
        <f>Tabelle1[[#This Row],[Kosten]]*$C$3</f>
        <v>6</v>
      </c>
    </row>
    <row r="13" spans="2:8">
      <c r="B13" t="s">
        <v>26</v>
      </c>
      <c r="C13" t="s">
        <v>34</v>
      </c>
      <c r="D13" s="10">
        <v>800</v>
      </c>
      <c r="E13" s="10">
        <v>400</v>
      </c>
      <c r="F13" s="10">
        <v>400</v>
      </c>
      <c r="G13" s="10">
        <f>Tabelle1[[#This Row],[Umsatz]]*$B$3</f>
        <v>40</v>
      </c>
      <c r="H13" s="10">
        <f>Tabelle1[[#This Row],[Kosten]]*$C$3</f>
        <v>8</v>
      </c>
    </row>
    <row r="14" spans="2:8">
      <c r="B14" t="s">
        <v>26</v>
      </c>
      <c r="C14" t="s">
        <v>27</v>
      </c>
      <c r="D14" s="10">
        <v>1200</v>
      </c>
      <c r="E14" s="10">
        <v>500</v>
      </c>
      <c r="F14" s="10">
        <v>700</v>
      </c>
      <c r="G14" s="10">
        <f>Tabelle1[[#This Row],[Umsatz]]*$B$3</f>
        <v>60</v>
      </c>
      <c r="H14" s="10">
        <f>Tabelle1[[#This Row],[Kosten]]*$C$3</f>
        <v>10</v>
      </c>
    </row>
    <row r="17" spans="2:4">
      <c r="C17" s="8" t="s">
        <v>17</v>
      </c>
      <c r="D17" s="9"/>
    </row>
    <row r="18" spans="2:4">
      <c r="B18" s="7" t="s">
        <v>28</v>
      </c>
      <c r="C18" s="7" t="s">
        <v>29</v>
      </c>
      <c r="D18" s="11">
        <f>SUM(Tabelle1[Umsatz])</f>
        <v>6300</v>
      </c>
    </row>
    <row r="19" spans="2:4">
      <c r="B19" s="7" t="s">
        <v>32</v>
      </c>
      <c r="C19" s="7" t="s">
        <v>33</v>
      </c>
      <c r="D19" s="11">
        <f>AVERAGE(Tabelle1[[#All],[Umsatz]])</f>
        <v>787.5</v>
      </c>
    </row>
    <row r="20" spans="2:4">
      <c r="B20" s="7" t="s">
        <v>35</v>
      </c>
      <c r="C20" s="7" t="s">
        <v>36</v>
      </c>
      <c r="D20" s="11">
        <f>MIN(Tabelle1[Umsatz])</f>
        <v>500</v>
      </c>
    </row>
    <row r="21" spans="2:4">
      <c r="B21" s="7" t="s">
        <v>38</v>
      </c>
      <c r="C21" s="7" t="s">
        <v>39</v>
      </c>
      <c r="D21" s="11">
        <f>MAX(Tabelle1[Umsatz])</f>
        <v>1200</v>
      </c>
    </row>
    <row r="22" spans="2:4">
      <c r="B22" s="7" t="s">
        <v>40</v>
      </c>
      <c r="C22" s="7" t="s">
        <v>41</v>
      </c>
      <c r="D22" s="12">
        <f>COUNT(Tabelle1[Umsatz])</f>
        <v>8</v>
      </c>
    </row>
    <row r="23" spans="2:4">
      <c r="B23" s="7" t="s">
        <v>42</v>
      </c>
      <c r="C23" s="7" t="s">
        <v>43</v>
      </c>
      <c r="D23" s="12">
        <f>COUNTA(Tabelle1[Umsatz])</f>
        <v>8</v>
      </c>
    </row>
    <row r="24" spans="2:4">
      <c r="B24" s="7" t="s">
        <v>44</v>
      </c>
      <c r="C24" s="7" t="s">
        <v>45</v>
      </c>
      <c r="D24" s="12">
        <f>COUNTBLANK(Tabelle1[Umsatz])</f>
        <v>0</v>
      </c>
    </row>
  </sheetData>
  <mergeCells count="1">
    <mergeCell ref="C17:D17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D0DC-02A2-476B-875E-10A766E26278}">
  <dimension ref="A1:I11"/>
  <sheetViews>
    <sheetView workbookViewId="0">
      <selection activeCell="D13" sqref="D13"/>
    </sheetView>
  </sheetViews>
  <sheetFormatPr baseColWidth="10" defaultRowHeight="13.8"/>
  <cols>
    <col min="1" max="1" width="9.5" customWidth="1"/>
    <col min="3" max="4" width="13.8984375" bestFit="1" customWidth="1"/>
    <col min="6" max="6" width="7.8984375" customWidth="1"/>
    <col min="7" max="7" width="68.69921875" bestFit="1" customWidth="1"/>
  </cols>
  <sheetData>
    <row r="1" spans="1:9">
      <c r="A1" s="13" t="s">
        <v>48</v>
      </c>
      <c r="B1" s="13" t="s">
        <v>49</v>
      </c>
      <c r="C1" s="13" t="s">
        <v>50</v>
      </c>
      <c r="D1" s="13" t="s">
        <v>51</v>
      </c>
      <c r="E1" s="13" t="s">
        <v>52</v>
      </c>
      <c r="G1" s="14" t="s">
        <v>50</v>
      </c>
      <c r="H1" s="15">
        <v>50</v>
      </c>
    </row>
    <row r="2" spans="1:9">
      <c r="A2" t="s">
        <v>53</v>
      </c>
      <c r="B2">
        <v>90</v>
      </c>
      <c r="C2" t="str">
        <f>IF(B2&gt;$H$1,"Bestanden","Nicht bestanden")</f>
        <v>Bestanden</v>
      </c>
      <c r="D2" t="str" cm="1">
        <f t="array" ref="D2">_xlfn.IFS(B2&gt;$H$5,$I$5,B2&gt;$H$6,$I$6,B2&gt;=$H$7,$I$7,B2&lt;$H$8,$I$8)</f>
        <v>Gut</v>
      </c>
      <c r="E2" t="str">
        <f>IF(B2&gt;$H$11,"Keine Fehler",$I$11)</f>
        <v>Keine Fehler</v>
      </c>
      <c r="G2" t="s">
        <v>57</v>
      </c>
    </row>
    <row r="3" spans="1:9">
      <c r="A3" t="s">
        <v>39</v>
      </c>
      <c r="B3">
        <v>30</v>
      </c>
      <c r="C3" t="str">
        <f>IF(B3&gt;$H$1,"Bestanden","Nicht bestanden")</f>
        <v>Nicht bestanden</v>
      </c>
      <c r="D3" t="str" cm="1">
        <f t="array" ref="D3">_xlfn.IFS(B3&gt;$H$5,$I$5,B3&gt;$H$6,$I$6,B3&gt;=$H$7,$I$7,B3&lt;$H$8,$I$8)</f>
        <v>Nicht bestanden</v>
      </c>
      <c r="E3" t="str">
        <f t="shared" ref="E3:E4" si="0">IF(B3&gt;$H$11,"Keine Fehler",$I$11)</f>
        <v>Keine Fehler</v>
      </c>
    </row>
    <row r="4" spans="1:9">
      <c r="A4" t="s">
        <v>56</v>
      </c>
      <c r="B4">
        <v>85</v>
      </c>
      <c r="C4" t="str">
        <f>IF(B4&gt;$H$1,"Bestanden","Nicht bestanden")</f>
        <v>Bestanden</v>
      </c>
      <c r="D4" t="str" cm="1">
        <f t="array" ref="D4">_xlfn.IFS(B4&gt;$H$5,$I$5,B4&gt;$H$6,$I$6,B4&gt;=$H$7,$I$7,B4&lt;$H$8,$I$8)</f>
        <v>Gut</v>
      </c>
      <c r="E4" t="str">
        <f t="shared" si="0"/>
        <v>Keine Fehler</v>
      </c>
      <c r="G4" s="13" t="s">
        <v>58</v>
      </c>
    </row>
    <row r="5" spans="1:9">
      <c r="G5" t="s">
        <v>59</v>
      </c>
      <c r="H5">
        <v>90</v>
      </c>
      <c r="I5" t="s">
        <v>64</v>
      </c>
    </row>
    <row r="6" spans="1:9">
      <c r="G6" t="s">
        <v>60</v>
      </c>
      <c r="H6">
        <v>70</v>
      </c>
      <c r="I6" t="s">
        <v>54</v>
      </c>
    </row>
    <row r="7" spans="1:9">
      <c r="G7" t="s">
        <v>61</v>
      </c>
      <c r="H7">
        <v>50</v>
      </c>
      <c r="I7" t="s">
        <v>65</v>
      </c>
    </row>
    <row r="8" spans="1:9">
      <c r="G8" t="s">
        <v>62</v>
      </c>
      <c r="H8">
        <v>50</v>
      </c>
      <c r="I8" t="s">
        <v>55</v>
      </c>
    </row>
    <row r="10" spans="1:9">
      <c r="G10" s="13" t="s">
        <v>52</v>
      </c>
    </row>
    <row r="11" spans="1:9">
      <c r="G11" t="s">
        <v>63</v>
      </c>
      <c r="H11">
        <v>0</v>
      </c>
      <c r="I11" t="s">
        <v>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4748-07F0-4AE2-91C4-0D92A0185832}">
  <dimension ref="B4:J11"/>
  <sheetViews>
    <sheetView zoomScale="120" zoomScaleNormal="120" workbookViewId="0">
      <selection activeCell="B4" sqref="B4:F11"/>
    </sheetView>
  </sheetViews>
  <sheetFormatPr baseColWidth="10" defaultRowHeight="13.8"/>
  <sheetData>
    <row r="4" spans="2:10">
      <c r="B4" s="16" t="s">
        <v>20</v>
      </c>
      <c r="C4" s="16" t="s">
        <v>21</v>
      </c>
      <c r="D4" s="16" t="s">
        <v>22</v>
      </c>
      <c r="E4" s="16" t="s">
        <v>23</v>
      </c>
      <c r="F4" s="16" t="s">
        <v>24</v>
      </c>
      <c r="G4" s="16" t="s">
        <v>67</v>
      </c>
      <c r="J4" s="18" t="s">
        <v>68</v>
      </c>
    </row>
    <row r="5" spans="2:10">
      <c r="B5" s="7" t="s">
        <v>26</v>
      </c>
      <c r="C5" s="7" t="s">
        <v>27</v>
      </c>
      <c r="D5" s="17">
        <v>1200</v>
      </c>
      <c r="E5" s="17">
        <v>500</v>
      </c>
      <c r="F5" s="17">
        <f>D5-E5</f>
        <v>700</v>
      </c>
      <c r="G5" s="7" t="str">
        <f>IF(F5&gt;=VLOOKUP(C5,$I$5:$J$7,2,1),"Erreicht","Nicht Erreicht")</f>
        <v>Erreicht</v>
      </c>
      <c r="I5" s="19" t="s">
        <v>27</v>
      </c>
      <c r="J5" s="11">
        <v>750</v>
      </c>
    </row>
    <row r="6" spans="2:10">
      <c r="B6" s="7" t="s">
        <v>30</v>
      </c>
      <c r="C6" s="7" t="s">
        <v>31</v>
      </c>
      <c r="D6" s="17">
        <v>600</v>
      </c>
      <c r="E6" s="17">
        <v>100</v>
      </c>
      <c r="F6" s="17">
        <f t="shared" ref="F6:F11" si="0">D6-E6</f>
        <v>500</v>
      </c>
      <c r="G6" s="7" t="str">
        <f t="shared" ref="G6:G11" si="1">IF(F6&gt;=VLOOKUP(C6,$I$5:$J$7,2,1),"Erreicht","Nicht Erreicht")</f>
        <v>Erreicht</v>
      </c>
      <c r="I6" s="19" t="s">
        <v>31</v>
      </c>
      <c r="J6" s="11">
        <v>500</v>
      </c>
    </row>
    <row r="7" spans="2:10">
      <c r="B7" s="7" t="s">
        <v>26</v>
      </c>
      <c r="C7" s="7" t="s">
        <v>34</v>
      </c>
      <c r="D7" s="17">
        <v>800</v>
      </c>
      <c r="E7" s="17">
        <v>400</v>
      </c>
      <c r="F7" s="17">
        <f t="shared" si="0"/>
        <v>400</v>
      </c>
      <c r="G7" s="7" t="str">
        <f t="shared" si="1"/>
        <v>Erreicht</v>
      </c>
      <c r="I7" s="19" t="s">
        <v>34</v>
      </c>
      <c r="J7" s="11">
        <v>400</v>
      </c>
    </row>
    <row r="8" spans="2:10">
      <c r="B8" s="7" t="s">
        <v>37</v>
      </c>
      <c r="C8" s="7" t="s">
        <v>27</v>
      </c>
      <c r="D8" s="17">
        <v>1000</v>
      </c>
      <c r="E8" s="17">
        <v>200</v>
      </c>
      <c r="F8" s="17">
        <f t="shared" si="0"/>
        <v>800</v>
      </c>
      <c r="G8" s="7" t="str">
        <f t="shared" si="1"/>
        <v>Erreicht</v>
      </c>
    </row>
    <row r="9" spans="2:10">
      <c r="B9" s="7" t="s">
        <v>30</v>
      </c>
      <c r="C9" s="7" t="s">
        <v>34</v>
      </c>
      <c r="D9" s="17">
        <v>750</v>
      </c>
      <c r="E9" s="17">
        <v>300</v>
      </c>
      <c r="F9" s="17">
        <f t="shared" si="0"/>
        <v>450</v>
      </c>
      <c r="G9" s="7" t="str">
        <f t="shared" si="1"/>
        <v>Erreicht</v>
      </c>
    </row>
    <row r="10" spans="2:10">
      <c r="B10" s="7" t="s">
        <v>37</v>
      </c>
      <c r="C10" s="7" t="s">
        <v>31</v>
      </c>
      <c r="D10" s="17">
        <v>500</v>
      </c>
      <c r="E10" s="17">
        <v>10</v>
      </c>
      <c r="F10" s="17">
        <f t="shared" si="0"/>
        <v>490</v>
      </c>
      <c r="G10" s="7" t="str">
        <f t="shared" si="1"/>
        <v>Nicht Erreicht</v>
      </c>
    </row>
    <row r="11" spans="2:10">
      <c r="B11" s="7" t="s">
        <v>26</v>
      </c>
      <c r="C11" s="7" t="s">
        <v>31</v>
      </c>
      <c r="D11" s="17">
        <v>650</v>
      </c>
      <c r="E11" s="17">
        <v>50</v>
      </c>
      <c r="F11" s="17">
        <f t="shared" si="0"/>
        <v>600</v>
      </c>
      <c r="G11" s="7" t="str">
        <f t="shared" si="1"/>
        <v>Erreicht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1BCE-54A3-4C5B-88C3-0BD05AC57ED3}">
  <dimension ref="B3:K24"/>
  <sheetViews>
    <sheetView topLeftCell="A9" zoomScale="140" zoomScaleNormal="140" workbookViewId="0">
      <selection activeCell="I17" sqref="I17"/>
    </sheetView>
  </sheetViews>
  <sheetFormatPr baseColWidth="10" defaultRowHeight="13.8"/>
  <cols>
    <col min="8" max="8" width="18.59765625" bestFit="1" customWidth="1"/>
    <col min="9" max="9" width="9.796875" bestFit="1" customWidth="1"/>
  </cols>
  <sheetData>
    <row r="3" spans="2:11" ht="14.4" thickBot="1"/>
    <row r="4" spans="2:11" ht="17.399999999999999" thickBot="1">
      <c r="B4" s="16" t="s">
        <v>20</v>
      </c>
      <c r="C4" s="16" t="s">
        <v>21</v>
      </c>
      <c r="D4" s="16" t="s">
        <v>22</v>
      </c>
      <c r="E4" s="16" t="s">
        <v>23</v>
      </c>
      <c r="F4" s="16" t="s">
        <v>24</v>
      </c>
      <c r="H4" s="25" t="s">
        <v>73</v>
      </c>
      <c r="I4" s="26"/>
      <c r="K4" s="20" t="s">
        <v>69</v>
      </c>
    </row>
    <row r="5" spans="2:11" ht="16.8">
      <c r="B5" s="7" t="s">
        <v>26</v>
      </c>
      <c r="C5" s="7" t="s">
        <v>27</v>
      </c>
      <c r="D5" s="17">
        <v>1200</v>
      </c>
      <c r="E5" s="17">
        <v>500</v>
      </c>
      <c r="F5" s="17">
        <f>D5-E5</f>
        <v>700</v>
      </c>
      <c r="H5" s="23" t="s">
        <v>27</v>
      </c>
      <c r="I5" s="24">
        <f>SUMIF($C$5:$C$11,H5,$F$5:$F$11)</f>
        <v>1500</v>
      </c>
      <c r="K5" s="20" t="s">
        <v>70</v>
      </c>
    </row>
    <row r="6" spans="2:11" ht="16.8">
      <c r="B6" s="7" t="s">
        <v>30</v>
      </c>
      <c r="C6" s="7" t="s">
        <v>31</v>
      </c>
      <c r="D6" s="17">
        <v>500</v>
      </c>
      <c r="E6" s="17">
        <v>100</v>
      </c>
      <c r="F6" s="17">
        <f t="shared" ref="F6:F12" si="0">D6-E6</f>
        <v>400</v>
      </c>
      <c r="H6" s="7" t="s">
        <v>31</v>
      </c>
      <c r="I6" s="22">
        <f t="shared" ref="I6:I7" si="1">SUMIF($C$5:$C$11,H6,$F$5:$F$11)</f>
        <v>1490</v>
      </c>
      <c r="K6" s="20" t="s">
        <v>71</v>
      </c>
    </row>
    <row r="7" spans="2:11">
      <c r="B7" s="7" t="s">
        <v>26</v>
      </c>
      <c r="C7" s="7" t="s">
        <v>34</v>
      </c>
      <c r="D7" s="17">
        <v>800</v>
      </c>
      <c r="E7" s="17">
        <v>400</v>
      </c>
      <c r="F7" s="17">
        <f t="shared" si="0"/>
        <v>400</v>
      </c>
      <c r="H7" s="7" t="s">
        <v>34</v>
      </c>
      <c r="I7" s="22">
        <f t="shared" si="1"/>
        <v>850</v>
      </c>
    </row>
    <row r="8" spans="2:11" ht="14.4" thickBot="1">
      <c r="B8" s="7" t="s">
        <v>37</v>
      </c>
      <c r="C8" s="7" t="s">
        <v>27</v>
      </c>
      <c r="D8" s="17">
        <v>1000</v>
      </c>
      <c r="E8" s="17">
        <v>200</v>
      </c>
      <c r="F8" s="17">
        <f t="shared" si="0"/>
        <v>800</v>
      </c>
    </row>
    <row r="9" spans="2:11" ht="14.4" thickBot="1">
      <c r="B9" s="7" t="s">
        <v>30</v>
      </c>
      <c r="C9" s="7" t="s">
        <v>34</v>
      </c>
      <c r="D9" s="17">
        <v>750</v>
      </c>
      <c r="E9" s="17">
        <v>300</v>
      </c>
      <c r="F9" s="17">
        <f t="shared" si="0"/>
        <v>450</v>
      </c>
      <c r="H9" s="25" t="s">
        <v>72</v>
      </c>
      <c r="I9" s="26"/>
    </row>
    <row r="10" spans="2:11">
      <c r="B10" s="7" t="s">
        <v>37</v>
      </c>
      <c r="C10" s="7" t="s">
        <v>31</v>
      </c>
      <c r="D10" s="17">
        <v>500</v>
      </c>
      <c r="E10" s="17">
        <v>10</v>
      </c>
      <c r="F10" s="17">
        <f t="shared" si="0"/>
        <v>490</v>
      </c>
      <c r="H10" s="23" t="s">
        <v>27</v>
      </c>
      <c r="I10" s="24">
        <f>AVERAGEIF($C$5:$C$11,H10,$F$5:$F$11)</f>
        <v>750</v>
      </c>
    </row>
    <row r="11" spans="2:11">
      <c r="B11" s="7" t="s">
        <v>26</v>
      </c>
      <c r="C11" s="7" t="s">
        <v>31</v>
      </c>
      <c r="D11" s="17">
        <v>650</v>
      </c>
      <c r="E11" s="17">
        <v>50</v>
      </c>
      <c r="F11" s="17">
        <f t="shared" si="0"/>
        <v>600</v>
      </c>
      <c r="H11" s="7" t="s">
        <v>31</v>
      </c>
      <c r="I11" s="24">
        <f t="shared" ref="I11:I12" si="2">AVERAGEIF($C$5:$C$11,H11,$F$5:$F$11)</f>
        <v>496.66666666666669</v>
      </c>
    </row>
    <row r="12" spans="2:11">
      <c r="B12" s="27" t="s">
        <v>47</v>
      </c>
      <c r="C12" s="27" t="s">
        <v>27</v>
      </c>
      <c r="D12" s="28">
        <v>800</v>
      </c>
      <c r="E12" s="28">
        <v>300</v>
      </c>
      <c r="F12" s="28">
        <f t="shared" si="0"/>
        <v>500</v>
      </c>
      <c r="H12" s="7" t="s">
        <v>34</v>
      </c>
      <c r="I12" s="24">
        <f t="shared" si="2"/>
        <v>425</v>
      </c>
    </row>
    <row r="15" spans="2:11" ht="14.4" thickBot="1"/>
    <row r="16" spans="2:11" ht="14.4" thickBot="1">
      <c r="B16" t="s">
        <v>20</v>
      </c>
      <c r="C16" t="s">
        <v>21</v>
      </c>
      <c r="D16" t="s">
        <v>22</v>
      </c>
      <c r="E16" t="s">
        <v>23</v>
      </c>
      <c r="F16" t="s">
        <v>24</v>
      </c>
      <c r="H16" s="25" t="s">
        <v>73</v>
      </c>
      <c r="I16" s="26"/>
    </row>
    <row r="17" spans="2:9">
      <c r="B17" t="s">
        <v>26</v>
      </c>
      <c r="C17" t="s">
        <v>27</v>
      </c>
      <c r="D17" s="21">
        <v>1200</v>
      </c>
      <c r="E17" s="21">
        <v>500</v>
      </c>
      <c r="F17" s="21">
        <f>Tabelle8[[#This Row],[Umsatz]]-Tabelle8[[#This Row],[Kosten]]</f>
        <v>700</v>
      </c>
      <c r="H17" s="23" t="s">
        <v>27</v>
      </c>
      <c r="I17" s="24">
        <f>SUMIF(Tabelle8[Produkt],H17,Tabelle8[Gewinn])</f>
        <v>2000</v>
      </c>
    </row>
    <row r="18" spans="2:9">
      <c r="B18" t="s">
        <v>30</v>
      </c>
      <c r="C18" t="s">
        <v>31</v>
      </c>
      <c r="D18" s="21">
        <v>600</v>
      </c>
      <c r="E18" s="21">
        <v>100</v>
      </c>
      <c r="F18" s="21">
        <f>Tabelle8[[#This Row],[Umsatz]]-Tabelle8[[#This Row],[Kosten]]</f>
        <v>500</v>
      </c>
      <c r="H18" s="7" t="s">
        <v>31</v>
      </c>
      <c r="I18" s="24">
        <f>SUMIF(Tabelle8[Produkt],H18,Tabelle8[Gewinn])</f>
        <v>1590</v>
      </c>
    </row>
    <row r="19" spans="2:9">
      <c r="B19" t="s">
        <v>26</v>
      </c>
      <c r="C19" t="s">
        <v>34</v>
      </c>
      <c r="D19" s="21">
        <v>800</v>
      </c>
      <c r="E19" s="21">
        <v>400</v>
      </c>
      <c r="F19" s="21">
        <f>Tabelle8[[#This Row],[Umsatz]]-Tabelle8[[#This Row],[Kosten]]</f>
        <v>400</v>
      </c>
      <c r="H19" s="7" t="s">
        <v>34</v>
      </c>
      <c r="I19" s="24">
        <f>SUMIF(Tabelle8[Produkt],H19,Tabelle8[Gewinn])</f>
        <v>850</v>
      </c>
    </row>
    <row r="20" spans="2:9">
      <c r="B20" t="s">
        <v>37</v>
      </c>
      <c r="C20" t="s">
        <v>27</v>
      </c>
      <c r="D20" s="21">
        <v>1000</v>
      </c>
      <c r="E20" s="21">
        <v>200</v>
      </c>
      <c r="F20" s="21">
        <f>Tabelle8[[#This Row],[Umsatz]]-Tabelle8[[#This Row],[Kosten]]</f>
        <v>800</v>
      </c>
    </row>
    <row r="21" spans="2:9">
      <c r="B21" t="s">
        <v>30</v>
      </c>
      <c r="C21" t="s">
        <v>34</v>
      </c>
      <c r="D21" s="21">
        <v>750</v>
      </c>
      <c r="E21" s="21">
        <v>300</v>
      </c>
      <c r="F21" s="21">
        <f>Tabelle8[[#This Row],[Umsatz]]-Tabelle8[[#This Row],[Kosten]]</f>
        <v>450</v>
      </c>
    </row>
    <row r="22" spans="2:9">
      <c r="B22" t="s">
        <v>37</v>
      </c>
      <c r="C22" t="s">
        <v>31</v>
      </c>
      <c r="D22" s="21">
        <v>500</v>
      </c>
      <c r="E22" s="21">
        <v>10</v>
      </c>
      <c r="F22" s="21">
        <f>Tabelle8[[#This Row],[Umsatz]]-Tabelle8[[#This Row],[Kosten]]</f>
        <v>490</v>
      </c>
    </row>
    <row r="23" spans="2:9">
      <c r="B23" t="s">
        <v>26</v>
      </c>
      <c r="C23" t="s">
        <v>31</v>
      </c>
      <c r="D23" s="21">
        <v>650</v>
      </c>
      <c r="E23" s="21">
        <v>50</v>
      </c>
      <c r="F23" s="21">
        <f>Tabelle8[[#This Row],[Umsatz]]-Tabelle8[[#This Row],[Kosten]]</f>
        <v>600</v>
      </c>
    </row>
    <row r="24" spans="2:9">
      <c r="B24" t="s">
        <v>47</v>
      </c>
      <c r="C24" t="s">
        <v>27</v>
      </c>
      <c r="D24" s="21">
        <v>800</v>
      </c>
      <c r="E24" s="21">
        <v>300</v>
      </c>
      <c r="F24" s="21">
        <f>Tabelle8[[#This Row],[Umsatz]]-Tabelle8[[#This Row],[Kosten]]</f>
        <v>500</v>
      </c>
    </row>
  </sheetData>
  <mergeCells count="3">
    <mergeCell ref="H4:I4"/>
    <mergeCell ref="H9:I9"/>
    <mergeCell ref="H16:I16"/>
  </mergeCell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AF86-FA66-4376-8545-4E0343E91EA8}">
  <dimension ref="A1:M22"/>
  <sheetViews>
    <sheetView zoomScale="110" zoomScaleNormal="110" workbookViewId="0">
      <selection activeCell="M11" sqref="M11"/>
    </sheetView>
  </sheetViews>
  <sheetFormatPr baseColWidth="10" defaultRowHeight="13.8"/>
  <cols>
    <col min="5" max="5" width="22.59765625" bestFit="1" customWidth="1"/>
    <col min="13" max="13" width="19.09765625" bestFit="1" customWidth="1"/>
  </cols>
  <sheetData>
    <row r="1" spans="1:13" ht="27.6">
      <c r="A1" s="35" t="s">
        <v>74</v>
      </c>
      <c r="B1" s="35">
        <v>1</v>
      </c>
      <c r="C1" s="35">
        <v>2</v>
      </c>
      <c r="D1" s="35">
        <v>3</v>
      </c>
      <c r="E1" s="35">
        <v>4</v>
      </c>
      <c r="F1" s="35">
        <v>5</v>
      </c>
      <c r="G1" s="35">
        <v>6</v>
      </c>
      <c r="H1" s="35"/>
      <c r="I1" s="36"/>
      <c r="J1" s="36"/>
      <c r="K1" s="36"/>
      <c r="L1" s="36"/>
      <c r="M1" s="36"/>
    </row>
    <row r="2" spans="1:13">
      <c r="A2" s="29"/>
      <c r="B2" s="56" t="s">
        <v>75</v>
      </c>
      <c r="C2" s="57" t="s">
        <v>0</v>
      </c>
      <c r="D2" s="57" t="s">
        <v>1</v>
      </c>
      <c r="E2" s="57" t="s">
        <v>76</v>
      </c>
      <c r="F2" s="57" t="s">
        <v>77</v>
      </c>
      <c r="G2" s="57" t="s">
        <v>78</v>
      </c>
      <c r="H2" s="57" t="s">
        <v>22</v>
      </c>
      <c r="I2" s="58" t="s">
        <v>79</v>
      </c>
      <c r="J2" s="29"/>
      <c r="K2" s="34" t="s">
        <v>80</v>
      </c>
      <c r="L2" s="37" t="s">
        <v>75</v>
      </c>
      <c r="M2" s="33">
        <v>5493</v>
      </c>
    </row>
    <row r="3" spans="1:13">
      <c r="A3" s="29">
        <v>1</v>
      </c>
      <c r="B3" s="59">
        <v>3902</v>
      </c>
      <c r="C3" s="60" t="s">
        <v>81</v>
      </c>
      <c r="D3" s="60" t="s">
        <v>82</v>
      </c>
      <c r="E3" s="60" t="s">
        <v>83</v>
      </c>
      <c r="F3" s="60" t="s">
        <v>84</v>
      </c>
      <c r="G3" s="60" t="s">
        <v>85</v>
      </c>
      <c r="H3" s="61">
        <v>354788</v>
      </c>
      <c r="I3" s="62"/>
      <c r="J3" s="29"/>
      <c r="K3" s="29"/>
      <c r="L3" s="38" t="s">
        <v>76</v>
      </c>
      <c r="M3" s="51" t="str">
        <f>VLOOKUP($M$2,$B$3:$I$22,4,0)</f>
        <v>frieda.kaester@DSI.de</v>
      </c>
    </row>
    <row r="4" spans="1:13">
      <c r="A4" s="29">
        <v>2</v>
      </c>
      <c r="B4" s="63">
        <v>1880</v>
      </c>
      <c r="C4" s="64" t="s">
        <v>86</v>
      </c>
      <c r="D4" s="64" t="s">
        <v>87</v>
      </c>
      <c r="E4" s="64" t="s">
        <v>88</v>
      </c>
      <c r="F4" s="64" t="s">
        <v>89</v>
      </c>
      <c r="G4" s="64" t="s">
        <v>90</v>
      </c>
      <c r="H4" s="65">
        <v>188074</v>
      </c>
      <c r="I4" s="66"/>
      <c r="J4" s="29"/>
      <c r="K4" s="29"/>
      <c r="L4" s="38" t="s">
        <v>77</v>
      </c>
      <c r="M4" s="51" t="str">
        <f>VLOOKUP($M$2,$B$3:$I$22,5,0)</f>
        <v>IT</v>
      </c>
    </row>
    <row r="5" spans="1:13">
      <c r="A5" s="29">
        <v>3</v>
      </c>
      <c r="B5" s="67">
        <v>9077</v>
      </c>
      <c r="C5" s="68" t="s">
        <v>86</v>
      </c>
      <c r="D5" s="68" t="s">
        <v>48</v>
      </c>
      <c r="E5" s="68" t="s">
        <v>91</v>
      </c>
      <c r="F5" s="68" t="s">
        <v>92</v>
      </c>
      <c r="G5" s="68" t="s">
        <v>90</v>
      </c>
      <c r="H5" s="69">
        <v>897473</v>
      </c>
      <c r="I5" s="66"/>
      <c r="J5" s="29"/>
      <c r="K5" s="29"/>
      <c r="L5" s="38" t="s">
        <v>78</v>
      </c>
      <c r="M5" s="51" t="str">
        <f>VLOOKUP($M$2,$B$3:$I$22,6,0)</f>
        <v>Freelancer</v>
      </c>
    </row>
    <row r="6" spans="1:13">
      <c r="A6" s="29">
        <v>4</v>
      </c>
      <c r="B6" s="63">
        <v>6888</v>
      </c>
      <c r="C6" s="64" t="s">
        <v>93</v>
      </c>
      <c r="D6" s="64" t="s">
        <v>94</v>
      </c>
      <c r="E6" s="64" t="s">
        <v>95</v>
      </c>
      <c r="F6" s="64" t="s">
        <v>96</v>
      </c>
      <c r="G6" s="64" t="s">
        <v>85</v>
      </c>
      <c r="H6" s="65">
        <v>1228477</v>
      </c>
      <c r="I6" s="66"/>
      <c r="J6" s="29"/>
      <c r="K6" s="29"/>
      <c r="L6" s="38" t="s">
        <v>97</v>
      </c>
      <c r="M6" s="51" t="str">
        <f>VLOOKUP($M$2,$B$3:$I$22,2,0)&amp;" "&amp;VLOOKUP($M$2,$B$3:$I$22,3,0)</f>
        <v>Frieda Käster</v>
      </c>
    </row>
    <row r="7" spans="1:13">
      <c r="A7" s="29">
        <v>5</v>
      </c>
      <c r="B7" s="67">
        <v>8170</v>
      </c>
      <c r="C7" s="68" t="s">
        <v>98</v>
      </c>
      <c r="D7" s="68" t="s">
        <v>99</v>
      </c>
      <c r="E7" s="68" t="s">
        <v>100</v>
      </c>
      <c r="F7" s="68" t="s">
        <v>92</v>
      </c>
      <c r="G7" s="68" t="s">
        <v>85</v>
      </c>
      <c r="H7" s="69">
        <v>424371</v>
      </c>
      <c r="I7" s="66"/>
      <c r="J7" s="29"/>
      <c r="K7" s="29"/>
      <c r="L7" s="29"/>
      <c r="M7" s="29"/>
    </row>
    <row r="8" spans="1:13">
      <c r="A8" s="29">
        <v>6</v>
      </c>
      <c r="B8" s="63">
        <v>7133</v>
      </c>
      <c r="C8" s="64" t="s">
        <v>101</v>
      </c>
      <c r="D8" s="64" t="s">
        <v>102</v>
      </c>
      <c r="E8" s="64" t="s">
        <v>103</v>
      </c>
      <c r="F8" s="64" t="s">
        <v>104</v>
      </c>
      <c r="G8" s="64" t="s">
        <v>105</v>
      </c>
      <c r="H8" s="65">
        <v>901880</v>
      </c>
      <c r="I8" s="66"/>
      <c r="J8" s="29"/>
      <c r="K8" s="29"/>
      <c r="L8" s="29"/>
      <c r="M8" s="29"/>
    </row>
    <row r="9" spans="1:13">
      <c r="A9" s="29">
        <v>7</v>
      </c>
      <c r="B9" s="67">
        <v>1506</v>
      </c>
      <c r="C9" s="68" t="s">
        <v>106</v>
      </c>
      <c r="D9" s="68" t="s">
        <v>107</v>
      </c>
      <c r="E9" s="68" t="s">
        <v>108</v>
      </c>
      <c r="F9" s="68" t="s">
        <v>109</v>
      </c>
      <c r="G9" s="68" t="s">
        <v>105</v>
      </c>
      <c r="H9" s="69">
        <v>279020</v>
      </c>
      <c r="I9" s="66"/>
      <c r="J9" s="29"/>
      <c r="K9" s="34" t="s">
        <v>110</v>
      </c>
      <c r="L9" s="37" t="s">
        <v>1</v>
      </c>
      <c r="M9" s="38" t="s">
        <v>82</v>
      </c>
    </row>
    <row r="10" spans="1:13">
      <c r="A10" s="29">
        <v>8</v>
      </c>
      <c r="B10" s="63">
        <v>9749</v>
      </c>
      <c r="C10" s="64" t="s">
        <v>112</v>
      </c>
      <c r="D10" s="64" t="s">
        <v>113</v>
      </c>
      <c r="E10" s="64" t="s">
        <v>114</v>
      </c>
      <c r="F10" s="64" t="s">
        <v>109</v>
      </c>
      <c r="G10" s="64" t="s">
        <v>85</v>
      </c>
      <c r="H10" s="65">
        <v>854886</v>
      </c>
      <c r="I10" s="66"/>
      <c r="J10" s="29"/>
      <c r="K10" s="29"/>
      <c r="L10" s="38" t="s">
        <v>77</v>
      </c>
      <c r="M10" s="39" t="str">
        <f>VLOOKUP($M$9,D3:$F$22,3,0)</f>
        <v>Produktion</v>
      </c>
    </row>
    <row r="11" spans="1:13">
      <c r="A11" s="29">
        <v>9</v>
      </c>
      <c r="B11" s="67">
        <v>7741</v>
      </c>
      <c r="C11" s="68" t="s">
        <v>115</v>
      </c>
      <c r="D11" s="68" t="s">
        <v>116</v>
      </c>
      <c r="E11" s="68" t="s">
        <v>117</v>
      </c>
      <c r="F11" s="68" t="s">
        <v>92</v>
      </c>
      <c r="G11" s="68" t="s">
        <v>105</v>
      </c>
      <c r="H11" s="69">
        <v>91683</v>
      </c>
      <c r="I11" s="66"/>
      <c r="J11" s="29"/>
      <c r="K11" s="29"/>
      <c r="L11" s="38" t="s">
        <v>75</v>
      </c>
      <c r="M11" s="52">
        <f>_xlfn.XLOOKUP($M$9,$D:$D,$B:$B,"Nicht gefunden")</f>
        <v>3902</v>
      </c>
    </row>
    <row r="12" spans="1:13">
      <c r="A12" s="29">
        <v>10</v>
      </c>
      <c r="B12" s="63">
        <v>9512</v>
      </c>
      <c r="C12" s="64" t="s">
        <v>118</v>
      </c>
      <c r="D12" s="64" t="s">
        <v>119</v>
      </c>
      <c r="E12" s="64" t="s">
        <v>120</v>
      </c>
      <c r="F12" s="64" t="s">
        <v>104</v>
      </c>
      <c r="G12" s="64" t="s">
        <v>105</v>
      </c>
      <c r="H12" s="65">
        <v>934650</v>
      </c>
      <c r="I12" s="66"/>
      <c r="J12" s="29"/>
      <c r="K12" s="29"/>
      <c r="L12" s="29"/>
      <c r="M12" s="29"/>
    </row>
    <row r="13" spans="1:13">
      <c r="A13" s="29">
        <v>11</v>
      </c>
      <c r="B13" s="67">
        <v>7081</v>
      </c>
      <c r="C13" s="68" t="s">
        <v>121</v>
      </c>
      <c r="D13" s="68" t="s">
        <v>122</v>
      </c>
      <c r="E13" s="68" t="s">
        <v>123</v>
      </c>
      <c r="F13" s="68" t="s">
        <v>104</v>
      </c>
      <c r="G13" s="68" t="s">
        <v>85</v>
      </c>
      <c r="H13" s="69">
        <v>8677</v>
      </c>
      <c r="I13" s="66"/>
      <c r="J13" s="29"/>
      <c r="K13" s="54"/>
      <c r="L13" s="29"/>
      <c r="M13" s="29"/>
    </row>
    <row r="14" spans="1:13">
      <c r="A14" s="29">
        <v>12</v>
      </c>
      <c r="B14" s="63">
        <v>1247</v>
      </c>
      <c r="C14" s="64" t="s">
        <v>124</v>
      </c>
      <c r="D14" s="64" t="s">
        <v>125</v>
      </c>
      <c r="E14" s="64" t="s">
        <v>126</v>
      </c>
      <c r="F14" s="64" t="s">
        <v>109</v>
      </c>
      <c r="G14" s="64" t="s">
        <v>90</v>
      </c>
      <c r="H14" s="65">
        <v>13568</v>
      </c>
      <c r="I14" s="66"/>
      <c r="J14" s="29"/>
      <c r="K14" s="29"/>
      <c r="L14" s="29"/>
      <c r="M14" s="29"/>
    </row>
    <row r="15" spans="1:13">
      <c r="A15" s="29">
        <v>13</v>
      </c>
      <c r="B15" s="67">
        <v>5493</v>
      </c>
      <c r="C15" s="68" t="s">
        <v>127</v>
      </c>
      <c r="D15" s="68" t="s">
        <v>128</v>
      </c>
      <c r="E15" s="68" t="s">
        <v>129</v>
      </c>
      <c r="F15" s="68" t="s">
        <v>96</v>
      </c>
      <c r="G15" s="68" t="s">
        <v>85</v>
      </c>
      <c r="H15" s="69">
        <v>790574</v>
      </c>
      <c r="I15" s="66"/>
      <c r="J15" s="29"/>
      <c r="K15" s="29"/>
      <c r="L15" s="29"/>
      <c r="M15" s="29"/>
    </row>
    <row r="16" spans="1:13">
      <c r="A16" s="29">
        <v>14</v>
      </c>
      <c r="B16" s="63">
        <v>6690</v>
      </c>
      <c r="C16" s="64" t="s">
        <v>130</v>
      </c>
      <c r="D16" s="64" t="s">
        <v>131</v>
      </c>
      <c r="E16" s="64" t="s">
        <v>132</v>
      </c>
      <c r="F16" s="64" t="s">
        <v>104</v>
      </c>
      <c r="G16" s="64" t="s">
        <v>85</v>
      </c>
      <c r="H16" s="65">
        <v>407280</v>
      </c>
      <c r="I16" s="66"/>
      <c r="J16" s="29"/>
      <c r="K16" s="29"/>
      <c r="L16" s="29"/>
      <c r="M16" s="29"/>
    </row>
    <row r="17" spans="1:13">
      <c r="A17" s="29">
        <v>15</v>
      </c>
      <c r="B17" s="67">
        <v>9942</v>
      </c>
      <c r="C17" s="68" t="s">
        <v>133</v>
      </c>
      <c r="D17" s="68" t="s">
        <v>134</v>
      </c>
      <c r="E17" s="68" t="s">
        <v>135</v>
      </c>
      <c r="F17" s="68" t="s">
        <v>96</v>
      </c>
      <c r="G17" s="68" t="s">
        <v>105</v>
      </c>
      <c r="H17" s="69">
        <v>1002266</v>
      </c>
      <c r="I17" s="66"/>
      <c r="J17" s="29"/>
      <c r="K17" s="34" t="s">
        <v>136</v>
      </c>
      <c r="L17" s="31" t="s">
        <v>22</v>
      </c>
      <c r="M17" s="32">
        <v>100000</v>
      </c>
    </row>
    <row r="18" spans="1:13">
      <c r="A18" s="29">
        <v>16</v>
      </c>
      <c r="B18" s="63">
        <v>8736</v>
      </c>
      <c r="C18" s="64" t="s">
        <v>137</v>
      </c>
      <c r="D18" s="64" t="s">
        <v>138</v>
      </c>
      <c r="E18" s="64" t="s">
        <v>139</v>
      </c>
      <c r="F18" s="64" t="s">
        <v>84</v>
      </c>
      <c r="G18" s="64" t="s">
        <v>90</v>
      </c>
      <c r="H18" s="65">
        <v>195971</v>
      </c>
      <c r="I18" s="66"/>
      <c r="J18" s="29"/>
      <c r="K18" s="29"/>
      <c r="L18" s="30" t="s">
        <v>79</v>
      </c>
      <c r="M18" s="40"/>
    </row>
    <row r="19" spans="1:13">
      <c r="A19" s="29">
        <v>17</v>
      </c>
      <c r="B19" s="67">
        <v>7036</v>
      </c>
      <c r="C19" s="68" t="s">
        <v>140</v>
      </c>
      <c r="D19" s="68" t="s">
        <v>141</v>
      </c>
      <c r="E19" s="68" t="s">
        <v>142</v>
      </c>
      <c r="F19" s="68" t="s">
        <v>92</v>
      </c>
      <c r="G19" s="68" t="s">
        <v>85</v>
      </c>
      <c r="H19" s="69">
        <v>298077</v>
      </c>
      <c r="I19" s="66"/>
      <c r="J19" s="29"/>
      <c r="K19" s="29"/>
      <c r="L19" s="29"/>
      <c r="M19" s="29"/>
    </row>
    <row r="20" spans="1:13">
      <c r="A20" s="29">
        <v>18</v>
      </c>
      <c r="B20" s="63">
        <v>8062</v>
      </c>
      <c r="C20" s="64" t="s">
        <v>143</v>
      </c>
      <c r="D20" s="64" t="s">
        <v>144</v>
      </c>
      <c r="E20" s="64" t="s">
        <v>145</v>
      </c>
      <c r="F20" s="64" t="s">
        <v>96</v>
      </c>
      <c r="G20" s="64" t="s">
        <v>90</v>
      </c>
      <c r="H20" s="65">
        <v>1203029</v>
      </c>
      <c r="I20" s="66"/>
      <c r="J20" s="29"/>
      <c r="K20" s="29"/>
      <c r="L20" s="29"/>
      <c r="M20" s="29"/>
    </row>
    <row r="21" spans="1:13">
      <c r="A21" s="29">
        <v>19</v>
      </c>
      <c r="B21" s="67">
        <v>5266</v>
      </c>
      <c r="C21" s="68" t="s">
        <v>146</v>
      </c>
      <c r="D21" s="68" t="s">
        <v>147</v>
      </c>
      <c r="E21" s="68" t="s">
        <v>148</v>
      </c>
      <c r="F21" s="68" t="s">
        <v>96</v>
      </c>
      <c r="G21" s="68" t="s">
        <v>105</v>
      </c>
      <c r="H21" s="69">
        <v>363853</v>
      </c>
      <c r="I21" s="66"/>
      <c r="J21" s="29"/>
      <c r="K21" s="29"/>
      <c r="L21" s="29"/>
      <c r="M21" s="29"/>
    </row>
    <row r="22" spans="1:13">
      <c r="A22" s="29">
        <v>20</v>
      </c>
      <c r="B22" s="70">
        <v>8398</v>
      </c>
      <c r="C22" s="71" t="s">
        <v>149</v>
      </c>
      <c r="D22" s="71" t="s">
        <v>111</v>
      </c>
      <c r="E22" s="71" t="s">
        <v>150</v>
      </c>
      <c r="F22" s="71" t="s">
        <v>104</v>
      </c>
      <c r="G22" s="71" t="s">
        <v>85</v>
      </c>
      <c r="H22" s="72">
        <v>289414</v>
      </c>
      <c r="I22" s="73"/>
      <c r="J22" s="29"/>
      <c r="K22" s="29"/>
      <c r="L22" s="29"/>
      <c r="M22" s="29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7131-75ED-4135-A91E-9F688AACAEC6}">
  <dimension ref="A1:M22"/>
  <sheetViews>
    <sheetView workbookViewId="0">
      <selection activeCell="B2" sqref="B2:I22"/>
    </sheetView>
  </sheetViews>
  <sheetFormatPr baseColWidth="10" defaultRowHeight="13.8"/>
  <cols>
    <col min="1" max="4" width="11.19921875" style="42"/>
    <col min="5" max="5" width="22.59765625" style="42" bestFit="1" customWidth="1"/>
    <col min="6" max="12" width="11.19921875" style="42"/>
    <col min="13" max="13" width="19.09765625" style="42" bestFit="1" customWidth="1"/>
    <col min="14" max="16384" width="11.19921875" style="42"/>
  </cols>
  <sheetData>
    <row r="1" spans="1:13" ht="27.6">
      <c r="A1" s="47" t="s">
        <v>74</v>
      </c>
      <c r="B1" s="47">
        <v>1</v>
      </c>
      <c r="C1" s="47">
        <v>2</v>
      </c>
      <c r="D1" s="47">
        <v>3</v>
      </c>
      <c r="E1" s="47">
        <v>4</v>
      </c>
      <c r="F1" s="47">
        <v>5</v>
      </c>
      <c r="G1" s="47">
        <v>6</v>
      </c>
      <c r="H1" s="47"/>
      <c r="I1" s="48"/>
      <c r="J1" s="48"/>
      <c r="K1" s="48"/>
      <c r="L1" s="48"/>
      <c r="M1" s="48"/>
    </row>
    <row r="2" spans="1:13">
      <c r="B2" s="81" t="s">
        <v>75</v>
      </c>
      <c r="C2" s="81" t="s">
        <v>0</v>
      </c>
      <c r="D2" s="81" t="s">
        <v>1</v>
      </c>
      <c r="E2" s="81" t="s">
        <v>76</v>
      </c>
      <c r="F2" s="81" t="s">
        <v>77</v>
      </c>
      <c r="G2" s="81" t="s">
        <v>78</v>
      </c>
      <c r="H2" s="81" t="s">
        <v>22</v>
      </c>
      <c r="I2" s="81" t="s">
        <v>79</v>
      </c>
      <c r="K2" s="46" t="s">
        <v>80</v>
      </c>
      <c r="L2" s="49" t="s">
        <v>75</v>
      </c>
      <c r="M2" s="88">
        <v>5493</v>
      </c>
    </row>
    <row r="3" spans="1:13">
      <c r="A3" s="42">
        <v>1</v>
      </c>
      <c r="B3" s="74">
        <v>3902</v>
      </c>
      <c r="C3" s="60" t="s">
        <v>81</v>
      </c>
      <c r="D3" s="60" t="s">
        <v>82</v>
      </c>
      <c r="E3" s="60" t="s">
        <v>83</v>
      </c>
      <c r="F3" s="60" t="s">
        <v>84</v>
      </c>
      <c r="G3" s="60" t="s">
        <v>85</v>
      </c>
      <c r="H3" s="61">
        <v>354788</v>
      </c>
      <c r="I3" s="78">
        <f>_xlfn.XLOOKUP(Tabelle_Umsatz[[#This Row],[Umsatz]],Tabelle_Bonus[Umsatz/Jahr],Tabelle_Bonus[Bonus],,-1)</f>
        <v>7.4999999999999997E-2</v>
      </c>
      <c r="L3" s="50" t="s">
        <v>76</v>
      </c>
      <c r="M3" s="51" t="str">
        <f>_xlfn.XLOOKUP($M$2,Tabelle_Umsatz[Pers.-Nr.],Tabelle_Umsatz[Email],"Nicht gefunden",0)</f>
        <v>frieda.kaester@DSI.de</v>
      </c>
    </row>
    <row r="4" spans="1:13">
      <c r="A4" s="42">
        <v>2</v>
      </c>
      <c r="B4" s="75">
        <v>1880</v>
      </c>
      <c r="C4" s="64" t="s">
        <v>86</v>
      </c>
      <c r="D4" s="64" t="s">
        <v>87</v>
      </c>
      <c r="E4" s="64" t="s">
        <v>88</v>
      </c>
      <c r="F4" s="64" t="s">
        <v>89</v>
      </c>
      <c r="G4" s="64" t="s">
        <v>90</v>
      </c>
      <c r="H4" s="65">
        <v>188074</v>
      </c>
      <c r="I4" s="79">
        <f>_xlfn.XLOOKUP(Tabelle_Umsatz[[#This Row],[Umsatz]],Tabelle_Bonus[Umsatz/Jahr],Tabelle_Bonus[Bonus],,-1)</f>
        <v>0.05</v>
      </c>
      <c r="L4" s="50" t="s">
        <v>77</v>
      </c>
      <c r="M4" s="51" t="str">
        <f>_xlfn.XLOOKUP($M$2,Tabelle_Umsatz[Pers.-Nr.],Tabelle_Umsatz[Abteilung],"Nicht gefunden",0)</f>
        <v>IT</v>
      </c>
    </row>
    <row r="5" spans="1:13">
      <c r="A5" s="42">
        <v>3</v>
      </c>
      <c r="B5" s="76">
        <v>9077</v>
      </c>
      <c r="C5" s="68" t="s">
        <v>86</v>
      </c>
      <c r="D5" s="68" t="s">
        <v>48</v>
      </c>
      <c r="E5" s="68" t="s">
        <v>91</v>
      </c>
      <c r="F5" s="68" t="s">
        <v>92</v>
      </c>
      <c r="G5" s="68" t="s">
        <v>90</v>
      </c>
      <c r="H5" s="69">
        <v>897473</v>
      </c>
      <c r="I5" s="79">
        <f>_xlfn.XLOOKUP(Tabelle_Umsatz[[#This Row],[Umsatz]],Tabelle_Bonus[Umsatz/Jahr],Tabelle_Bonus[Bonus],,-1)</f>
        <v>0.1</v>
      </c>
      <c r="L5" s="50" t="s">
        <v>78</v>
      </c>
      <c r="M5" s="51" t="str">
        <f>_xlfn.XLOOKUP($M$2,Tabelle_Umsatz[Pers.-Nr.],Tabelle_Umsatz[Anstellung],"Nicht gefunden",0)</f>
        <v>Freelancer</v>
      </c>
    </row>
    <row r="6" spans="1:13">
      <c r="A6" s="42">
        <v>4</v>
      </c>
      <c r="B6" s="75">
        <v>6888</v>
      </c>
      <c r="C6" s="64" t="s">
        <v>93</v>
      </c>
      <c r="D6" s="64" t="s">
        <v>94</v>
      </c>
      <c r="E6" s="64" t="s">
        <v>95</v>
      </c>
      <c r="F6" s="64" t="s">
        <v>96</v>
      </c>
      <c r="G6" s="64" t="s">
        <v>85</v>
      </c>
      <c r="H6" s="65">
        <v>1228477</v>
      </c>
      <c r="I6" s="79">
        <f>_xlfn.XLOOKUP(Tabelle_Umsatz[[#This Row],[Umsatz]],Tabelle_Bonus[Umsatz/Jahr],Tabelle_Bonus[Bonus],,-1)</f>
        <v>0.15</v>
      </c>
      <c r="L6" s="50" t="s">
        <v>97</v>
      </c>
      <c r="M6" s="51" t="str">
        <f>_xlfn.XLOOKUP($M$2,Tabelle_Umsatz[Pers.-Nr.],Tabelle_Umsatz[Vorname],"Nicht gefunden",0)&amp;" "&amp;_xlfn.XLOOKUP($M$2,Tabelle_Umsatz[Pers.-Nr.],Tabelle_Umsatz[Nachname],"Nicht gefunden",0)</f>
        <v>Frieda Käster</v>
      </c>
    </row>
    <row r="7" spans="1:13">
      <c r="A7" s="42">
        <v>5</v>
      </c>
      <c r="B7" s="76">
        <v>8170</v>
      </c>
      <c r="C7" s="68" t="s">
        <v>98</v>
      </c>
      <c r="D7" s="68" t="s">
        <v>99</v>
      </c>
      <c r="E7" s="68" t="s">
        <v>100</v>
      </c>
      <c r="F7" s="68" t="s">
        <v>92</v>
      </c>
      <c r="G7" s="68" t="s">
        <v>85</v>
      </c>
      <c r="H7" s="69">
        <v>424371</v>
      </c>
      <c r="I7" s="79">
        <f>_xlfn.XLOOKUP(Tabelle_Umsatz[[#This Row],[Umsatz]],Tabelle_Bonus[Umsatz/Jahr],Tabelle_Bonus[Bonus],,-1)</f>
        <v>7.4999999999999997E-2</v>
      </c>
    </row>
    <row r="8" spans="1:13">
      <c r="A8" s="42">
        <v>6</v>
      </c>
      <c r="B8" s="75">
        <v>7133</v>
      </c>
      <c r="C8" s="64" t="s">
        <v>101</v>
      </c>
      <c r="D8" s="64" t="s">
        <v>102</v>
      </c>
      <c r="E8" s="64" t="s">
        <v>103</v>
      </c>
      <c r="F8" s="64" t="s">
        <v>104</v>
      </c>
      <c r="G8" s="64" t="s">
        <v>105</v>
      </c>
      <c r="H8" s="65">
        <v>901880</v>
      </c>
      <c r="I8" s="79">
        <f>_xlfn.XLOOKUP(Tabelle_Umsatz[[#This Row],[Umsatz]],Tabelle_Bonus[Umsatz/Jahr],Tabelle_Bonus[Bonus],,-1)</f>
        <v>0.1</v>
      </c>
    </row>
    <row r="9" spans="1:13">
      <c r="A9" s="42">
        <v>7</v>
      </c>
      <c r="B9" s="76">
        <v>1506</v>
      </c>
      <c r="C9" s="68" t="s">
        <v>106</v>
      </c>
      <c r="D9" s="68" t="s">
        <v>107</v>
      </c>
      <c r="E9" s="68" t="s">
        <v>108</v>
      </c>
      <c r="F9" s="68" t="s">
        <v>109</v>
      </c>
      <c r="G9" s="68" t="s">
        <v>105</v>
      </c>
      <c r="H9" s="69">
        <v>279020</v>
      </c>
      <c r="I9" s="79">
        <f>_xlfn.XLOOKUP(Tabelle_Umsatz[[#This Row],[Umsatz]],Tabelle_Bonus[Umsatz/Jahr],Tabelle_Bonus[Bonus],,-1)</f>
        <v>7.4999999999999997E-2</v>
      </c>
      <c r="K9" s="46" t="s">
        <v>110</v>
      </c>
      <c r="L9" s="49" t="s">
        <v>1</v>
      </c>
      <c r="M9" s="50" t="s">
        <v>82</v>
      </c>
    </row>
    <row r="10" spans="1:13">
      <c r="A10" s="42">
        <v>8</v>
      </c>
      <c r="B10" s="75">
        <v>9749</v>
      </c>
      <c r="C10" s="64" t="s">
        <v>112</v>
      </c>
      <c r="D10" s="64" t="s">
        <v>113</v>
      </c>
      <c r="E10" s="64" t="s">
        <v>114</v>
      </c>
      <c r="F10" s="64" t="s">
        <v>109</v>
      </c>
      <c r="G10" s="64" t="s">
        <v>85</v>
      </c>
      <c r="H10" s="65">
        <v>854886</v>
      </c>
      <c r="I10" s="79">
        <f>_xlfn.XLOOKUP(Tabelle_Umsatz[[#This Row],[Umsatz]],Tabelle_Bonus[Umsatz/Jahr],Tabelle_Bonus[Bonus],,-1)</f>
        <v>0.1</v>
      </c>
      <c r="L10" s="50" t="s">
        <v>77</v>
      </c>
      <c r="M10" s="52" t="str">
        <f>_xlfn.XLOOKUP($M$9,Tabelle_Umsatz[Nachname],Tabelle_Umsatz[Abteilung],"Nicht gefunden",0)</f>
        <v>Produktion</v>
      </c>
    </row>
    <row r="11" spans="1:13">
      <c r="A11" s="42">
        <v>9</v>
      </c>
      <c r="B11" s="76">
        <v>7741</v>
      </c>
      <c r="C11" s="68" t="s">
        <v>115</v>
      </c>
      <c r="D11" s="68" t="s">
        <v>116</v>
      </c>
      <c r="E11" s="68" t="s">
        <v>117</v>
      </c>
      <c r="F11" s="68" t="s">
        <v>92</v>
      </c>
      <c r="G11" s="68" t="s">
        <v>105</v>
      </c>
      <c r="H11" s="69">
        <v>91683</v>
      </c>
      <c r="I11" s="79">
        <f>_xlfn.XLOOKUP(Tabelle_Umsatz[[#This Row],[Umsatz]],Tabelle_Bonus[Umsatz/Jahr],Tabelle_Bonus[Bonus],,-1)</f>
        <v>2.5000000000000001E-2</v>
      </c>
      <c r="L11" s="50" t="s">
        <v>75</v>
      </c>
      <c r="M11" s="52">
        <f>_xlfn.XLOOKUP($M$9,Tabelle_Umsatz[Nachname],Tabelle_Umsatz[Pers.-Nr.],"Nicht gefunden",0)</f>
        <v>3902</v>
      </c>
    </row>
    <row r="12" spans="1:13">
      <c r="A12" s="42">
        <v>10</v>
      </c>
      <c r="B12" s="75">
        <v>9512</v>
      </c>
      <c r="C12" s="64" t="s">
        <v>118</v>
      </c>
      <c r="D12" s="64" t="s">
        <v>119</v>
      </c>
      <c r="E12" s="64" t="s">
        <v>120</v>
      </c>
      <c r="F12" s="64" t="s">
        <v>104</v>
      </c>
      <c r="G12" s="64" t="s">
        <v>105</v>
      </c>
      <c r="H12" s="65">
        <v>934650</v>
      </c>
      <c r="I12" s="79">
        <f>_xlfn.XLOOKUP(Tabelle_Umsatz[[#This Row],[Umsatz]],Tabelle_Bonus[Umsatz/Jahr],Tabelle_Bonus[Bonus],,-1)</f>
        <v>0.1</v>
      </c>
    </row>
    <row r="13" spans="1:13">
      <c r="A13" s="42">
        <v>11</v>
      </c>
      <c r="B13" s="76">
        <v>7081</v>
      </c>
      <c r="C13" s="68" t="s">
        <v>121</v>
      </c>
      <c r="D13" s="68" t="s">
        <v>122</v>
      </c>
      <c r="E13" s="68" t="s">
        <v>123</v>
      </c>
      <c r="F13" s="68" t="s">
        <v>104</v>
      </c>
      <c r="G13" s="68" t="s">
        <v>85</v>
      </c>
      <c r="H13" s="69">
        <v>8677</v>
      </c>
      <c r="I13" s="79">
        <f>_xlfn.XLOOKUP(Tabelle_Umsatz[[#This Row],[Umsatz]],Tabelle_Bonus[Umsatz/Jahr],Tabelle_Bonus[Bonus],,-1)</f>
        <v>0</v>
      </c>
      <c r="K13" s="54"/>
    </row>
    <row r="14" spans="1:13">
      <c r="A14" s="42">
        <v>12</v>
      </c>
      <c r="B14" s="75">
        <v>1247</v>
      </c>
      <c r="C14" s="64" t="s">
        <v>124</v>
      </c>
      <c r="D14" s="64" t="s">
        <v>125</v>
      </c>
      <c r="E14" s="64" t="s">
        <v>126</v>
      </c>
      <c r="F14" s="64" t="s">
        <v>109</v>
      </c>
      <c r="G14" s="64" t="s">
        <v>90</v>
      </c>
      <c r="H14" s="65">
        <v>13568</v>
      </c>
      <c r="I14" s="79">
        <f>_xlfn.XLOOKUP(Tabelle_Umsatz[[#This Row],[Umsatz]],Tabelle_Bonus[Umsatz/Jahr],Tabelle_Bonus[Bonus],,-1)</f>
        <v>0.01</v>
      </c>
    </row>
    <row r="15" spans="1:13">
      <c r="A15" s="42">
        <v>13</v>
      </c>
      <c r="B15" s="76">
        <v>5493</v>
      </c>
      <c r="C15" s="68" t="s">
        <v>127</v>
      </c>
      <c r="D15" s="68" t="s">
        <v>128</v>
      </c>
      <c r="E15" s="68" t="s">
        <v>129</v>
      </c>
      <c r="F15" s="68" t="s">
        <v>96</v>
      </c>
      <c r="G15" s="68" t="s">
        <v>85</v>
      </c>
      <c r="H15" s="69">
        <v>790574</v>
      </c>
      <c r="I15" s="79">
        <f>_xlfn.XLOOKUP(Tabelle_Umsatz[[#This Row],[Umsatz]],Tabelle_Bonus[Umsatz/Jahr],Tabelle_Bonus[Bonus],,-1)</f>
        <v>0.1</v>
      </c>
    </row>
    <row r="16" spans="1:13">
      <c r="A16" s="42">
        <v>14</v>
      </c>
      <c r="B16" s="75">
        <v>6690</v>
      </c>
      <c r="C16" s="64" t="s">
        <v>130</v>
      </c>
      <c r="D16" s="64" t="s">
        <v>131</v>
      </c>
      <c r="E16" s="64" t="s">
        <v>132</v>
      </c>
      <c r="F16" s="64" t="s">
        <v>104</v>
      </c>
      <c r="G16" s="64" t="s">
        <v>85</v>
      </c>
      <c r="H16" s="65">
        <v>407280</v>
      </c>
      <c r="I16" s="79">
        <f>_xlfn.XLOOKUP(Tabelle_Umsatz[[#This Row],[Umsatz]],Tabelle_Bonus[Umsatz/Jahr],Tabelle_Bonus[Bonus],,-1)</f>
        <v>7.4999999999999997E-2</v>
      </c>
    </row>
    <row r="17" spans="1:13">
      <c r="A17" s="42">
        <v>15</v>
      </c>
      <c r="B17" s="76">
        <v>9942</v>
      </c>
      <c r="C17" s="68" t="s">
        <v>133</v>
      </c>
      <c r="D17" s="68" t="s">
        <v>134</v>
      </c>
      <c r="E17" s="68" t="s">
        <v>135</v>
      </c>
      <c r="F17" s="68" t="s">
        <v>96</v>
      </c>
      <c r="G17" s="68" t="s">
        <v>105</v>
      </c>
      <c r="H17" s="69">
        <v>1002266</v>
      </c>
      <c r="I17" s="79">
        <f>_xlfn.XLOOKUP(Tabelle_Umsatz[[#This Row],[Umsatz]],Tabelle_Bonus[Umsatz/Jahr],Tabelle_Bonus[Bonus],,-1)</f>
        <v>0.15</v>
      </c>
      <c r="K17" s="46" t="s">
        <v>136</v>
      </c>
      <c r="L17" s="49" t="s">
        <v>22</v>
      </c>
      <c r="M17" s="22">
        <v>500</v>
      </c>
    </row>
    <row r="18" spans="1:13">
      <c r="A18" s="42">
        <v>16</v>
      </c>
      <c r="B18" s="75">
        <v>8736</v>
      </c>
      <c r="C18" s="64" t="s">
        <v>137</v>
      </c>
      <c r="D18" s="64" t="s">
        <v>138</v>
      </c>
      <c r="E18" s="64" t="s">
        <v>139</v>
      </c>
      <c r="F18" s="64" t="s">
        <v>84</v>
      </c>
      <c r="G18" s="64" t="s">
        <v>90</v>
      </c>
      <c r="H18" s="65">
        <v>195971</v>
      </c>
      <c r="I18" s="79">
        <f>_xlfn.XLOOKUP(Tabelle_Umsatz[[#This Row],[Umsatz]],Tabelle_Bonus[Umsatz/Jahr],Tabelle_Bonus[Bonus],,-1)</f>
        <v>0.05</v>
      </c>
      <c r="L18" s="50" t="s">
        <v>79</v>
      </c>
      <c r="M18" s="86">
        <f>_xlfn.XLOOKUP($M$17,Tabelle_Bonus[Umsatz/Jahr],Tabelle_Bonus[Bonus],,-1)</f>
        <v>0</v>
      </c>
    </row>
    <row r="19" spans="1:13">
      <c r="A19" s="42">
        <v>17</v>
      </c>
      <c r="B19" s="76">
        <v>7036</v>
      </c>
      <c r="C19" s="68" t="s">
        <v>140</v>
      </c>
      <c r="D19" s="68" t="s">
        <v>141</v>
      </c>
      <c r="E19" s="68" t="s">
        <v>142</v>
      </c>
      <c r="F19" s="68" t="s">
        <v>92</v>
      </c>
      <c r="G19" s="68" t="s">
        <v>85</v>
      </c>
      <c r="H19" s="69">
        <v>298077</v>
      </c>
      <c r="I19" s="79">
        <f>_xlfn.XLOOKUP(Tabelle_Umsatz[[#This Row],[Umsatz]],Tabelle_Bonus[Umsatz/Jahr],Tabelle_Bonus[Bonus],,-1)</f>
        <v>7.4999999999999997E-2</v>
      </c>
    </row>
    <row r="20" spans="1:13">
      <c r="A20" s="42">
        <v>18</v>
      </c>
      <c r="B20" s="75">
        <v>8062</v>
      </c>
      <c r="C20" s="64" t="s">
        <v>143</v>
      </c>
      <c r="D20" s="64" t="s">
        <v>144</v>
      </c>
      <c r="E20" s="64" t="s">
        <v>145</v>
      </c>
      <c r="F20" s="64" t="s">
        <v>96</v>
      </c>
      <c r="G20" s="64" t="s">
        <v>90</v>
      </c>
      <c r="H20" s="65">
        <v>1203029</v>
      </c>
      <c r="I20" s="79">
        <f>_xlfn.XLOOKUP(Tabelle_Umsatz[[#This Row],[Umsatz]],Tabelle_Bonus[Umsatz/Jahr],Tabelle_Bonus[Bonus],,-1)</f>
        <v>0.15</v>
      </c>
    </row>
    <row r="21" spans="1:13">
      <c r="A21" s="42">
        <v>19</v>
      </c>
      <c r="B21" s="76">
        <v>5266</v>
      </c>
      <c r="C21" s="68" t="s">
        <v>146</v>
      </c>
      <c r="D21" s="68" t="s">
        <v>147</v>
      </c>
      <c r="E21" s="68" t="s">
        <v>148</v>
      </c>
      <c r="F21" s="68" t="s">
        <v>96</v>
      </c>
      <c r="G21" s="68" t="s">
        <v>105</v>
      </c>
      <c r="H21" s="69">
        <v>363853</v>
      </c>
      <c r="I21" s="79">
        <f>_xlfn.XLOOKUP(Tabelle_Umsatz[[#This Row],[Umsatz]],Tabelle_Bonus[Umsatz/Jahr],Tabelle_Bonus[Bonus],,-1)</f>
        <v>7.4999999999999997E-2</v>
      </c>
    </row>
    <row r="22" spans="1:13">
      <c r="A22" s="42">
        <v>20</v>
      </c>
      <c r="B22" s="77">
        <v>8398</v>
      </c>
      <c r="C22" s="71" t="s">
        <v>149</v>
      </c>
      <c r="D22" s="71" t="s">
        <v>111</v>
      </c>
      <c r="E22" s="71" t="s">
        <v>150</v>
      </c>
      <c r="F22" s="71" t="s">
        <v>104</v>
      </c>
      <c r="G22" s="71" t="s">
        <v>85</v>
      </c>
      <c r="H22" s="72">
        <v>289414</v>
      </c>
      <c r="I22" s="80">
        <f>_xlfn.XLOOKUP(Tabelle_Umsatz[[#This Row],[Umsatz]],Tabelle_Bonus[Umsatz/Jahr],Tabelle_Bonus[Bonus],,-1)</f>
        <v>7.4999999999999997E-2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D4A4-56AC-41DA-94DE-9F59D922897A}">
  <dimension ref="B2:G18"/>
  <sheetViews>
    <sheetView workbookViewId="0">
      <selection activeCell="G14" sqref="G14"/>
    </sheetView>
  </sheetViews>
  <sheetFormatPr baseColWidth="10" defaultRowHeight="13.8"/>
  <cols>
    <col min="3" max="3" width="15" customWidth="1"/>
    <col min="4" max="4" width="14.19921875" bestFit="1" customWidth="1"/>
    <col min="5" max="5" width="17.3984375" customWidth="1"/>
    <col min="7" max="7" width="21.296875" customWidth="1"/>
  </cols>
  <sheetData>
    <row r="2" spans="2:7">
      <c r="B2" s="91" t="s">
        <v>151</v>
      </c>
      <c r="C2" s="92" t="s">
        <v>22</v>
      </c>
      <c r="D2" s="92" t="s">
        <v>152</v>
      </c>
      <c r="E2" s="92" t="s">
        <v>153</v>
      </c>
      <c r="F2" s="92" t="s">
        <v>154</v>
      </c>
      <c r="G2" s="93" t="s">
        <v>155</v>
      </c>
    </row>
    <row r="3" spans="2:7">
      <c r="B3" s="89" t="s">
        <v>156</v>
      </c>
      <c r="C3" s="87">
        <v>52234.35</v>
      </c>
      <c r="D3" s="41">
        <f>_xlfn.XLOOKUP(Tabelle_Beschaftigte[[#This Row],[Standort]],Tabelle_Standort[Standort],Tabelle_Standort[Beschäftigte],"Nicht gefunden",0)</f>
        <v>961</v>
      </c>
      <c r="E3" s="51">
        <f>_xlfn.XLOOKUP(Tabelle_Beschaftigte[[#This Row],[Standort]],Tabelle_Standort[Standort],Tabelle_Standort[Beschäftigte],"Nicht gefunden",0,-1)</f>
        <v>961</v>
      </c>
      <c r="F3" s="100">
        <f>_xlfn.XLOOKUP(Tabelle_Beschaftigte[[#This Row],[Umsatz]],Tabelle_Bonus[Umsatz/Jahr],Tabelle_Bonus[Stufe],,-1)</f>
        <v>2</v>
      </c>
      <c r="G3" s="90">
        <f>IFERROR(Tabelle_Beschaftigte[[#This Row],[Beschäftigte aktuell]]-Tabelle_Beschaftigte[[#This Row],[Beschäftigte]],"Nicht gefunden")</f>
        <v>0</v>
      </c>
    </row>
    <row r="4" spans="2:7">
      <c r="B4" s="89" t="s">
        <v>157</v>
      </c>
      <c r="C4" s="87">
        <v>33723.339999999997</v>
      </c>
      <c r="D4" s="41">
        <f>_xlfn.XLOOKUP(Tabelle_Beschaftigte[[#This Row],[Standort]],Tabelle_Standort[Standort],Tabelle_Standort[Beschäftigte],"Nicht gefunden",0)</f>
        <v>1274</v>
      </c>
      <c r="E4" s="41">
        <f>_xlfn.XLOOKUP(Tabelle_Beschaftigte[[#This Row],[Standort]],Tabelle_Standort[Standort],Tabelle_Standort[Beschäftigte],"Nicht gefunden",0,-1)</f>
        <v>1274</v>
      </c>
      <c r="F4" s="100">
        <f>_xlfn.XLOOKUP(Tabelle_Beschaftigte[[#This Row],[Umsatz]],Tabelle_Bonus[Umsatz/Jahr],Tabelle_Bonus[Stufe],,-1)</f>
        <v>1</v>
      </c>
      <c r="G4" s="90">
        <f>IFERROR(Tabelle_Beschaftigte[[#This Row],[Beschäftigte aktuell]]-Tabelle_Beschaftigte[[#This Row],[Beschäftigte]],"Nicht gefunden")</f>
        <v>0</v>
      </c>
    </row>
    <row r="5" spans="2:7">
      <c r="B5" s="89" t="s">
        <v>158</v>
      </c>
      <c r="C5" s="87">
        <v>151384.94</v>
      </c>
      <c r="D5" s="41">
        <f>_xlfn.XLOOKUP(Tabelle_Beschaftigte[[#This Row],[Standort]],Tabelle_Standort[Standort],Tabelle_Standort[Beschäftigte],"Nicht gefunden",0)</f>
        <v>423</v>
      </c>
      <c r="E5" s="41">
        <f>_xlfn.XLOOKUP(Tabelle_Beschaftigte[[#This Row],[Standort]],Tabelle_Standort[Standort],Tabelle_Standort[Beschäftigte],"Nicht gefunden",0,-1)</f>
        <v>423</v>
      </c>
      <c r="F5" s="100">
        <f>_xlfn.XLOOKUP(Tabelle_Beschaftigte[[#This Row],[Umsatz]],Tabelle_Bonus[Umsatz/Jahr],Tabelle_Bonus[Stufe],,-1)</f>
        <v>3</v>
      </c>
      <c r="G5" s="90">
        <f>IFERROR(Tabelle_Beschaftigte[[#This Row],[Beschäftigte aktuell]]-Tabelle_Beschaftigte[[#This Row],[Beschäftigte]],"Nicht gefunden")</f>
        <v>0</v>
      </c>
    </row>
    <row r="6" spans="2:7">
      <c r="B6" s="89" t="s">
        <v>159</v>
      </c>
      <c r="C6" s="87">
        <v>243728.55</v>
      </c>
      <c r="D6" s="41">
        <f>_xlfn.XLOOKUP(Tabelle_Beschaftigte[[#This Row],[Standort]],Tabelle_Standort[Standort],Tabelle_Standort[Beschäftigte],"Nicht gefunden",0)</f>
        <v>2512</v>
      </c>
      <c r="E6" s="41">
        <f>_xlfn.XLOOKUP(Tabelle_Beschaftigte[[#This Row],[Standort]],Tabelle_Standort[Standort],Tabelle_Standort[Beschäftigte],"Nicht gefunden",0,-1)</f>
        <v>2646</v>
      </c>
      <c r="F6" s="100">
        <f>_xlfn.XLOOKUP(Tabelle_Beschaftigte[[#This Row],[Umsatz]],Tabelle_Bonus[Umsatz/Jahr],Tabelle_Bonus[Stufe],,-1)</f>
        <v>3</v>
      </c>
      <c r="G6" s="90">
        <f>IFERROR(Tabelle_Beschaftigte[[#This Row],[Beschäftigte aktuell]]-Tabelle_Beschaftigte[[#This Row],[Beschäftigte]],"Nicht gefunden")</f>
        <v>134</v>
      </c>
    </row>
    <row r="7" spans="2:7">
      <c r="B7" s="89" t="s">
        <v>160</v>
      </c>
      <c r="C7" s="87">
        <v>1639234.76</v>
      </c>
      <c r="D7" s="41">
        <f>_xlfn.XLOOKUP(Tabelle_Beschaftigte[[#This Row],[Standort]],Tabelle_Standort[Standort],Tabelle_Standort[Beschäftigte],"Nicht gefunden",0)</f>
        <v>1923</v>
      </c>
      <c r="E7" s="41">
        <f>_xlfn.XLOOKUP(Tabelle_Beschaftigte[[#This Row],[Standort]],Tabelle_Standort[Standort],Tabelle_Standort[Beschäftigte],"Nicht gefunden",0,-1)</f>
        <v>1788</v>
      </c>
      <c r="F7" s="100">
        <f>_xlfn.XLOOKUP(Tabelle_Beschaftigte[[#This Row],[Umsatz]],Tabelle_Bonus[Umsatz/Jahr],Tabelle_Bonus[Stufe],,-1)</f>
        <v>6</v>
      </c>
      <c r="G7" s="90">
        <f>IFERROR(Tabelle_Beschaftigte[[#This Row],[Beschäftigte aktuell]]-Tabelle_Beschaftigte[[#This Row],[Beschäftigte]],"Nicht gefunden")</f>
        <v>-135</v>
      </c>
    </row>
    <row r="8" spans="2:7">
      <c r="B8" s="89" t="s">
        <v>161</v>
      </c>
      <c r="C8" s="87">
        <v>934650.02</v>
      </c>
      <c r="D8" s="41">
        <f>_xlfn.XLOOKUP(Tabelle_Beschaftigte[[#This Row],[Standort]],Tabelle_Standort[Standort],Tabelle_Standort[Beschäftigte],"Nicht gefunden",0)</f>
        <v>224</v>
      </c>
      <c r="E8" s="41">
        <f>_xlfn.XLOOKUP(Tabelle_Beschaftigte[[#This Row],[Standort]],Tabelle_Standort[Standort],Tabelle_Standort[Beschäftigte],"Nicht gefunden",0,-1)</f>
        <v>225</v>
      </c>
      <c r="F8" s="100">
        <f>_xlfn.XLOOKUP(Tabelle_Beschaftigte[[#This Row],[Umsatz]],Tabelle_Bonus[Umsatz/Jahr],Tabelle_Bonus[Stufe],,-1)</f>
        <v>5</v>
      </c>
      <c r="G8" s="90">
        <f>IFERROR(Tabelle_Beschaftigte[[#This Row],[Beschäftigte aktuell]]-Tabelle_Beschaftigte[[#This Row],[Beschäftigte]],"Nicht gefunden")</f>
        <v>1</v>
      </c>
    </row>
    <row r="9" spans="2:7">
      <c r="B9" s="89" t="s">
        <v>162</v>
      </c>
      <c r="C9" s="87">
        <v>8677.51</v>
      </c>
      <c r="D9" s="41">
        <f>_xlfn.XLOOKUP(Tabelle_Beschaftigte[[#This Row],[Standort]],Tabelle_Standort[Standort],Tabelle_Standort[Beschäftigte],"Nicht gefunden",0)</f>
        <v>624</v>
      </c>
      <c r="E9" s="41">
        <f>_xlfn.XLOOKUP(Tabelle_Beschaftigte[[#This Row],[Standort]],Tabelle_Standort[Standort],Tabelle_Standort[Beschäftigte],"Nicht gefunden",0,-1)</f>
        <v>629</v>
      </c>
      <c r="F9" s="100">
        <f>_xlfn.XLOOKUP(Tabelle_Beschaftigte[[#This Row],[Umsatz]],Tabelle_Bonus[Umsatz/Jahr],Tabelle_Bonus[Stufe],,-1)</f>
        <v>0</v>
      </c>
      <c r="G9" s="90">
        <f>IFERROR(Tabelle_Beschaftigte[[#This Row],[Beschäftigte aktuell]]-Tabelle_Beschaftigte[[#This Row],[Beschäftigte]],"Nicht gefunden")</f>
        <v>5</v>
      </c>
    </row>
    <row r="10" spans="2:7">
      <c r="B10" s="89" t="s">
        <v>163</v>
      </c>
      <c r="C10" s="87">
        <v>13568.33</v>
      </c>
      <c r="D10" s="41">
        <f>_xlfn.XLOOKUP(Tabelle_Beschaftigte[[#This Row],[Standort]],Tabelle_Standort[Standort],Tabelle_Standort[Beschäftigte],"Nicht gefunden",0)</f>
        <v>243</v>
      </c>
      <c r="E10" s="41">
        <f>_xlfn.XLOOKUP(Tabelle_Beschaftigte[[#This Row],[Standort]],Tabelle_Standort[Standort],Tabelle_Standort[Beschäftigte],"Nicht gefunden",0,-1)</f>
        <v>236</v>
      </c>
      <c r="F10" s="100">
        <f>_xlfn.XLOOKUP(Tabelle_Beschaftigte[[#This Row],[Umsatz]],Tabelle_Bonus[Umsatz/Jahr],Tabelle_Bonus[Stufe],,-1)</f>
        <v>1</v>
      </c>
      <c r="G10" s="90">
        <f>IFERROR(Tabelle_Beschaftigte[[#This Row],[Beschäftigte aktuell]]-Tabelle_Beschaftigte[[#This Row],[Beschäftigte]],"Nicht gefunden")</f>
        <v>-7</v>
      </c>
    </row>
    <row r="11" spans="2:7">
      <c r="B11" s="89" t="s">
        <v>164</v>
      </c>
      <c r="C11" s="87">
        <v>790574.39</v>
      </c>
      <c r="D11" s="41">
        <f>_xlfn.XLOOKUP(Tabelle_Beschaftigte[[#This Row],[Standort]],Tabelle_Standort[Standort],Tabelle_Standort[Beschäftigte],"Nicht gefunden",0)</f>
        <v>243</v>
      </c>
      <c r="E11" s="41">
        <f>_xlfn.XLOOKUP(Tabelle_Beschaftigte[[#This Row],[Standort]],Tabelle_Standort[Standort],Tabelle_Standort[Beschäftigte],"Nicht gefunden",0,-1)</f>
        <v>243</v>
      </c>
      <c r="F11" s="100">
        <f>_xlfn.XLOOKUP(Tabelle_Beschaftigte[[#This Row],[Umsatz]],Tabelle_Bonus[Umsatz/Jahr],Tabelle_Bonus[Stufe],,-1)</f>
        <v>5</v>
      </c>
      <c r="G11" s="90">
        <f>IFERROR(Tabelle_Beschaftigte[[#This Row],[Beschäftigte aktuell]]-Tabelle_Beschaftigte[[#This Row],[Beschäftigte]],"Nicht gefunden")</f>
        <v>0</v>
      </c>
    </row>
    <row r="12" spans="2:7">
      <c r="B12" s="89" t="s">
        <v>165</v>
      </c>
      <c r="C12" s="87">
        <v>407280.28</v>
      </c>
      <c r="D12" s="41">
        <f>_xlfn.XLOOKUP(Tabelle_Beschaftigte[[#This Row],[Standort]],Tabelle_Standort[Standort],Tabelle_Standort[Beschäftigte],"Nicht gefunden",0)</f>
        <v>344</v>
      </c>
      <c r="E12" s="41">
        <f>_xlfn.XLOOKUP(Tabelle_Beschaftigte[[#This Row],[Standort]],Tabelle_Standort[Standort],Tabelle_Standort[Beschäftigte],"Nicht gefunden",0,-1)</f>
        <v>344</v>
      </c>
      <c r="F12" s="100">
        <f>_xlfn.XLOOKUP(Tabelle_Beschaftigte[[#This Row],[Umsatz]],Tabelle_Bonus[Umsatz/Jahr],Tabelle_Bonus[Stufe],,-1)</f>
        <v>4</v>
      </c>
      <c r="G12" s="90">
        <f>IFERROR(Tabelle_Beschaftigte[[#This Row],[Beschäftigte aktuell]]-Tabelle_Beschaftigte[[#This Row],[Beschäftigte]],"Nicht gefunden")</f>
        <v>0</v>
      </c>
    </row>
    <row r="13" spans="2:7">
      <c r="B13" s="94" t="s">
        <v>166</v>
      </c>
      <c r="C13" s="99">
        <v>100266.67</v>
      </c>
      <c r="D13" s="18" t="str">
        <f>_xlfn.XLOOKUP(Tabelle_Beschaftigte[[#This Row],[Standort]],Tabelle_Standort[Standort],Tabelle_Standort[Beschäftigte],"Nicht gefunden",0)</f>
        <v>Nicht gefunden</v>
      </c>
      <c r="E13" s="18" t="str">
        <f>_xlfn.XLOOKUP(Tabelle_Beschaftigte[[#This Row],[Standort]],Tabelle_Standort[Standort],Tabelle_Standort[Beschäftigte],"Nicht gefunden",0,-1)</f>
        <v>Nicht gefunden</v>
      </c>
      <c r="F13" s="101">
        <f>_xlfn.XLOOKUP(Tabelle_Beschaftigte[[#This Row],[Umsatz]],Tabelle_Bonus[Umsatz/Jahr],Tabelle_Bonus[Stufe],,-1)</f>
        <v>3</v>
      </c>
      <c r="G13" s="95" t="str">
        <f>IFERROR(Tabelle_Beschaftigte[[#This Row],[Beschäftigte aktuell]]-Tabelle_Beschaftigte[[#This Row],[Beschäftigte]],"Nicht gefunden")</f>
        <v>Nicht gefunden</v>
      </c>
    </row>
    <row r="18" spans="4:4">
      <c r="D18" s="53"/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E50A-717E-4469-B206-8FCA2B593152}">
  <dimension ref="B2:I17"/>
  <sheetViews>
    <sheetView workbookViewId="0">
      <selection activeCell="F2" sqref="F2"/>
    </sheetView>
  </sheetViews>
  <sheetFormatPr baseColWidth="10" defaultRowHeight="13.8"/>
  <cols>
    <col min="3" max="3" width="11.8984375" customWidth="1"/>
    <col min="7" max="7" width="11.8984375" customWidth="1"/>
  </cols>
  <sheetData>
    <row r="2" spans="2:9">
      <c r="B2" s="83" t="s">
        <v>154</v>
      </c>
      <c r="C2" s="83" t="s">
        <v>167</v>
      </c>
      <c r="D2" s="83" t="s">
        <v>79</v>
      </c>
      <c r="E2" s="42"/>
      <c r="F2" s="83" t="s">
        <v>168</v>
      </c>
      <c r="G2" s="83" t="s">
        <v>152</v>
      </c>
      <c r="H2" s="83" t="s">
        <v>151</v>
      </c>
      <c r="I2" s="42"/>
    </row>
    <row r="3" spans="2:9">
      <c r="B3" s="55">
        <v>0</v>
      </c>
      <c r="C3" s="44">
        <v>0</v>
      </c>
      <c r="D3" s="82">
        <v>0</v>
      </c>
      <c r="E3" s="42"/>
      <c r="F3" s="85">
        <v>45017</v>
      </c>
      <c r="G3" s="42">
        <v>961</v>
      </c>
      <c r="H3" s="55" t="s">
        <v>156</v>
      </c>
      <c r="I3" s="42"/>
    </row>
    <row r="4" spans="2:9">
      <c r="B4" s="55">
        <v>1</v>
      </c>
      <c r="C4" s="44">
        <v>10000</v>
      </c>
      <c r="D4" s="82">
        <v>0.01</v>
      </c>
      <c r="E4" s="42"/>
      <c r="F4" s="85">
        <v>45017</v>
      </c>
      <c r="G4" s="42">
        <v>1274</v>
      </c>
      <c r="H4" s="55" t="s">
        <v>157</v>
      </c>
      <c r="I4" s="42"/>
    </row>
    <row r="5" spans="2:9">
      <c r="B5" s="55">
        <v>2</v>
      </c>
      <c r="C5" s="44">
        <v>50000</v>
      </c>
      <c r="D5" s="82">
        <v>2.5000000000000001E-2</v>
      </c>
      <c r="E5" s="42"/>
      <c r="F5" s="85">
        <v>45017</v>
      </c>
      <c r="G5" s="42">
        <v>423</v>
      </c>
      <c r="H5" s="55" t="s">
        <v>158</v>
      </c>
      <c r="I5" s="42"/>
    </row>
    <row r="6" spans="2:9">
      <c r="B6" s="55">
        <v>3</v>
      </c>
      <c r="C6" s="44">
        <v>100000</v>
      </c>
      <c r="D6" s="82">
        <v>0.05</v>
      </c>
      <c r="E6" s="42"/>
      <c r="F6" s="85">
        <v>45019</v>
      </c>
      <c r="G6" s="42">
        <v>2512</v>
      </c>
      <c r="H6" s="55" t="s">
        <v>159</v>
      </c>
      <c r="I6" s="42"/>
    </row>
    <row r="7" spans="2:9">
      <c r="B7" s="55">
        <v>4</v>
      </c>
      <c r="C7" s="44">
        <v>250000</v>
      </c>
      <c r="D7" s="82">
        <v>7.4999999999999997E-2</v>
      </c>
      <c r="E7" s="42"/>
      <c r="F7" s="85">
        <v>45019</v>
      </c>
      <c r="G7" s="42">
        <v>1923</v>
      </c>
      <c r="H7" s="55" t="s">
        <v>160</v>
      </c>
      <c r="I7" s="42"/>
    </row>
    <row r="8" spans="2:9">
      <c r="B8" s="55">
        <v>5</v>
      </c>
      <c r="C8" s="44">
        <v>500000</v>
      </c>
      <c r="D8" s="82">
        <v>0.1</v>
      </c>
      <c r="E8" s="42"/>
      <c r="F8" s="85">
        <v>45019</v>
      </c>
      <c r="G8" s="42">
        <v>224</v>
      </c>
      <c r="H8" s="55" t="s">
        <v>161</v>
      </c>
      <c r="I8" s="42"/>
    </row>
    <row r="9" spans="2:9">
      <c r="B9" s="55">
        <v>6</v>
      </c>
      <c r="C9" s="84">
        <v>1000000</v>
      </c>
      <c r="D9" s="82">
        <v>0.15</v>
      </c>
      <c r="E9" s="42"/>
      <c r="F9" s="85">
        <v>45020</v>
      </c>
      <c r="G9" s="42">
        <v>624</v>
      </c>
      <c r="H9" s="55" t="s">
        <v>162</v>
      </c>
      <c r="I9" s="42"/>
    </row>
    <row r="10" spans="2:9">
      <c r="B10" s="42"/>
      <c r="C10" s="43" t="s">
        <v>169</v>
      </c>
      <c r="D10" s="42"/>
      <c r="E10" s="42"/>
      <c r="F10" s="85">
        <v>45021</v>
      </c>
      <c r="G10" s="42">
        <v>243</v>
      </c>
      <c r="H10" s="55" t="s">
        <v>163</v>
      </c>
      <c r="I10" s="42"/>
    </row>
    <row r="11" spans="2:9">
      <c r="B11" s="42"/>
      <c r="C11" s="42"/>
      <c r="D11" s="42"/>
      <c r="E11" s="42"/>
      <c r="F11" s="85">
        <v>45022</v>
      </c>
      <c r="G11" s="42">
        <v>243</v>
      </c>
      <c r="H11" s="55" t="s">
        <v>164</v>
      </c>
      <c r="I11" s="42"/>
    </row>
    <row r="12" spans="2:9">
      <c r="B12" s="42"/>
      <c r="C12" s="42"/>
      <c r="D12" s="42"/>
      <c r="E12" s="42"/>
      <c r="F12" s="85">
        <v>45022</v>
      </c>
      <c r="G12" s="42">
        <v>344</v>
      </c>
      <c r="H12" s="55" t="s">
        <v>165</v>
      </c>
      <c r="I12" s="42"/>
    </row>
    <row r="13" spans="2:9">
      <c r="B13" s="42"/>
      <c r="C13" s="42"/>
      <c r="D13" s="42"/>
      <c r="E13" s="42"/>
      <c r="F13" s="85">
        <v>45203</v>
      </c>
      <c r="G13" s="42">
        <v>2646</v>
      </c>
      <c r="H13" s="55" t="s">
        <v>159</v>
      </c>
      <c r="I13" s="45"/>
    </row>
    <row r="14" spans="2:9">
      <c r="B14" s="42"/>
      <c r="C14" s="42"/>
      <c r="D14" s="42"/>
      <c r="E14" s="42"/>
      <c r="F14" s="85">
        <v>45203</v>
      </c>
      <c r="G14" s="42">
        <v>1788</v>
      </c>
      <c r="H14" s="55" t="s">
        <v>160</v>
      </c>
      <c r="I14" s="45"/>
    </row>
    <row r="15" spans="2:9">
      <c r="B15" s="42"/>
      <c r="C15" s="42"/>
      <c r="D15" s="42"/>
      <c r="E15" s="42"/>
      <c r="F15" s="85">
        <v>45205</v>
      </c>
      <c r="G15" s="42">
        <v>225</v>
      </c>
      <c r="H15" s="55" t="s">
        <v>161</v>
      </c>
      <c r="I15" s="45"/>
    </row>
    <row r="16" spans="2:9">
      <c r="B16" s="42"/>
      <c r="C16" s="42"/>
      <c r="D16" s="42"/>
      <c r="E16" s="42"/>
      <c r="F16" s="85">
        <v>45236</v>
      </c>
      <c r="G16" s="42">
        <v>629</v>
      </c>
      <c r="H16" s="55" t="s">
        <v>162</v>
      </c>
      <c r="I16" s="45"/>
    </row>
    <row r="17" spans="6:9">
      <c r="F17" s="85">
        <v>45262</v>
      </c>
      <c r="G17" s="55">
        <v>236</v>
      </c>
      <c r="H17" s="55" t="s">
        <v>163</v>
      </c>
      <c r="I17" s="45"/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2DA3-5EC4-4975-98B5-4907C9EB26D8}">
  <dimension ref="B3:L23"/>
  <sheetViews>
    <sheetView tabSelected="1" workbookViewId="0">
      <selection activeCell="L5" sqref="L5"/>
    </sheetView>
  </sheetViews>
  <sheetFormatPr baseColWidth="10" defaultRowHeight="13.8"/>
  <cols>
    <col min="8" max="8" width="12.69921875" bestFit="1" customWidth="1"/>
    <col min="12" max="12" width="11.5" customWidth="1"/>
  </cols>
  <sheetData>
    <row r="3" spans="2:12">
      <c r="B3" s="102" t="s">
        <v>75</v>
      </c>
      <c r="C3" s="103" t="s">
        <v>0</v>
      </c>
      <c r="D3" s="103" t="s">
        <v>1</v>
      </c>
      <c r="E3" s="103" t="s">
        <v>76</v>
      </c>
      <c r="F3" s="103" t="s">
        <v>77</v>
      </c>
      <c r="G3" s="103" t="s">
        <v>78</v>
      </c>
      <c r="H3" s="103" t="s">
        <v>22</v>
      </c>
      <c r="I3" s="104" t="s">
        <v>79</v>
      </c>
    </row>
    <row r="4" spans="2:12">
      <c r="B4" s="96">
        <v>3902</v>
      </c>
      <c r="C4" s="55" t="s">
        <v>81</v>
      </c>
      <c r="D4" s="55" t="s">
        <v>82</v>
      </c>
      <c r="E4" s="55" t="s">
        <v>83</v>
      </c>
      <c r="F4" s="55" t="s">
        <v>84</v>
      </c>
      <c r="G4" s="55" t="s">
        <v>85</v>
      </c>
      <c r="H4" s="105">
        <v>354788</v>
      </c>
      <c r="I4" s="107">
        <v>7.4999999999999997E-2</v>
      </c>
      <c r="K4" t="s">
        <v>170</v>
      </c>
      <c r="L4" s="109" cm="1">
        <f t="array" ref="L4">SUM(H4:H23*I4:I23)/SUM(H4:H23)</f>
        <v>0.10774619172183925</v>
      </c>
    </row>
    <row r="5" spans="2:12">
      <c r="B5" s="96">
        <v>1880</v>
      </c>
      <c r="C5" s="55" t="s">
        <v>86</v>
      </c>
      <c r="D5" s="55" t="s">
        <v>87</v>
      </c>
      <c r="E5" s="55" t="s">
        <v>88</v>
      </c>
      <c r="F5" s="55" t="s">
        <v>89</v>
      </c>
      <c r="G5" s="55" t="s">
        <v>90</v>
      </c>
      <c r="H5" s="105">
        <v>188074</v>
      </c>
      <c r="I5" s="107">
        <v>0.05</v>
      </c>
      <c r="L5" s="109">
        <f>SUMPRODUCT(H4:H23,I4:I23)/SUM(H4:H23)</f>
        <v>0.10774619172183925</v>
      </c>
    </row>
    <row r="6" spans="2:12">
      <c r="B6" s="96">
        <v>9077</v>
      </c>
      <c r="C6" s="55" t="s">
        <v>86</v>
      </c>
      <c r="D6" s="55" t="s">
        <v>48</v>
      </c>
      <c r="E6" s="55" t="s">
        <v>91</v>
      </c>
      <c r="F6" s="55" t="s">
        <v>92</v>
      </c>
      <c r="G6" s="55" t="s">
        <v>90</v>
      </c>
      <c r="H6" s="105">
        <v>897473</v>
      </c>
      <c r="I6" s="107">
        <v>0.1</v>
      </c>
    </row>
    <row r="7" spans="2:12">
      <c r="B7" s="96">
        <v>6888</v>
      </c>
      <c r="C7" s="55" t="s">
        <v>93</v>
      </c>
      <c r="D7" s="55" t="s">
        <v>94</v>
      </c>
      <c r="E7" s="55" t="s">
        <v>95</v>
      </c>
      <c r="F7" s="55" t="s">
        <v>96</v>
      </c>
      <c r="G7" s="55" t="s">
        <v>85</v>
      </c>
      <c r="H7" s="105">
        <v>1228477</v>
      </c>
      <c r="I7" s="107">
        <v>0.15</v>
      </c>
    </row>
    <row r="8" spans="2:12">
      <c r="B8" s="96">
        <v>8170</v>
      </c>
      <c r="C8" s="55" t="s">
        <v>98</v>
      </c>
      <c r="D8" s="55" t="s">
        <v>99</v>
      </c>
      <c r="E8" s="55" t="s">
        <v>100</v>
      </c>
      <c r="F8" s="55" t="s">
        <v>92</v>
      </c>
      <c r="G8" s="55" t="s">
        <v>85</v>
      </c>
      <c r="H8" s="105">
        <v>424371</v>
      </c>
      <c r="I8" s="107">
        <v>7.4999999999999997E-2</v>
      </c>
    </row>
    <row r="9" spans="2:12">
      <c r="B9" s="96">
        <v>7133</v>
      </c>
      <c r="C9" s="55" t="s">
        <v>101</v>
      </c>
      <c r="D9" s="55" t="s">
        <v>102</v>
      </c>
      <c r="E9" s="55" t="s">
        <v>103</v>
      </c>
      <c r="F9" s="55" t="s">
        <v>104</v>
      </c>
      <c r="G9" s="55" t="s">
        <v>105</v>
      </c>
      <c r="H9" s="105">
        <v>901880</v>
      </c>
      <c r="I9" s="107">
        <v>0.1</v>
      </c>
    </row>
    <row r="10" spans="2:12">
      <c r="B10" s="96">
        <v>1506</v>
      </c>
      <c r="C10" s="55" t="s">
        <v>106</v>
      </c>
      <c r="D10" s="55" t="s">
        <v>107</v>
      </c>
      <c r="E10" s="55" t="s">
        <v>108</v>
      </c>
      <c r="F10" s="55" t="s">
        <v>109</v>
      </c>
      <c r="G10" s="55" t="s">
        <v>105</v>
      </c>
      <c r="H10" s="105">
        <v>279020</v>
      </c>
      <c r="I10" s="107">
        <v>7.4999999999999997E-2</v>
      </c>
    </row>
    <row r="11" spans="2:12">
      <c r="B11" s="96">
        <v>9749</v>
      </c>
      <c r="C11" s="55" t="s">
        <v>112</v>
      </c>
      <c r="D11" s="55" t="s">
        <v>113</v>
      </c>
      <c r="E11" s="55" t="s">
        <v>114</v>
      </c>
      <c r="F11" s="55" t="s">
        <v>109</v>
      </c>
      <c r="G11" s="55" t="s">
        <v>85</v>
      </c>
      <c r="H11" s="105">
        <v>854886</v>
      </c>
      <c r="I11" s="107">
        <v>0.1</v>
      </c>
    </row>
    <row r="12" spans="2:12">
      <c r="B12" s="96">
        <v>7741</v>
      </c>
      <c r="C12" s="55" t="s">
        <v>115</v>
      </c>
      <c r="D12" s="55" t="s">
        <v>116</v>
      </c>
      <c r="E12" s="55" t="s">
        <v>117</v>
      </c>
      <c r="F12" s="55" t="s">
        <v>92</v>
      </c>
      <c r="G12" s="55" t="s">
        <v>105</v>
      </c>
      <c r="H12" s="105">
        <v>91683</v>
      </c>
      <c r="I12" s="107">
        <v>2.5000000000000001E-2</v>
      </c>
    </row>
    <row r="13" spans="2:12">
      <c r="B13" s="96">
        <v>9512</v>
      </c>
      <c r="C13" s="55" t="s">
        <v>118</v>
      </c>
      <c r="D13" s="55" t="s">
        <v>119</v>
      </c>
      <c r="E13" s="55" t="s">
        <v>120</v>
      </c>
      <c r="F13" s="55" t="s">
        <v>104</v>
      </c>
      <c r="G13" s="55" t="s">
        <v>105</v>
      </c>
      <c r="H13" s="105">
        <v>934650</v>
      </c>
      <c r="I13" s="107">
        <v>0.1</v>
      </c>
    </row>
    <row r="14" spans="2:12">
      <c r="B14" s="96">
        <v>7081</v>
      </c>
      <c r="C14" s="55" t="s">
        <v>121</v>
      </c>
      <c r="D14" s="55" t="s">
        <v>122</v>
      </c>
      <c r="E14" s="55" t="s">
        <v>123</v>
      </c>
      <c r="F14" s="55" t="s">
        <v>104</v>
      </c>
      <c r="G14" s="55" t="s">
        <v>85</v>
      </c>
      <c r="H14" s="105">
        <v>8677</v>
      </c>
      <c r="I14" s="107">
        <v>0</v>
      </c>
    </row>
    <row r="15" spans="2:12">
      <c r="B15" s="96">
        <v>1247</v>
      </c>
      <c r="C15" s="55" t="s">
        <v>124</v>
      </c>
      <c r="D15" s="55" t="s">
        <v>125</v>
      </c>
      <c r="E15" s="55" t="s">
        <v>126</v>
      </c>
      <c r="F15" s="55" t="s">
        <v>109</v>
      </c>
      <c r="G15" s="55" t="s">
        <v>90</v>
      </c>
      <c r="H15" s="105">
        <v>13568</v>
      </c>
      <c r="I15" s="107">
        <v>0.01</v>
      </c>
    </row>
    <row r="16" spans="2:12">
      <c r="B16" s="96">
        <v>5493</v>
      </c>
      <c r="C16" s="55" t="s">
        <v>127</v>
      </c>
      <c r="D16" s="55" t="s">
        <v>128</v>
      </c>
      <c r="E16" s="55" t="s">
        <v>129</v>
      </c>
      <c r="F16" s="55" t="s">
        <v>96</v>
      </c>
      <c r="G16" s="55" t="s">
        <v>85</v>
      </c>
      <c r="H16" s="105">
        <v>790574</v>
      </c>
      <c r="I16" s="107">
        <v>0.1</v>
      </c>
    </row>
    <row r="17" spans="2:9">
      <c r="B17" s="96">
        <v>6690</v>
      </c>
      <c r="C17" s="55" t="s">
        <v>130</v>
      </c>
      <c r="D17" s="55" t="s">
        <v>131</v>
      </c>
      <c r="E17" s="55" t="s">
        <v>132</v>
      </c>
      <c r="F17" s="55" t="s">
        <v>104</v>
      </c>
      <c r="G17" s="55" t="s">
        <v>85</v>
      </c>
      <c r="H17" s="105">
        <v>407280</v>
      </c>
      <c r="I17" s="107">
        <v>7.4999999999999997E-2</v>
      </c>
    </row>
    <row r="18" spans="2:9">
      <c r="B18" s="96">
        <v>9942</v>
      </c>
      <c r="C18" s="55" t="s">
        <v>133</v>
      </c>
      <c r="D18" s="55" t="s">
        <v>134</v>
      </c>
      <c r="E18" s="55" t="s">
        <v>135</v>
      </c>
      <c r="F18" s="55" t="s">
        <v>96</v>
      </c>
      <c r="G18" s="55" t="s">
        <v>105</v>
      </c>
      <c r="H18" s="105">
        <v>1002266</v>
      </c>
      <c r="I18" s="107">
        <v>0.15</v>
      </c>
    </row>
    <row r="19" spans="2:9">
      <c r="B19" s="96">
        <v>8736</v>
      </c>
      <c r="C19" s="55" t="s">
        <v>137</v>
      </c>
      <c r="D19" s="55" t="s">
        <v>138</v>
      </c>
      <c r="E19" s="55" t="s">
        <v>139</v>
      </c>
      <c r="F19" s="55" t="s">
        <v>84</v>
      </c>
      <c r="G19" s="55" t="s">
        <v>90</v>
      </c>
      <c r="H19" s="105">
        <v>195971</v>
      </c>
      <c r="I19" s="107">
        <v>0.05</v>
      </c>
    </row>
    <row r="20" spans="2:9">
      <c r="B20" s="96">
        <v>7036</v>
      </c>
      <c r="C20" s="55" t="s">
        <v>140</v>
      </c>
      <c r="D20" s="55" t="s">
        <v>141</v>
      </c>
      <c r="E20" s="55" t="s">
        <v>142</v>
      </c>
      <c r="F20" s="55" t="s">
        <v>92</v>
      </c>
      <c r="G20" s="55" t="s">
        <v>85</v>
      </c>
      <c r="H20" s="105">
        <v>298077</v>
      </c>
      <c r="I20" s="107">
        <v>7.4999999999999997E-2</v>
      </c>
    </row>
    <row r="21" spans="2:9">
      <c r="B21" s="96">
        <v>8062</v>
      </c>
      <c r="C21" s="55" t="s">
        <v>143</v>
      </c>
      <c r="D21" s="55" t="s">
        <v>144</v>
      </c>
      <c r="E21" s="55" t="s">
        <v>145</v>
      </c>
      <c r="F21" s="55" t="s">
        <v>96</v>
      </c>
      <c r="G21" s="55" t="s">
        <v>90</v>
      </c>
      <c r="H21" s="105">
        <v>1203029</v>
      </c>
      <c r="I21" s="107">
        <v>0.15</v>
      </c>
    </row>
    <row r="22" spans="2:9">
      <c r="B22" s="96">
        <v>5266</v>
      </c>
      <c r="C22" s="55" t="s">
        <v>146</v>
      </c>
      <c r="D22" s="55" t="s">
        <v>147</v>
      </c>
      <c r="E22" s="55" t="s">
        <v>148</v>
      </c>
      <c r="F22" s="55" t="s">
        <v>96</v>
      </c>
      <c r="G22" s="55" t="s">
        <v>105</v>
      </c>
      <c r="H22" s="105">
        <v>363853</v>
      </c>
      <c r="I22" s="107">
        <v>7.4999999999999997E-2</v>
      </c>
    </row>
    <row r="23" spans="2:9">
      <c r="B23" s="97">
        <v>8398</v>
      </c>
      <c r="C23" s="98" t="s">
        <v>149</v>
      </c>
      <c r="D23" s="98" t="s">
        <v>111</v>
      </c>
      <c r="E23" s="98" t="s">
        <v>150</v>
      </c>
      <c r="F23" s="98" t="s">
        <v>104</v>
      </c>
      <c r="G23" s="98" t="s">
        <v>85</v>
      </c>
      <c r="H23" s="106">
        <v>289414</v>
      </c>
      <c r="I23" s="108">
        <v>7.4999999999999997E-2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3BC23-FF2B-4FF3-B78C-143CA2A025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Textdateitypen</vt:lpstr>
      <vt:lpstr>Datumswert</vt:lpstr>
      <vt:lpstr>Tabellen</vt:lpstr>
      <vt:lpstr>Komplexe Funktionen</vt:lpstr>
      <vt:lpstr>Wahrheitstests</vt:lpstr>
      <vt:lpstr>Verschachtelte Funktionen</vt:lpstr>
      <vt:lpstr>Sverweis - Slookup</vt:lpstr>
      <vt:lpstr>Xverweis mit Tabelle</vt:lpstr>
      <vt:lpstr>Xverweis - Xlookup</vt:lpstr>
      <vt:lpstr>Lookup Tabellen</vt:lpstr>
      <vt:lpstr>Array - SummenProdukt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Mengni Zhang</dc:creator>
  <cp:lastModifiedBy>Mengni Zhang</cp:lastModifiedBy>
  <dcterms:created xsi:type="dcterms:W3CDTF">2025-08-19T16:26:39Z</dcterms:created>
  <dcterms:modified xsi:type="dcterms:W3CDTF">2025-08-21T09:51:24Z</dcterms:modified>
</cp:coreProperties>
</file>