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 activeTab="2"/>
  </bookViews>
  <sheets>
    <sheet name="No-Contract" sheetId="1" r:id="rId1"/>
    <sheet name="Pay-Back Contract" sheetId="5" r:id="rId2"/>
    <sheet name="Cost-Sharing Contract" sheetId="6" r:id="rId3"/>
    <sheet name="Utility Company" sheetId="2" r:id="rId4"/>
    <sheet name="Sheet3" sheetId="3" r:id="rId5"/>
  </sheets>
  <calcPr calcId="145621"/>
</workbook>
</file>

<file path=xl/calcChain.xml><?xml version="1.0" encoding="utf-8"?>
<calcChain xmlns="http://schemas.openxmlformats.org/spreadsheetml/2006/main">
  <c r="V38" i="6" l="1"/>
  <c r="P33" i="5" l="1"/>
  <c r="Q29" i="5" l="1"/>
  <c r="D27" i="1"/>
  <c r="J27" i="1"/>
  <c r="C35" i="1"/>
  <c r="E44" i="1"/>
  <c r="V37" i="6" l="1"/>
  <c r="V36" i="6"/>
  <c r="V35" i="6"/>
  <c r="V34" i="6"/>
  <c r="V33" i="6"/>
  <c r="V28" i="6"/>
  <c r="V27" i="6"/>
  <c r="V26" i="6"/>
  <c r="V25" i="6"/>
  <c r="V24" i="6"/>
  <c r="V23" i="6"/>
  <c r="V18" i="6"/>
  <c r="V17" i="6"/>
  <c r="V16" i="6"/>
  <c r="V15" i="6"/>
  <c r="V14" i="6"/>
  <c r="V13" i="6"/>
  <c r="P38" i="6"/>
  <c r="P37" i="6"/>
  <c r="P36" i="6"/>
  <c r="P35" i="6"/>
  <c r="P34" i="6"/>
  <c r="P33" i="6"/>
  <c r="P28" i="6"/>
  <c r="P27" i="6"/>
  <c r="P26" i="6"/>
  <c r="P25" i="6"/>
  <c r="P24" i="6"/>
  <c r="P23" i="6"/>
  <c r="P18" i="6"/>
  <c r="P17" i="6"/>
  <c r="P16" i="6"/>
  <c r="P15" i="6"/>
  <c r="P14" i="6"/>
  <c r="P13" i="6"/>
  <c r="J38" i="6"/>
  <c r="J37" i="6"/>
  <c r="J36" i="6"/>
  <c r="J35" i="6"/>
  <c r="J34" i="6"/>
  <c r="J33" i="6"/>
  <c r="J28" i="6"/>
  <c r="J27" i="6"/>
  <c r="J26" i="6"/>
  <c r="J25" i="6"/>
  <c r="J24" i="6"/>
  <c r="J23" i="6"/>
  <c r="J18" i="6"/>
  <c r="J17" i="6"/>
  <c r="J16" i="6"/>
  <c r="J15" i="6"/>
  <c r="J14" i="6"/>
  <c r="J13" i="6"/>
  <c r="D38" i="6"/>
  <c r="D37" i="6"/>
  <c r="D36" i="6"/>
  <c r="D35" i="6"/>
  <c r="D34" i="6"/>
  <c r="D33" i="6"/>
  <c r="D28" i="6"/>
  <c r="D27" i="6"/>
  <c r="D26" i="6"/>
  <c r="D25" i="6"/>
  <c r="D24" i="6"/>
  <c r="D23" i="6"/>
  <c r="D18" i="6"/>
  <c r="D17" i="6"/>
  <c r="D16" i="6"/>
  <c r="D15" i="6"/>
  <c r="D14" i="6"/>
  <c r="D13" i="6"/>
  <c r="C37" i="6"/>
  <c r="C36" i="6"/>
  <c r="C35" i="6"/>
  <c r="C34" i="6"/>
  <c r="C33" i="6"/>
  <c r="C28" i="6"/>
  <c r="C27" i="6"/>
  <c r="C26" i="6"/>
  <c r="C25" i="6"/>
  <c r="C24" i="6"/>
  <c r="C23" i="6"/>
  <c r="C38" i="6"/>
  <c r="I38" i="6"/>
  <c r="I37" i="6"/>
  <c r="I36" i="6"/>
  <c r="I35" i="6"/>
  <c r="I34" i="6"/>
  <c r="I33" i="6"/>
  <c r="I28" i="6"/>
  <c r="I27" i="6"/>
  <c r="I26" i="6"/>
  <c r="I25" i="6"/>
  <c r="I24" i="6"/>
  <c r="I23" i="6"/>
  <c r="I18" i="6"/>
  <c r="I17" i="6"/>
  <c r="I16" i="6"/>
  <c r="I15" i="6"/>
  <c r="I14" i="6"/>
  <c r="I13" i="6"/>
  <c r="C18" i="6"/>
  <c r="C17" i="6"/>
  <c r="C16" i="6"/>
  <c r="C15" i="6"/>
  <c r="C14" i="6"/>
  <c r="C13" i="6"/>
  <c r="V26" i="5"/>
  <c r="V25" i="5"/>
  <c r="V24" i="5"/>
  <c r="V23" i="5"/>
  <c r="V37" i="5"/>
  <c r="V36" i="5"/>
  <c r="V35" i="5"/>
  <c r="V34" i="5"/>
  <c r="V33" i="5"/>
  <c r="V13" i="5"/>
  <c r="V14" i="5"/>
  <c r="V15" i="5"/>
  <c r="P34" i="5"/>
  <c r="P23" i="5"/>
  <c r="C32" i="2" l="1"/>
  <c r="C33" i="2"/>
  <c r="C34" i="2" s="1"/>
  <c r="C31" i="2"/>
  <c r="C29" i="2"/>
  <c r="C14" i="2"/>
  <c r="C17" i="2"/>
  <c r="C18" i="2" s="1"/>
  <c r="C19" i="2" s="1"/>
  <c r="C20" i="2" s="1"/>
  <c r="C30" i="2"/>
  <c r="C15" i="2"/>
  <c r="C16" i="2" s="1"/>
  <c r="C35" i="2" l="1"/>
  <c r="U38" i="6"/>
  <c r="O38" i="6"/>
  <c r="U37" i="6"/>
  <c r="O37" i="6"/>
  <c r="U36" i="6"/>
  <c r="O36" i="6"/>
  <c r="U35" i="6"/>
  <c r="O35" i="6"/>
  <c r="U34" i="6"/>
  <c r="O34" i="6"/>
  <c r="U33" i="6"/>
  <c r="O33" i="6"/>
  <c r="U28" i="6"/>
  <c r="O28" i="6"/>
  <c r="U27" i="6"/>
  <c r="O27" i="6"/>
  <c r="U26" i="6"/>
  <c r="O26" i="6"/>
  <c r="U25" i="6"/>
  <c r="O25" i="6"/>
  <c r="U24" i="6"/>
  <c r="O24" i="6"/>
  <c r="U23" i="6"/>
  <c r="O23" i="6"/>
  <c r="U18" i="6"/>
  <c r="O18" i="6"/>
  <c r="U17" i="6"/>
  <c r="O17" i="6"/>
  <c r="U16" i="6"/>
  <c r="O16" i="6"/>
  <c r="U15" i="6"/>
  <c r="O15" i="6"/>
  <c r="U14" i="6"/>
  <c r="O14" i="6"/>
  <c r="U13" i="6"/>
  <c r="O13" i="6"/>
  <c r="U37" i="5"/>
  <c r="U36" i="5"/>
  <c r="U35" i="5"/>
  <c r="U34" i="5"/>
  <c r="U33" i="5"/>
  <c r="U26" i="5"/>
  <c r="U25" i="5"/>
  <c r="U24" i="5"/>
  <c r="W24" i="5" s="1"/>
  <c r="U23" i="5"/>
  <c r="U15" i="5"/>
  <c r="W15" i="5" s="1"/>
  <c r="U14" i="5"/>
  <c r="U13" i="5"/>
  <c r="W13" i="5" s="1"/>
  <c r="O34" i="5"/>
  <c r="O33" i="5"/>
  <c r="O23" i="5"/>
  <c r="O13" i="5"/>
  <c r="W38" i="5"/>
  <c r="W16" i="5"/>
  <c r="U38" i="5"/>
  <c r="U28" i="5"/>
  <c r="U27" i="5"/>
  <c r="W27" i="5" s="1"/>
  <c r="U18" i="5"/>
  <c r="U17" i="5"/>
  <c r="W17" i="5" s="1"/>
  <c r="U16" i="5"/>
  <c r="O38" i="5"/>
  <c r="O37" i="5"/>
  <c r="O36" i="5"/>
  <c r="O35" i="5"/>
  <c r="Q35" i="5" s="1"/>
  <c r="O28" i="5"/>
  <c r="O27" i="5"/>
  <c r="O26" i="5"/>
  <c r="O25" i="5"/>
  <c r="O24" i="5"/>
  <c r="O18" i="5"/>
  <c r="O17" i="5"/>
  <c r="O16" i="5"/>
  <c r="O15" i="5"/>
  <c r="O14" i="5"/>
  <c r="V38" i="5"/>
  <c r="W26" i="5"/>
  <c r="V16" i="5"/>
  <c r="V17" i="5"/>
  <c r="P36" i="5"/>
  <c r="Q36" i="5" s="1"/>
  <c r="P15" i="5"/>
  <c r="Q15" i="5" s="1"/>
  <c r="P17" i="5"/>
  <c r="Q17" i="5" s="1"/>
  <c r="I38" i="5"/>
  <c r="I37" i="5"/>
  <c r="I36" i="5"/>
  <c r="W36" i="5" s="1"/>
  <c r="I35" i="5"/>
  <c r="I34" i="5"/>
  <c r="W34" i="5" s="1"/>
  <c r="I33" i="5"/>
  <c r="I28" i="5"/>
  <c r="V28" i="5" s="1"/>
  <c r="W28" i="5" s="1"/>
  <c r="I27" i="5"/>
  <c r="V27" i="5" s="1"/>
  <c r="I26" i="5"/>
  <c r="I25" i="5"/>
  <c r="I24" i="5"/>
  <c r="I23" i="5"/>
  <c r="I18" i="5"/>
  <c r="V18" i="5" s="1"/>
  <c r="I17" i="5"/>
  <c r="I16" i="5"/>
  <c r="I15" i="5"/>
  <c r="I14" i="5"/>
  <c r="I13" i="5"/>
  <c r="D33" i="5"/>
  <c r="C38" i="5"/>
  <c r="P38" i="5" s="1"/>
  <c r="Q38" i="5" s="1"/>
  <c r="C37" i="5"/>
  <c r="P37" i="5" s="1"/>
  <c r="Q37" i="5" s="1"/>
  <c r="C36" i="5"/>
  <c r="C35" i="5"/>
  <c r="P35" i="5" s="1"/>
  <c r="C34" i="5"/>
  <c r="C33" i="5"/>
  <c r="C28" i="5"/>
  <c r="E28" i="5" s="1"/>
  <c r="C27" i="5"/>
  <c r="P27" i="5" s="1"/>
  <c r="C26" i="5"/>
  <c r="P26" i="5" s="1"/>
  <c r="C25" i="5"/>
  <c r="P25" i="5" s="1"/>
  <c r="C24" i="5"/>
  <c r="P24" i="5" s="1"/>
  <c r="Q24" i="5" s="1"/>
  <c r="C23" i="5"/>
  <c r="Q23" i="5" s="1"/>
  <c r="C18" i="5"/>
  <c r="P18" i="5" s="1"/>
  <c r="Q18" i="5" s="1"/>
  <c r="C17" i="5"/>
  <c r="C16" i="5"/>
  <c r="P16" i="5" s="1"/>
  <c r="Q16" i="5" s="1"/>
  <c r="C15" i="5"/>
  <c r="C14" i="5"/>
  <c r="P14" i="5" s="1"/>
  <c r="C13" i="5"/>
  <c r="P13" i="5" s="1"/>
  <c r="J13" i="5"/>
  <c r="J15" i="5"/>
  <c r="J14" i="5"/>
  <c r="D23" i="5"/>
  <c r="D13" i="5"/>
  <c r="J38" i="5"/>
  <c r="D38" i="5"/>
  <c r="J37" i="5"/>
  <c r="D37" i="5"/>
  <c r="J36" i="5"/>
  <c r="D36" i="5"/>
  <c r="J35" i="5"/>
  <c r="D35" i="5"/>
  <c r="J34" i="5"/>
  <c r="D34" i="5"/>
  <c r="J33" i="5"/>
  <c r="J28" i="5"/>
  <c r="D28" i="5"/>
  <c r="J27" i="5"/>
  <c r="D27" i="5"/>
  <c r="J26" i="5"/>
  <c r="D26" i="5"/>
  <c r="J25" i="5"/>
  <c r="D25" i="5"/>
  <c r="J24" i="5"/>
  <c r="D24" i="5"/>
  <c r="J23" i="5"/>
  <c r="J18" i="5"/>
  <c r="D18" i="5"/>
  <c r="J17" i="5"/>
  <c r="D17" i="5"/>
  <c r="J16" i="5"/>
  <c r="D16" i="5"/>
  <c r="D15" i="5"/>
  <c r="D14" i="5"/>
  <c r="C12" i="1"/>
  <c r="K19" i="1"/>
  <c r="I5" i="1" s="1"/>
  <c r="K41" i="1"/>
  <c r="I7" i="1" s="1"/>
  <c r="C17" i="1"/>
  <c r="C16" i="1"/>
  <c r="C15" i="1"/>
  <c r="C14" i="1"/>
  <c r="C13" i="1"/>
  <c r="C23" i="1"/>
  <c r="C34" i="1"/>
  <c r="C28" i="1"/>
  <c r="C27" i="1"/>
  <c r="C26" i="1"/>
  <c r="C25" i="1"/>
  <c r="C24" i="1"/>
  <c r="J39" i="1"/>
  <c r="J38" i="1"/>
  <c r="J37" i="1"/>
  <c r="J36" i="1"/>
  <c r="J35" i="1"/>
  <c r="J34" i="1"/>
  <c r="I39" i="1"/>
  <c r="I38" i="1"/>
  <c r="I37" i="1"/>
  <c r="I36" i="1"/>
  <c r="I35" i="1"/>
  <c r="I28" i="1"/>
  <c r="I27" i="1"/>
  <c r="I26" i="1"/>
  <c r="I25" i="1"/>
  <c r="I24" i="1"/>
  <c r="I23" i="1"/>
  <c r="I17" i="1"/>
  <c r="I16" i="1"/>
  <c r="I15" i="1"/>
  <c r="I14" i="1"/>
  <c r="I13" i="1"/>
  <c r="I12" i="1"/>
  <c r="C39" i="1"/>
  <c r="C38" i="1"/>
  <c r="C37" i="1"/>
  <c r="C36" i="1"/>
  <c r="I34" i="1"/>
  <c r="K30" i="1"/>
  <c r="I6" i="1" s="1"/>
  <c r="J28" i="1"/>
  <c r="J26" i="1"/>
  <c r="J25" i="1"/>
  <c r="J24" i="1"/>
  <c r="J23" i="1"/>
  <c r="J17" i="1"/>
  <c r="J16" i="1"/>
  <c r="J15" i="1"/>
  <c r="J14" i="1"/>
  <c r="J13" i="1"/>
  <c r="J12" i="1"/>
  <c r="D34" i="1"/>
  <c r="E41" i="1"/>
  <c r="I4" i="1" s="1"/>
  <c r="D39" i="1"/>
  <c r="D38" i="1"/>
  <c r="D37" i="1"/>
  <c r="D36" i="1"/>
  <c r="D35" i="1"/>
  <c r="D13" i="1"/>
  <c r="D12" i="1"/>
  <c r="E19" i="1"/>
  <c r="I2" i="1" s="1"/>
  <c r="E30" i="1"/>
  <c r="I3" i="1" s="1"/>
  <c r="D28" i="1"/>
  <c r="D26" i="1"/>
  <c r="D25" i="1"/>
  <c r="D24" i="1"/>
  <c r="D23" i="1"/>
  <c r="D17" i="1"/>
  <c r="D16" i="1"/>
  <c r="D15" i="1"/>
  <c r="D14" i="1"/>
  <c r="W37" i="5" l="1"/>
  <c r="Q25" i="5"/>
  <c r="Q13" i="5"/>
  <c r="Q19" i="5" s="1"/>
  <c r="Q26" i="5"/>
  <c r="W25" i="5"/>
  <c r="Q14" i="5"/>
  <c r="Q27" i="5"/>
  <c r="W18" i="5"/>
  <c r="Q28" i="5"/>
  <c r="W19" i="5"/>
  <c r="W23" i="5"/>
  <c r="W29" i="5" s="1"/>
  <c r="P28" i="5"/>
  <c r="Q33" i="5"/>
  <c r="Q34" i="5"/>
  <c r="W33" i="5"/>
  <c r="W14" i="5"/>
  <c r="W35" i="5"/>
  <c r="Q17" i="6"/>
  <c r="K15" i="6"/>
  <c r="E25" i="6"/>
  <c r="Q26" i="6"/>
  <c r="K18" i="6"/>
  <c r="E15" i="6"/>
  <c r="K23" i="6"/>
  <c r="W14" i="6"/>
  <c r="W26" i="6"/>
  <c r="E16" i="6"/>
  <c r="K24" i="6"/>
  <c r="E23" i="6"/>
  <c r="K38" i="6"/>
  <c r="W27" i="6"/>
  <c r="W25" i="6"/>
  <c r="K17" i="6"/>
  <c r="K13" i="6"/>
  <c r="Q28" i="6"/>
  <c r="Q24" i="6"/>
  <c r="E18" i="6"/>
  <c r="E14" i="6"/>
  <c r="K28" i="6"/>
  <c r="W28" i="6"/>
  <c r="E34" i="6"/>
  <c r="Q33" i="6"/>
  <c r="W38" i="6"/>
  <c r="E35" i="6"/>
  <c r="K33" i="6"/>
  <c r="Q13" i="6"/>
  <c r="Q35" i="6"/>
  <c r="W36" i="6"/>
  <c r="W33" i="6"/>
  <c r="K35" i="6"/>
  <c r="K16" i="6"/>
  <c r="W16" i="6"/>
  <c r="E27" i="6"/>
  <c r="Q27" i="6"/>
  <c r="K37" i="6"/>
  <c r="W34" i="6"/>
  <c r="K36" i="6"/>
  <c r="Q37" i="6"/>
  <c r="Q34" i="6"/>
  <c r="K25" i="6"/>
  <c r="E36" i="6"/>
  <c r="E37" i="6"/>
  <c r="Q14" i="6"/>
  <c r="Q18" i="6"/>
  <c r="K27" i="6"/>
  <c r="E38" i="6"/>
  <c r="W13" i="6"/>
  <c r="W15" i="6"/>
  <c r="W17" i="6"/>
  <c r="W24" i="6"/>
  <c r="K34" i="6"/>
  <c r="E17" i="6"/>
  <c r="W35" i="6"/>
  <c r="Q38" i="6"/>
  <c r="E13" i="6"/>
  <c r="E24" i="6"/>
  <c r="Q36" i="6"/>
  <c r="E28" i="6"/>
  <c r="E33" i="6"/>
  <c r="W37" i="6"/>
  <c r="E38" i="5"/>
  <c r="E36" i="5"/>
  <c r="K15" i="5"/>
  <c r="K25" i="5"/>
  <c r="K14" i="5"/>
  <c r="K18" i="5"/>
  <c r="K24" i="5"/>
  <c r="E16" i="5"/>
  <c r="E18" i="5"/>
  <c r="E24" i="5"/>
  <c r="K27" i="5"/>
  <c r="K35" i="5"/>
  <c r="E25" i="5"/>
  <c r="K26" i="5"/>
  <c r="K34" i="5"/>
  <c r="K38" i="5"/>
  <c r="K17" i="5"/>
  <c r="K16" i="5"/>
  <c r="E26" i="5"/>
  <c r="K36" i="5"/>
  <c r="K23" i="5"/>
  <c r="K33" i="5"/>
  <c r="E14" i="5"/>
  <c r="E17" i="5"/>
  <c r="K28" i="5"/>
  <c r="E34" i="5"/>
  <c r="E37" i="5"/>
  <c r="K37" i="5"/>
  <c r="E27" i="5"/>
  <c r="E15" i="5"/>
  <c r="E35" i="5"/>
  <c r="E23" i="5"/>
  <c r="K15" i="1"/>
  <c r="K14" i="1"/>
  <c r="K17" i="1"/>
  <c r="K23" i="1"/>
  <c r="K24" i="1"/>
  <c r="K12" i="1"/>
  <c r="K16" i="1"/>
  <c r="K28" i="1"/>
  <c r="K27" i="1"/>
  <c r="K26" i="1"/>
  <c r="K25" i="1"/>
  <c r="E23" i="1"/>
  <c r="E35" i="1"/>
  <c r="K13" i="1"/>
  <c r="E12" i="1"/>
  <c r="E27" i="1"/>
  <c r="E34" i="1"/>
  <c r="E14" i="1"/>
  <c r="E28" i="1"/>
  <c r="E26" i="1"/>
  <c r="E15" i="1"/>
  <c r="E13" i="1"/>
  <c r="E16" i="1"/>
  <c r="E24" i="1"/>
  <c r="E17" i="1"/>
  <c r="E25" i="1"/>
  <c r="E39" i="1"/>
  <c r="E38" i="1"/>
  <c r="E37" i="1"/>
  <c r="E36" i="1"/>
  <c r="Q39" i="5" l="1"/>
  <c r="Q15" i="6"/>
  <c r="W18" i="6"/>
  <c r="W19" i="6" s="1"/>
  <c r="I5" i="6" s="1"/>
  <c r="W39" i="5"/>
  <c r="Q23" i="6"/>
  <c r="W23" i="6"/>
  <c r="W29" i="6" s="1"/>
  <c r="I6" i="6" s="1"/>
  <c r="K26" i="6"/>
  <c r="Q16" i="6"/>
  <c r="E26" i="6"/>
  <c r="E29" i="6" s="1"/>
  <c r="H3" i="6" s="1"/>
  <c r="K14" i="6"/>
  <c r="K19" i="6" s="1"/>
  <c r="H5" i="6" s="1"/>
  <c r="Q25" i="6"/>
  <c r="Q39" i="6"/>
  <c r="I4" i="6" s="1"/>
  <c r="E39" i="6"/>
  <c r="H4" i="6" s="1"/>
  <c r="K39" i="6"/>
  <c r="H7" i="6" s="1"/>
  <c r="W39" i="6"/>
  <c r="I7" i="6" s="1"/>
  <c r="K29" i="6"/>
  <c r="H6" i="6" s="1"/>
  <c r="E19" i="6"/>
  <c r="H2" i="6" s="1"/>
  <c r="K39" i="5"/>
  <c r="H7" i="5" s="1"/>
  <c r="E29" i="5"/>
  <c r="K29" i="5"/>
  <c r="K18" i="1"/>
  <c r="H5" i="1" s="1"/>
  <c r="J5" i="1" s="1"/>
  <c r="K34" i="1"/>
  <c r="K29" i="1"/>
  <c r="H6" i="1" s="1"/>
  <c r="J6" i="1" s="1"/>
  <c r="E18" i="1"/>
  <c r="H2" i="1" s="1"/>
  <c r="J2" i="1" s="1"/>
  <c r="E29" i="1"/>
  <c r="H3" i="1" s="1"/>
  <c r="J3" i="1" s="1"/>
  <c r="E40" i="1"/>
  <c r="H4" i="1" s="1"/>
  <c r="J4" i="1" s="1"/>
  <c r="J4" i="6" l="1"/>
  <c r="Q19" i="6"/>
  <c r="I2" i="6" s="1"/>
  <c r="J2" i="6" s="1"/>
  <c r="J7" i="6"/>
  <c r="Q29" i="6"/>
  <c r="I3" i="6" s="1"/>
  <c r="J3" i="6" s="1"/>
  <c r="J5" i="6"/>
  <c r="J6" i="6"/>
  <c r="I7" i="5"/>
  <c r="J7" i="5" s="1"/>
  <c r="H6" i="5"/>
  <c r="I6" i="5"/>
  <c r="H3" i="5"/>
  <c r="I3" i="5"/>
  <c r="K35" i="1"/>
  <c r="K38" i="1"/>
  <c r="K37" i="1"/>
  <c r="K36" i="1"/>
  <c r="K39" i="1"/>
  <c r="J3" i="5" l="1"/>
  <c r="J6" i="5"/>
  <c r="K40" i="1"/>
  <c r="H7" i="1" s="1"/>
  <c r="J7" i="1" s="1"/>
  <c r="E13" i="5"/>
  <c r="E19" i="5" l="1"/>
  <c r="I2" i="5" s="1"/>
  <c r="E33" i="5"/>
  <c r="K13" i="5"/>
  <c r="K19" i="5" s="1"/>
  <c r="H2" i="5" l="1"/>
  <c r="J2" i="5" s="1"/>
  <c r="H5" i="5"/>
  <c r="I5" i="5"/>
  <c r="E39" i="5"/>
  <c r="J5" i="5" l="1"/>
  <c r="H4" i="5"/>
  <c r="I4" i="5"/>
  <c r="J4" i="5" l="1"/>
</calcChain>
</file>

<file path=xl/sharedStrings.xml><?xml version="1.0" encoding="utf-8"?>
<sst xmlns="http://schemas.openxmlformats.org/spreadsheetml/2006/main" count="294" uniqueCount="68">
  <si>
    <t>Distributor</t>
  </si>
  <si>
    <t>Manufacturer</t>
  </si>
  <si>
    <t>Fixed Cost</t>
  </si>
  <si>
    <t>Variable Cost/Unit</t>
  </si>
  <si>
    <t>Buying Cost/Unit</t>
  </si>
  <si>
    <t>Selling Cost/Unit</t>
  </si>
  <si>
    <t>Selling price to Discount store/unit</t>
  </si>
  <si>
    <t>Demand</t>
  </si>
  <si>
    <t>Probability</t>
  </si>
  <si>
    <t>Revenue</t>
  </si>
  <si>
    <t>Cost</t>
  </si>
  <si>
    <t>Profit</t>
  </si>
  <si>
    <t>Manufacturer Produces 8,000 Units</t>
  </si>
  <si>
    <t>Manufacturer Produces 10,000 Units</t>
  </si>
  <si>
    <t>Manufacturer Produces 12,000 Units</t>
  </si>
  <si>
    <t>Expected Profit for Manufacturer</t>
  </si>
  <si>
    <t>Manufacturer Produces 14,000 Units</t>
  </si>
  <si>
    <t>Selling Price to Distributor/Unit</t>
  </si>
  <si>
    <t>Manufacturer Produces 16,000 Units</t>
  </si>
  <si>
    <t>Manufacturer Produces 18,000 Units</t>
  </si>
  <si>
    <t>Distributor's Order</t>
  </si>
  <si>
    <t>Manufacturer's Profit</t>
  </si>
  <si>
    <t>Distributor's Profit</t>
  </si>
  <si>
    <t>Total Profit</t>
  </si>
  <si>
    <t>Profit for the Distributor = 8000*(125-80)</t>
  </si>
  <si>
    <t>Profit for the Distributor = 10000*(125-80)</t>
  </si>
  <si>
    <t>Profit for the Distributor = 12000*(125-80)</t>
  </si>
  <si>
    <t>Profit for the Distributor = 14000*(125-80)</t>
  </si>
  <si>
    <t>Profit for the Distributor = 16000*(125-80)</t>
  </si>
  <si>
    <t>Profit for the Distributor = 18000*(125-80)</t>
  </si>
  <si>
    <t>Pay-Back Cost/Unit</t>
  </si>
  <si>
    <t>Distributor Orders 8,000 Units</t>
  </si>
  <si>
    <t>Distributor Orders 10,000 Units</t>
  </si>
  <si>
    <t>Distributor Orders 12,000 Units</t>
  </si>
  <si>
    <t>Distributor Orders 14,000 Units</t>
  </si>
  <si>
    <t>Distributor Orders 16,000 Units</t>
  </si>
  <si>
    <t>Distributor Orders 18,000 Units</t>
  </si>
  <si>
    <t>Expected Profit for Distributor</t>
  </si>
  <si>
    <t>Produced</t>
  </si>
  <si>
    <t>Cost-Sharing Contract</t>
  </si>
  <si>
    <t>30% of Manufacturing Cost</t>
  </si>
  <si>
    <t>Standard Deviation</t>
  </si>
  <si>
    <t>Mean</t>
  </si>
  <si>
    <t>Holding Cost</t>
  </si>
  <si>
    <t>Cycle Service Lever</t>
  </si>
  <si>
    <t>Demand for Transformer</t>
  </si>
  <si>
    <t>Reliable Components</t>
  </si>
  <si>
    <t>Value Electric</t>
  </si>
  <si>
    <t>Selling Price</t>
  </si>
  <si>
    <t>Minimum Order Quantity</t>
  </si>
  <si>
    <t>Lead Time</t>
  </si>
  <si>
    <t>SD of Lead Time</t>
  </si>
  <si>
    <t>Annual Cost of Transformer</t>
  </si>
  <si>
    <t>Average Cycle Inventory</t>
  </si>
  <si>
    <t>100*52*5000</t>
  </si>
  <si>
    <t>(100+0)/2</t>
  </si>
  <si>
    <t>Annual Cost of Holding Cycle Inventory</t>
  </si>
  <si>
    <t>50*5000*0.25</t>
  </si>
  <si>
    <t>Standard Deviation of Demand During Lead Time</t>
  </si>
  <si>
    <t>Safety Inventory required</t>
  </si>
  <si>
    <t>Fs(0.95)*SDl</t>
  </si>
  <si>
    <t>Annual Cost of Holding Safety Inventory</t>
  </si>
  <si>
    <t>83.87*5000*0.25</t>
  </si>
  <si>
    <t>Annual Cost of Reliable Components</t>
  </si>
  <si>
    <t>100*52*4800</t>
  </si>
  <si>
    <t>(1000+0)/2</t>
  </si>
  <si>
    <t>683.22*5000*0.25</t>
  </si>
  <si>
    <t>500*4800*0.25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</si>
</sst>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5">
    <xf numFmtId="0" fontId="0" fillId="0" borderId="0" xfId="0"/>
    <xf numFmtId="6" fontId="0" fillId="0" borderId="0" xfId="0" applyNumberFormat="1"/>
    <xf numFmtId="0" fontId="0" fillId="0" borderId="0" xfId="0" applyAlignment="1">
      <alignment horizontal="left"/>
    </xf>
    <xf numFmtId="3" fontId="0" fillId="0" borderId="0" xfId="0" applyNumberFormat="1" applyAlignment="1">
      <alignment wrapText="1"/>
    </xf>
    <xf numFmtId="2" fontId="0" fillId="0" borderId="0" xfId="0" applyNumberFormat="1"/>
    <xf numFmtId="0" fontId="0" fillId="0" borderId="0" xfId="0" applyAlignment="1"/>
    <xf numFmtId="165" fontId="0" fillId="0" borderId="0" xfId="0" applyNumberFormat="1" applyAlignment="1">
      <alignment horizontal="right"/>
    </xf>
    <xf numFmtId="6" fontId="0" fillId="0" borderId="0" xfId="0" applyNumberFormat="1" applyAlignment="1"/>
    <xf numFmtId="0" fontId="0" fillId="0" borderId="0" xfId="0" applyAlignment="1">
      <alignment horizontal="right"/>
    </xf>
    <xf numFmtId="0" fontId="0" fillId="0" borderId="1" xfId="0" applyBorder="1"/>
    <xf numFmtId="6" fontId="0" fillId="0" borderId="1" xfId="0" applyNumberFormat="1" applyBorder="1"/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right" wrapText="1"/>
    </xf>
    <xf numFmtId="2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right" wrapText="1"/>
    </xf>
    <xf numFmtId="0" fontId="0" fillId="0" borderId="1" xfId="0" applyBorder="1" applyAlignment="1">
      <alignment horizontal="right"/>
    </xf>
    <xf numFmtId="165" fontId="0" fillId="0" borderId="1" xfId="0" applyNumberFormat="1" applyFont="1" applyBorder="1" applyAlignment="1">
      <alignment horizontal="right"/>
    </xf>
    <xf numFmtId="165" fontId="0" fillId="0" borderId="1" xfId="0" applyNumberFormat="1" applyBorder="1"/>
    <xf numFmtId="165" fontId="2" fillId="0" borderId="1" xfId="0" applyNumberFormat="1" applyFont="1" applyBorder="1" applyAlignment="1">
      <alignment horizontal="right"/>
    </xf>
    <xf numFmtId="6" fontId="0" fillId="0" borderId="1" xfId="0" applyNumberFormat="1" applyBorder="1" applyAlignme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/>
    <xf numFmtId="9" fontId="0" fillId="0" borderId="4" xfId="0" applyNumberFormat="1" applyBorder="1" applyAlignment="1"/>
    <xf numFmtId="165" fontId="2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 wrapText="1"/>
    </xf>
    <xf numFmtId="165" fontId="0" fillId="0" borderId="1" xfId="2" applyNumberFormat="1" applyFont="1" applyBorder="1" applyAlignment="1">
      <alignment vertical="center"/>
    </xf>
    <xf numFmtId="165" fontId="0" fillId="0" borderId="1" xfId="0" applyNumberFormat="1" applyBorder="1" applyAlignment="1">
      <alignment vertical="center"/>
    </xf>
    <xf numFmtId="165" fontId="5" fillId="0" borderId="1" xfId="2" applyNumberFormat="1" applyFont="1" applyBorder="1" applyAlignment="1">
      <alignment vertical="center"/>
    </xf>
    <xf numFmtId="165" fontId="5" fillId="0" borderId="1" xfId="0" applyNumberFormat="1" applyFont="1" applyBorder="1" applyAlignment="1">
      <alignment vertical="center"/>
    </xf>
    <xf numFmtId="164" fontId="0" fillId="0" borderId="1" xfId="1" applyNumberFormat="1" applyFont="1" applyBorder="1" applyAlignment="1">
      <alignment horizontal="left"/>
    </xf>
    <xf numFmtId="164" fontId="0" fillId="0" borderId="1" xfId="1" applyNumberFormat="1" applyFont="1" applyBorder="1" applyAlignment="1">
      <alignment horizontal="right" wrapText="1"/>
    </xf>
    <xf numFmtId="2" fontId="0" fillId="0" borderId="1" xfId="1" applyNumberFormat="1" applyFont="1" applyBorder="1" applyAlignment="1">
      <alignment horizontal="right"/>
    </xf>
    <xf numFmtId="8" fontId="0" fillId="0" borderId="0" xfId="0" applyNumberFormat="1"/>
    <xf numFmtId="9" fontId="0" fillId="0" borderId="1" xfId="0" applyNumberFormat="1" applyBorder="1"/>
    <xf numFmtId="164" fontId="0" fillId="0" borderId="1" xfId="0" applyNumberFormat="1" applyBorder="1" applyAlignment="1">
      <alignment wrapText="1"/>
    </xf>
    <xf numFmtId="165" fontId="0" fillId="0" borderId="1" xfId="2" applyNumberFormat="1" applyFont="1" applyBorder="1" applyAlignment="1"/>
    <xf numFmtId="165" fontId="0" fillId="0" borderId="1" xfId="0" applyNumberFormat="1" applyBorder="1" applyAlignment="1"/>
    <xf numFmtId="165" fontId="5" fillId="0" borderId="1" xfId="2" applyNumberFormat="1" applyFont="1" applyBorder="1" applyAlignment="1"/>
    <xf numFmtId="165" fontId="5" fillId="0" borderId="1" xfId="0" applyNumberFormat="1" applyFont="1" applyBorder="1" applyAlignment="1"/>
    <xf numFmtId="165" fontId="4" fillId="0" borderId="1" xfId="2" applyNumberFormat="1" applyFont="1" applyBorder="1" applyAlignment="1"/>
    <xf numFmtId="165" fontId="4" fillId="0" borderId="1" xfId="0" applyNumberFormat="1" applyFont="1" applyBorder="1" applyAlignment="1"/>
    <xf numFmtId="165" fontId="4" fillId="0" borderId="1" xfId="2" applyNumberFormat="1" applyFont="1" applyBorder="1" applyAlignment="1">
      <alignment vertical="center"/>
    </xf>
    <xf numFmtId="165" fontId="4" fillId="0" borderId="1" xfId="0" applyNumberFormat="1" applyFont="1" applyBorder="1" applyAlignment="1">
      <alignment vertical="center"/>
    </xf>
    <xf numFmtId="165" fontId="0" fillId="0" borderId="0" xfId="0" applyNumberFormat="1"/>
    <xf numFmtId="165" fontId="0" fillId="2" borderId="1" xfId="0" applyNumberFormat="1" applyFill="1" applyBorder="1" applyAlignment="1">
      <alignment horizontal="right"/>
    </xf>
    <xf numFmtId="165" fontId="2" fillId="2" borderId="1" xfId="0" applyNumberFormat="1" applyFont="1" applyFill="1" applyBorder="1" applyAlignment="1">
      <alignment horizontal="right"/>
    </xf>
    <xf numFmtId="0" fontId="0" fillId="0" borderId="1" xfId="0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right"/>
    </xf>
    <xf numFmtId="2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A13" workbookViewId="0">
      <selection activeCell="A30" sqref="A30:D30"/>
    </sheetView>
  </sheetViews>
  <sheetFormatPr defaultRowHeight="15" x14ac:dyDescent="0.25"/>
  <cols>
    <col min="1" max="1" width="8.42578125" style="2" bestFit="1" customWidth="1"/>
    <col min="2" max="2" width="10.7109375" style="2" bestFit="1" customWidth="1"/>
    <col min="3" max="3" width="8.85546875" style="2" bestFit="1" customWidth="1"/>
    <col min="4" max="4" width="8.5703125" style="2" bestFit="1" customWidth="1"/>
    <col min="5" max="5" width="9.28515625" bestFit="1" customWidth="1"/>
    <col min="6" max="6" width="5.140625" customWidth="1"/>
    <col min="7" max="7" width="8.42578125" bestFit="1" customWidth="1"/>
    <col min="8" max="8" width="10.7109375" bestFit="1" customWidth="1"/>
    <col min="9" max="10" width="10.140625" bestFit="1" customWidth="1"/>
    <col min="11" max="12" width="9.28515625" bestFit="1" customWidth="1"/>
    <col min="13" max="13" width="17.7109375" bestFit="1" customWidth="1"/>
    <col min="14" max="14" width="20" bestFit="1" customWidth="1"/>
    <col min="15" max="15" width="17.5703125" bestFit="1" customWidth="1"/>
    <col min="16" max="16" width="10.85546875" bestFit="1" customWidth="1"/>
  </cols>
  <sheetData>
    <row r="1" spans="1:16" x14ac:dyDescent="0.25">
      <c r="A1" s="50" t="s">
        <v>0</v>
      </c>
      <c r="B1" s="51"/>
      <c r="C1" s="51"/>
      <c r="D1" s="51"/>
      <c r="E1" s="52"/>
      <c r="G1" s="26" t="s">
        <v>20</v>
      </c>
      <c r="H1" s="26" t="s">
        <v>21</v>
      </c>
      <c r="I1" s="26" t="s">
        <v>22</v>
      </c>
      <c r="J1" s="26" t="s">
        <v>23</v>
      </c>
    </row>
    <row r="2" spans="1:16" x14ac:dyDescent="0.25">
      <c r="A2" s="49" t="s">
        <v>5</v>
      </c>
      <c r="B2" s="49"/>
      <c r="C2" s="49"/>
      <c r="D2" s="49"/>
      <c r="E2" s="20">
        <v>125</v>
      </c>
      <c r="G2" s="27">
        <v>8000</v>
      </c>
      <c r="H2" s="28">
        <f>E18</f>
        <v>100000</v>
      </c>
      <c r="I2" s="28">
        <f>E19</f>
        <v>360000</v>
      </c>
      <c r="J2" s="29">
        <f t="shared" ref="J2:J7" si="0">H2+I2</f>
        <v>460000</v>
      </c>
    </row>
    <row r="3" spans="1:16" x14ac:dyDescent="0.25">
      <c r="A3" s="49" t="s">
        <v>4</v>
      </c>
      <c r="B3" s="49"/>
      <c r="C3" s="49"/>
      <c r="D3" s="49"/>
      <c r="E3" s="20">
        <v>80</v>
      </c>
      <c r="G3" s="27">
        <v>10000</v>
      </c>
      <c r="H3" s="28">
        <f>E29</f>
        <v>136800</v>
      </c>
      <c r="I3" s="28">
        <f>E30</f>
        <v>450000</v>
      </c>
      <c r="J3" s="29">
        <f t="shared" si="0"/>
        <v>586800</v>
      </c>
    </row>
    <row r="4" spans="1:16" x14ac:dyDescent="0.25">
      <c r="A4" s="50" t="s">
        <v>1</v>
      </c>
      <c r="B4" s="51"/>
      <c r="C4" s="51"/>
      <c r="D4" s="51"/>
      <c r="E4" s="52"/>
      <c r="G4" s="27">
        <v>12000</v>
      </c>
      <c r="H4" s="30">
        <f>E40</f>
        <v>160400</v>
      </c>
      <c r="I4" s="28">
        <f>E41</f>
        <v>540000</v>
      </c>
      <c r="J4" s="29">
        <f t="shared" si="0"/>
        <v>700400</v>
      </c>
    </row>
    <row r="5" spans="1:16" x14ac:dyDescent="0.25">
      <c r="A5" s="49" t="s">
        <v>2</v>
      </c>
      <c r="B5" s="49"/>
      <c r="C5" s="49"/>
      <c r="D5" s="49"/>
      <c r="E5" s="10">
        <v>100000</v>
      </c>
      <c r="G5" s="27">
        <v>14000</v>
      </c>
      <c r="H5" s="28">
        <f>K18</f>
        <v>150400</v>
      </c>
      <c r="I5" s="28">
        <f>K19</f>
        <v>630000</v>
      </c>
      <c r="J5" s="29">
        <f t="shared" si="0"/>
        <v>780400</v>
      </c>
    </row>
    <row r="6" spans="1:16" x14ac:dyDescent="0.25">
      <c r="A6" s="49" t="s">
        <v>3</v>
      </c>
      <c r="B6" s="49"/>
      <c r="C6" s="49"/>
      <c r="D6" s="49"/>
      <c r="E6" s="10">
        <v>55</v>
      </c>
      <c r="G6" s="27">
        <v>16000</v>
      </c>
      <c r="H6" s="28">
        <f>K29</f>
        <v>114000</v>
      </c>
      <c r="I6" s="28">
        <f>K30</f>
        <v>720000</v>
      </c>
      <c r="J6" s="29">
        <f t="shared" si="0"/>
        <v>834000</v>
      </c>
    </row>
    <row r="7" spans="1:16" x14ac:dyDescent="0.25">
      <c r="A7" s="53" t="s">
        <v>17</v>
      </c>
      <c r="B7" s="54"/>
      <c r="C7" s="54"/>
      <c r="D7" s="55"/>
      <c r="E7" s="10">
        <v>80</v>
      </c>
      <c r="G7" s="27">
        <v>18000</v>
      </c>
      <c r="H7" s="28">
        <f>K40</f>
        <v>56000</v>
      </c>
      <c r="I7" s="30">
        <f>K41</f>
        <v>810000</v>
      </c>
      <c r="J7" s="31">
        <f t="shared" si="0"/>
        <v>866000</v>
      </c>
    </row>
    <row r="8" spans="1:16" x14ac:dyDescent="0.25">
      <c r="A8" s="49" t="s">
        <v>6</v>
      </c>
      <c r="B8" s="49"/>
      <c r="C8" s="49"/>
      <c r="D8" s="49"/>
      <c r="E8" s="10">
        <v>20</v>
      </c>
    </row>
    <row r="10" spans="1:16" x14ac:dyDescent="0.25">
      <c r="A10" s="56" t="s">
        <v>12</v>
      </c>
      <c r="B10" s="56"/>
      <c r="C10" s="56"/>
      <c r="D10" s="56"/>
      <c r="E10" s="56"/>
      <c r="G10" s="56" t="s">
        <v>16</v>
      </c>
      <c r="H10" s="56"/>
      <c r="I10" s="56"/>
      <c r="J10" s="56"/>
      <c r="K10" s="56"/>
      <c r="L10" s="4"/>
      <c r="M10" s="4"/>
      <c r="N10" s="4"/>
      <c r="O10" s="4"/>
      <c r="P10" s="4"/>
    </row>
    <row r="11" spans="1:16" x14ac:dyDescent="0.25">
      <c r="A11" s="11" t="s">
        <v>7</v>
      </c>
      <c r="B11" s="11" t="s">
        <v>8</v>
      </c>
      <c r="C11" s="11" t="s">
        <v>9</v>
      </c>
      <c r="D11" s="11" t="s">
        <v>10</v>
      </c>
      <c r="E11" s="11" t="s">
        <v>11</v>
      </c>
      <c r="G11" s="11" t="s">
        <v>7</v>
      </c>
      <c r="H11" s="11" t="s">
        <v>8</v>
      </c>
      <c r="I11" s="11" t="s">
        <v>9</v>
      </c>
      <c r="J11" s="11" t="s">
        <v>10</v>
      </c>
      <c r="K11" s="9" t="s">
        <v>11</v>
      </c>
      <c r="L11" s="4"/>
      <c r="M11" s="4"/>
      <c r="N11" s="4"/>
      <c r="O11" s="4"/>
      <c r="P11" s="4"/>
    </row>
    <row r="12" spans="1:16" x14ac:dyDescent="0.25">
      <c r="A12" s="12">
        <v>8000</v>
      </c>
      <c r="B12" s="13">
        <v>0.11</v>
      </c>
      <c r="C12" s="14">
        <f>IF(A12&gt;=8000, (8000*E7), (A12*E7+(A12-8000)*E8))</f>
        <v>640000</v>
      </c>
      <c r="D12" s="15">
        <f>E5+8000*E6</f>
        <v>540000</v>
      </c>
      <c r="E12" s="15">
        <f>C12-D12</f>
        <v>100000</v>
      </c>
      <c r="F12" s="3"/>
      <c r="G12" s="11">
        <v>8000</v>
      </c>
      <c r="H12" s="11">
        <v>0.11</v>
      </c>
      <c r="I12" s="14">
        <f>IF(G12&gt;=14000,(14000*E7),(G12*E7+(14000-G12)*E8))</f>
        <v>760000</v>
      </c>
      <c r="J12" s="14">
        <f>E5+14000*E6</f>
        <v>870000</v>
      </c>
      <c r="K12" s="14">
        <f>I12-J12</f>
        <v>-110000</v>
      </c>
      <c r="L12" s="4"/>
      <c r="M12" s="4"/>
      <c r="N12" s="4"/>
      <c r="O12" s="4"/>
      <c r="P12" s="4"/>
    </row>
    <row r="13" spans="1:16" x14ac:dyDescent="0.25">
      <c r="A13" s="12">
        <v>10000</v>
      </c>
      <c r="B13" s="13">
        <v>0.11</v>
      </c>
      <c r="C13" s="14">
        <f>IF(A13&gt;=8000, (8000*E7), (A13*E7+(A13-8000)*E8))</f>
        <v>640000</v>
      </c>
      <c r="D13" s="15">
        <f>E5+8000*E6</f>
        <v>540000</v>
      </c>
      <c r="E13" s="15">
        <f t="shared" ref="E13:E17" si="1">C13-D13</f>
        <v>100000</v>
      </c>
      <c r="F13" s="3"/>
      <c r="G13" s="11">
        <v>10000</v>
      </c>
      <c r="H13" s="11">
        <v>0.11</v>
      </c>
      <c r="I13" s="14">
        <f>IF(G13&gt;=14000,(14000*E7),(G13*E7+(14000-G13)*E8))</f>
        <v>880000</v>
      </c>
      <c r="J13" s="14">
        <f>E5+14000*E6</f>
        <v>870000</v>
      </c>
      <c r="K13" s="14">
        <f t="shared" ref="K13:K17" si="2">I13-J13</f>
        <v>10000</v>
      </c>
      <c r="L13" s="4"/>
      <c r="M13" s="4"/>
      <c r="N13" s="4"/>
      <c r="O13" s="4"/>
      <c r="P13" s="4"/>
    </row>
    <row r="14" spans="1:16" x14ac:dyDescent="0.25">
      <c r="A14" s="12">
        <v>12000</v>
      </c>
      <c r="B14" s="13">
        <v>0.28000000000000003</v>
      </c>
      <c r="C14" s="14">
        <f>IF(A14&gt;=8000, (8000*E7), (A14*E7+(A14-8000)*E8))</f>
        <v>640000</v>
      </c>
      <c r="D14" s="15">
        <f>E5+8000*E6</f>
        <v>540000</v>
      </c>
      <c r="E14" s="15">
        <f t="shared" si="1"/>
        <v>100000</v>
      </c>
      <c r="F14" s="3"/>
      <c r="G14" s="11">
        <v>12000</v>
      </c>
      <c r="H14" s="11">
        <v>0.28000000000000003</v>
      </c>
      <c r="I14" s="14">
        <f>IF(G14&gt;=14000,(14000*E7),(G14*E7+(14000-G14)*E8))</f>
        <v>1000000</v>
      </c>
      <c r="J14" s="14">
        <f>E5+14000*E6</f>
        <v>870000</v>
      </c>
      <c r="K14" s="14">
        <f t="shared" si="2"/>
        <v>130000</v>
      </c>
      <c r="L14" s="4"/>
      <c r="M14" s="4"/>
      <c r="N14" s="4"/>
      <c r="O14" s="4"/>
      <c r="P14" s="4"/>
    </row>
    <row r="15" spans="1:16" x14ac:dyDescent="0.25">
      <c r="A15" s="12">
        <v>14000</v>
      </c>
      <c r="B15" s="13">
        <v>0.22</v>
      </c>
      <c r="C15" s="14">
        <f>IF(A15&gt;=8000, (8000*E7), (A15*E7+(A15-8000)*E8))</f>
        <v>640000</v>
      </c>
      <c r="D15" s="15">
        <f>E5+8000*E6</f>
        <v>540000</v>
      </c>
      <c r="E15" s="15">
        <f t="shared" si="1"/>
        <v>100000</v>
      </c>
      <c r="F15" s="3"/>
      <c r="G15" s="11">
        <v>14000</v>
      </c>
      <c r="H15" s="11">
        <v>0.22</v>
      </c>
      <c r="I15" s="14">
        <f>IF(G15&gt;=14000,(14000*E7),(G15*E7+(14000-G15)*E8))</f>
        <v>1120000</v>
      </c>
      <c r="J15" s="14">
        <f>E5+14000*E6</f>
        <v>870000</v>
      </c>
      <c r="K15" s="14">
        <f t="shared" si="2"/>
        <v>250000</v>
      </c>
      <c r="L15" s="4"/>
      <c r="M15" s="4"/>
      <c r="N15" s="4"/>
      <c r="O15" s="4"/>
      <c r="P15" s="4"/>
    </row>
    <row r="16" spans="1:16" x14ac:dyDescent="0.25">
      <c r="A16" s="12">
        <v>16000</v>
      </c>
      <c r="B16" s="13">
        <v>0.18</v>
      </c>
      <c r="C16" s="14">
        <f>IF(A16&gt;=8000, (8000*E7), (A16*E7+(A16-8000)*E8))</f>
        <v>640000</v>
      </c>
      <c r="D16" s="15">
        <f>E5+8000*E6</f>
        <v>540000</v>
      </c>
      <c r="E16" s="15">
        <f t="shared" si="1"/>
        <v>100000</v>
      </c>
      <c r="F16" s="3"/>
      <c r="G16" s="11">
        <v>16000</v>
      </c>
      <c r="H16" s="11">
        <v>0.18</v>
      </c>
      <c r="I16" s="14">
        <f>IF(G16&gt;=14000,(14000*E7),(G16*E7+(14000-G16)*E8))</f>
        <v>1120000</v>
      </c>
      <c r="J16" s="14">
        <f>E5+14000*E6</f>
        <v>870000</v>
      </c>
      <c r="K16" s="14">
        <f t="shared" si="2"/>
        <v>250000</v>
      </c>
      <c r="P16" s="6"/>
    </row>
    <row r="17" spans="1:11" x14ac:dyDescent="0.25">
      <c r="A17" s="12">
        <v>18000</v>
      </c>
      <c r="B17" s="13">
        <v>0.1</v>
      </c>
      <c r="C17" s="14">
        <f>IF(A17&gt;=8000, (8000*E7), (A17*E7+(A17-8000)*E8))</f>
        <v>640000</v>
      </c>
      <c r="D17" s="15">
        <f>E5+8000*E6</f>
        <v>540000</v>
      </c>
      <c r="E17" s="15">
        <f t="shared" si="1"/>
        <v>100000</v>
      </c>
      <c r="F17" s="3"/>
      <c r="G17" s="11">
        <v>18000</v>
      </c>
      <c r="H17" s="11">
        <v>0.1</v>
      </c>
      <c r="I17" s="14">
        <f>IF(G17&gt;=14000,(14000*E7),(G17*E7+(14000-G17)*E8))</f>
        <v>1120000</v>
      </c>
      <c r="J17" s="14">
        <f>E5+14000*E6</f>
        <v>870000</v>
      </c>
      <c r="K17" s="14">
        <f t="shared" si="2"/>
        <v>250000</v>
      </c>
    </row>
    <row r="18" spans="1:11" x14ac:dyDescent="0.25">
      <c r="A18" s="57" t="s">
        <v>15</v>
      </c>
      <c r="B18" s="57"/>
      <c r="C18" s="57"/>
      <c r="D18" s="57"/>
      <c r="E18" s="19">
        <f>E12*B12+E13*B13+E14*B14+E15*B15+E16*B16+E17*B17</f>
        <v>100000</v>
      </c>
      <c r="G18" s="57" t="s">
        <v>15</v>
      </c>
      <c r="H18" s="57"/>
      <c r="I18" s="57"/>
      <c r="J18" s="57"/>
      <c r="K18" s="19">
        <f>K12*H12+K13*H13+K14*H14+K15*H15+K16*H16+K17*H17</f>
        <v>150400</v>
      </c>
    </row>
    <row r="19" spans="1:11" x14ac:dyDescent="0.25">
      <c r="A19" s="58" t="s">
        <v>24</v>
      </c>
      <c r="B19" s="59"/>
      <c r="C19" s="59"/>
      <c r="D19" s="60"/>
      <c r="E19" s="25">
        <f>8000*(E2-E3)</f>
        <v>360000</v>
      </c>
      <c r="F19" s="21"/>
      <c r="G19" s="58" t="s">
        <v>27</v>
      </c>
      <c r="H19" s="59"/>
      <c r="I19" s="59"/>
      <c r="J19" s="60"/>
      <c r="K19" s="25">
        <f>14000*(E2-E3)</f>
        <v>630000</v>
      </c>
    </row>
    <row r="20" spans="1:11" x14ac:dyDescent="0.25">
      <c r="A20" s="8"/>
      <c r="B20" s="8"/>
      <c r="C20" s="8"/>
      <c r="D20" s="8"/>
      <c r="E20" s="8"/>
      <c r="G20" s="2"/>
      <c r="H20" s="2"/>
      <c r="I20" s="2"/>
      <c r="J20" s="2"/>
    </row>
    <row r="21" spans="1:11" x14ac:dyDescent="0.25">
      <c r="A21" s="56" t="s">
        <v>13</v>
      </c>
      <c r="B21" s="56"/>
      <c r="C21" s="56"/>
      <c r="D21" s="56"/>
      <c r="E21" s="56"/>
      <c r="G21" s="56" t="s">
        <v>18</v>
      </c>
      <c r="H21" s="56"/>
      <c r="I21" s="56"/>
      <c r="J21" s="56"/>
      <c r="K21" s="56"/>
    </row>
    <row r="22" spans="1:11" x14ac:dyDescent="0.25">
      <c r="A22" s="16" t="s">
        <v>7</v>
      </c>
      <c r="B22" s="16" t="s">
        <v>8</v>
      </c>
      <c r="C22" s="16" t="s">
        <v>9</v>
      </c>
      <c r="D22" s="16" t="s">
        <v>10</v>
      </c>
      <c r="E22" s="16" t="s">
        <v>11</v>
      </c>
      <c r="G22" s="11" t="s">
        <v>7</v>
      </c>
      <c r="H22" s="11" t="s">
        <v>8</v>
      </c>
      <c r="I22" s="11" t="s">
        <v>9</v>
      </c>
      <c r="J22" s="11" t="s">
        <v>10</v>
      </c>
      <c r="K22" s="9" t="s">
        <v>11</v>
      </c>
    </row>
    <row r="23" spans="1:11" x14ac:dyDescent="0.25">
      <c r="A23" s="12">
        <v>8000</v>
      </c>
      <c r="B23" s="13">
        <v>0.11</v>
      </c>
      <c r="C23" s="14">
        <f>IF(A23&gt;=10000,(10000*E7),(A23*E7+(10000-A23)*E8))</f>
        <v>680000</v>
      </c>
      <c r="D23" s="15">
        <f>E5+10000*E6</f>
        <v>650000</v>
      </c>
      <c r="E23" s="15">
        <f>C23-D23</f>
        <v>30000</v>
      </c>
      <c r="G23" s="11">
        <v>8000</v>
      </c>
      <c r="H23" s="11">
        <v>0.11</v>
      </c>
      <c r="I23" s="14">
        <f>IF(G23&gt;=16000,(16000*E7),(G23*E7+(16000-G23)*E8))</f>
        <v>800000</v>
      </c>
      <c r="J23" s="14">
        <f>E5+16000*E6</f>
        <v>980000</v>
      </c>
      <c r="K23" s="14">
        <f>I23-J23</f>
        <v>-180000</v>
      </c>
    </row>
    <row r="24" spans="1:11" x14ac:dyDescent="0.25">
      <c r="A24" s="12">
        <v>10000</v>
      </c>
      <c r="B24" s="13">
        <v>0.11</v>
      </c>
      <c r="C24" s="14">
        <f>IF(A24&gt;=10000, (10000*E7), (A24*E7+(A24-10000)*E8))</f>
        <v>800000</v>
      </c>
      <c r="D24" s="15">
        <f>E5+10000*E6</f>
        <v>650000</v>
      </c>
      <c r="E24" s="15">
        <f t="shared" ref="E24:E28" si="3">C24-D24</f>
        <v>150000</v>
      </c>
      <c r="G24" s="11">
        <v>10000</v>
      </c>
      <c r="H24" s="11">
        <v>0.11</v>
      </c>
      <c r="I24" s="14">
        <f>IF(G24&gt;=16000,(16000*E7),(G24*E7+(16000-G24)*E8))</f>
        <v>920000</v>
      </c>
      <c r="J24" s="14">
        <f>E5+16000*E6</f>
        <v>980000</v>
      </c>
      <c r="K24" s="14">
        <f t="shared" ref="K24:K28" si="4">I24-J24</f>
        <v>-60000</v>
      </c>
    </row>
    <row r="25" spans="1:11" x14ac:dyDescent="0.25">
      <c r="A25" s="12">
        <v>12000</v>
      </c>
      <c r="B25" s="13">
        <v>0.28000000000000003</v>
      </c>
      <c r="C25" s="14">
        <f>IF(A25&gt;=10000, (10000*E7), (A24*E7+(A25-10000)*E8))</f>
        <v>800000</v>
      </c>
      <c r="D25" s="15">
        <f>E5+10000*E6</f>
        <v>650000</v>
      </c>
      <c r="E25" s="15">
        <f t="shared" si="3"/>
        <v>150000</v>
      </c>
      <c r="G25" s="11">
        <v>12000</v>
      </c>
      <c r="H25" s="11">
        <v>0.28000000000000003</v>
      </c>
      <c r="I25" s="17">
        <f>IF(G25&gt;=16000,(16000*E7),(G25*E7+(16000-G25)*E8))</f>
        <v>1040000</v>
      </c>
      <c r="J25" s="14">
        <f>E5+16000*E6</f>
        <v>980000</v>
      </c>
      <c r="K25" s="14">
        <f t="shared" si="4"/>
        <v>60000</v>
      </c>
    </row>
    <row r="26" spans="1:11" x14ac:dyDescent="0.25">
      <c r="A26" s="12">
        <v>14000</v>
      </c>
      <c r="B26" s="13">
        <v>0.22</v>
      </c>
      <c r="C26" s="14">
        <f>IF(A26&gt;=10000, (10000*E7), (A24*E7+(A26-10000)*E8))</f>
        <v>800000</v>
      </c>
      <c r="D26" s="15">
        <f>E5+10000*E6</f>
        <v>650000</v>
      </c>
      <c r="E26" s="15">
        <f t="shared" si="3"/>
        <v>150000</v>
      </c>
      <c r="G26" s="11">
        <v>14000</v>
      </c>
      <c r="H26" s="11">
        <v>0.22</v>
      </c>
      <c r="I26" s="14">
        <f>IF(G26&gt;=16000,(16000*E7),(G26*E7+(16000-G26)*E8))</f>
        <v>1160000</v>
      </c>
      <c r="J26" s="14">
        <f>E5+16000*E6</f>
        <v>980000</v>
      </c>
      <c r="K26" s="14">
        <f t="shared" si="4"/>
        <v>180000</v>
      </c>
    </row>
    <row r="27" spans="1:11" x14ac:dyDescent="0.25">
      <c r="A27" s="12">
        <v>16000</v>
      </c>
      <c r="B27" s="13">
        <v>0.18</v>
      </c>
      <c r="C27" s="14">
        <f>IF(A27&gt;=10000, (10000*E7), (A24*E7+(A27-10000)*E8))</f>
        <v>800000</v>
      </c>
      <c r="D27" s="15">
        <f>E5+10000*E6</f>
        <v>650000</v>
      </c>
      <c r="E27" s="15">
        <f t="shared" si="3"/>
        <v>150000</v>
      </c>
      <c r="G27" s="11">
        <v>16000</v>
      </c>
      <c r="H27" s="11">
        <v>0.18</v>
      </c>
      <c r="I27" s="14">
        <f>IF(G27&gt;=16000,(16000*E7),(G27*E7+(16000-G27)*E8))</f>
        <v>1280000</v>
      </c>
      <c r="J27" s="14">
        <f>E5+16000*E6</f>
        <v>980000</v>
      </c>
      <c r="K27" s="14">
        <f t="shared" si="4"/>
        <v>300000</v>
      </c>
    </row>
    <row r="28" spans="1:11" x14ac:dyDescent="0.25">
      <c r="A28" s="12">
        <v>18000</v>
      </c>
      <c r="B28" s="13">
        <v>0.1</v>
      </c>
      <c r="C28" s="14">
        <f>IF(A28&gt;=10000, (10000*E7), (A23*E7+(A28-10000)*E8))</f>
        <v>800000</v>
      </c>
      <c r="D28" s="15">
        <f>E5+10000*E6</f>
        <v>650000</v>
      </c>
      <c r="E28" s="15">
        <f t="shared" si="3"/>
        <v>150000</v>
      </c>
      <c r="G28" s="11">
        <v>18000</v>
      </c>
      <c r="H28" s="11">
        <v>0.1</v>
      </c>
      <c r="I28" s="14">
        <f>IF(G28&gt;=16000,(16000*E7),(G28*E7+(16000-G28)*E8))</f>
        <v>1280000</v>
      </c>
      <c r="J28" s="14">
        <f>E5+16000*E6</f>
        <v>980000</v>
      </c>
      <c r="K28" s="14">
        <f t="shared" si="4"/>
        <v>300000</v>
      </c>
    </row>
    <row r="29" spans="1:11" x14ac:dyDescent="0.25">
      <c r="A29" s="57" t="s">
        <v>15</v>
      </c>
      <c r="B29" s="57"/>
      <c r="C29" s="57"/>
      <c r="D29" s="57"/>
      <c r="E29" s="19">
        <f>E23*B23+E24*B24+E25*B25+E26*B26+E27*B27+E28*B28</f>
        <v>136800</v>
      </c>
      <c r="G29" s="57" t="s">
        <v>15</v>
      </c>
      <c r="H29" s="57"/>
      <c r="I29" s="57"/>
      <c r="J29" s="57"/>
      <c r="K29" s="19">
        <f>K23*H23+K24*H24+K25*H25+K26*H26+K27*H27+K28*H28</f>
        <v>114000</v>
      </c>
    </row>
    <row r="30" spans="1:11" x14ac:dyDescent="0.25">
      <c r="A30" s="58" t="s">
        <v>25</v>
      </c>
      <c r="B30" s="59"/>
      <c r="C30" s="59"/>
      <c r="D30" s="60"/>
      <c r="E30" s="25">
        <f>10000*(E2-E3)</f>
        <v>450000</v>
      </c>
      <c r="F30" s="21"/>
      <c r="G30" s="58" t="s">
        <v>28</v>
      </c>
      <c r="H30" s="59"/>
      <c r="I30" s="59"/>
      <c r="J30" s="60"/>
      <c r="K30" s="25">
        <f>16000*(E2-E3)</f>
        <v>720000</v>
      </c>
    </row>
    <row r="31" spans="1:11" x14ac:dyDescent="0.25">
      <c r="G31" s="2"/>
      <c r="H31" s="2"/>
      <c r="I31" s="2"/>
      <c r="J31" s="2"/>
    </row>
    <row r="32" spans="1:11" x14ac:dyDescent="0.25">
      <c r="A32" s="56" t="s">
        <v>14</v>
      </c>
      <c r="B32" s="56"/>
      <c r="C32" s="56"/>
      <c r="D32" s="56"/>
      <c r="E32" s="56"/>
      <c r="G32" s="56" t="s">
        <v>19</v>
      </c>
      <c r="H32" s="56"/>
      <c r="I32" s="56"/>
      <c r="J32" s="56"/>
      <c r="K32" s="56"/>
    </row>
    <row r="33" spans="1:11" x14ac:dyDescent="0.25">
      <c r="A33" s="11" t="s">
        <v>7</v>
      </c>
      <c r="B33" s="11" t="s">
        <v>8</v>
      </c>
      <c r="C33" s="11" t="s">
        <v>9</v>
      </c>
      <c r="D33" s="11" t="s">
        <v>10</v>
      </c>
      <c r="E33" s="9" t="s">
        <v>11</v>
      </c>
      <c r="G33" s="11" t="s">
        <v>7</v>
      </c>
      <c r="H33" s="11" t="s">
        <v>8</v>
      </c>
      <c r="I33" s="11" t="s">
        <v>9</v>
      </c>
      <c r="J33" s="11" t="s">
        <v>10</v>
      </c>
      <c r="K33" s="9" t="s">
        <v>11</v>
      </c>
    </row>
    <row r="34" spans="1:11" x14ac:dyDescent="0.25">
      <c r="A34" s="11">
        <v>8000</v>
      </c>
      <c r="B34" s="11">
        <v>0.11</v>
      </c>
      <c r="C34" s="14">
        <f>IF(A34&gt;=12000,(12000*E7),(A34*E7+(12000-A34)*E8))</f>
        <v>720000</v>
      </c>
      <c r="D34" s="47">
        <f>E5+12000*E6</f>
        <v>760000</v>
      </c>
      <c r="E34" s="14">
        <f>C34-D34</f>
        <v>-40000</v>
      </c>
      <c r="G34" s="11">
        <v>8000</v>
      </c>
      <c r="H34" s="11">
        <v>0.11</v>
      </c>
      <c r="I34" s="14">
        <f>IF(G34&gt;=18000,(18000*E7),(G34*E7+(18000-G34)*E8))</f>
        <v>840000</v>
      </c>
      <c r="J34" s="14">
        <f>E5+18000*E6</f>
        <v>1090000</v>
      </c>
      <c r="K34" s="14">
        <f>I34-J34</f>
        <v>-250000</v>
      </c>
    </row>
    <row r="35" spans="1:11" x14ac:dyDescent="0.25">
      <c r="A35" s="11">
        <v>10000</v>
      </c>
      <c r="B35" s="11">
        <v>0.11</v>
      </c>
      <c r="C35" s="14">
        <f>IF(A35&gt;=12000,(12000*E7),(A35*E7+(12000-A35)*E8))</f>
        <v>840000</v>
      </c>
      <c r="D35" s="14">
        <f>E5+12000*E6</f>
        <v>760000</v>
      </c>
      <c r="E35" s="14">
        <f t="shared" ref="E35:E39" si="5">C35-D35</f>
        <v>80000</v>
      </c>
      <c r="G35" s="11">
        <v>10000</v>
      </c>
      <c r="H35" s="11">
        <v>0.11</v>
      </c>
      <c r="I35" s="14">
        <f>IF(G35&gt;=18000,(18000*E7),(G35*E7+(18000-G35)*E8))</f>
        <v>960000</v>
      </c>
      <c r="J35" s="14">
        <f>E5+18000*E6</f>
        <v>1090000</v>
      </c>
      <c r="K35" s="14">
        <f t="shared" ref="K35:K39" si="6">I35-J35</f>
        <v>-130000</v>
      </c>
    </row>
    <row r="36" spans="1:11" x14ac:dyDescent="0.25">
      <c r="A36" s="11">
        <v>12000</v>
      </c>
      <c r="B36" s="11">
        <v>0.28000000000000003</v>
      </c>
      <c r="C36" s="14">
        <f>IF(A36&gt;=12000,(12000*E7),(A36*E7+(12000-A36)*E8))</f>
        <v>960000</v>
      </c>
      <c r="D36" s="14">
        <f>E5+12000*E6</f>
        <v>760000</v>
      </c>
      <c r="E36" s="14">
        <f t="shared" si="5"/>
        <v>200000</v>
      </c>
      <c r="G36" s="11">
        <v>12000</v>
      </c>
      <c r="H36" s="11">
        <v>0.28000000000000003</v>
      </c>
      <c r="I36" s="14">
        <f>IF(G36&gt;=18000,(18000*E7),(G36*E7+(18000-G36)*E8))</f>
        <v>1080000</v>
      </c>
      <c r="J36" s="14">
        <f>E5+18000*E6</f>
        <v>1090000</v>
      </c>
      <c r="K36" s="14">
        <f t="shared" si="6"/>
        <v>-10000</v>
      </c>
    </row>
    <row r="37" spans="1:11" x14ac:dyDescent="0.25">
      <c r="A37" s="11">
        <v>14000</v>
      </c>
      <c r="B37" s="11">
        <v>0.22</v>
      </c>
      <c r="C37" s="14">
        <f>IF(A37&gt;=12000,(12000*E7),(A37*E7+(12000-A37)*E8))</f>
        <v>960000</v>
      </c>
      <c r="D37" s="14">
        <f>E5+12000*E6</f>
        <v>760000</v>
      </c>
      <c r="E37" s="14">
        <f t="shared" si="5"/>
        <v>200000</v>
      </c>
      <c r="G37" s="11">
        <v>14000</v>
      </c>
      <c r="H37" s="11">
        <v>0.22</v>
      </c>
      <c r="I37" s="14">
        <f>IF(G37&gt;=18000,(18000*E7),(G37*E7+(18000-G37)*E8))</f>
        <v>1200000</v>
      </c>
      <c r="J37" s="14">
        <f>E5+18000*E6</f>
        <v>1090000</v>
      </c>
      <c r="K37" s="14">
        <f t="shared" si="6"/>
        <v>110000</v>
      </c>
    </row>
    <row r="38" spans="1:11" x14ac:dyDescent="0.25">
      <c r="A38" s="11">
        <v>16000</v>
      </c>
      <c r="B38" s="11">
        <v>0.18</v>
      </c>
      <c r="C38" s="14">
        <f>IF(A38&gt;=12000,(12000*E7),(A38*E7+(12000-A38)*E8))</f>
        <v>960000</v>
      </c>
      <c r="D38" s="14">
        <f>E5+12000*E6</f>
        <v>760000</v>
      </c>
      <c r="E38" s="14">
        <f t="shared" si="5"/>
        <v>200000</v>
      </c>
      <c r="G38" s="11">
        <v>16000</v>
      </c>
      <c r="H38" s="11">
        <v>0.18</v>
      </c>
      <c r="I38" s="14">
        <f>IF(G38&gt;=18000,(18000*E7),(G38*E7+(18000-G38)*E8))</f>
        <v>1320000</v>
      </c>
      <c r="J38" s="14">
        <f>E5+18000*E6</f>
        <v>1090000</v>
      </c>
      <c r="K38" s="14">
        <f t="shared" si="6"/>
        <v>230000</v>
      </c>
    </row>
    <row r="39" spans="1:11" x14ac:dyDescent="0.25">
      <c r="A39" s="11">
        <v>18000</v>
      </c>
      <c r="B39" s="11">
        <v>0.1</v>
      </c>
      <c r="C39" s="14">
        <f>IF(A39&gt;=12000,(12000*E7),(A39*E7+(12000-A39)*E8))</f>
        <v>960000</v>
      </c>
      <c r="D39" s="14">
        <f>E5+12000*E6</f>
        <v>760000</v>
      </c>
      <c r="E39" s="14">
        <f t="shared" si="5"/>
        <v>200000</v>
      </c>
      <c r="G39" s="11">
        <v>18000</v>
      </c>
      <c r="H39" s="11">
        <v>0.1</v>
      </c>
      <c r="I39" s="14">
        <f>IF(G39&gt;=18000,(18000*E7),(G39*E7+(18000-G39)*E8))</f>
        <v>1440000</v>
      </c>
      <c r="J39" s="14">
        <f>E5+18000*E6</f>
        <v>1090000</v>
      </c>
      <c r="K39" s="14">
        <f t="shared" si="6"/>
        <v>350000</v>
      </c>
    </row>
    <row r="40" spans="1:11" x14ac:dyDescent="0.25">
      <c r="A40" s="61" t="s">
        <v>15</v>
      </c>
      <c r="B40" s="61"/>
      <c r="C40" s="61"/>
      <c r="D40" s="61"/>
      <c r="E40" s="48">
        <f>E34*B34+E35*B35+E36*B36+E37*B37+E38*B38+E39*B39</f>
        <v>160400</v>
      </c>
      <c r="G40" s="57" t="s">
        <v>15</v>
      </c>
      <c r="H40" s="57"/>
      <c r="I40" s="57"/>
      <c r="J40" s="57"/>
      <c r="K40" s="19">
        <f>K34*H34+K35*H35+K36*H36+K37*H37+K38*H38+K39*H39</f>
        <v>56000</v>
      </c>
    </row>
    <row r="41" spans="1:11" x14ac:dyDescent="0.25">
      <c r="A41" s="58" t="s">
        <v>26</v>
      </c>
      <c r="B41" s="59"/>
      <c r="C41" s="59"/>
      <c r="D41" s="60"/>
      <c r="E41" s="25">
        <f>12000*(E2-E3)</f>
        <v>540000</v>
      </c>
      <c r="F41" s="22"/>
      <c r="G41" s="58" t="s">
        <v>29</v>
      </c>
      <c r="H41" s="59"/>
      <c r="I41" s="59"/>
      <c r="J41" s="60"/>
      <c r="K41" s="25">
        <f>18000*(E2-E3)</f>
        <v>810000</v>
      </c>
    </row>
    <row r="44" spans="1:11" x14ac:dyDescent="0.25">
      <c r="E44" s="46">
        <f>AVERAGE(E34:E39)</f>
        <v>140000</v>
      </c>
    </row>
  </sheetData>
  <mergeCells count="26">
    <mergeCell ref="A30:D30"/>
    <mergeCell ref="A41:D41"/>
    <mergeCell ref="G19:J19"/>
    <mergeCell ref="G30:J30"/>
    <mergeCell ref="G41:J41"/>
    <mergeCell ref="G32:K32"/>
    <mergeCell ref="G40:J40"/>
    <mergeCell ref="A32:E32"/>
    <mergeCell ref="A40:D40"/>
    <mergeCell ref="G29:J29"/>
    <mergeCell ref="A29:D29"/>
    <mergeCell ref="A8:D8"/>
    <mergeCell ref="A1:E1"/>
    <mergeCell ref="A4:E4"/>
    <mergeCell ref="A7:D7"/>
    <mergeCell ref="G21:K21"/>
    <mergeCell ref="A2:D2"/>
    <mergeCell ref="A3:D3"/>
    <mergeCell ref="A5:D5"/>
    <mergeCell ref="A6:D6"/>
    <mergeCell ref="G10:K10"/>
    <mergeCell ref="G18:J18"/>
    <mergeCell ref="A10:E10"/>
    <mergeCell ref="A21:E21"/>
    <mergeCell ref="A18:D18"/>
    <mergeCell ref="A19:D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workbookViewId="0">
      <selection activeCell="O23" sqref="O23"/>
    </sheetView>
  </sheetViews>
  <sheetFormatPr defaultRowHeight="15" x14ac:dyDescent="0.25"/>
  <cols>
    <col min="1" max="1" width="8.42578125" style="2" bestFit="1" customWidth="1"/>
    <col min="2" max="2" width="10.7109375" style="2" bestFit="1" customWidth="1"/>
    <col min="3" max="3" width="8.85546875" style="2" bestFit="1" customWidth="1"/>
    <col min="4" max="4" width="8.5703125" style="2" bestFit="1" customWidth="1"/>
    <col min="5" max="5" width="9.28515625" bestFit="1" customWidth="1"/>
    <col min="6" max="6" width="5.140625" customWidth="1"/>
    <col min="7" max="7" width="8.42578125" bestFit="1" customWidth="1"/>
    <col min="8" max="8" width="10.7109375" bestFit="1" customWidth="1"/>
    <col min="9" max="10" width="10.140625" bestFit="1" customWidth="1"/>
    <col min="11" max="11" width="8.5703125" bestFit="1" customWidth="1"/>
    <col min="12" max="12" width="9.28515625" bestFit="1" customWidth="1"/>
    <col min="13" max="13" width="9.42578125" bestFit="1" customWidth="1"/>
    <col min="14" max="14" width="10.7109375" bestFit="1" customWidth="1"/>
    <col min="15" max="15" width="10.140625" bestFit="1" customWidth="1"/>
    <col min="16" max="17" width="8.5703125" bestFit="1" customWidth="1"/>
    <col min="19" max="19" width="9.42578125" bestFit="1" customWidth="1"/>
    <col min="20" max="20" width="10.7109375" bestFit="1" customWidth="1"/>
    <col min="21" max="22" width="10.140625" bestFit="1" customWidth="1"/>
    <col min="23" max="23" width="8.5703125" bestFit="1" customWidth="1"/>
    <col min="25" max="25" width="17.7109375" bestFit="1" customWidth="1"/>
    <col min="26" max="26" width="20" bestFit="1" customWidth="1"/>
    <col min="27" max="27" width="17.5703125" bestFit="1" customWidth="1"/>
    <col min="28" max="28" width="10.85546875" bestFit="1" customWidth="1"/>
  </cols>
  <sheetData>
    <row r="1" spans="1:23" x14ac:dyDescent="0.25">
      <c r="A1" s="50" t="s">
        <v>0</v>
      </c>
      <c r="B1" s="51"/>
      <c r="C1" s="51"/>
      <c r="D1" s="51"/>
      <c r="E1" s="52"/>
      <c r="G1" s="26" t="s">
        <v>20</v>
      </c>
      <c r="H1" s="26" t="s">
        <v>21</v>
      </c>
      <c r="I1" s="26" t="s">
        <v>22</v>
      </c>
      <c r="J1" s="26" t="s">
        <v>23</v>
      </c>
    </row>
    <row r="2" spans="1:23" x14ac:dyDescent="0.25">
      <c r="A2" s="49" t="s">
        <v>5</v>
      </c>
      <c r="B2" s="49"/>
      <c r="C2" s="49"/>
      <c r="D2" s="49"/>
      <c r="E2" s="20">
        <v>125</v>
      </c>
      <c r="G2" s="27">
        <v>8000</v>
      </c>
      <c r="H2" s="28">
        <f>E19</f>
        <v>100000</v>
      </c>
      <c r="I2" s="28">
        <f>Q19</f>
        <v>360000</v>
      </c>
      <c r="J2" s="29">
        <f t="shared" ref="J2:J7" si="0">H2+I2</f>
        <v>460000</v>
      </c>
    </row>
    <row r="3" spans="1:23" x14ac:dyDescent="0.25">
      <c r="A3" s="49" t="s">
        <v>4</v>
      </c>
      <c r="B3" s="49"/>
      <c r="C3" s="49"/>
      <c r="D3" s="49"/>
      <c r="E3" s="20">
        <v>80</v>
      </c>
      <c r="G3" s="27">
        <v>10000</v>
      </c>
      <c r="H3" s="28">
        <f>E29</f>
        <v>140760</v>
      </c>
      <c r="I3" s="28">
        <f>Q29</f>
        <v>436140</v>
      </c>
      <c r="J3" s="29">
        <f t="shared" si="0"/>
        <v>576900</v>
      </c>
    </row>
    <row r="4" spans="1:23" x14ac:dyDescent="0.25">
      <c r="A4" s="53" t="s">
        <v>30</v>
      </c>
      <c r="B4" s="54"/>
      <c r="C4" s="54"/>
      <c r="D4" s="55"/>
      <c r="E4" s="20">
        <v>18</v>
      </c>
      <c r="G4" s="27">
        <v>12000</v>
      </c>
      <c r="H4" s="44">
        <f>E39</f>
        <v>172280</v>
      </c>
      <c r="I4" s="28">
        <f>Q39</f>
        <v>498420</v>
      </c>
      <c r="J4" s="29">
        <f t="shared" si="0"/>
        <v>670700</v>
      </c>
    </row>
    <row r="5" spans="1:23" x14ac:dyDescent="0.25">
      <c r="A5" s="50" t="s">
        <v>1</v>
      </c>
      <c r="B5" s="51"/>
      <c r="C5" s="51"/>
      <c r="D5" s="51"/>
      <c r="E5" s="52"/>
      <c r="G5" s="27">
        <v>14000</v>
      </c>
      <c r="H5" s="30">
        <f>K19</f>
        <v>180280</v>
      </c>
      <c r="I5" s="30">
        <f>W19</f>
        <v>525420</v>
      </c>
      <c r="J5" s="31">
        <f t="shared" si="0"/>
        <v>705700</v>
      </c>
    </row>
    <row r="6" spans="1:23" x14ac:dyDescent="0.25">
      <c r="A6" s="49" t="s">
        <v>2</v>
      </c>
      <c r="B6" s="49"/>
      <c r="C6" s="49"/>
      <c r="D6" s="49"/>
      <c r="E6" s="10">
        <v>100000</v>
      </c>
      <c r="G6" s="27">
        <v>16000</v>
      </c>
      <c r="H6" s="28">
        <f>K29</f>
        <v>169800</v>
      </c>
      <c r="I6" s="28">
        <f>W29</f>
        <v>524700</v>
      </c>
      <c r="J6" s="29">
        <f t="shared" si="0"/>
        <v>694500</v>
      </c>
    </row>
    <row r="7" spans="1:23" x14ac:dyDescent="0.25">
      <c r="A7" s="49" t="s">
        <v>3</v>
      </c>
      <c r="B7" s="49"/>
      <c r="C7" s="49"/>
      <c r="D7" s="49"/>
      <c r="E7" s="10">
        <v>55</v>
      </c>
      <c r="G7" s="27">
        <v>18000</v>
      </c>
      <c r="H7" s="28">
        <f>K39</f>
        <v>144200</v>
      </c>
      <c r="I7" s="44">
        <f>W39</f>
        <v>501300</v>
      </c>
      <c r="J7" s="45">
        <f t="shared" si="0"/>
        <v>645500</v>
      </c>
    </row>
    <row r="8" spans="1:23" x14ac:dyDescent="0.25">
      <c r="A8" s="53" t="s">
        <v>17</v>
      </c>
      <c r="B8" s="54"/>
      <c r="C8" s="54"/>
      <c r="D8" s="55"/>
      <c r="E8" s="10">
        <v>80</v>
      </c>
    </row>
    <row r="9" spans="1:23" x14ac:dyDescent="0.25">
      <c r="A9" s="49" t="s">
        <v>6</v>
      </c>
      <c r="B9" s="49"/>
      <c r="C9" s="49"/>
      <c r="D9" s="49"/>
      <c r="E9" s="10">
        <v>20</v>
      </c>
    </row>
    <row r="11" spans="1:23" x14ac:dyDescent="0.25">
      <c r="A11" s="56" t="s">
        <v>12</v>
      </c>
      <c r="B11" s="56"/>
      <c r="C11" s="56"/>
      <c r="D11" s="56"/>
      <c r="E11" s="56"/>
      <c r="G11" s="56" t="s">
        <v>16</v>
      </c>
      <c r="H11" s="56"/>
      <c r="I11" s="56"/>
      <c r="J11" s="56"/>
      <c r="K11" s="56"/>
      <c r="L11" s="4"/>
      <c r="M11" s="62" t="s">
        <v>31</v>
      </c>
      <c r="N11" s="62"/>
      <c r="O11" s="62"/>
      <c r="P11" s="62"/>
      <c r="Q11" s="62"/>
      <c r="S11" s="62" t="s">
        <v>34</v>
      </c>
      <c r="T11" s="62"/>
      <c r="U11" s="62"/>
      <c r="V11" s="62"/>
      <c r="W11" s="62"/>
    </row>
    <row r="12" spans="1:23" x14ac:dyDescent="0.25">
      <c r="A12" s="11" t="s">
        <v>7</v>
      </c>
      <c r="B12" s="11" t="s">
        <v>8</v>
      </c>
      <c r="C12" s="11" t="s">
        <v>9</v>
      </c>
      <c r="D12" s="11" t="s">
        <v>10</v>
      </c>
      <c r="E12" s="11" t="s">
        <v>11</v>
      </c>
      <c r="G12" s="11" t="s">
        <v>7</v>
      </c>
      <c r="H12" s="11" t="s">
        <v>8</v>
      </c>
      <c r="I12" s="11" t="s">
        <v>9</v>
      </c>
      <c r="J12" s="11" t="s">
        <v>10</v>
      </c>
      <c r="K12" s="11" t="s">
        <v>11</v>
      </c>
      <c r="L12" s="4"/>
      <c r="M12" s="11" t="s">
        <v>38</v>
      </c>
      <c r="N12" s="11" t="s">
        <v>8</v>
      </c>
      <c r="O12" s="11" t="s">
        <v>9</v>
      </c>
      <c r="P12" s="11" t="s">
        <v>10</v>
      </c>
      <c r="Q12" s="11" t="s">
        <v>11</v>
      </c>
      <c r="S12" s="11" t="s">
        <v>38</v>
      </c>
      <c r="T12" s="11" t="s">
        <v>8</v>
      </c>
      <c r="U12" s="11" t="s">
        <v>9</v>
      </c>
      <c r="V12" s="11" t="s">
        <v>10</v>
      </c>
      <c r="W12" s="11" t="s">
        <v>11</v>
      </c>
    </row>
    <row r="13" spans="1:23" x14ac:dyDescent="0.25">
      <c r="A13" s="33">
        <v>8000</v>
      </c>
      <c r="B13" s="34">
        <v>0.11</v>
      </c>
      <c r="C13" s="14">
        <f>IF(A13&gt;=8000, (8000*E8), (A13*E8+(A13-8000)*(E9+E4)))</f>
        <v>640000</v>
      </c>
      <c r="D13" s="15">
        <f>E6+8000*E7</f>
        <v>540000</v>
      </c>
      <c r="E13" s="15">
        <f>C13-D13</f>
        <v>100000</v>
      </c>
      <c r="F13" s="3"/>
      <c r="G13" s="32">
        <v>8000</v>
      </c>
      <c r="H13" s="13">
        <v>0.11</v>
      </c>
      <c r="I13" s="14">
        <f>IF(G13&gt;=14000,(14000*E8),(G13*E8+(14000-G13)*(E9+E4)))</f>
        <v>868000</v>
      </c>
      <c r="J13" s="14">
        <f>E6+14000*E7</f>
        <v>870000</v>
      </c>
      <c r="K13" s="14">
        <f>I13-J13</f>
        <v>-2000</v>
      </c>
      <c r="L13" s="4"/>
      <c r="M13" s="12">
        <v>8000</v>
      </c>
      <c r="N13" s="13">
        <v>0.11</v>
      </c>
      <c r="O13" s="14">
        <f>8000*E2</f>
        <v>1000000</v>
      </c>
      <c r="P13" s="18">
        <f>C13</f>
        <v>640000</v>
      </c>
      <c r="Q13" s="18">
        <f>O13-P13</f>
        <v>360000</v>
      </c>
      <c r="S13" s="12">
        <v>8000</v>
      </c>
      <c r="T13" s="13">
        <v>0.11</v>
      </c>
      <c r="U13" s="14">
        <f>8000*E2</f>
        <v>1000000</v>
      </c>
      <c r="V13" s="18">
        <f>IF(G13&gt;=14000,(14000*E8),(G13*E8+(14000-G13)*(E4)))</f>
        <v>748000</v>
      </c>
      <c r="W13" s="18">
        <f>U13-V13</f>
        <v>252000</v>
      </c>
    </row>
    <row r="14" spans="1:23" x14ac:dyDescent="0.25">
      <c r="A14" s="33">
        <v>10000</v>
      </c>
      <c r="B14" s="34">
        <v>0.11</v>
      </c>
      <c r="C14" s="14">
        <f>IF(A14&gt;=8000, (8000*E8), (A14*E8+(A14-8000)*(E9+E4)))</f>
        <v>640000</v>
      </c>
      <c r="D14" s="15">
        <f>E6+8000*E7</f>
        <v>540000</v>
      </c>
      <c r="E14" s="15">
        <f t="shared" ref="E14:E18" si="1">C14-D14</f>
        <v>100000</v>
      </c>
      <c r="F14" s="3"/>
      <c r="G14" s="32">
        <v>10000</v>
      </c>
      <c r="H14" s="13">
        <v>0.11</v>
      </c>
      <c r="I14" s="14">
        <f>IF(G14&gt;=14000,(14000*E8),(G14*E8+(14000-G14)*(E9+E4)))</f>
        <v>952000</v>
      </c>
      <c r="J14" s="14">
        <f>E6+14000*E7</f>
        <v>870000</v>
      </c>
      <c r="K14" s="14">
        <f t="shared" ref="K14:K18" si="2">I14-J14</f>
        <v>82000</v>
      </c>
      <c r="L14" s="4"/>
      <c r="M14" s="12">
        <v>10000</v>
      </c>
      <c r="N14" s="13">
        <v>0.11</v>
      </c>
      <c r="O14" s="14">
        <f>8000*E2</f>
        <v>1000000</v>
      </c>
      <c r="P14" s="18">
        <f t="shared" ref="P14:P18" si="3">C14</f>
        <v>640000</v>
      </c>
      <c r="Q14" s="18">
        <f t="shared" ref="Q14:Q18" si="4">O14-P14</f>
        <v>360000</v>
      </c>
      <c r="S14" s="12">
        <v>10000</v>
      </c>
      <c r="T14" s="13">
        <v>0.11</v>
      </c>
      <c r="U14" s="14">
        <f>10000*E2</f>
        <v>1250000</v>
      </c>
      <c r="V14" s="18">
        <f>IF(G14&gt;=14000,(14000*E8),(G14*E8+(14000-G14)*(E4)))</f>
        <v>872000</v>
      </c>
      <c r="W14" s="18">
        <f t="shared" ref="W14:W18" si="5">U14-V14</f>
        <v>378000</v>
      </c>
    </row>
    <row r="15" spans="1:23" x14ac:dyDescent="0.25">
      <c r="A15" s="33">
        <v>12000</v>
      </c>
      <c r="B15" s="34">
        <v>0.28000000000000003</v>
      </c>
      <c r="C15" s="14">
        <f>IF(A15&gt;=8000, (8000*E8), (A15*E8+(A15-8000)*(E9+E4)))</f>
        <v>640000</v>
      </c>
      <c r="D15" s="15">
        <f>E6+8000*E7</f>
        <v>540000</v>
      </c>
      <c r="E15" s="15">
        <f t="shared" si="1"/>
        <v>100000</v>
      </c>
      <c r="F15" s="3"/>
      <c r="G15" s="32">
        <v>12000</v>
      </c>
      <c r="H15" s="13">
        <v>0.28000000000000003</v>
      </c>
      <c r="I15" s="14">
        <f>IF(G15&gt;=14000,(14000*E8),(G15*E8+(14000-G15)*(E9+E4)))</f>
        <v>1036000</v>
      </c>
      <c r="J15" s="14">
        <f>E6+14000*E7</f>
        <v>870000</v>
      </c>
      <c r="K15" s="14">
        <f t="shared" si="2"/>
        <v>166000</v>
      </c>
      <c r="L15" s="4"/>
      <c r="M15" s="12">
        <v>12000</v>
      </c>
      <c r="N15" s="13">
        <v>0.28000000000000003</v>
      </c>
      <c r="O15" s="14">
        <f>8000*E2</f>
        <v>1000000</v>
      </c>
      <c r="P15" s="18">
        <f t="shared" si="3"/>
        <v>640000</v>
      </c>
      <c r="Q15" s="18">
        <f t="shared" si="4"/>
        <v>360000</v>
      </c>
      <c r="S15" s="12">
        <v>12000</v>
      </c>
      <c r="T15" s="13">
        <v>0.28000000000000003</v>
      </c>
      <c r="U15" s="14">
        <f>12000*E2</f>
        <v>1500000</v>
      </c>
      <c r="V15" s="18">
        <f>IF(G15&gt;=14000,(14000*E8),(G15*E8+(14000-G15)*(E4)))</f>
        <v>996000</v>
      </c>
      <c r="W15" s="18">
        <f t="shared" si="5"/>
        <v>504000</v>
      </c>
    </row>
    <row r="16" spans="1:23" x14ac:dyDescent="0.25">
      <c r="A16" s="33">
        <v>14000</v>
      </c>
      <c r="B16" s="34">
        <v>0.22</v>
      </c>
      <c r="C16" s="14">
        <f>IF(A16&gt;=8000, (8000*E8), (A16*E8+(A16-8000)*(E9+E4)))</f>
        <v>640000</v>
      </c>
      <c r="D16" s="15">
        <f>E6+8000*E7</f>
        <v>540000</v>
      </c>
      <c r="E16" s="15">
        <f t="shared" si="1"/>
        <v>100000</v>
      </c>
      <c r="F16" s="3"/>
      <c r="G16" s="32">
        <v>14000</v>
      </c>
      <c r="H16" s="13">
        <v>0.22</v>
      </c>
      <c r="I16" s="14">
        <f>IF(G16&gt;=14000,(14000*E8),(G16*E8+(14000-G16)*(E9+E4)))</f>
        <v>1120000</v>
      </c>
      <c r="J16" s="14">
        <f>E6+14000*E7</f>
        <v>870000</v>
      </c>
      <c r="K16" s="14">
        <f t="shared" si="2"/>
        <v>250000</v>
      </c>
      <c r="L16" s="4"/>
      <c r="M16" s="12">
        <v>14000</v>
      </c>
      <c r="N16" s="13">
        <v>0.22</v>
      </c>
      <c r="O16" s="14">
        <f>8000*E2</f>
        <v>1000000</v>
      </c>
      <c r="P16" s="18">
        <f t="shared" si="3"/>
        <v>640000</v>
      </c>
      <c r="Q16" s="18">
        <f t="shared" si="4"/>
        <v>360000</v>
      </c>
      <c r="S16" s="12">
        <v>14000</v>
      </c>
      <c r="T16" s="13">
        <v>0.22</v>
      </c>
      <c r="U16" s="14">
        <f>14000*E2</f>
        <v>1750000</v>
      </c>
      <c r="V16" s="18">
        <f t="shared" ref="V16:V18" si="6">I16</f>
        <v>1120000</v>
      </c>
      <c r="W16" s="18">
        <f t="shared" si="5"/>
        <v>630000</v>
      </c>
    </row>
    <row r="17" spans="1:23" x14ac:dyDescent="0.25">
      <c r="A17" s="33">
        <v>16000</v>
      </c>
      <c r="B17" s="34">
        <v>0.18</v>
      </c>
      <c r="C17" s="14">
        <f>IF(A17&gt;=8000, (8000*E8), (A17*E8+(A17-8000)*(E9+E4)))</f>
        <v>640000</v>
      </c>
      <c r="D17" s="15">
        <f>E6+8000*E7</f>
        <v>540000</v>
      </c>
      <c r="E17" s="15">
        <f t="shared" si="1"/>
        <v>100000</v>
      </c>
      <c r="F17" s="3"/>
      <c r="G17" s="32">
        <v>16000</v>
      </c>
      <c r="H17" s="13">
        <v>0.18</v>
      </c>
      <c r="I17" s="14">
        <f>IF(G17&gt;=14000,(14000*E8),(G17*E8+(14000-G17)*(E9+E4)))</f>
        <v>1120000</v>
      </c>
      <c r="J17" s="14">
        <f>E6+14000*E7</f>
        <v>870000</v>
      </c>
      <c r="K17" s="14">
        <f t="shared" si="2"/>
        <v>250000</v>
      </c>
      <c r="M17" s="12">
        <v>16000</v>
      </c>
      <c r="N17" s="13">
        <v>0.18</v>
      </c>
      <c r="O17" s="14">
        <f>8000*E2</f>
        <v>1000000</v>
      </c>
      <c r="P17" s="18">
        <f t="shared" si="3"/>
        <v>640000</v>
      </c>
      <c r="Q17" s="18">
        <f t="shared" si="4"/>
        <v>360000</v>
      </c>
      <c r="S17" s="12">
        <v>16000</v>
      </c>
      <c r="T17" s="13">
        <v>0.18</v>
      </c>
      <c r="U17" s="14">
        <f>14000*E2</f>
        <v>1750000</v>
      </c>
      <c r="V17" s="18">
        <f t="shared" si="6"/>
        <v>1120000</v>
      </c>
      <c r="W17" s="18">
        <f t="shared" si="5"/>
        <v>630000</v>
      </c>
    </row>
    <row r="18" spans="1:23" x14ac:dyDescent="0.25">
      <c r="A18" s="33">
        <v>18000</v>
      </c>
      <c r="B18" s="34">
        <v>0.1</v>
      </c>
      <c r="C18" s="14">
        <f>IF(A18&gt;=8000, (8000*E8), (A18*E8+(A18-8000)*(E9+E4)))</f>
        <v>640000</v>
      </c>
      <c r="D18" s="15">
        <f>E6+8000*E7</f>
        <v>540000</v>
      </c>
      <c r="E18" s="15">
        <f t="shared" si="1"/>
        <v>100000</v>
      </c>
      <c r="F18" s="3"/>
      <c r="G18" s="32">
        <v>18000</v>
      </c>
      <c r="H18" s="13">
        <v>0.1</v>
      </c>
      <c r="I18" s="14">
        <f>IF(G18&gt;=14000,(14000*E8),(G18*E8+(14000-G18)*(E9+E4)))</f>
        <v>1120000</v>
      </c>
      <c r="J18" s="14">
        <f>E6+14000*E7</f>
        <v>870000</v>
      </c>
      <c r="K18" s="14">
        <f t="shared" si="2"/>
        <v>250000</v>
      </c>
      <c r="M18" s="12">
        <v>18000</v>
      </c>
      <c r="N18" s="13">
        <v>0.1</v>
      </c>
      <c r="O18" s="14">
        <f>8000*E2</f>
        <v>1000000</v>
      </c>
      <c r="P18" s="18">
        <f t="shared" si="3"/>
        <v>640000</v>
      </c>
      <c r="Q18" s="18">
        <f t="shared" si="4"/>
        <v>360000</v>
      </c>
      <c r="S18" s="12">
        <v>18000</v>
      </c>
      <c r="T18" s="13">
        <v>0.1</v>
      </c>
      <c r="U18" s="14">
        <f>14000*E2</f>
        <v>1750000</v>
      </c>
      <c r="V18" s="18">
        <f t="shared" si="6"/>
        <v>1120000</v>
      </c>
      <c r="W18" s="18">
        <f t="shared" si="5"/>
        <v>630000</v>
      </c>
    </row>
    <row r="19" spans="1:23" x14ac:dyDescent="0.25">
      <c r="A19" s="57" t="s">
        <v>15</v>
      </c>
      <c r="B19" s="57"/>
      <c r="C19" s="57"/>
      <c r="D19" s="57"/>
      <c r="E19" s="19">
        <f>E13*B13+E14*B14+E15*B15+E16*B16+E17*B17+E18*B18</f>
        <v>100000</v>
      </c>
      <c r="G19" s="57" t="s">
        <v>15</v>
      </c>
      <c r="H19" s="57"/>
      <c r="I19" s="57"/>
      <c r="J19" s="57"/>
      <c r="K19" s="19">
        <f>K13*H13+K14*H14+K15*H15+K16*H16+K17*H17+K18*H18</f>
        <v>180280</v>
      </c>
      <c r="M19" s="56" t="s">
        <v>37</v>
      </c>
      <c r="N19" s="56"/>
      <c r="O19" s="56"/>
      <c r="P19" s="56"/>
      <c r="Q19" s="19">
        <f>Q13*N13+Q14*N14+Q15*N15+Q16*N16+Q17*N17+Q18*N18</f>
        <v>360000</v>
      </c>
      <c r="S19" s="56" t="s">
        <v>37</v>
      </c>
      <c r="T19" s="56"/>
      <c r="U19" s="56"/>
      <c r="V19" s="56"/>
      <c r="W19" s="19">
        <f>W13*T13+W14*T14+W15*T15+W16*T16+W17*T17+W18*T18</f>
        <v>525420</v>
      </c>
    </row>
    <row r="20" spans="1:23" x14ac:dyDescent="0.25">
      <c r="A20" s="8"/>
      <c r="B20" s="8"/>
      <c r="C20" s="8"/>
      <c r="D20" s="8"/>
      <c r="E20" s="8"/>
      <c r="G20" s="2"/>
      <c r="H20" s="2"/>
      <c r="I20" s="2"/>
      <c r="J20" s="2"/>
    </row>
    <row r="21" spans="1:23" x14ac:dyDescent="0.25">
      <c r="A21" s="56" t="s">
        <v>13</v>
      </c>
      <c r="B21" s="56"/>
      <c r="C21" s="56"/>
      <c r="D21" s="56"/>
      <c r="E21" s="56"/>
      <c r="G21" s="56" t="s">
        <v>18</v>
      </c>
      <c r="H21" s="56"/>
      <c r="I21" s="56"/>
      <c r="J21" s="56"/>
      <c r="K21" s="56"/>
      <c r="M21" s="62" t="s">
        <v>32</v>
      </c>
      <c r="N21" s="62"/>
      <c r="O21" s="62"/>
      <c r="P21" s="62"/>
      <c r="Q21" s="62"/>
      <c r="S21" s="62" t="s">
        <v>35</v>
      </c>
      <c r="T21" s="62"/>
      <c r="U21" s="62"/>
      <c r="V21" s="62"/>
      <c r="W21" s="62"/>
    </row>
    <row r="22" spans="1:23" x14ac:dyDescent="0.25">
      <c r="A22" s="16" t="s">
        <v>7</v>
      </c>
      <c r="B22" s="16" t="s">
        <v>8</v>
      </c>
      <c r="C22" s="16" t="s">
        <v>9</v>
      </c>
      <c r="D22" s="16" t="s">
        <v>10</v>
      </c>
      <c r="E22" s="16" t="s">
        <v>11</v>
      </c>
      <c r="G22" s="11" t="s">
        <v>7</v>
      </c>
      <c r="H22" s="11" t="s">
        <v>8</v>
      </c>
      <c r="I22" s="11" t="s">
        <v>9</v>
      </c>
      <c r="J22" s="11" t="s">
        <v>10</v>
      </c>
      <c r="K22" s="9" t="s">
        <v>11</v>
      </c>
      <c r="M22" s="11" t="s">
        <v>38</v>
      </c>
      <c r="N22" s="11" t="s">
        <v>8</v>
      </c>
      <c r="O22" s="11" t="s">
        <v>9</v>
      </c>
      <c r="P22" s="11" t="s">
        <v>10</v>
      </c>
      <c r="Q22" s="11" t="s">
        <v>11</v>
      </c>
      <c r="S22" s="11" t="s">
        <v>38</v>
      </c>
      <c r="T22" s="11" t="s">
        <v>8</v>
      </c>
      <c r="U22" s="11" t="s">
        <v>9</v>
      </c>
      <c r="V22" s="11" t="s">
        <v>10</v>
      </c>
      <c r="W22" s="11" t="s">
        <v>11</v>
      </c>
    </row>
    <row r="23" spans="1:23" x14ac:dyDescent="0.25">
      <c r="A23" s="33">
        <v>8000</v>
      </c>
      <c r="B23" s="13">
        <v>0.11</v>
      </c>
      <c r="C23" s="14">
        <f>IF(A23&gt;=10000,(10000*E8),(A23*E8+(10000-A23)*(E9+E4)))</f>
        <v>716000</v>
      </c>
      <c r="D23" s="15">
        <f>E6+10000*E7</f>
        <v>650000</v>
      </c>
      <c r="E23" s="15">
        <f>C23-D23</f>
        <v>66000</v>
      </c>
      <c r="G23" s="32">
        <v>8000</v>
      </c>
      <c r="H23" s="13">
        <v>0.11</v>
      </c>
      <c r="I23" s="14">
        <f>IF(G23&gt;=16000,(16000*E8),(G23*E8+(16000-G23)*(E9+E4)))</f>
        <v>944000</v>
      </c>
      <c r="J23" s="14">
        <f>E6+16000*E7</f>
        <v>980000</v>
      </c>
      <c r="K23" s="14">
        <f>I23-J23</f>
        <v>-36000</v>
      </c>
      <c r="M23" s="12">
        <v>8000</v>
      </c>
      <c r="N23" s="13">
        <v>0.11</v>
      </c>
      <c r="O23" s="14">
        <f>8000*E2</f>
        <v>1000000</v>
      </c>
      <c r="P23" s="18">
        <f>IF(A23&gt;=10000,(10000*E8),(A23*E8+(10000-A23)*(E4)))</f>
        <v>676000</v>
      </c>
      <c r="Q23" s="18">
        <f>O23-P23</f>
        <v>324000</v>
      </c>
      <c r="S23" s="12">
        <v>8000</v>
      </c>
      <c r="T23" s="13">
        <v>0.11</v>
      </c>
      <c r="U23" s="14">
        <f>8000*E2</f>
        <v>1000000</v>
      </c>
      <c r="V23" s="18">
        <f>IF(G23&gt;=16000,(16000*E8),(G23*E8+(16000-G23)*(E4)))</f>
        <v>784000</v>
      </c>
      <c r="W23" s="18">
        <f>U23-V23</f>
        <v>216000</v>
      </c>
    </row>
    <row r="24" spans="1:23" x14ac:dyDescent="0.25">
      <c r="A24" s="33">
        <v>10000</v>
      </c>
      <c r="B24" s="13">
        <v>0.11</v>
      </c>
      <c r="C24" s="14">
        <f>IF(A24&gt;=10000, (10000*E8), (A24*E8+(A24-10000)*(E9+E4)))</f>
        <v>800000</v>
      </c>
      <c r="D24" s="15">
        <f>E6+10000*E7</f>
        <v>650000</v>
      </c>
      <c r="E24" s="15">
        <f t="shared" ref="E24:E28" si="7">C24-D24</f>
        <v>150000</v>
      </c>
      <c r="G24" s="32">
        <v>10000</v>
      </c>
      <c r="H24" s="13">
        <v>0.11</v>
      </c>
      <c r="I24" s="14">
        <f>IF(G24&gt;=16000,(16000*E8),(G24*E8+(16000-G24)*(E9+E4)))</f>
        <v>1028000</v>
      </c>
      <c r="J24" s="14">
        <f>E6+16000*E7</f>
        <v>980000</v>
      </c>
      <c r="K24" s="14">
        <f t="shared" ref="K24:K28" si="8">I24-J24</f>
        <v>48000</v>
      </c>
      <c r="M24" s="12">
        <v>10000</v>
      </c>
      <c r="N24" s="13">
        <v>0.11</v>
      </c>
      <c r="O24" s="14">
        <f>10000*E2</f>
        <v>1250000</v>
      </c>
      <c r="P24" s="18">
        <f t="shared" ref="P24:P28" si="9">C24</f>
        <v>800000</v>
      </c>
      <c r="Q24" s="18">
        <f t="shared" ref="Q24:Q28" si="10">O24-P24</f>
        <v>450000</v>
      </c>
      <c r="S24" s="12">
        <v>10000</v>
      </c>
      <c r="T24" s="13">
        <v>0.11</v>
      </c>
      <c r="U24" s="14">
        <f>10000*E2</f>
        <v>1250000</v>
      </c>
      <c r="V24" s="18">
        <f>IF(G24&gt;=16000,(16000*E8),(G24*E8+(16000-G24)*(E4)))</f>
        <v>908000</v>
      </c>
      <c r="W24" s="18">
        <f t="shared" ref="W24:W28" si="11">U24-V24</f>
        <v>342000</v>
      </c>
    </row>
    <row r="25" spans="1:23" x14ac:dyDescent="0.25">
      <c r="A25" s="33">
        <v>12000</v>
      </c>
      <c r="B25" s="13">
        <v>0.28000000000000003</v>
      </c>
      <c r="C25" s="14">
        <f>IF(A25&gt;=10000, (10000*E8), (A24*E8+(A25-10000)*(E9+E4)))</f>
        <v>800000</v>
      </c>
      <c r="D25" s="15">
        <f>E6+10000*E7</f>
        <v>650000</v>
      </c>
      <c r="E25" s="15">
        <f t="shared" si="7"/>
        <v>150000</v>
      </c>
      <c r="G25" s="32">
        <v>12000</v>
      </c>
      <c r="H25" s="13">
        <v>0.28000000000000003</v>
      </c>
      <c r="I25" s="17">
        <f>IF(G25&gt;=16000,(16000*E8),(G25*E8+(16000-G25)*(E9+E4)))</f>
        <v>1112000</v>
      </c>
      <c r="J25" s="14">
        <f>E6+16000*E7</f>
        <v>980000</v>
      </c>
      <c r="K25" s="14">
        <f t="shared" si="8"/>
        <v>132000</v>
      </c>
      <c r="M25" s="12">
        <v>12000</v>
      </c>
      <c r="N25" s="13">
        <v>0.28000000000000003</v>
      </c>
      <c r="O25" s="14">
        <f>10000*E2</f>
        <v>1250000</v>
      </c>
      <c r="P25" s="18">
        <f t="shared" si="9"/>
        <v>800000</v>
      </c>
      <c r="Q25" s="18">
        <f t="shared" si="10"/>
        <v>450000</v>
      </c>
      <c r="S25" s="12">
        <v>12000</v>
      </c>
      <c r="T25" s="13">
        <v>0.28000000000000003</v>
      </c>
      <c r="U25" s="17">
        <f>12000*E2</f>
        <v>1500000</v>
      </c>
      <c r="V25" s="18">
        <f>IF(G25&gt;=16000,(16000*E8),(G25*E8+(16000-G25)*(E4)))</f>
        <v>1032000</v>
      </c>
      <c r="W25" s="18">
        <f t="shared" si="11"/>
        <v>468000</v>
      </c>
    </row>
    <row r="26" spans="1:23" x14ac:dyDescent="0.25">
      <c r="A26" s="33">
        <v>14000</v>
      </c>
      <c r="B26" s="13">
        <v>0.22</v>
      </c>
      <c r="C26" s="14">
        <f>IF(A26&gt;=10000, (10000*E8), (A24*E8+(A26-10000)*(E9+E4)))</f>
        <v>800000</v>
      </c>
      <c r="D26" s="15">
        <f>E6+10000*E7</f>
        <v>650000</v>
      </c>
      <c r="E26" s="15">
        <f t="shared" si="7"/>
        <v>150000</v>
      </c>
      <c r="G26" s="32">
        <v>14000</v>
      </c>
      <c r="H26" s="13">
        <v>0.22</v>
      </c>
      <c r="I26" s="14">
        <f>IF(G26&gt;=16000,(16000*E8),(G26*E8+(16000-G26)*(E9+E4)))</f>
        <v>1196000</v>
      </c>
      <c r="J26" s="14">
        <f>E6+16000*E7</f>
        <v>980000</v>
      </c>
      <c r="K26" s="14">
        <f t="shared" si="8"/>
        <v>216000</v>
      </c>
      <c r="M26" s="12">
        <v>14000</v>
      </c>
      <c r="N26" s="13">
        <v>0.22</v>
      </c>
      <c r="O26" s="14">
        <f>10000*E2</f>
        <v>1250000</v>
      </c>
      <c r="P26" s="18">
        <f t="shared" si="9"/>
        <v>800000</v>
      </c>
      <c r="Q26" s="18">
        <f t="shared" si="10"/>
        <v>450000</v>
      </c>
      <c r="S26" s="12">
        <v>14000</v>
      </c>
      <c r="T26" s="13">
        <v>0.22</v>
      </c>
      <c r="U26" s="14">
        <f>14000*E2</f>
        <v>1750000</v>
      </c>
      <c r="V26" s="18">
        <f>IF(G26&gt;=16000,(16000*E8),(G26*E8+(16000-G26)*(E4)))</f>
        <v>1156000</v>
      </c>
      <c r="W26" s="18">
        <f t="shared" si="11"/>
        <v>594000</v>
      </c>
    </row>
    <row r="27" spans="1:23" x14ac:dyDescent="0.25">
      <c r="A27" s="33">
        <v>16000</v>
      </c>
      <c r="B27" s="13">
        <v>0.18</v>
      </c>
      <c r="C27" s="14">
        <f>IF(A27&gt;=10000, (10000*E8), (A24*E8+(A27-10000)*(E9+E4)))</f>
        <v>800000</v>
      </c>
      <c r="D27" s="15">
        <f>E6+10000*E7</f>
        <v>650000</v>
      </c>
      <c r="E27" s="15">
        <f t="shared" si="7"/>
        <v>150000</v>
      </c>
      <c r="G27" s="32">
        <v>16000</v>
      </c>
      <c r="H27" s="13">
        <v>0.18</v>
      </c>
      <c r="I27" s="14">
        <f>IF(G27&gt;=16000,(16000*E8),(G27*E8+(16000-G27)*(E9+E4)))</f>
        <v>1280000</v>
      </c>
      <c r="J27" s="14">
        <f>E6+16000*E7</f>
        <v>980000</v>
      </c>
      <c r="K27" s="14">
        <f t="shared" si="8"/>
        <v>300000</v>
      </c>
      <c r="M27" s="12">
        <v>16000</v>
      </c>
      <c r="N27" s="13">
        <v>0.18</v>
      </c>
      <c r="O27" s="14">
        <f>10000*E2</f>
        <v>1250000</v>
      </c>
      <c r="P27" s="18">
        <f t="shared" si="9"/>
        <v>800000</v>
      </c>
      <c r="Q27" s="18">
        <f t="shared" si="10"/>
        <v>450000</v>
      </c>
      <c r="S27" s="12">
        <v>16000</v>
      </c>
      <c r="T27" s="13">
        <v>0.18</v>
      </c>
      <c r="U27" s="14">
        <f>16000*E2</f>
        <v>2000000</v>
      </c>
      <c r="V27" s="18">
        <f t="shared" ref="V27:V28" si="12">I27</f>
        <v>1280000</v>
      </c>
      <c r="W27" s="18">
        <f t="shared" si="11"/>
        <v>720000</v>
      </c>
    </row>
    <row r="28" spans="1:23" x14ac:dyDescent="0.25">
      <c r="A28" s="33">
        <v>18000</v>
      </c>
      <c r="B28" s="13">
        <v>0.1</v>
      </c>
      <c r="C28" s="14">
        <f>IF(A28&gt;=10000, (10000*E8), (A23*E8+(A28-10000)*(E9+E4)))</f>
        <v>800000</v>
      </c>
      <c r="D28" s="15">
        <f>E6+10000*E7</f>
        <v>650000</v>
      </c>
      <c r="E28" s="15">
        <f t="shared" si="7"/>
        <v>150000</v>
      </c>
      <c r="G28" s="32">
        <v>18000</v>
      </c>
      <c r="H28" s="13">
        <v>0.1</v>
      </c>
      <c r="I28" s="14">
        <f>IF(G28&gt;=16000,(16000*E8),(G28*E8+(16000-G28)*(E9+E4)))</f>
        <v>1280000</v>
      </c>
      <c r="J28" s="14">
        <f>E6+16000*E7</f>
        <v>980000</v>
      </c>
      <c r="K28" s="14">
        <f t="shared" si="8"/>
        <v>300000</v>
      </c>
      <c r="M28" s="12">
        <v>18000</v>
      </c>
      <c r="N28" s="13">
        <v>0.1</v>
      </c>
      <c r="O28" s="14">
        <f>10000*E2</f>
        <v>1250000</v>
      </c>
      <c r="P28" s="18">
        <f t="shared" si="9"/>
        <v>800000</v>
      </c>
      <c r="Q28" s="18">
        <f t="shared" si="10"/>
        <v>450000</v>
      </c>
      <c r="S28" s="12">
        <v>18000</v>
      </c>
      <c r="T28" s="13">
        <v>0.1</v>
      </c>
      <c r="U28" s="14">
        <f>16000*E2</f>
        <v>2000000</v>
      </c>
      <c r="V28" s="18">
        <f t="shared" si="12"/>
        <v>1280000</v>
      </c>
      <c r="W28" s="18">
        <f t="shared" si="11"/>
        <v>720000</v>
      </c>
    </row>
    <row r="29" spans="1:23" x14ac:dyDescent="0.25">
      <c r="A29" s="57" t="s">
        <v>15</v>
      </c>
      <c r="B29" s="57"/>
      <c r="C29" s="57"/>
      <c r="D29" s="57"/>
      <c r="E29" s="19">
        <f>E23*B23+E24*B24+E25*B25+E26*B26+E27*B27+E28*B28</f>
        <v>140760</v>
      </c>
      <c r="G29" s="57" t="s">
        <v>15</v>
      </c>
      <c r="H29" s="57"/>
      <c r="I29" s="57"/>
      <c r="J29" s="57"/>
      <c r="K29" s="19">
        <f>K23*H23+K24*H24+K25*H25+K26*H26+K27*H27+K28*H28</f>
        <v>169800</v>
      </c>
      <c r="M29" s="56" t="s">
        <v>37</v>
      </c>
      <c r="N29" s="56"/>
      <c r="O29" s="56"/>
      <c r="P29" s="56"/>
      <c r="Q29" s="19">
        <f>Q23*N23+Q24*N24+Q25*N25+Q26*N26+Q27*N27+Q28*N28</f>
        <v>436140</v>
      </c>
      <c r="S29" s="56" t="s">
        <v>37</v>
      </c>
      <c r="T29" s="56"/>
      <c r="U29" s="56"/>
      <c r="V29" s="56"/>
      <c r="W29" s="19">
        <f>W23*T23+W24*T24+W25*T25+W26*T26+W27*T27+W28*T28</f>
        <v>524700</v>
      </c>
    </row>
    <row r="30" spans="1:23" x14ac:dyDescent="0.25">
      <c r="G30" s="2"/>
      <c r="H30" s="2"/>
      <c r="I30" s="2"/>
      <c r="J30" s="2"/>
    </row>
    <row r="31" spans="1:23" x14ac:dyDescent="0.25">
      <c r="A31" s="56" t="s">
        <v>14</v>
      </c>
      <c r="B31" s="56"/>
      <c r="C31" s="56"/>
      <c r="D31" s="56"/>
      <c r="E31" s="56"/>
      <c r="G31" s="56" t="s">
        <v>19</v>
      </c>
      <c r="H31" s="56"/>
      <c r="I31" s="56"/>
      <c r="J31" s="56"/>
      <c r="K31" s="56"/>
      <c r="M31" s="62" t="s">
        <v>33</v>
      </c>
      <c r="N31" s="62"/>
      <c r="O31" s="62"/>
      <c r="P31" s="62"/>
      <c r="Q31" s="62"/>
      <c r="S31" s="62" t="s">
        <v>36</v>
      </c>
      <c r="T31" s="62"/>
      <c r="U31" s="62"/>
      <c r="V31" s="62"/>
      <c r="W31" s="62"/>
    </row>
    <row r="32" spans="1:23" x14ac:dyDescent="0.25">
      <c r="A32" s="11" t="s">
        <v>7</v>
      </c>
      <c r="B32" s="11" t="s">
        <v>8</v>
      </c>
      <c r="C32" s="11" t="s">
        <v>9</v>
      </c>
      <c r="D32" s="11" t="s">
        <v>10</v>
      </c>
      <c r="E32" s="9" t="s">
        <v>11</v>
      </c>
      <c r="G32" s="11" t="s">
        <v>7</v>
      </c>
      <c r="H32" s="11" t="s">
        <v>8</v>
      </c>
      <c r="I32" s="11" t="s">
        <v>9</v>
      </c>
      <c r="J32" s="11" t="s">
        <v>10</v>
      </c>
      <c r="K32" s="9" t="s">
        <v>11</v>
      </c>
      <c r="M32" s="11" t="s">
        <v>38</v>
      </c>
      <c r="N32" s="11" t="s">
        <v>8</v>
      </c>
      <c r="O32" s="11" t="s">
        <v>9</v>
      </c>
      <c r="P32" s="11" t="s">
        <v>10</v>
      </c>
      <c r="Q32" s="11" t="s">
        <v>11</v>
      </c>
      <c r="S32" s="11" t="s">
        <v>38</v>
      </c>
      <c r="T32" s="11" t="s">
        <v>8</v>
      </c>
      <c r="U32" s="11" t="s">
        <v>9</v>
      </c>
      <c r="V32" s="11" t="s">
        <v>10</v>
      </c>
      <c r="W32" s="11" t="s">
        <v>11</v>
      </c>
    </row>
    <row r="33" spans="1:23" x14ac:dyDescent="0.25">
      <c r="A33" s="32">
        <v>8000</v>
      </c>
      <c r="B33" s="13">
        <v>0.11</v>
      </c>
      <c r="C33" s="14">
        <f>IF(A33&gt;=12000,(12000*E8),(A33*E8+(12000-A33)*(E9+E4)))</f>
        <v>792000</v>
      </c>
      <c r="D33" s="14">
        <f>E6+12000*E7</f>
        <v>760000</v>
      </c>
      <c r="E33" s="14">
        <f>C33-D33</f>
        <v>32000</v>
      </c>
      <c r="G33" s="32">
        <v>8000</v>
      </c>
      <c r="H33" s="13">
        <v>0.11</v>
      </c>
      <c r="I33" s="14">
        <f>IF(G33&gt;=18000,(18000*E8),(G33*E8+(18000-G33)*(E9+E4)))</f>
        <v>1020000</v>
      </c>
      <c r="J33" s="14">
        <f>E6+18000*E7</f>
        <v>1090000</v>
      </c>
      <c r="K33" s="14">
        <f>I33-J33</f>
        <v>-70000</v>
      </c>
      <c r="M33" s="12">
        <v>8000</v>
      </c>
      <c r="N33" s="13">
        <v>0.11</v>
      </c>
      <c r="O33" s="14">
        <f>8000*E2</f>
        <v>1000000</v>
      </c>
      <c r="P33" s="18">
        <f>IF(A33&gt;=12000,(12000*E8),(A33*E8+(12000-A33)*(E4)))</f>
        <v>712000</v>
      </c>
      <c r="Q33" s="18">
        <f>O33-P33</f>
        <v>288000</v>
      </c>
      <c r="S33" s="12">
        <v>8000</v>
      </c>
      <c r="T33" s="13">
        <v>0.11</v>
      </c>
      <c r="U33" s="14">
        <f>8000*E2</f>
        <v>1000000</v>
      </c>
      <c r="V33" s="18">
        <f>IF(G33&gt;=18000,(18000*E8),(G33*E8+(18000-G33)*(E4)))</f>
        <v>820000</v>
      </c>
      <c r="W33" s="18">
        <f>U33-V33</f>
        <v>180000</v>
      </c>
    </row>
    <row r="34" spans="1:23" x14ac:dyDescent="0.25">
      <c r="A34" s="32">
        <v>10000</v>
      </c>
      <c r="B34" s="13">
        <v>0.11</v>
      </c>
      <c r="C34" s="14">
        <f>IF(A34&gt;=12000,(12000*E8),(A34*E8+(12000-A34)*(E9+E4)))</f>
        <v>876000</v>
      </c>
      <c r="D34" s="14">
        <f>E6+12000*E7</f>
        <v>760000</v>
      </c>
      <c r="E34" s="14">
        <f t="shared" ref="E34:E38" si="13">C34-D34</f>
        <v>116000</v>
      </c>
      <c r="G34" s="32">
        <v>10000</v>
      </c>
      <c r="H34" s="13">
        <v>0.11</v>
      </c>
      <c r="I34" s="14">
        <f>IF(G34&gt;=18000,(18000*E8),(G34*E8+(18000-G34)*(E9+E4)))</f>
        <v>1104000</v>
      </c>
      <c r="J34" s="14">
        <f>E6+18000*E7</f>
        <v>1090000</v>
      </c>
      <c r="K34" s="14">
        <f t="shared" ref="K34:K38" si="14">I34-J34</f>
        <v>14000</v>
      </c>
      <c r="M34" s="12">
        <v>10000</v>
      </c>
      <c r="N34" s="13">
        <v>0.11</v>
      </c>
      <c r="O34" s="14">
        <f>10000*E2</f>
        <v>1250000</v>
      </c>
      <c r="P34" s="18">
        <f>IF(A34&gt;=12000,(12000*E8),(A34*E8+(12000-A34)*(E4)))</f>
        <v>836000</v>
      </c>
      <c r="Q34" s="18">
        <f t="shared" ref="Q34:Q38" si="15">O34-P34</f>
        <v>414000</v>
      </c>
      <c r="S34" s="12">
        <v>10000</v>
      </c>
      <c r="T34" s="13">
        <v>0.11</v>
      </c>
      <c r="U34" s="14">
        <f>10000*E2</f>
        <v>1250000</v>
      </c>
      <c r="V34" s="18">
        <f>IF(G34&gt;=18000,(18000*E8),(G34*E8+(18000-G34)*(E4)))</f>
        <v>944000</v>
      </c>
      <c r="W34" s="18">
        <f t="shared" ref="W34:W38" si="16">U34-V34</f>
        <v>306000</v>
      </c>
    </row>
    <row r="35" spans="1:23" x14ac:dyDescent="0.25">
      <c r="A35" s="32">
        <v>12000</v>
      </c>
      <c r="B35" s="13">
        <v>0.28000000000000003</v>
      </c>
      <c r="C35" s="14">
        <f>IF(A35&gt;=12000,(12000*E8),(A35*E8+(12000-A35)*(E9+E4)))</f>
        <v>960000</v>
      </c>
      <c r="D35" s="14">
        <f>E6+12000*E7</f>
        <v>760000</v>
      </c>
      <c r="E35" s="14">
        <f t="shared" si="13"/>
        <v>200000</v>
      </c>
      <c r="G35" s="32">
        <v>12000</v>
      </c>
      <c r="H35" s="13">
        <v>0.28000000000000003</v>
      </c>
      <c r="I35" s="14">
        <f>IF(G35&gt;=18000,(18000*E8),(G35*E8+(18000-G35)*(E9+E4)))</f>
        <v>1188000</v>
      </c>
      <c r="J35" s="14">
        <f>E6+18000*E7</f>
        <v>1090000</v>
      </c>
      <c r="K35" s="14">
        <f t="shared" si="14"/>
        <v>98000</v>
      </c>
      <c r="M35" s="12">
        <v>12000</v>
      </c>
      <c r="N35" s="13">
        <v>0.28000000000000003</v>
      </c>
      <c r="O35" s="14">
        <f>12000*E2</f>
        <v>1500000</v>
      </c>
      <c r="P35" s="18">
        <f t="shared" ref="P35:P38" si="17">C35</f>
        <v>960000</v>
      </c>
      <c r="Q35" s="18">
        <f t="shared" si="15"/>
        <v>540000</v>
      </c>
      <c r="S35" s="12">
        <v>12000</v>
      </c>
      <c r="T35" s="13">
        <v>0.28000000000000003</v>
      </c>
      <c r="U35" s="14">
        <f>12000*E2</f>
        <v>1500000</v>
      </c>
      <c r="V35" s="18">
        <f>IF(G35&gt;=18000,(18000*E8),(G35*E8+(18000-G35)*(E4)))</f>
        <v>1068000</v>
      </c>
      <c r="W35" s="18">
        <f t="shared" si="16"/>
        <v>432000</v>
      </c>
    </row>
    <row r="36" spans="1:23" x14ac:dyDescent="0.25">
      <c r="A36" s="32">
        <v>14000</v>
      </c>
      <c r="B36" s="13">
        <v>0.22</v>
      </c>
      <c r="C36" s="14">
        <f>IF(A36&gt;=12000,(12000*E8),(A36*E8+(12000-A36)*(E9+E4)))</f>
        <v>960000</v>
      </c>
      <c r="D36" s="14">
        <f>E6+12000*E7</f>
        <v>760000</v>
      </c>
      <c r="E36" s="14">
        <f t="shared" si="13"/>
        <v>200000</v>
      </c>
      <c r="G36" s="32">
        <v>14000</v>
      </c>
      <c r="H36" s="13">
        <v>0.22</v>
      </c>
      <c r="I36" s="14">
        <f>IF(G36&gt;=18000,(18000*E8),(G36*E8+(18000-G36)*(E9+E4)))</f>
        <v>1272000</v>
      </c>
      <c r="J36" s="14">
        <f>E6+18000*E7</f>
        <v>1090000</v>
      </c>
      <c r="K36" s="14">
        <f t="shared" si="14"/>
        <v>182000</v>
      </c>
      <c r="M36" s="12">
        <v>14000</v>
      </c>
      <c r="N36" s="13">
        <v>0.22</v>
      </c>
      <c r="O36" s="14">
        <f>12000*E2</f>
        <v>1500000</v>
      </c>
      <c r="P36" s="18">
        <f t="shared" si="17"/>
        <v>960000</v>
      </c>
      <c r="Q36" s="18">
        <f t="shared" si="15"/>
        <v>540000</v>
      </c>
      <c r="S36" s="12">
        <v>14000</v>
      </c>
      <c r="T36" s="13">
        <v>0.22</v>
      </c>
      <c r="U36" s="14">
        <f>14000*E2</f>
        <v>1750000</v>
      </c>
      <c r="V36" s="18">
        <f>IF(G36&gt;=18000,(18000*E8),(G36*E8+(18000-G36)*(E4)))</f>
        <v>1192000</v>
      </c>
      <c r="W36" s="18">
        <f t="shared" si="16"/>
        <v>558000</v>
      </c>
    </row>
    <row r="37" spans="1:23" x14ac:dyDescent="0.25">
      <c r="A37" s="32">
        <v>16000</v>
      </c>
      <c r="B37" s="13">
        <v>0.18</v>
      </c>
      <c r="C37" s="14">
        <f>IF(A37&gt;=12000,(12000*E8),(A37*E8+(12000-A37)*(E9+E4)))</f>
        <v>960000</v>
      </c>
      <c r="D37" s="14">
        <f>E6+12000*E7</f>
        <v>760000</v>
      </c>
      <c r="E37" s="14">
        <f t="shared" si="13"/>
        <v>200000</v>
      </c>
      <c r="G37" s="32">
        <v>16000</v>
      </c>
      <c r="H37" s="13">
        <v>0.18</v>
      </c>
      <c r="I37" s="14">
        <f>IF(G37&gt;=18000,(18000*E8),(G37*E8+(18000-G37)*(E9+E4)))</f>
        <v>1356000</v>
      </c>
      <c r="J37" s="14">
        <f>E6+18000*E7</f>
        <v>1090000</v>
      </c>
      <c r="K37" s="14">
        <f t="shared" si="14"/>
        <v>266000</v>
      </c>
      <c r="M37" s="12">
        <v>16000</v>
      </c>
      <c r="N37" s="13">
        <v>0.18</v>
      </c>
      <c r="O37" s="14">
        <f>12000*E2</f>
        <v>1500000</v>
      </c>
      <c r="P37" s="18">
        <f t="shared" si="17"/>
        <v>960000</v>
      </c>
      <c r="Q37" s="18">
        <f t="shared" si="15"/>
        <v>540000</v>
      </c>
      <c r="S37" s="12">
        <v>16000</v>
      </c>
      <c r="T37" s="13">
        <v>0.18</v>
      </c>
      <c r="U37" s="14">
        <f>16000*E2</f>
        <v>2000000</v>
      </c>
      <c r="V37" s="18">
        <f>IF(G37&gt;=18000,(18000*E8),(G37*E8+(18000-G37)*(E4)))</f>
        <v>1316000</v>
      </c>
      <c r="W37" s="18">
        <f t="shared" si="16"/>
        <v>684000</v>
      </c>
    </row>
    <row r="38" spans="1:23" x14ac:dyDescent="0.25">
      <c r="A38" s="32">
        <v>18000</v>
      </c>
      <c r="B38" s="13">
        <v>0.1</v>
      </c>
      <c r="C38" s="14">
        <f>IF(A38&gt;=12000,(12000*E8),(A38*E8+(12000-A38)*(E9+E4)))</f>
        <v>960000</v>
      </c>
      <c r="D38" s="14">
        <f>E6+12000*E7</f>
        <v>760000</v>
      </c>
      <c r="E38" s="14">
        <f t="shared" si="13"/>
        <v>200000</v>
      </c>
      <c r="G38" s="32">
        <v>18000</v>
      </c>
      <c r="H38" s="13">
        <v>0.1</v>
      </c>
      <c r="I38" s="14">
        <f>IF(G38&gt;=18000,(18000*E8),(G38*E8+(18000-G38)*(E9+E4)))</f>
        <v>1440000</v>
      </c>
      <c r="J38" s="14">
        <f>E6+18000*E7</f>
        <v>1090000</v>
      </c>
      <c r="K38" s="14">
        <f t="shared" si="14"/>
        <v>350000</v>
      </c>
      <c r="M38" s="12">
        <v>18000</v>
      </c>
      <c r="N38" s="13">
        <v>0.1</v>
      </c>
      <c r="O38" s="14">
        <f>12000*E2</f>
        <v>1500000</v>
      </c>
      <c r="P38" s="18">
        <f t="shared" si="17"/>
        <v>960000</v>
      </c>
      <c r="Q38" s="18">
        <f t="shared" si="15"/>
        <v>540000</v>
      </c>
      <c r="S38" s="12">
        <v>18000</v>
      </c>
      <c r="T38" s="13">
        <v>0.1</v>
      </c>
      <c r="U38" s="14">
        <f>18000*E2</f>
        <v>2250000</v>
      </c>
      <c r="V38" s="18">
        <f t="shared" ref="V38" si="18">I38</f>
        <v>1440000</v>
      </c>
      <c r="W38" s="18">
        <f t="shared" si="16"/>
        <v>810000</v>
      </c>
    </row>
    <row r="39" spans="1:23" x14ac:dyDescent="0.25">
      <c r="A39" s="57" t="s">
        <v>15</v>
      </c>
      <c r="B39" s="57"/>
      <c r="C39" s="57"/>
      <c r="D39" s="57"/>
      <c r="E39" s="19">
        <f>E33*B33+E34*B34+E35*B35+E36*B36+E37*B37+E38*B38</f>
        <v>172280</v>
      </c>
      <c r="G39" s="57" t="s">
        <v>15</v>
      </c>
      <c r="H39" s="57"/>
      <c r="I39" s="57"/>
      <c r="J39" s="57"/>
      <c r="K39" s="19">
        <f>K33*H33+K34*H34+K35*H35+K36*H36+K37*H37+K38*H38</f>
        <v>144200</v>
      </c>
      <c r="M39" s="56" t="s">
        <v>37</v>
      </c>
      <c r="N39" s="56"/>
      <c r="O39" s="56"/>
      <c r="P39" s="56"/>
      <c r="Q39" s="19">
        <f>Q33*N33+Q34*N34+Q35*N35+Q36*N36+Q37*N37+Q38*N38</f>
        <v>498420</v>
      </c>
      <c r="S39" s="56" t="s">
        <v>37</v>
      </c>
      <c r="T39" s="56"/>
      <c r="U39" s="56"/>
      <c r="V39" s="56"/>
      <c r="W39" s="19">
        <f>W33*T33+W34*T34+W35*T35+W36*T36+W37*T37+W38*T38</f>
        <v>501300</v>
      </c>
    </row>
  </sheetData>
  <mergeCells count="33">
    <mergeCell ref="M39:P39"/>
    <mergeCell ref="S39:V39"/>
    <mergeCell ref="M21:Q21"/>
    <mergeCell ref="S21:W21"/>
    <mergeCell ref="M29:P29"/>
    <mergeCell ref="S29:V29"/>
    <mergeCell ref="S19:V19"/>
    <mergeCell ref="M19:P19"/>
    <mergeCell ref="S11:W11"/>
    <mergeCell ref="M11:Q11"/>
    <mergeCell ref="A31:E31"/>
    <mergeCell ref="G31:K31"/>
    <mergeCell ref="M31:Q31"/>
    <mergeCell ref="S31:W31"/>
    <mergeCell ref="A39:D39"/>
    <mergeCell ref="G39:J39"/>
    <mergeCell ref="A29:D29"/>
    <mergeCell ref="G29:J29"/>
    <mergeCell ref="A21:E21"/>
    <mergeCell ref="G21:K21"/>
    <mergeCell ref="A8:D8"/>
    <mergeCell ref="A9:D9"/>
    <mergeCell ref="A11:E11"/>
    <mergeCell ref="G11:K11"/>
    <mergeCell ref="A19:D19"/>
    <mergeCell ref="G19:J19"/>
    <mergeCell ref="A7:D7"/>
    <mergeCell ref="A4:D4"/>
    <mergeCell ref="A1:E1"/>
    <mergeCell ref="A2:D2"/>
    <mergeCell ref="A3:D3"/>
    <mergeCell ref="A5:E5"/>
    <mergeCell ref="A6:D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tabSelected="1" topLeftCell="A4" workbookViewId="0">
      <selection activeCell="C33" sqref="C33"/>
    </sheetView>
  </sheetViews>
  <sheetFormatPr defaultRowHeight="15" x14ac:dyDescent="0.25"/>
  <cols>
    <col min="1" max="1" width="8.42578125" style="2" bestFit="1" customWidth="1"/>
    <col min="2" max="2" width="10.7109375" style="2" bestFit="1" customWidth="1"/>
    <col min="3" max="3" width="15.85546875" style="2" bestFit="1" customWidth="1"/>
    <col min="4" max="4" width="8.5703125" style="2" bestFit="1" customWidth="1"/>
    <col min="5" max="5" width="9.28515625" bestFit="1" customWidth="1"/>
    <col min="6" max="6" width="5.140625" customWidth="1"/>
    <col min="7" max="7" width="8.42578125" bestFit="1" customWidth="1"/>
    <col min="8" max="8" width="10.7109375" bestFit="1" customWidth="1"/>
    <col min="9" max="10" width="10.140625" bestFit="1" customWidth="1"/>
    <col min="11" max="12" width="9.28515625" bestFit="1" customWidth="1"/>
    <col min="13" max="13" width="9.42578125" bestFit="1" customWidth="1"/>
    <col min="14" max="14" width="10.7109375" bestFit="1" customWidth="1"/>
    <col min="15" max="15" width="10.140625" bestFit="1" customWidth="1"/>
    <col min="16" max="17" width="8.5703125" bestFit="1" customWidth="1"/>
    <col min="19" max="19" width="9.42578125" bestFit="1" customWidth="1"/>
    <col min="20" max="20" width="10.7109375" bestFit="1" customWidth="1"/>
    <col min="21" max="22" width="10.140625" bestFit="1" customWidth="1"/>
    <col min="23" max="23" width="8.5703125" bestFit="1" customWidth="1"/>
    <col min="25" max="25" width="17.7109375" bestFit="1" customWidth="1"/>
    <col min="26" max="26" width="20" bestFit="1" customWidth="1"/>
    <col min="27" max="27" width="17.5703125" bestFit="1" customWidth="1"/>
    <col min="28" max="28" width="10.85546875" bestFit="1" customWidth="1"/>
  </cols>
  <sheetData>
    <row r="1" spans="1:23" x14ac:dyDescent="0.25">
      <c r="A1" s="50" t="s">
        <v>0</v>
      </c>
      <c r="B1" s="51"/>
      <c r="C1" s="51"/>
      <c r="D1" s="51"/>
      <c r="E1" s="52"/>
      <c r="G1" s="23" t="s">
        <v>20</v>
      </c>
      <c r="H1" s="23" t="s">
        <v>21</v>
      </c>
      <c r="I1" s="23" t="s">
        <v>22</v>
      </c>
      <c r="J1" s="23" t="s">
        <v>23</v>
      </c>
    </row>
    <row r="2" spans="1:23" x14ac:dyDescent="0.25">
      <c r="A2" s="49" t="s">
        <v>5</v>
      </c>
      <c r="B2" s="49"/>
      <c r="C2" s="49"/>
      <c r="D2" s="49"/>
      <c r="E2" s="20">
        <v>125</v>
      </c>
      <c r="G2" s="37">
        <v>8000</v>
      </c>
      <c r="H2" s="38">
        <f>E19</f>
        <v>118000</v>
      </c>
      <c r="I2" s="38">
        <f>Q19</f>
        <v>342000</v>
      </c>
      <c r="J2" s="39">
        <f t="shared" ref="J2:J7" si="0">H2+I2</f>
        <v>460000</v>
      </c>
    </row>
    <row r="3" spans="1:23" x14ac:dyDescent="0.25">
      <c r="A3" s="49" t="s">
        <v>4</v>
      </c>
      <c r="B3" s="49"/>
      <c r="C3" s="49"/>
      <c r="D3" s="49"/>
      <c r="E3" s="20">
        <v>62</v>
      </c>
      <c r="G3" s="37">
        <v>10000</v>
      </c>
      <c r="H3" s="38">
        <f>E29</f>
        <v>155760</v>
      </c>
      <c r="I3" s="38">
        <f>Q29</f>
        <v>416740</v>
      </c>
      <c r="J3" s="39">
        <f t="shared" si="0"/>
        <v>572500</v>
      </c>
    </row>
    <row r="4" spans="1:23" x14ac:dyDescent="0.25">
      <c r="A4" s="53" t="s">
        <v>39</v>
      </c>
      <c r="B4" s="54"/>
      <c r="C4" s="54"/>
      <c r="D4" s="55"/>
      <c r="E4" s="24" t="s">
        <v>40</v>
      </c>
      <c r="G4" s="37">
        <v>12000</v>
      </c>
      <c r="H4" s="38">
        <f>E39</f>
        <v>184280</v>
      </c>
      <c r="I4" s="38">
        <f>Q39</f>
        <v>473220</v>
      </c>
      <c r="J4" s="39">
        <f t="shared" si="0"/>
        <v>657500</v>
      </c>
    </row>
    <row r="5" spans="1:23" x14ac:dyDescent="0.25">
      <c r="A5" s="50" t="s">
        <v>1</v>
      </c>
      <c r="B5" s="51"/>
      <c r="C5" s="51"/>
      <c r="D5" s="51"/>
      <c r="E5" s="52"/>
      <c r="G5" s="37">
        <v>14000</v>
      </c>
      <c r="H5" s="40">
        <f>K19</f>
        <v>189280</v>
      </c>
      <c r="I5" s="40">
        <f>W19</f>
        <v>483220</v>
      </c>
      <c r="J5" s="41">
        <f t="shared" si="0"/>
        <v>672500</v>
      </c>
    </row>
    <row r="6" spans="1:23" x14ac:dyDescent="0.25">
      <c r="A6" s="49" t="s">
        <v>2</v>
      </c>
      <c r="B6" s="49"/>
      <c r="C6" s="49"/>
      <c r="D6" s="49"/>
      <c r="E6" s="10">
        <v>100000</v>
      </c>
      <c r="G6" s="37">
        <v>16000</v>
      </c>
      <c r="H6" s="38">
        <f>K29</f>
        <v>175800</v>
      </c>
      <c r="I6" s="38">
        <f>W29</f>
        <v>456700</v>
      </c>
      <c r="J6" s="39">
        <f t="shared" si="0"/>
        <v>632500</v>
      </c>
    </row>
    <row r="7" spans="1:23" x14ac:dyDescent="0.25">
      <c r="A7" s="49" t="s">
        <v>3</v>
      </c>
      <c r="B7" s="49"/>
      <c r="C7" s="49"/>
      <c r="D7" s="49"/>
      <c r="E7" s="10">
        <v>55</v>
      </c>
      <c r="G7" s="37">
        <v>18000</v>
      </c>
      <c r="H7" s="38">
        <f>K39</f>
        <v>147200</v>
      </c>
      <c r="I7" s="42">
        <f>W39</f>
        <v>400300</v>
      </c>
      <c r="J7" s="43">
        <f t="shared" si="0"/>
        <v>547500</v>
      </c>
    </row>
    <row r="8" spans="1:23" x14ac:dyDescent="0.25">
      <c r="A8" s="53" t="s">
        <v>17</v>
      </c>
      <c r="B8" s="54"/>
      <c r="C8" s="54"/>
      <c r="D8" s="55"/>
      <c r="E8" s="10">
        <v>62</v>
      </c>
    </row>
    <row r="9" spans="1:23" x14ac:dyDescent="0.25">
      <c r="A9" s="49" t="s">
        <v>6</v>
      </c>
      <c r="B9" s="49"/>
      <c r="C9" s="49"/>
      <c r="D9" s="49"/>
      <c r="E9" s="10">
        <v>20</v>
      </c>
    </row>
    <row r="11" spans="1:23" x14ac:dyDescent="0.25">
      <c r="A11" s="56" t="s">
        <v>12</v>
      </c>
      <c r="B11" s="56"/>
      <c r="C11" s="56"/>
      <c r="D11" s="56"/>
      <c r="E11" s="56"/>
      <c r="G11" s="56" t="s">
        <v>16</v>
      </c>
      <c r="H11" s="56"/>
      <c r="I11" s="56"/>
      <c r="J11" s="56"/>
      <c r="K11" s="56"/>
      <c r="L11" s="4"/>
      <c r="M11" s="62" t="s">
        <v>31</v>
      </c>
      <c r="N11" s="62"/>
      <c r="O11" s="62"/>
      <c r="P11" s="62"/>
      <c r="Q11" s="62"/>
      <c r="S11" s="62" t="s">
        <v>34</v>
      </c>
      <c r="T11" s="62"/>
      <c r="U11" s="62"/>
      <c r="V11" s="62"/>
      <c r="W11" s="62"/>
    </row>
    <row r="12" spans="1:23" x14ac:dyDescent="0.25">
      <c r="A12" s="11" t="s">
        <v>7</v>
      </c>
      <c r="B12" s="11" t="s">
        <v>8</v>
      </c>
      <c r="C12" s="11" t="s">
        <v>9</v>
      </c>
      <c r="D12" s="11" t="s">
        <v>10</v>
      </c>
      <c r="E12" s="11" t="s">
        <v>11</v>
      </c>
      <c r="G12" s="11" t="s">
        <v>7</v>
      </c>
      <c r="H12" s="11" t="s">
        <v>8</v>
      </c>
      <c r="I12" s="11" t="s">
        <v>9</v>
      </c>
      <c r="J12" s="11" t="s">
        <v>10</v>
      </c>
      <c r="K12" s="11" t="s">
        <v>11</v>
      </c>
      <c r="L12" s="4"/>
      <c r="M12" s="11" t="s">
        <v>38</v>
      </c>
      <c r="N12" s="11" t="s">
        <v>8</v>
      </c>
      <c r="O12" s="11" t="s">
        <v>9</v>
      </c>
      <c r="P12" s="11" t="s">
        <v>10</v>
      </c>
      <c r="Q12" s="11" t="s">
        <v>11</v>
      </c>
      <c r="S12" s="11" t="s">
        <v>38</v>
      </c>
      <c r="T12" s="11" t="s">
        <v>8</v>
      </c>
      <c r="U12" s="11" t="s">
        <v>9</v>
      </c>
      <c r="V12" s="11" t="s">
        <v>10</v>
      </c>
      <c r="W12" s="11" t="s">
        <v>11</v>
      </c>
    </row>
    <row r="13" spans="1:23" x14ac:dyDescent="0.25">
      <c r="A13" s="12">
        <v>8000</v>
      </c>
      <c r="B13" s="13">
        <v>0.11</v>
      </c>
      <c r="C13" s="14">
        <f>IF(A13&gt;=8000, (8000*E8), (A13*E8+(A13-8000)*(E9)))</f>
        <v>496000</v>
      </c>
      <c r="D13" s="15">
        <f>0.7*(E6+8000*E7)</f>
        <v>378000</v>
      </c>
      <c r="E13" s="15">
        <f>C13-D13</f>
        <v>118000</v>
      </c>
      <c r="F13" s="3"/>
      <c r="G13" s="11">
        <v>8000</v>
      </c>
      <c r="H13" s="11">
        <v>0.11</v>
      </c>
      <c r="I13" s="14">
        <f>IF(G13&gt;=14000,(14000*E8),(G13*E8+(14000-G13)*(E9)))</f>
        <v>616000</v>
      </c>
      <c r="J13" s="14">
        <f>0.7*(E6+14000*E7)</f>
        <v>609000</v>
      </c>
      <c r="K13" s="14">
        <f>I13-J13</f>
        <v>7000</v>
      </c>
      <c r="L13" s="4"/>
      <c r="M13" s="12">
        <v>8000</v>
      </c>
      <c r="N13" s="13">
        <v>0.11</v>
      </c>
      <c r="O13" s="14">
        <f>8000*E2</f>
        <v>1000000</v>
      </c>
      <c r="P13" s="18">
        <f>C13+0.3*(E6+8000*E7)</f>
        <v>658000</v>
      </c>
      <c r="Q13" s="18">
        <f>O13-P13</f>
        <v>342000</v>
      </c>
      <c r="S13" s="12">
        <v>8000</v>
      </c>
      <c r="T13" s="13">
        <v>0.11</v>
      </c>
      <c r="U13" s="14">
        <f>8000*E2</f>
        <v>1000000</v>
      </c>
      <c r="V13" s="18">
        <f>I13+0.3*(E6+14000*E7)</f>
        <v>877000</v>
      </c>
      <c r="W13" s="18">
        <f>U13-V13</f>
        <v>123000</v>
      </c>
    </row>
    <row r="14" spans="1:23" x14ac:dyDescent="0.25">
      <c r="A14" s="12">
        <v>10000</v>
      </c>
      <c r="B14" s="13">
        <v>0.11</v>
      </c>
      <c r="C14" s="14">
        <f>IF(A14&gt;=8000, (8000*E8), (A14*E8+(A14-8000)*(E9)))</f>
        <v>496000</v>
      </c>
      <c r="D14" s="15">
        <f>0.7*(E6+8000*E7)</f>
        <v>378000</v>
      </c>
      <c r="E14" s="15">
        <f t="shared" ref="E14:E18" si="1">C14-D14</f>
        <v>118000</v>
      </c>
      <c r="F14" s="3"/>
      <c r="G14" s="11">
        <v>10000</v>
      </c>
      <c r="H14" s="11">
        <v>0.11</v>
      </c>
      <c r="I14" s="14">
        <f>IF(G14&gt;=14000,(14000*E8),(G14*E8+(14000-G14)*(E9)))</f>
        <v>700000</v>
      </c>
      <c r="J14" s="14">
        <f>0.7*(E6+14000*E7)</f>
        <v>609000</v>
      </c>
      <c r="K14" s="14">
        <f t="shared" ref="K14:K18" si="2">I14-J14</f>
        <v>91000</v>
      </c>
      <c r="L14" s="4"/>
      <c r="M14" s="12">
        <v>10000</v>
      </c>
      <c r="N14" s="13">
        <v>0.11</v>
      </c>
      <c r="O14" s="14">
        <f>8000*E2</f>
        <v>1000000</v>
      </c>
      <c r="P14" s="18">
        <f>C14+0.3*(E6+8000*E7)</f>
        <v>658000</v>
      </c>
      <c r="Q14" s="18">
        <f t="shared" ref="Q14:Q18" si="3">O14-P14</f>
        <v>342000</v>
      </c>
      <c r="S14" s="12">
        <v>10000</v>
      </c>
      <c r="T14" s="13">
        <v>0.11</v>
      </c>
      <c r="U14" s="14">
        <f>10000*E2</f>
        <v>1250000</v>
      </c>
      <c r="V14" s="18">
        <f>I14+0.3*(E6+14000*E7)</f>
        <v>961000</v>
      </c>
      <c r="W14" s="18">
        <f t="shared" ref="W14:W18" si="4">U14-V14</f>
        <v>289000</v>
      </c>
    </row>
    <row r="15" spans="1:23" x14ac:dyDescent="0.25">
      <c r="A15" s="12">
        <v>12000</v>
      </c>
      <c r="B15" s="13">
        <v>0.28000000000000003</v>
      </c>
      <c r="C15" s="14">
        <f>IF(A15&gt;=8000,(8000*E8),(A15*E8+(A15-8000)*(E9)))</f>
        <v>496000</v>
      </c>
      <c r="D15" s="15">
        <f>0.7*(E6+8000*E7)</f>
        <v>378000</v>
      </c>
      <c r="E15" s="15">
        <f t="shared" si="1"/>
        <v>118000</v>
      </c>
      <c r="F15" s="3"/>
      <c r="G15" s="11">
        <v>12000</v>
      </c>
      <c r="H15" s="11">
        <v>0.28000000000000003</v>
      </c>
      <c r="I15" s="14">
        <f>IF(G15&gt;=14000,(14000*E8),(G15*E8+(14000-G15)*(E9)))</f>
        <v>784000</v>
      </c>
      <c r="J15" s="14">
        <f>0.7*(E6+14000*E7)</f>
        <v>609000</v>
      </c>
      <c r="K15" s="14">
        <f t="shared" si="2"/>
        <v>175000</v>
      </c>
      <c r="L15" s="4"/>
      <c r="M15" s="12">
        <v>12000</v>
      </c>
      <c r="N15" s="13">
        <v>0.28000000000000003</v>
      </c>
      <c r="O15" s="14">
        <f>8000*E2</f>
        <v>1000000</v>
      </c>
      <c r="P15" s="18">
        <f>C15+0.3*(E6+8000*E7)</f>
        <v>658000</v>
      </c>
      <c r="Q15" s="18">
        <f t="shared" si="3"/>
        <v>342000</v>
      </c>
      <c r="S15" s="12">
        <v>12000</v>
      </c>
      <c r="T15" s="13">
        <v>0.28000000000000003</v>
      </c>
      <c r="U15" s="14">
        <f>12000*E2</f>
        <v>1500000</v>
      </c>
      <c r="V15" s="18">
        <f>I15+0.3*(E6+14000*E7)</f>
        <v>1045000</v>
      </c>
      <c r="W15" s="18">
        <f t="shared" si="4"/>
        <v>455000</v>
      </c>
    </row>
    <row r="16" spans="1:23" x14ac:dyDescent="0.25">
      <c r="A16" s="12">
        <v>14000</v>
      </c>
      <c r="B16" s="13">
        <v>0.22</v>
      </c>
      <c r="C16" s="14">
        <f>IF(A16&gt;=8000,(8000*E8), (A16*E8+(A16-8000)*(E9)))</f>
        <v>496000</v>
      </c>
      <c r="D16" s="15">
        <f>0.7*(E6+8000*E7)</f>
        <v>378000</v>
      </c>
      <c r="E16" s="15">
        <f t="shared" si="1"/>
        <v>118000</v>
      </c>
      <c r="F16" s="3"/>
      <c r="G16" s="11">
        <v>14000</v>
      </c>
      <c r="H16" s="11">
        <v>0.22</v>
      </c>
      <c r="I16" s="14">
        <f>IF(G16&gt;=14000,(14000*E8),(G16*E8+(14000-G16)*(E9)))</f>
        <v>868000</v>
      </c>
      <c r="J16" s="14">
        <f>0.7*(E6+14000*E7)</f>
        <v>609000</v>
      </c>
      <c r="K16" s="14">
        <f t="shared" si="2"/>
        <v>259000</v>
      </c>
      <c r="L16" s="4"/>
      <c r="M16" s="12">
        <v>14000</v>
      </c>
      <c r="N16" s="13">
        <v>0.22</v>
      </c>
      <c r="O16" s="14">
        <f>8000*E2</f>
        <v>1000000</v>
      </c>
      <c r="P16" s="18">
        <f>C16+0.3*(E6+8000*E7)</f>
        <v>658000</v>
      </c>
      <c r="Q16" s="18">
        <f t="shared" si="3"/>
        <v>342000</v>
      </c>
      <c r="S16" s="12">
        <v>14000</v>
      </c>
      <c r="T16" s="13">
        <v>0.22</v>
      </c>
      <c r="U16" s="14">
        <f>14000*E2</f>
        <v>1750000</v>
      </c>
      <c r="V16" s="18">
        <f>I16+0.3*(E6+14000*E7)</f>
        <v>1129000</v>
      </c>
      <c r="W16" s="18">
        <f t="shared" si="4"/>
        <v>621000</v>
      </c>
    </row>
    <row r="17" spans="1:23" x14ac:dyDescent="0.25">
      <c r="A17" s="12">
        <v>16000</v>
      </c>
      <c r="B17" s="13">
        <v>0.18</v>
      </c>
      <c r="C17" s="14">
        <f>IF(A17&gt;=8000, (8000*E8), (A17*E8+(A17-8000)*(E9)))</f>
        <v>496000</v>
      </c>
      <c r="D17" s="15">
        <f>0.7*(E6+8000*E7)</f>
        <v>378000</v>
      </c>
      <c r="E17" s="15">
        <f t="shared" si="1"/>
        <v>118000</v>
      </c>
      <c r="F17" s="3"/>
      <c r="G17" s="11">
        <v>16000</v>
      </c>
      <c r="H17" s="11">
        <v>0.18</v>
      </c>
      <c r="I17" s="14">
        <f>IF(G17&gt;=14000,(14000*E8),(G17*E8+(14000-G17)*(E9)))</f>
        <v>868000</v>
      </c>
      <c r="J17" s="14">
        <f>0.7*(E6+14000*E7)</f>
        <v>609000</v>
      </c>
      <c r="K17" s="14">
        <f t="shared" si="2"/>
        <v>259000</v>
      </c>
      <c r="M17" s="12">
        <v>16000</v>
      </c>
      <c r="N17" s="13">
        <v>0.18</v>
      </c>
      <c r="O17" s="14">
        <f>8000*E2</f>
        <v>1000000</v>
      </c>
      <c r="P17" s="18">
        <f>C17+0.3*(E6+8000*E7)</f>
        <v>658000</v>
      </c>
      <c r="Q17" s="18">
        <f t="shared" si="3"/>
        <v>342000</v>
      </c>
      <c r="S17" s="12">
        <v>16000</v>
      </c>
      <c r="T17" s="13">
        <v>0.18</v>
      </c>
      <c r="U17" s="14">
        <f>14000*E2</f>
        <v>1750000</v>
      </c>
      <c r="V17" s="18">
        <f>I17+0.3*(E6+14000*E7)</f>
        <v>1129000</v>
      </c>
      <c r="W17" s="18">
        <f t="shared" si="4"/>
        <v>621000</v>
      </c>
    </row>
    <row r="18" spans="1:23" x14ac:dyDescent="0.25">
      <c r="A18" s="12">
        <v>18000</v>
      </c>
      <c r="B18" s="13">
        <v>0.1</v>
      </c>
      <c r="C18" s="14">
        <f>IF(A18&gt;=8000, (8000*E8), (A18*E8+(A18-8000)*(E9)))</f>
        <v>496000</v>
      </c>
      <c r="D18" s="15">
        <f>0.7*(E6+8000*E7)</f>
        <v>378000</v>
      </c>
      <c r="E18" s="15">
        <f t="shared" si="1"/>
        <v>118000</v>
      </c>
      <c r="F18" s="3"/>
      <c r="G18" s="11">
        <v>18000</v>
      </c>
      <c r="H18" s="11">
        <v>0.1</v>
      </c>
      <c r="I18" s="14">
        <f>IF(G18&gt;=14000,(14000*E8),(G18*E8+(14000-G18)*(E9)))</f>
        <v>868000</v>
      </c>
      <c r="J18" s="14">
        <f>0.7*(E6+14000*E7)</f>
        <v>609000</v>
      </c>
      <c r="K18" s="14">
        <f t="shared" si="2"/>
        <v>259000</v>
      </c>
      <c r="M18" s="12">
        <v>18000</v>
      </c>
      <c r="N18" s="13">
        <v>0.1</v>
      </c>
      <c r="O18" s="14">
        <f>8000*E2</f>
        <v>1000000</v>
      </c>
      <c r="P18" s="18">
        <f>C18+0.3*(E6+8000*E7)</f>
        <v>658000</v>
      </c>
      <c r="Q18" s="18">
        <f t="shared" si="3"/>
        <v>342000</v>
      </c>
      <c r="S18" s="12">
        <v>18000</v>
      </c>
      <c r="T18" s="13">
        <v>0.1</v>
      </c>
      <c r="U18" s="14">
        <f>14000*E2</f>
        <v>1750000</v>
      </c>
      <c r="V18" s="18">
        <f>I18+0.3*(E6+14000*E7)</f>
        <v>1129000</v>
      </c>
      <c r="W18" s="18">
        <f t="shared" si="4"/>
        <v>621000</v>
      </c>
    </row>
    <row r="19" spans="1:23" x14ac:dyDescent="0.25">
      <c r="A19" s="57" t="s">
        <v>15</v>
      </c>
      <c r="B19" s="57"/>
      <c r="C19" s="57"/>
      <c r="D19" s="57"/>
      <c r="E19" s="19">
        <f>E13*B13+E14*B14+E15*B15+E16*B16+E17*B17+E18*B18</f>
        <v>118000</v>
      </c>
      <c r="G19" s="57" t="s">
        <v>15</v>
      </c>
      <c r="H19" s="57"/>
      <c r="I19" s="57"/>
      <c r="J19" s="57"/>
      <c r="K19" s="19">
        <f>K13*H13+K14*H14+K15*H15+K16*H16+K17*H17+K18*H18</f>
        <v>189280</v>
      </c>
      <c r="M19" s="56" t="s">
        <v>37</v>
      </c>
      <c r="N19" s="56"/>
      <c r="O19" s="56"/>
      <c r="P19" s="56"/>
      <c r="Q19" s="19">
        <f>Q13*N13+Q14*N14+Q15*N15+Q16*N16+Q17*N17+Q18*N18</f>
        <v>342000</v>
      </c>
      <c r="S19" s="56" t="s">
        <v>37</v>
      </c>
      <c r="T19" s="56"/>
      <c r="U19" s="56"/>
      <c r="V19" s="56"/>
      <c r="W19" s="19">
        <f>W13*T13+W14*T14+W15*T15+W16*T16+W17*T17+W18*T18</f>
        <v>483220</v>
      </c>
    </row>
    <row r="20" spans="1:23" x14ac:dyDescent="0.25">
      <c r="A20" s="8"/>
      <c r="B20" s="8"/>
      <c r="C20" s="8"/>
      <c r="D20" s="8"/>
      <c r="E20" s="8"/>
      <c r="G20" s="2"/>
      <c r="H20" s="2"/>
      <c r="I20" s="2"/>
      <c r="J20" s="2"/>
    </row>
    <row r="21" spans="1:23" x14ac:dyDescent="0.25">
      <c r="A21" s="56" t="s">
        <v>13</v>
      </c>
      <c r="B21" s="56"/>
      <c r="C21" s="56"/>
      <c r="D21" s="56"/>
      <c r="E21" s="56"/>
      <c r="G21" s="56" t="s">
        <v>18</v>
      </c>
      <c r="H21" s="56"/>
      <c r="I21" s="56"/>
      <c r="J21" s="56"/>
      <c r="K21" s="56"/>
      <c r="M21" s="62" t="s">
        <v>32</v>
      </c>
      <c r="N21" s="62"/>
      <c r="O21" s="62"/>
      <c r="P21" s="62"/>
      <c r="Q21" s="62"/>
      <c r="S21" s="62" t="s">
        <v>35</v>
      </c>
      <c r="T21" s="62"/>
      <c r="U21" s="62"/>
      <c r="V21" s="62"/>
      <c r="W21" s="62"/>
    </row>
    <row r="22" spans="1:23" x14ac:dyDescent="0.25">
      <c r="A22" s="16" t="s">
        <v>7</v>
      </c>
      <c r="B22" s="16" t="s">
        <v>8</v>
      </c>
      <c r="C22" s="16" t="s">
        <v>9</v>
      </c>
      <c r="D22" s="16" t="s">
        <v>10</v>
      </c>
      <c r="E22" s="16" t="s">
        <v>11</v>
      </c>
      <c r="G22" s="11" t="s">
        <v>7</v>
      </c>
      <c r="H22" s="11" t="s">
        <v>8</v>
      </c>
      <c r="I22" s="11" t="s">
        <v>9</v>
      </c>
      <c r="J22" s="11" t="s">
        <v>10</v>
      </c>
      <c r="K22" s="9" t="s">
        <v>11</v>
      </c>
      <c r="M22" s="11" t="s">
        <v>38</v>
      </c>
      <c r="N22" s="11" t="s">
        <v>8</v>
      </c>
      <c r="O22" s="11" t="s">
        <v>9</v>
      </c>
      <c r="P22" s="11" t="s">
        <v>10</v>
      </c>
      <c r="Q22" s="11" t="s">
        <v>11</v>
      </c>
      <c r="S22" s="11" t="s">
        <v>38</v>
      </c>
      <c r="T22" s="11" t="s">
        <v>8</v>
      </c>
      <c r="U22" s="11" t="s">
        <v>9</v>
      </c>
      <c r="V22" s="11" t="s">
        <v>10</v>
      </c>
      <c r="W22" s="11" t="s">
        <v>11</v>
      </c>
    </row>
    <row r="23" spans="1:23" x14ac:dyDescent="0.25">
      <c r="A23" s="12">
        <v>8000</v>
      </c>
      <c r="B23" s="13">
        <v>0.11</v>
      </c>
      <c r="C23" s="14">
        <f>IF(A23&gt;=10000,(10000*E8),(A23*E8+(10000-A23)*(E9)))</f>
        <v>536000</v>
      </c>
      <c r="D23" s="15">
        <f>0.7*(E6+10000*E7)</f>
        <v>455000</v>
      </c>
      <c r="E23" s="15">
        <f>C23-D23</f>
        <v>81000</v>
      </c>
      <c r="G23" s="11">
        <v>8000</v>
      </c>
      <c r="H23" s="11">
        <v>0.11</v>
      </c>
      <c r="I23" s="14">
        <f>IF(G23&gt;=16000,(16000*E8),(G23*E8+(16000-G23)*(E9)))</f>
        <v>656000</v>
      </c>
      <c r="J23" s="14">
        <f>0.7*(E6+16000*E7)</f>
        <v>686000</v>
      </c>
      <c r="K23" s="14">
        <f>I23-J23</f>
        <v>-30000</v>
      </c>
      <c r="M23" s="12">
        <v>8000</v>
      </c>
      <c r="N23" s="13">
        <v>0.11</v>
      </c>
      <c r="O23" s="14">
        <f>8000*E2</f>
        <v>1000000</v>
      </c>
      <c r="P23" s="18">
        <f>C23+0.3*(E6+10000*E7)</f>
        <v>731000</v>
      </c>
      <c r="Q23" s="18">
        <f>O23-P23</f>
        <v>269000</v>
      </c>
      <c r="S23" s="12">
        <v>8000</v>
      </c>
      <c r="T23" s="13">
        <v>0.11</v>
      </c>
      <c r="U23" s="14">
        <f>8000*E2</f>
        <v>1000000</v>
      </c>
      <c r="V23" s="18">
        <f>I23+0.3*(E6+16000*E7)</f>
        <v>950000</v>
      </c>
      <c r="W23" s="18">
        <f>U23-V23</f>
        <v>50000</v>
      </c>
    </row>
    <row r="24" spans="1:23" x14ac:dyDescent="0.25">
      <c r="A24" s="12">
        <v>10000</v>
      </c>
      <c r="B24" s="13">
        <v>0.11</v>
      </c>
      <c r="C24" s="14">
        <f>IF(A24&gt;=10000, (10000*E8), (A24*E8+(A24-10000)*(E9)))</f>
        <v>620000</v>
      </c>
      <c r="D24" s="15">
        <f>0.7*(E6+10000*E7)</f>
        <v>455000</v>
      </c>
      <c r="E24" s="15">
        <f t="shared" ref="E24:E28" si="5">C24-D24</f>
        <v>165000</v>
      </c>
      <c r="G24" s="11">
        <v>10000</v>
      </c>
      <c r="H24" s="11">
        <v>0.11</v>
      </c>
      <c r="I24" s="14">
        <f>IF(G24&gt;=16000,(16000*E8),(G24*E8+(16000-G24)*(E9)))</f>
        <v>740000</v>
      </c>
      <c r="J24" s="14">
        <f>0.7*(E6+16000*E7)</f>
        <v>686000</v>
      </c>
      <c r="K24" s="14">
        <f t="shared" ref="K24:K28" si="6">I24-J24</f>
        <v>54000</v>
      </c>
      <c r="M24" s="12">
        <v>10000</v>
      </c>
      <c r="N24" s="13">
        <v>0.11</v>
      </c>
      <c r="O24" s="14">
        <f>10000*E2</f>
        <v>1250000</v>
      </c>
      <c r="P24" s="18">
        <f>C24+0.3*(E6+10000*E7)</f>
        <v>815000</v>
      </c>
      <c r="Q24" s="18">
        <f t="shared" ref="Q24:Q28" si="7">O24-P24</f>
        <v>435000</v>
      </c>
      <c r="S24" s="12">
        <v>10000</v>
      </c>
      <c r="T24" s="13">
        <v>0.11</v>
      </c>
      <c r="U24" s="14">
        <f>10000*E2</f>
        <v>1250000</v>
      </c>
      <c r="V24" s="18">
        <f>I24+0.3*(E6+16000*E7)</f>
        <v>1034000</v>
      </c>
      <c r="W24" s="18">
        <f t="shared" ref="W24:W28" si="8">U24-V24</f>
        <v>216000</v>
      </c>
    </row>
    <row r="25" spans="1:23" x14ac:dyDescent="0.25">
      <c r="A25" s="12">
        <v>12000</v>
      </c>
      <c r="B25" s="13">
        <v>0.28000000000000003</v>
      </c>
      <c r="C25" s="14">
        <f>IF(A25&gt;=10000, (10000*E8), (A24*E8+(A25-10000)*(E9)))</f>
        <v>620000</v>
      </c>
      <c r="D25" s="15">
        <f>0.7*(E6+10000*E7)</f>
        <v>455000</v>
      </c>
      <c r="E25" s="15">
        <f t="shared" si="5"/>
        <v>165000</v>
      </c>
      <c r="G25" s="11">
        <v>12000</v>
      </c>
      <c r="H25" s="11">
        <v>0.28000000000000003</v>
      </c>
      <c r="I25" s="17">
        <f>IF(G25&gt;=16000,(16000*E8),(G25*E8+(16000-G25)*(E9)))</f>
        <v>824000</v>
      </c>
      <c r="J25" s="14">
        <f>0.7*(E6+16000*E7)</f>
        <v>686000</v>
      </c>
      <c r="K25" s="14">
        <f t="shared" si="6"/>
        <v>138000</v>
      </c>
      <c r="M25" s="12">
        <v>12000</v>
      </c>
      <c r="N25" s="13">
        <v>0.28000000000000003</v>
      </c>
      <c r="O25" s="14">
        <f>10000*E2</f>
        <v>1250000</v>
      </c>
      <c r="P25" s="18">
        <f>C25+0.3*(E6+10000*E7)</f>
        <v>815000</v>
      </c>
      <c r="Q25" s="18">
        <f t="shared" si="7"/>
        <v>435000</v>
      </c>
      <c r="S25" s="12">
        <v>12000</v>
      </c>
      <c r="T25" s="13">
        <v>0.28000000000000003</v>
      </c>
      <c r="U25" s="17">
        <f>12000*E2</f>
        <v>1500000</v>
      </c>
      <c r="V25" s="18">
        <f>I25+0.3*(E6+16000*E7)</f>
        <v>1118000</v>
      </c>
      <c r="W25" s="18">
        <f t="shared" si="8"/>
        <v>382000</v>
      </c>
    </row>
    <row r="26" spans="1:23" x14ac:dyDescent="0.25">
      <c r="A26" s="12">
        <v>14000</v>
      </c>
      <c r="B26" s="13">
        <v>0.22</v>
      </c>
      <c r="C26" s="14">
        <f>IF(A26&gt;=10000, (10000*E8), (A24*E8+(A26-10000)*(E9)))</f>
        <v>620000</v>
      </c>
      <c r="D26" s="15">
        <f>0.7*(E6+10000*E7)</f>
        <v>455000</v>
      </c>
      <c r="E26" s="15">
        <f t="shared" si="5"/>
        <v>165000</v>
      </c>
      <c r="G26" s="11">
        <v>14000</v>
      </c>
      <c r="H26" s="11">
        <v>0.22</v>
      </c>
      <c r="I26" s="14">
        <f>IF(G26&gt;=16000,(16000*E8),(G26*E8+(16000-G26)*(E9)))</f>
        <v>908000</v>
      </c>
      <c r="J26" s="14">
        <f>0.7*(E6+16000*E7)</f>
        <v>686000</v>
      </c>
      <c r="K26" s="14">
        <f t="shared" si="6"/>
        <v>222000</v>
      </c>
      <c r="M26" s="12">
        <v>14000</v>
      </c>
      <c r="N26" s="13">
        <v>0.22</v>
      </c>
      <c r="O26" s="14">
        <f>10000*E2</f>
        <v>1250000</v>
      </c>
      <c r="P26" s="18">
        <f>C26+0.3*(E6+10000*E7)</f>
        <v>815000</v>
      </c>
      <c r="Q26" s="18">
        <f t="shared" si="7"/>
        <v>435000</v>
      </c>
      <c r="S26" s="12">
        <v>14000</v>
      </c>
      <c r="T26" s="13">
        <v>0.22</v>
      </c>
      <c r="U26" s="14">
        <f>14000*E2</f>
        <v>1750000</v>
      </c>
      <c r="V26" s="18">
        <f>I26+0.3*(E6+16000*E7)</f>
        <v>1202000</v>
      </c>
      <c r="W26" s="18">
        <f t="shared" si="8"/>
        <v>548000</v>
      </c>
    </row>
    <row r="27" spans="1:23" x14ac:dyDescent="0.25">
      <c r="A27" s="12">
        <v>16000</v>
      </c>
      <c r="B27" s="13">
        <v>0.18</v>
      </c>
      <c r="C27" s="14">
        <f>IF(A27&gt;=10000, (10000*E8), (A24*E8+(A27-10000)*(E9)))</f>
        <v>620000</v>
      </c>
      <c r="D27" s="15">
        <f>0.7*(E6+10000*E7)</f>
        <v>455000</v>
      </c>
      <c r="E27" s="15">
        <f t="shared" si="5"/>
        <v>165000</v>
      </c>
      <c r="G27" s="11">
        <v>16000</v>
      </c>
      <c r="H27" s="11">
        <v>0.18</v>
      </c>
      <c r="I27" s="14">
        <f>IF(G27&gt;=16000,(16000*E8),(G27*E8+(16000-G27)*(E9)))</f>
        <v>992000</v>
      </c>
      <c r="J27" s="14">
        <f>0.7*(E6+16000*E7)</f>
        <v>686000</v>
      </c>
      <c r="K27" s="14">
        <f t="shared" si="6"/>
        <v>306000</v>
      </c>
      <c r="M27" s="12">
        <v>16000</v>
      </c>
      <c r="N27" s="13">
        <v>0.18</v>
      </c>
      <c r="O27" s="14">
        <f>10000*E2</f>
        <v>1250000</v>
      </c>
      <c r="P27" s="18">
        <f>C27+0.3*(E6+10000*E7)</f>
        <v>815000</v>
      </c>
      <c r="Q27" s="18">
        <f t="shared" si="7"/>
        <v>435000</v>
      </c>
      <c r="S27" s="12">
        <v>16000</v>
      </c>
      <c r="T27" s="13">
        <v>0.18</v>
      </c>
      <c r="U27" s="14">
        <f>16000*E2</f>
        <v>2000000</v>
      </c>
      <c r="V27" s="18">
        <f>I27+0.3*(E6+16000*E7)</f>
        <v>1286000</v>
      </c>
      <c r="W27" s="18">
        <f t="shared" si="8"/>
        <v>714000</v>
      </c>
    </row>
    <row r="28" spans="1:23" x14ac:dyDescent="0.25">
      <c r="A28" s="12">
        <v>18000</v>
      </c>
      <c r="B28" s="13">
        <v>0.1</v>
      </c>
      <c r="C28" s="14">
        <f>IF(A28&gt;=10000, (10000*E8), (A23*E8+(A28-10000)*(E9)))</f>
        <v>620000</v>
      </c>
      <c r="D28" s="15">
        <f>0.7*(E6+10000*E7)</f>
        <v>455000</v>
      </c>
      <c r="E28" s="15">
        <f t="shared" si="5"/>
        <v>165000</v>
      </c>
      <c r="G28" s="11">
        <v>18000</v>
      </c>
      <c r="H28" s="11">
        <v>0.1</v>
      </c>
      <c r="I28" s="14">
        <f>IF(G28&gt;=16000,(16000*E8),(G28*E8+(16000-G28)*(E9)))</f>
        <v>992000</v>
      </c>
      <c r="J28" s="14">
        <f>0.7*(E6+16000*E7)</f>
        <v>686000</v>
      </c>
      <c r="K28" s="14">
        <f t="shared" si="6"/>
        <v>306000</v>
      </c>
      <c r="M28" s="12">
        <v>18000</v>
      </c>
      <c r="N28" s="13">
        <v>0.1</v>
      </c>
      <c r="O28" s="14">
        <f>10000*E2</f>
        <v>1250000</v>
      </c>
      <c r="P28" s="18">
        <f>C28+0.3*(E6+10000*E7)</f>
        <v>815000</v>
      </c>
      <c r="Q28" s="18">
        <f t="shared" si="7"/>
        <v>435000</v>
      </c>
      <c r="S28" s="12">
        <v>18000</v>
      </c>
      <c r="T28" s="13">
        <v>0.1</v>
      </c>
      <c r="U28" s="14">
        <f>16000*E2</f>
        <v>2000000</v>
      </c>
      <c r="V28" s="18">
        <f>I28+0.3*(E6+16000*E7)</f>
        <v>1286000</v>
      </c>
      <c r="W28" s="18">
        <f t="shared" si="8"/>
        <v>714000</v>
      </c>
    </row>
    <row r="29" spans="1:23" x14ac:dyDescent="0.25">
      <c r="A29" s="57" t="s">
        <v>15</v>
      </c>
      <c r="B29" s="57"/>
      <c r="C29" s="57"/>
      <c r="D29" s="57"/>
      <c r="E29" s="19">
        <f>E23*B23+E24*B24+E25*B25+E26*B26+E27*B27+E28*B28</f>
        <v>155760</v>
      </c>
      <c r="G29" s="57" t="s">
        <v>15</v>
      </c>
      <c r="H29" s="57"/>
      <c r="I29" s="57"/>
      <c r="J29" s="57"/>
      <c r="K29" s="19">
        <f>K23*H23+K24*H24+K25*H25+K26*H26+K27*H27+K28*H28</f>
        <v>175800</v>
      </c>
      <c r="M29" s="56" t="s">
        <v>37</v>
      </c>
      <c r="N29" s="56"/>
      <c r="O29" s="56"/>
      <c r="P29" s="56"/>
      <c r="Q29" s="19">
        <f>Q23*N23+Q24*N24+Q25*N25+Q26*N26+Q27*N27+Q28*N28</f>
        <v>416740</v>
      </c>
      <c r="S29" s="56" t="s">
        <v>37</v>
      </c>
      <c r="T29" s="56"/>
      <c r="U29" s="56"/>
      <c r="V29" s="56"/>
      <c r="W29" s="19">
        <f>W23*T23+W24*T24+W25*T25+W26*T26+W27*T27+W28*T28</f>
        <v>456700</v>
      </c>
    </row>
    <row r="30" spans="1:23" x14ac:dyDescent="0.25">
      <c r="G30" s="2"/>
      <c r="H30" s="2"/>
      <c r="I30" s="2"/>
      <c r="J30" s="2"/>
    </row>
    <row r="31" spans="1:23" x14ac:dyDescent="0.25">
      <c r="A31" s="56" t="s">
        <v>14</v>
      </c>
      <c r="B31" s="56"/>
      <c r="C31" s="56"/>
      <c r="D31" s="56"/>
      <c r="E31" s="56"/>
      <c r="G31" s="56" t="s">
        <v>19</v>
      </c>
      <c r="H31" s="56"/>
      <c r="I31" s="56"/>
      <c r="J31" s="56"/>
      <c r="K31" s="56"/>
      <c r="M31" s="62" t="s">
        <v>33</v>
      </c>
      <c r="N31" s="62"/>
      <c r="O31" s="62"/>
      <c r="P31" s="62"/>
      <c r="Q31" s="62"/>
      <c r="S31" s="62" t="s">
        <v>36</v>
      </c>
      <c r="T31" s="62"/>
      <c r="U31" s="62"/>
      <c r="V31" s="62"/>
      <c r="W31" s="62"/>
    </row>
    <row r="32" spans="1:23" x14ac:dyDescent="0.25">
      <c r="A32" s="11" t="s">
        <v>7</v>
      </c>
      <c r="B32" s="11" t="s">
        <v>8</v>
      </c>
      <c r="C32" s="11" t="s">
        <v>9</v>
      </c>
      <c r="D32" s="11" t="s">
        <v>10</v>
      </c>
      <c r="E32" s="9" t="s">
        <v>11</v>
      </c>
      <c r="G32" s="11" t="s">
        <v>7</v>
      </c>
      <c r="H32" s="11" t="s">
        <v>8</v>
      </c>
      <c r="I32" s="11" t="s">
        <v>9</v>
      </c>
      <c r="J32" s="11" t="s">
        <v>10</v>
      </c>
      <c r="K32" s="9" t="s">
        <v>11</v>
      </c>
      <c r="M32" s="11" t="s">
        <v>38</v>
      </c>
      <c r="N32" s="11" t="s">
        <v>8</v>
      </c>
      <c r="O32" s="11" t="s">
        <v>9</v>
      </c>
      <c r="P32" s="11" t="s">
        <v>10</v>
      </c>
      <c r="Q32" s="11" t="s">
        <v>11</v>
      </c>
      <c r="S32" s="11" t="s">
        <v>38</v>
      </c>
      <c r="T32" s="11" t="s">
        <v>8</v>
      </c>
      <c r="U32" s="11" t="s">
        <v>9</v>
      </c>
      <c r="V32" s="11" t="s">
        <v>10</v>
      </c>
      <c r="W32" s="11" t="s">
        <v>11</v>
      </c>
    </row>
    <row r="33" spans="1:23" x14ac:dyDescent="0.25">
      <c r="A33" s="11">
        <v>8000</v>
      </c>
      <c r="B33" s="11">
        <v>0.11</v>
      </c>
      <c r="C33" s="14">
        <f>IF(A33&gt;=12000,(12000*E8),(A33*E8+(12000-A33)*(E9)))</f>
        <v>576000</v>
      </c>
      <c r="D33" s="14">
        <f>0.7*(E6+12000*E7)</f>
        <v>532000</v>
      </c>
      <c r="E33" s="14">
        <f>C33-D33</f>
        <v>44000</v>
      </c>
      <c r="G33" s="11">
        <v>8000</v>
      </c>
      <c r="H33" s="11">
        <v>0.11</v>
      </c>
      <c r="I33" s="14">
        <f>IF(G33&gt;=18000,(18000*E8),(G33*E8+(18000-G33)*(E9)))</f>
        <v>696000</v>
      </c>
      <c r="J33" s="14">
        <f>0.7*(E6+18000*E7)</f>
        <v>763000</v>
      </c>
      <c r="K33" s="14">
        <f>I33-J33</f>
        <v>-67000</v>
      </c>
      <c r="M33" s="12">
        <v>8000</v>
      </c>
      <c r="N33" s="13">
        <v>0.11</v>
      </c>
      <c r="O33" s="14">
        <f>8000*E2</f>
        <v>1000000</v>
      </c>
      <c r="P33" s="18">
        <f>C33+0.3*(E6+12000*E7)</f>
        <v>804000</v>
      </c>
      <c r="Q33" s="18">
        <f>O33-P33</f>
        <v>196000</v>
      </c>
      <c r="S33" s="12">
        <v>8000</v>
      </c>
      <c r="T33" s="13">
        <v>0.11</v>
      </c>
      <c r="U33" s="14">
        <f>8000*E2</f>
        <v>1000000</v>
      </c>
      <c r="V33" s="18">
        <f>I33+0.3*(E6+18000*E7)</f>
        <v>1023000</v>
      </c>
      <c r="W33" s="18">
        <f>U33-V33</f>
        <v>-23000</v>
      </c>
    </row>
    <row r="34" spans="1:23" x14ac:dyDescent="0.25">
      <c r="A34" s="11">
        <v>10000</v>
      </c>
      <c r="B34" s="11">
        <v>0.11</v>
      </c>
      <c r="C34" s="14">
        <f>IF(A34&gt;=12000,(12000*E8),(A34*E8+(12000-A34)*(E9)))</f>
        <v>660000</v>
      </c>
      <c r="D34" s="14">
        <f>0.7*(E6+12000*E7)</f>
        <v>532000</v>
      </c>
      <c r="E34" s="14">
        <f t="shared" ref="E34:E38" si="9">C34-D34</f>
        <v>128000</v>
      </c>
      <c r="G34" s="11">
        <v>10000</v>
      </c>
      <c r="H34" s="11">
        <v>0.11</v>
      </c>
      <c r="I34" s="14">
        <f>IF(G34&gt;=18000,(18000*E8),(G34*E8+(18000-G34)*(E9)))</f>
        <v>780000</v>
      </c>
      <c r="J34" s="14">
        <f>0.7*(E6+18000*E7)</f>
        <v>763000</v>
      </c>
      <c r="K34" s="14">
        <f t="shared" ref="K34:K38" si="10">I34-J34</f>
        <v>17000</v>
      </c>
      <c r="M34" s="12">
        <v>10000</v>
      </c>
      <c r="N34" s="13">
        <v>0.11</v>
      </c>
      <c r="O34" s="14">
        <f>10000*E2</f>
        <v>1250000</v>
      </c>
      <c r="P34" s="18">
        <f>C34+0.3*(E6+12000*E7)</f>
        <v>888000</v>
      </c>
      <c r="Q34" s="18">
        <f t="shared" ref="Q34:Q38" si="11">O34-P34</f>
        <v>362000</v>
      </c>
      <c r="S34" s="12">
        <v>10000</v>
      </c>
      <c r="T34" s="13">
        <v>0.11</v>
      </c>
      <c r="U34" s="14">
        <f>10000*E2</f>
        <v>1250000</v>
      </c>
      <c r="V34" s="18">
        <f>I34+0.3*(E6+18000*E7)</f>
        <v>1107000</v>
      </c>
      <c r="W34" s="18">
        <f t="shared" ref="W34:W38" si="12">U34-V34</f>
        <v>143000</v>
      </c>
    </row>
    <row r="35" spans="1:23" x14ac:dyDescent="0.25">
      <c r="A35" s="11">
        <v>12000</v>
      </c>
      <c r="B35" s="11">
        <v>0.28000000000000003</v>
      </c>
      <c r="C35" s="14">
        <f>IF(A35&gt;=12000,(12000*E8),(A35*E8+(12000-A35)*(E9)))</f>
        <v>744000</v>
      </c>
      <c r="D35" s="14">
        <f>0.7*(E6+12000*E7)</f>
        <v>532000</v>
      </c>
      <c r="E35" s="14">
        <f t="shared" si="9"/>
        <v>212000</v>
      </c>
      <c r="G35" s="11">
        <v>12000</v>
      </c>
      <c r="H35" s="11">
        <v>0.28000000000000003</v>
      </c>
      <c r="I35" s="14">
        <f>IF(G35&gt;=18000,(18000*E8),(G35*E8+(18000-G35)*(E9)))</f>
        <v>864000</v>
      </c>
      <c r="J35" s="14">
        <f>0.7*(E6+18000*E7)</f>
        <v>763000</v>
      </c>
      <c r="K35" s="14">
        <f t="shared" si="10"/>
        <v>101000</v>
      </c>
      <c r="M35" s="12">
        <v>12000</v>
      </c>
      <c r="N35" s="13">
        <v>0.28000000000000003</v>
      </c>
      <c r="O35" s="14">
        <f>12000*E2</f>
        <v>1500000</v>
      </c>
      <c r="P35" s="18">
        <f>C35+0.3*(E6+12000*E7)</f>
        <v>972000</v>
      </c>
      <c r="Q35" s="18">
        <f t="shared" si="11"/>
        <v>528000</v>
      </c>
      <c r="S35" s="12">
        <v>12000</v>
      </c>
      <c r="T35" s="13">
        <v>0.28000000000000003</v>
      </c>
      <c r="U35" s="14">
        <f>12000*E2</f>
        <v>1500000</v>
      </c>
      <c r="V35" s="18">
        <f>I35+0.3*(E6+18000*E7)</f>
        <v>1191000</v>
      </c>
      <c r="W35" s="18">
        <f t="shared" si="12"/>
        <v>309000</v>
      </c>
    </row>
    <row r="36" spans="1:23" x14ac:dyDescent="0.25">
      <c r="A36" s="11">
        <v>14000</v>
      </c>
      <c r="B36" s="11">
        <v>0.22</v>
      </c>
      <c r="C36" s="14">
        <f>IF(A36&gt;=12000,(12000*E8),(A36*E8+(12000-A36)*(E9)))</f>
        <v>744000</v>
      </c>
      <c r="D36" s="14">
        <f>0.7*(E6+12000*E7)</f>
        <v>532000</v>
      </c>
      <c r="E36" s="14">
        <f t="shared" si="9"/>
        <v>212000</v>
      </c>
      <c r="G36" s="11">
        <v>14000</v>
      </c>
      <c r="H36" s="11">
        <v>0.22</v>
      </c>
      <c r="I36" s="14">
        <f>IF(G36&gt;=18000,(18000*E8),(G36*E8+(18000-G36)*(E9)))</f>
        <v>948000</v>
      </c>
      <c r="J36" s="14">
        <f>0.7*(E6+18000*E7)</f>
        <v>763000</v>
      </c>
      <c r="K36" s="14">
        <f t="shared" si="10"/>
        <v>185000</v>
      </c>
      <c r="M36" s="12">
        <v>14000</v>
      </c>
      <c r="N36" s="13">
        <v>0.22</v>
      </c>
      <c r="O36" s="14">
        <f>12000*E2</f>
        <v>1500000</v>
      </c>
      <c r="P36" s="18">
        <f>C36+0.3*(E6+12000*E7)</f>
        <v>972000</v>
      </c>
      <c r="Q36" s="18">
        <f t="shared" si="11"/>
        <v>528000</v>
      </c>
      <c r="S36" s="12">
        <v>14000</v>
      </c>
      <c r="T36" s="13">
        <v>0.22</v>
      </c>
      <c r="U36" s="14">
        <f>14000*E2</f>
        <v>1750000</v>
      </c>
      <c r="V36" s="18">
        <f>I36+0.3*(E6+18000*E7)</f>
        <v>1275000</v>
      </c>
      <c r="W36" s="18">
        <f t="shared" si="12"/>
        <v>475000</v>
      </c>
    </row>
    <row r="37" spans="1:23" x14ac:dyDescent="0.25">
      <c r="A37" s="11">
        <v>16000</v>
      </c>
      <c r="B37" s="11">
        <v>0.18</v>
      </c>
      <c r="C37" s="14">
        <f>IF(A37&gt;=12000,(12000*E8),(A37*E8+(12000-A37)*(E9)))</f>
        <v>744000</v>
      </c>
      <c r="D37" s="14">
        <f>0.7*(E6+12000*E7)</f>
        <v>532000</v>
      </c>
      <c r="E37" s="14">
        <f t="shared" si="9"/>
        <v>212000</v>
      </c>
      <c r="G37" s="11">
        <v>16000</v>
      </c>
      <c r="H37" s="11">
        <v>0.18</v>
      </c>
      <c r="I37" s="14">
        <f>IF(G37&gt;=18000,(18000*E8),(G37*E8+(18000-G37)*(E9)))</f>
        <v>1032000</v>
      </c>
      <c r="J37" s="14">
        <f>0.7*(E6+18000*E7)</f>
        <v>763000</v>
      </c>
      <c r="K37" s="14">
        <f t="shared" si="10"/>
        <v>269000</v>
      </c>
      <c r="M37" s="12">
        <v>16000</v>
      </c>
      <c r="N37" s="13">
        <v>0.18</v>
      </c>
      <c r="O37" s="14">
        <f>12000*E2</f>
        <v>1500000</v>
      </c>
      <c r="P37" s="18">
        <f>C37+0.3*(E6+12000*E7)</f>
        <v>972000</v>
      </c>
      <c r="Q37" s="18">
        <f t="shared" si="11"/>
        <v>528000</v>
      </c>
      <c r="S37" s="12">
        <v>16000</v>
      </c>
      <c r="T37" s="13">
        <v>0.18</v>
      </c>
      <c r="U37" s="14">
        <f>16000*E2</f>
        <v>2000000</v>
      </c>
      <c r="V37" s="18">
        <f>I37+0.3*(E6+18000*E7)</f>
        <v>1359000</v>
      </c>
      <c r="W37" s="18">
        <f t="shared" si="12"/>
        <v>641000</v>
      </c>
    </row>
    <row r="38" spans="1:23" x14ac:dyDescent="0.25">
      <c r="A38" s="11">
        <v>18000</v>
      </c>
      <c r="B38" s="11">
        <v>0.1</v>
      </c>
      <c r="C38" s="14">
        <f>IF(A38&gt;=12000,(12000*E8),(A38*E8+(12000-A38)*(E9)))</f>
        <v>744000</v>
      </c>
      <c r="D38" s="14">
        <f>0.7*(E6+12000*E7)</f>
        <v>532000</v>
      </c>
      <c r="E38" s="14">
        <f t="shared" si="9"/>
        <v>212000</v>
      </c>
      <c r="G38" s="11">
        <v>18000</v>
      </c>
      <c r="H38" s="11">
        <v>0.1</v>
      </c>
      <c r="I38" s="14">
        <f>IF(G38&gt;=18000,(18000*E8),(G38*E8+(18000-G38)*(E9)))</f>
        <v>1116000</v>
      </c>
      <c r="J38" s="14">
        <f>0.7*(E6+18000*E7)</f>
        <v>763000</v>
      </c>
      <c r="K38" s="14">
        <f t="shared" si="10"/>
        <v>353000</v>
      </c>
      <c r="M38" s="12">
        <v>18000</v>
      </c>
      <c r="N38" s="13">
        <v>0.1</v>
      </c>
      <c r="O38" s="14">
        <f>12000*E2</f>
        <v>1500000</v>
      </c>
      <c r="P38" s="18">
        <f>C38+0.3*(E6+12000*E7)</f>
        <v>972000</v>
      </c>
      <c r="Q38" s="18">
        <f t="shared" si="11"/>
        <v>528000</v>
      </c>
      <c r="S38" s="12">
        <v>18000</v>
      </c>
      <c r="T38" s="13">
        <v>0.1</v>
      </c>
      <c r="U38" s="14">
        <f>18000*E2</f>
        <v>2250000</v>
      </c>
      <c r="V38" s="18">
        <f>I38+0.3*(E6+18000*E7)</f>
        <v>1443000</v>
      </c>
      <c r="W38" s="18">
        <f t="shared" si="12"/>
        <v>807000</v>
      </c>
    </row>
    <row r="39" spans="1:23" x14ac:dyDescent="0.25">
      <c r="A39" s="57" t="s">
        <v>15</v>
      </c>
      <c r="B39" s="57"/>
      <c r="C39" s="57"/>
      <c r="D39" s="57"/>
      <c r="E39" s="19">
        <f>E33*B33+E34*B34+E35*B35+E36*B36+E37*B37+E38*B38</f>
        <v>184280</v>
      </c>
      <c r="G39" s="57" t="s">
        <v>15</v>
      </c>
      <c r="H39" s="57"/>
      <c r="I39" s="57"/>
      <c r="J39" s="57"/>
      <c r="K39" s="19">
        <f>K33*H33+K34*H34+K35*H35+K36*H36+K37*H37+K38*H38</f>
        <v>147200</v>
      </c>
      <c r="M39" s="56" t="s">
        <v>37</v>
      </c>
      <c r="N39" s="56"/>
      <c r="O39" s="56"/>
      <c r="P39" s="56"/>
      <c r="Q39" s="19">
        <f>Q33*N33+Q34*N34+Q35*N35+Q36*N36+Q37*N37+Q38*N38</f>
        <v>473220</v>
      </c>
      <c r="S39" s="56" t="s">
        <v>37</v>
      </c>
      <c r="T39" s="56"/>
      <c r="U39" s="56"/>
      <c r="V39" s="56"/>
      <c r="W39" s="19">
        <f>W33*T33+W34*T34+W35*T35+W36*T36+W37*T37+W38*T38</f>
        <v>400300</v>
      </c>
    </row>
  </sheetData>
  <mergeCells count="33">
    <mergeCell ref="A39:D39"/>
    <mergeCell ref="G39:J39"/>
    <mergeCell ref="M39:P39"/>
    <mergeCell ref="S39:V39"/>
    <mergeCell ref="A29:D29"/>
    <mergeCell ref="G29:J29"/>
    <mergeCell ref="M29:P29"/>
    <mergeCell ref="S29:V29"/>
    <mergeCell ref="A31:E31"/>
    <mergeCell ref="G31:K31"/>
    <mergeCell ref="M31:Q31"/>
    <mergeCell ref="S31:W31"/>
    <mergeCell ref="A21:E21"/>
    <mergeCell ref="G21:K21"/>
    <mergeCell ref="M21:Q21"/>
    <mergeCell ref="S21:W21"/>
    <mergeCell ref="A7:D7"/>
    <mergeCell ref="A8:D8"/>
    <mergeCell ref="A9:D9"/>
    <mergeCell ref="A11:E11"/>
    <mergeCell ref="G11:K11"/>
    <mergeCell ref="M11:Q11"/>
    <mergeCell ref="S11:W11"/>
    <mergeCell ref="A19:D19"/>
    <mergeCell ref="G19:J19"/>
    <mergeCell ref="M19:P19"/>
    <mergeCell ref="S19:V19"/>
    <mergeCell ref="A6:D6"/>
    <mergeCell ref="A1:E1"/>
    <mergeCell ref="A2:D2"/>
    <mergeCell ref="A3:D3"/>
    <mergeCell ref="A4:D4"/>
    <mergeCell ref="A5:E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I18" sqref="I18"/>
    </sheetView>
  </sheetViews>
  <sheetFormatPr defaultRowHeight="15" x14ac:dyDescent="0.25"/>
  <cols>
    <col min="1" max="1" width="44.85546875" bestFit="1" customWidth="1"/>
    <col min="2" max="2" width="16.28515625" bestFit="1" customWidth="1"/>
    <col min="3" max="3" width="12" bestFit="1" customWidth="1"/>
    <col min="4" max="8" width="9.140625" customWidth="1"/>
  </cols>
  <sheetData>
    <row r="1" spans="1:4" x14ac:dyDescent="0.25">
      <c r="A1" s="64" t="s">
        <v>45</v>
      </c>
      <c r="B1" s="64"/>
      <c r="C1" s="64"/>
      <c r="D1" s="5"/>
    </row>
    <row r="2" spans="1:4" x14ac:dyDescent="0.25">
      <c r="A2" s="23" t="s">
        <v>42</v>
      </c>
      <c r="B2" s="23"/>
      <c r="C2" s="9">
        <v>100</v>
      </c>
    </row>
    <row r="3" spans="1:4" x14ac:dyDescent="0.25">
      <c r="A3" s="23" t="s">
        <v>41</v>
      </c>
      <c r="B3" s="23"/>
      <c r="C3" s="9">
        <v>50</v>
      </c>
    </row>
    <row r="4" spans="1:4" x14ac:dyDescent="0.25">
      <c r="A4" s="23" t="s">
        <v>43</v>
      </c>
      <c r="B4" s="23"/>
      <c r="C4" s="36">
        <v>0.25</v>
      </c>
    </row>
    <row r="5" spans="1:4" x14ac:dyDescent="0.25">
      <c r="A5" s="23" t="s">
        <v>44</v>
      </c>
      <c r="B5" s="23"/>
      <c r="C5" s="36">
        <v>0.95</v>
      </c>
    </row>
    <row r="7" spans="1:4" x14ac:dyDescent="0.25">
      <c r="A7" s="63" t="s">
        <v>46</v>
      </c>
      <c r="B7" s="63"/>
      <c r="C7" s="5"/>
    </row>
    <row r="8" spans="1:4" x14ac:dyDescent="0.25">
      <c r="A8" s="9" t="s">
        <v>48</v>
      </c>
      <c r="B8" s="10">
        <v>5000</v>
      </c>
    </row>
    <row r="9" spans="1:4" x14ac:dyDescent="0.25">
      <c r="A9" s="9" t="s">
        <v>49</v>
      </c>
      <c r="B9" s="9">
        <v>100</v>
      </c>
    </row>
    <row r="10" spans="1:4" x14ac:dyDescent="0.25">
      <c r="A10" s="9" t="s">
        <v>50</v>
      </c>
      <c r="B10" s="9">
        <v>1</v>
      </c>
    </row>
    <row r="11" spans="1:4" x14ac:dyDescent="0.25">
      <c r="A11" s="9" t="s">
        <v>51</v>
      </c>
      <c r="B11" s="9">
        <v>0.1</v>
      </c>
    </row>
    <row r="14" spans="1:4" x14ac:dyDescent="0.25">
      <c r="A14" s="5" t="s">
        <v>52</v>
      </c>
      <c r="B14" s="5" t="s">
        <v>54</v>
      </c>
      <c r="C14" s="7">
        <f>C2*52*B8</f>
        <v>26000000</v>
      </c>
    </row>
    <row r="15" spans="1:4" x14ac:dyDescent="0.25">
      <c r="A15" s="5" t="s">
        <v>53</v>
      </c>
      <c r="B15" s="5" t="s">
        <v>55</v>
      </c>
      <c r="C15">
        <f>100/2</f>
        <v>50</v>
      </c>
    </row>
    <row r="16" spans="1:4" x14ac:dyDescent="0.25">
      <c r="A16" s="5" t="s">
        <v>56</v>
      </c>
      <c r="B16" t="s">
        <v>57</v>
      </c>
      <c r="C16" s="1">
        <f>C15*B8*C4</f>
        <v>62500</v>
      </c>
    </row>
    <row r="17" spans="1:3" x14ac:dyDescent="0.25">
      <c r="A17" s="5" t="s">
        <v>58</v>
      </c>
      <c r="C17">
        <f>((B10*(C3^2))+(C2^2)*(B11^2))^0.5</f>
        <v>50.990195135927848</v>
      </c>
    </row>
    <row r="18" spans="1:3" x14ac:dyDescent="0.25">
      <c r="A18" s="5" t="s">
        <v>59</v>
      </c>
      <c r="B18" t="s">
        <v>60</v>
      </c>
      <c r="C18">
        <f>1.645*C17</f>
        <v>83.878870998601315</v>
      </c>
    </row>
    <row r="19" spans="1:3" x14ac:dyDescent="0.25">
      <c r="A19" s="5" t="s">
        <v>61</v>
      </c>
      <c r="B19" t="s">
        <v>62</v>
      </c>
      <c r="C19" s="35">
        <f>C18*B8*C4</f>
        <v>104848.58874825164</v>
      </c>
    </row>
    <row r="20" spans="1:3" x14ac:dyDescent="0.25">
      <c r="A20" t="s">
        <v>63</v>
      </c>
      <c r="C20" s="1">
        <f>C14+C16+C19</f>
        <v>26167348.58874825</v>
      </c>
    </row>
    <row r="22" spans="1:3" x14ac:dyDescent="0.25">
      <c r="A22" s="63" t="s">
        <v>47</v>
      </c>
      <c r="B22" s="63"/>
    </row>
    <row r="23" spans="1:3" x14ac:dyDescent="0.25">
      <c r="A23" s="9" t="s">
        <v>48</v>
      </c>
      <c r="B23" s="10">
        <v>4800</v>
      </c>
    </row>
    <row r="24" spans="1:3" x14ac:dyDescent="0.25">
      <c r="A24" s="9" t="s">
        <v>49</v>
      </c>
      <c r="B24" s="9">
        <v>1000</v>
      </c>
    </row>
    <row r="25" spans="1:3" x14ac:dyDescent="0.25">
      <c r="A25" s="9" t="s">
        <v>50</v>
      </c>
      <c r="B25" s="9">
        <v>5</v>
      </c>
    </row>
    <row r="26" spans="1:3" x14ac:dyDescent="0.25">
      <c r="A26" s="9" t="s">
        <v>51</v>
      </c>
      <c r="B26" s="9">
        <v>4</v>
      </c>
    </row>
    <row r="29" spans="1:3" x14ac:dyDescent="0.25">
      <c r="A29" s="5" t="s">
        <v>52</v>
      </c>
      <c r="B29" s="5" t="s">
        <v>64</v>
      </c>
      <c r="C29" s="7">
        <f>C2*52*B23</f>
        <v>24960000</v>
      </c>
    </row>
    <row r="30" spans="1:3" x14ac:dyDescent="0.25">
      <c r="A30" s="5" t="s">
        <v>53</v>
      </c>
      <c r="B30" s="5" t="s">
        <v>65</v>
      </c>
      <c r="C30">
        <f>1000/2</f>
        <v>500</v>
      </c>
    </row>
    <row r="31" spans="1:3" x14ac:dyDescent="0.25">
      <c r="A31" s="5" t="s">
        <v>56</v>
      </c>
      <c r="B31" t="s">
        <v>67</v>
      </c>
      <c r="C31" s="1">
        <f>C30*B23*C4</f>
        <v>600000</v>
      </c>
    </row>
    <row r="32" spans="1:3" x14ac:dyDescent="0.25">
      <c r="A32" s="5" t="s">
        <v>58</v>
      </c>
      <c r="C32">
        <f>((B25*(C3^2))+(C2^2)*(B26^2))^0.5</f>
        <v>415.33119314590374</v>
      </c>
    </row>
    <row r="33" spans="1:3" x14ac:dyDescent="0.25">
      <c r="A33" s="5" t="s">
        <v>59</v>
      </c>
      <c r="B33" t="s">
        <v>60</v>
      </c>
      <c r="C33">
        <f>1.645*C32</f>
        <v>683.21981272501171</v>
      </c>
    </row>
    <row r="34" spans="1:3" x14ac:dyDescent="0.25">
      <c r="A34" s="5" t="s">
        <v>61</v>
      </c>
      <c r="B34" t="s">
        <v>66</v>
      </c>
      <c r="C34" s="35">
        <f>C33*B23*C4</f>
        <v>819863.77527001407</v>
      </c>
    </row>
    <row r="35" spans="1:3" x14ac:dyDescent="0.25">
      <c r="A35" t="s">
        <v>63</v>
      </c>
      <c r="C35" s="1">
        <f>C29+C31+C34</f>
        <v>26379863.775270015</v>
      </c>
    </row>
  </sheetData>
  <mergeCells count="3">
    <mergeCell ref="A22:B22"/>
    <mergeCell ref="A7:B7"/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No-Contract</vt:lpstr>
      <vt:lpstr>Pay-Back Contract</vt:lpstr>
      <vt:lpstr>Cost-Sharing Contract</vt:lpstr>
      <vt:lpstr>Utility Company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Radha Krishnan, Ram Prashanth</dc:creator>
  <cp:lastModifiedBy>Aven Samareh</cp:lastModifiedBy>
  <dcterms:created xsi:type="dcterms:W3CDTF">2014-03-28T23:43:58Z</dcterms:created>
  <dcterms:modified xsi:type="dcterms:W3CDTF">2014-04-11T15:28:59Z</dcterms:modified>
</cp:coreProperties>
</file>